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worksheets/sheet2.xml" ContentType="application/vnd.openxmlformats-officedocument.spreadsheetml.worksheet+xml"/>
  <Override PartName="/xl/charts/chart4.xml" ContentType="application/vnd.openxmlformats-officedocument.drawingml.char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worksheets/sheet5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charts/chart2.xml" ContentType="application/vnd.openxmlformats-officedocument.drawingml.char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customXml/itemProps6.xml" ContentType="application/vnd.openxmlformats-officedocument.customXmlProperties+xml"/>
  <Override PartName="/customXml/itemProps5.xml" ContentType="application/vnd.openxmlformats-officedocument.customXmlProperties+xml"/>
  <Override PartName="/customXml/itemProps14.xml" ContentType="application/vnd.openxmlformats-officedocument.customXmlProperties+xml"/>
  <Override PartName="/docProps/core.xml" ContentType="application/vnd.openxmlformats-package.core-properties+xml"/>
  <Override PartName="/customXml/itemProps13.xml" ContentType="application/vnd.openxmlformats-officedocument.customXmlProperties+xml"/>
  <Override PartName="/xl/comments2.xml" ContentType="application/vnd.openxmlformats-officedocument.spreadsheetml.comment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11.xml" ContentType="application/vnd.openxmlformats-officedocument.customXmlProperties+xml"/>
  <Override PartName="/customXml/itemProps10.xml" ContentType="application/vnd.openxmlformats-officedocument.customXmlProperties+xml"/>
  <Override PartName="/customXml/itemProps9.xml" ContentType="application/vnd.openxmlformats-officedocument.customXmlProperties+xml"/>
  <Override PartName="/customXml/itemProps12.xml" ContentType="application/vnd.openxmlformats-officedocument.customXmlProperties+xml"/>
  <Override PartName="/xl/customProperty1.bin" ContentType="application/vnd.openxmlformats-officedocument.spreadsheetml.customProperty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ustomProperty15.bin" ContentType="application/vnd.openxmlformats-officedocument.spreadsheetml.customProperty"/>
  <Override PartName="/xl/comments8.xml" ContentType="application/vnd.openxmlformats-officedocument.spreadsheetml.comments+xml"/>
  <Override PartName="/xl/customProperty14.bin" ContentType="application/vnd.openxmlformats-officedocument.spreadsheetml.customProperty"/>
  <Override PartName="/xl/comments7.xml" ContentType="application/vnd.openxmlformats-officedocument.spreadsheetml.comments+xml"/>
  <Override PartName="/xl/customProperty6.bin" ContentType="application/vnd.openxmlformats-officedocument.spreadsheetml.customProperty"/>
  <Override PartName="/xl/comments9.xml" ContentType="application/vnd.openxmlformats-officedocument.spreadsheetml.comments+xml"/>
  <Override PartName="/xl/customProperty5.bin" ContentType="application/vnd.openxmlformats-officedocument.spreadsheetml.customProperty"/>
  <Override PartName="/xl/customProperty17.bin" ContentType="application/vnd.openxmlformats-officedocument.spreadsheetml.customProperty"/>
  <Override PartName="/xl/comments10.xml" ContentType="application/vnd.openxmlformats-officedocument.spreadsheetml.comments+xml"/>
  <Override PartName="/xl/customProperty16.bin" ContentType="application/vnd.openxmlformats-officedocument.spreadsheetml.customProperty"/>
  <Override PartName="/xl/customProperty7.bin" ContentType="application/vnd.openxmlformats-officedocument.spreadsheetml.customProperty"/>
  <Override PartName="/xl/customProperty13.bin" ContentType="application/vnd.openxmlformats-officedocument.spreadsheetml.customProperty"/>
  <Override PartName="/xl/customProperty10.bin" ContentType="application/vnd.openxmlformats-officedocument.spreadsheetml.customProperty"/>
  <Override PartName="/xl/comments3.xml" ContentType="application/vnd.openxmlformats-officedocument.spreadsheetml.comments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ustomProperty12.bin" ContentType="application/vnd.openxmlformats-officedocument.spreadsheetml.customProperty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customProperty11.bin" ContentType="application/vnd.openxmlformats-officedocument.spreadsheetml.customProperty"/>
  <Override PartName="/xl/comments11.xml" ContentType="application/vnd.openxmlformats-officedocument.spreadsheetml.comments+xml"/>
  <Override PartName="/xl/customProperty18.bin" ContentType="application/vnd.openxmlformats-officedocument.spreadsheetml.customProperty"/>
  <Override PartName="/xl/customProperty26.bin" ContentType="application/vnd.openxmlformats-officedocument.spreadsheetml.customProperty"/>
  <Override PartName="/xl/customProperty25.bin" ContentType="application/vnd.openxmlformats-officedocument.spreadsheetml.customProperty"/>
  <Override PartName="/xl/customProperty24.bin" ContentType="application/vnd.openxmlformats-officedocument.spreadsheetml.customProperty"/>
  <Override PartName="/xl/customProperty23.bin" ContentType="application/vnd.openxmlformats-officedocument.spreadsheetml.customProperty"/>
  <Override PartName="/xl/customProperty27.bin" ContentType="application/vnd.openxmlformats-officedocument.spreadsheetml.customProperty"/>
  <Override PartName="/xl/comments14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22.bin" ContentType="application/vnd.openxmlformats-officedocument.spreadsheetml.customProperty"/>
  <Override PartName="/xl/comments13.xml" ContentType="application/vnd.openxmlformats-officedocument.spreadsheetml.comments+xml"/>
  <Override PartName="/xl/customProperty4.bin" ContentType="application/vnd.openxmlformats-officedocument.spreadsheetml.customProperty"/>
  <Override PartName="/xl/customProperty19.bin" ContentType="application/vnd.openxmlformats-officedocument.spreadsheetml.customProperty"/>
  <Override PartName="/xl/comments12.xml" ContentType="application/vnd.openxmlformats-officedocument.spreadsheetml.comments+xml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4.xml" ContentType="application/vnd.openxmlformats-officedocument.customXmlProperties+xml"/>
  <Override PartName="/customXml/itemProps16.xml" ContentType="application/vnd.openxmlformats-officedocument.customXmlProperties+xml"/>
  <Override PartName="/customXml/itemProps15.xml" ContentType="application/vnd.openxmlformats-officedocument.customXmlProperties+xml"/>
  <Override PartName="/customXml/itemProps17.xml" ContentType="application/vnd.openxmlformats-officedocument.customXmlProperties+xml"/>
  <Override PartName="/docProps/custom.xml" ContentType="application/vnd.openxmlformats-officedocument.custom-properties+xml"/>
  <Override PartName="/customXml/itemProps1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PGA Analysis\WA PGA\WA Monthly Report\2018\06.2018\"/>
    </mc:Choice>
  </mc:AlternateContent>
  <bookViews>
    <workbookView xWindow="-180" yWindow="-30" windowWidth="9720" windowHeight="7005" tabRatio="772" firstSheet="7" activeTab="18"/>
  </bookViews>
  <sheets>
    <sheet name="PGA Graphs 2012-13" sheetId="13" state="hidden" r:id="rId1"/>
    <sheet name="JE" sheetId="18" state="hidden" r:id="rId2"/>
    <sheet name="191010 WA Summary" sheetId="39" r:id="rId3"/>
    <sheet name="191010 ID Summary" sheetId="42" r:id="rId4"/>
    <sheet name="191000 WA Summary" sheetId="41" r:id="rId5"/>
    <sheet name="191000 ID Summary" sheetId="43" r:id="rId6"/>
    <sheet name="Jan" sheetId="5" r:id="rId7"/>
    <sheet name="Feb" sheetId="19" r:id="rId8"/>
    <sheet name="Mar" sheetId="21" r:id="rId9"/>
    <sheet name="Apr" sheetId="20" r:id="rId10"/>
    <sheet name="May" sheetId="23" r:id="rId11"/>
    <sheet name="Jun" sheetId="22" r:id="rId12"/>
    <sheet name="Jul" sheetId="24" state="hidden" r:id="rId13"/>
    <sheet name="Aug" sheetId="25" state="hidden" r:id="rId14"/>
    <sheet name="Sep" sheetId="26" state="hidden" r:id="rId15"/>
    <sheet name="Oct" sheetId="27" state="hidden" r:id="rId16"/>
    <sheet name="Nov" sheetId="28" state="hidden" r:id="rId17"/>
    <sheet name="Dec" sheetId="29" state="hidden" r:id="rId18"/>
    <sheet name="WA - Def-Amtz (current)" sheetId="16" r:id="rId19"/>
    <sheet name="PGA Graphs 2013-14" sheetId="30" state="hidden" r:id="rId20"/>
    <sheet name="ID Amort 191015" sheetId="14" state="hidden" r:id="rId21"/>
    <sheet name="ID Amort 191000" sheetId="7" state="hidden" r:id="rId22"/>
    <sheet name="WA Def 191010" sheetId="3" state="hidden" r:id="rId23"/>
    <sheet name="ID Def 191010" sheetId="6" state="hidden" r:id="rId24"/>
    <sheet name="ID Holdback 191015" sheetId="12" state="hidden" r:id="rId25"/>
    <sheet name="Amortization of JP Deferral" sheetId="9" state="hidden" r:id="rId26"/>
    <sheet name="WA Amort 191000" sheetId="10" state="hidden" r:id="rId27"/>
  </sheets>
  <externalReferences>
    <externalReference r:id="rId28"/>
    <externalReference r:id="rId29"/>
    <externalReference r:id="rId30"/>
  </externalReferences>
  <definedNames>
    <definedName name="Actual_Cost_Per_MMBtu" localSheetId="5">'[1]Oregon Gas Costs - 1999'!#REF!</definedName>
    <definedName name="Actual_Cost_Per_MMBtu" localSheetId="4">'[1]Oregon Gas Costs - 1999'!#REF!</definedName>
    <definedName name="Actual_Cost_Per_MMBtu" localSheetId="3">'[1]Oregon Gas Costs - 1999'!#REF!</definedName>
    <definedName name="Actual_Cost_Per_MMBtu">'[1]Oregon Gas Costs - 1999'!#REF!</definedName>
    <definedName name="Actual_Gas_Costs" localSheetId="5">#REF!</definedName>
    <definedName name="Actual_Gas_Costs" localSheetId="4">#REF!</definedName>
    <definedName name="Actual_Gas_Costs" localSheetId="3">#REF!</definedName>
    <definedName name="Actual_Gas_Costs">#REF!</definedName>
    <definedName name="Actual_Volumes" localSheetId="5">#REF!</definedName>
    <definedName name="Actual_Volumes" localSheetId="4">#REF!</definedName>
    <definedName name="Actual_Volumes" localSheetId="3">#REF!</definedName>
    <definedName name="Actual_Volumes">#REF!</definedName>
    <definedName name="Analysis_of_Year_to_Date_Gas_Costs___WWP_System" localSheetId="5">#REF!</definedName>
    <definedName name="Analysis_of_Year_to_Date_Gas_Costs___WWP_System" localSheetId="4">#REF!</definedName>
    <definedName name="Analysis_of_Year_to_Date_Gas_Costs___WWP_System" localSheetId="3">#REF!</definedName>
    <definedName name="Analysis_of_Year_to_Date_Gas_Costs___WWP_System">#REF!</definedName>
    <definedName name="Balancing_Account_Summary" localSheetId="5">#REF!</definedName>
    <definedName name="Balancing_Account_Summary" localSheetId="4">#REF!</definedName>
    <definedName name="Balancing_Account_Summary" localSheetId="3">#REF!</definedName>
    <definedName name="Balancing_Account_Summary">#REF!</definedName>
    <definedName name="Budgeted_Costs_Volumes" localSheetId="5">#REF!</definedName>
    <definedName name="Budgeted_Costs_Volumes" localSheetId="4">#REF!</definedName>
    <definedName name="Budgeted_Costs_Volumes" localSheetId="3">#REF!</definedName>
    <definedName name="Budgeted_Costs_Volumes">#REF!</definedName>
    <definedName name="Commodity_Costs" localSheetId="5">#REF!</definedName>
    <definedName name="Commodity_Costs" localSheetId="4">#REF!</definedName>
    <definedName name="Commodity_Costs" localSheetId="3">#REF!</definedName>
    <definedName name="Commodity_Costs">#REF!</definedName>
    <definedName name="_xlnm.Database" localSheetId="5">'[2]May 2000'!#REF!</definedName>
    <definedName name="_xlnm.Database" localSheetId="4">'[2]May 2000'!#REF!</definedName>
    <definedName name="_xlnm.Database" localSheetId="3">'[2]May 2000'!#REF!</definedName>
    <definedName name="_xlnm.Database">'[2]May 2000'!#REF!</definedName>
    <definedName name="EIA857_Report_Info" localSheetId="5">#REF!</definedName>
    <definedName name="EIA857_Report_Info" localSheetId="4">#REF!</definedName>
    <definedName name="EIA857_Report_Info" localSheetId="3">#REF!</definedName>
    <definedName name="EIA857_Report_Info">#REF!</definedName>
    <definedName name="InputMonth">[3]Start!$B$2</definedName>
    <definedName name="JanJunPretaxRate">[3]Start!$C$7</definedName>
    <definedName name="jj" localSheetId="5">'[1]Oregon Gas Costs - 1999'!#REF!</definedName>
    <definedName name="jj" localSheetId="4">'[1]Oregon Gas Costs - 1999'!#REF!</definedName>
    <definedName name="jj" localSheetId="3">'[1]Oregon Gas Costs - 1999'!#REF!</definedName>
    <definedName name="jj">'[1]Oregon Gas Costs - 1999'!#REF!</definedName>
    <definedName name="Journal_Entry_Dollars" localSheetId="5">#REF!</definedName>
    <definedName name="Journal_Entry_Dollars" localSheetId="4">#REF!</definedName>
    <definedName name="Journal_Entry_Dollars" localSheetId="3">#REF!</definedName>
    <definedName name="Journal_Entry_Dollars">#REF!</definedName>
    <definedName name="Journal_Entry_Volumes" localSheetId="5">#REF!</definedName>
    <definedName name="Journal_Entry_Volumes" localSheetId="4">#REF!</definedName>
    <definedName name="Journal_Entry_Volumes" localSheetId="3">#REF!</definedName>
    <definedName name="Journal_Entry_Volumes">#REF!</definedName>
    <definedName name="JournalEntryPrintArea" localSheetId="5">#REF!</definedName>
    <definedName name="JournalEntryPrintArea" localSheetId="4">#REF!</definedName>
    <definedName name="JournalEntryPrintArea" localSheetId="3">#REF!</definedName>
    <definedName name="JournalEntryPrintArea">#REF!</definedName>
    <definedName name="JulDecPretaxRate">[3]Start!$C$8</definedName>
    <definedName name="Notes" localSheetId="5">#REF!</definedName>
    <definedName name="Notes" localSheetId="4">#REF!</definedName>
    <definedName name="Notes" localSheetId="3">#REF!</definedName>
    <definedName name="Notes">#REF!</definedName>
    <definedName name="_xlnm.Print_Area" localSheetId="5">'191000 ID Summary'!$A$1:$N$22</definedName>
    <definedName name="_xlnm.Print_Area" localSheetId="4">'191000 WA Summary'!$A$1:$N$22</definedName>
    <definedName name="_xlnm.Print_Area" localSheetId="3">'191010 ID Summary'!$A$1:$M$22</definedName>
    <definedName name="_xlnm.Print_Area" localSheetId="2">'191010 WA Summary'!$A$1:$M$22</definedName>
    <definedName name="_xlnm.Print_Area" localSheetId="25">'Amortization of JP Deferral'!$A$1:$J$197</definedName>
    <definedName name="_xlnm.Print_Area" localSheetId="9">Apr!$A$1:$M$68</definedName>
    <definedName name="_xlnm.Print_Area" localSheetId="13">Aug!$A$1:$M$68</definedName>
    <definedName name="_xlnm.Print_Area" localSheetId="17">Dec!$A$1:$M$68</definedName>
    <definedName name="_xlnm.Print_Area" localSheetId="7">Feb!$A$1:$M$68</definedName>
    <definedName name="_xlnm.Print_Area" localSheetId="21">'ID Amort 191000'!$A$1:$J$300</definedName>
    <definedName name="_xlnm.Print_Area" localSheetId="20">'ID Amort 191015'!$A$1:$J$63</definedName>
    <definedName name="_xlnm.Print_Area" localSheetId="23">'ID Def 191010'!$A$1:$T$180</definedName>
    <definedName name="_xlnm.Print_Area" localSheetId="24">'ID Holdback 191015'!$A$1:$T$104</definedName>
    <definedName name="_xlnm.Print_Area" localSheetId="6">Jan!$A$1:$M$68</definedName>
    <definedName name="_xlnm.Print_Area" localSheetId="1">JE!$A$1:$M$32</definedName>
    <definedName name="_xlnm.Print_Area" localSheetId="12">Jul!$A$1:$M$68</definedName>
    <definedName name="_xlnm.Print_Area" localSheetId="11">Jun!$A$1:$M$68</definedName>
    <definedName name="_xlnm.Print_Area" localSheetId="8">Mar!$A$1:$M$68</definedName>
    <definedName name="_xlnm.Print_Area" localSheetId="10">May!$A$1:$M$68</definedName>
    <definedName name="_xlnm.Print_Area" localSheetId="16">Nov!$A$1:$M$68</definedName>
    <definedName name="_xlnm.Print_Area" localSheetId="15">Oct!$A$1:$M$68</definedName>
    <definedName name="_xlnm.Print_Area" localSheetId="0">'PGA Graphs 2012-13'!$P$2:$X$53</definedName>
    <definedName name="_xlnm.Print_Area" localSheetId="19">'PGA Graphs 2013-14'!$A$1:$N$66</definedName>
    <definedName name="_xlnm.Print_Area" localSheetId="14">Sep!$A$1:$M$68</definedName>
    <definedName name="_xlnm.Print_Area" localSheetId="18">'WA - Def-Amtz (current)'!$A$1:$AO$78</definedName>
    <definedName name="_xlnm.Print_Area" localSheetId="26">'WA Amort 191000'!$A$1:$J$310</definedName>
    <definedName name="_xlnm.Print_Area" localSheetId="22">'WA Def 191010'!$A$1:$R$143</definedName>
    <definedName name="_xlnm.Print_Titles" localSheetId="9">Apr!$1:$2</definedName>
    <definedName name="_xlnm.Print_Titles" localSheetId="13">Aug!$1:$2</definedName>
    <definedName name="_xlnm.Print_Titles" localSheetId="17">Dec!$1:$2</definedName>
    <definedName name="_xlnm.Print_Titles" localSheetId="7">Feb!$1:$2</definedName>
    <definedName name="_xlnm.Print_Titles" localSheetId="23">'ID Def 191010'!$1:$7</definedName>
    <definedName name="_xlnm.Print_Titles" localSheetId="24">'ID Holdback 191015'!$1:$7</definedName>
    <definedName name="_xlnm.Print_Titles" localSheetId="6">Jan!$1:$2</definedName>
    <definedName name="_xlnm.Print_Titles" localSheetId="12">Jul!$1:$2</definedName>
    <definedName name="_xlnm.Print_Titles" localSheetId="11">Jun!$1:$2</definedName>
    <definedName name="_xlnm.Print_Titles" localSheetId="8">Mar!$1:$2</definedName>
    <definedName name="_xlnm.Print_Titles" localSheetId="10">May!$1:$2</definedName>
    <definedName name="_xlnm.Print_Titles" localSheetId="16">Nov!$1:$2</definedName>
    <definedName name="_xlnm.Print_Titles" localSheetId="15">Oct!$1:$2</definedName>
    <definedName name="_xlnm.Print_Titles" localSheetId="14">Sep!$1:$2</definedName>
    <definedName name="_xlnm.Print_Titles" localSheetId="22">'WA Def 191010'!$1:$5</definedName>
    <definedName name="SPREADSHEET_DOCUMENTATION" localSheetId="5">#REF!</definedName>
    <definedName name="SPREADSHEET_DOCUMENTATION" localSheetId="4">#REF!</definedName>
    <definedName name="SPREADSHEET_DOCUMENTATION" localSheetId="3">#REF!</definedName>
    <definedName name="SPREADSHEET_DOCUMENTATION">#REF!</definedName>
    <definedName name="Summary_of_Off_system_Sales" localSheetId="5">'[1]Oregon Gas Costs - 1999'!#REF!</definedName>
    <definedName name="Summary_of_Off_system_Sales" localSheetId="4">'[1]Oregon Gas Costs - 1999'!#REF!</definedName>
    <definedName name="Summary_of_Off_system_Sales" localSheetId="3">'[1]Oregon Gas Costs - 1999'!#REF!</definedName>
    <definedName name="Summary_of_Off_system_Sales">'[1]Oregon Gas Costs - 1999'!#REF!</definedName>
    <definedName name="Transportation_Costs" localSheetId="5">#REF!</definedName>
    <definedName name="Transportation_Costs" localSheetId="4">#REF!</definedName>
    <definedName name="Transportation_Costs" localSheetId="3">#REF!</definedName>
    <definedName name="Transportation_Costs">#REF!</definedName>
  </definedNames>
  <calcPr calcId="152511" calcMode="manual"/>
</workbook>
</file>

<file path=xl/calcChain.xml><?xml version="1.0" encoding="utf-8"?>
<calcChain xmlns="http://schemas.openxmlformats.org/spreadsheetml/2006/main">
  <c r="G59" i="22" l="1"/>
  <c r="AH39" i="16" l="1"/>
  <c r="AG38" i="16"/>
  <c r="AH24" i="16"/>
  <c r="AH23" i="16"/>
  <c r="AH22" i="16"/>
  <c r="AH21" i="16"/>
  <c r="AH20" i="16"/>
  <c r="AH19" i="16"/>
  <c r="AG24" i="16"/>
  <c r="AG23" i="16"/>
  <c r="AG22" i="16"/>
  <c r="AG21" i="16"/>
  <c r="AG20" i="16"/>
  <c r="AG19" i="16"/>
  <c r="AG8" i="16"/>
  <c r="AG7" i="16"/>
  <c r="AG6" i="16"/>
  <c r="AG5" i="16"/>
  <c r="AG72" i="16"/>
  <c r="AG61" i="16"/>
  <c r="AG57" i="16"/>
  <c r="AG56" i="16"/>
  <c r="AG55" i="16"/>
  <c r="AG54" i="16"/>
  <c r="AG53" i="16"/>
  <c r="AG52" i="16"/>
  <c r="AG51" i="16"/>
  <c r="AG50" i="16"/>
  <c r="AG49" i="16"/>
  <c r="AG58" i="16" s="1"/>
  <c r="AG48" i="16"/>
  <c r="AG37" i="16"/>
  <c r="AG36" i="16"/>
  <c r="AG28" i="16"/>
  <c r="AG39" i="16"/>
  <c r="AG18" i="16"/>
  <c r="C54" i="22"/>
  <c r="C44" i="22"/>
  <c r="C19" i="22"/>
  <c r="C5" i="22"/>
  <c r="C9" i="22"/>
  <c r="C15" i="22"/>
  <c r="C12" i="22"/>
  <c r="C18" i="22"/>
  <c r="C6" i="22"/>
  <c r="C4" i="22"/>
  <c r="C10" i="22"/>
  <c r="C21" i="22"/>
  <c r="AG14" i="16"/>
  <c r="AG77" i="16"/>
  <c r="AG44" i="16"/>
  <c r="AG25" i="16" l="1"/>
  <c r="C54" i="23" l="1"/>
  <c r="C19" i="23"/>
  <c r="C5" i="23"/>
  <c r="C9" i="23"/>
  <c r="C15" i="23"/>
  <c r="C12" i="23"/>
  <c r="C18" i="23"/>
  <c r="C6" i="23"/>
  <c r="C4" i="23"/>
  <c r="C8" i="23"/>
  <c r="C21" i="23"/>
  <c r="C44" i="23" l="1"/>
  <c r="C53" i="23" l="1"/>
  <c r="G38" i="23"/>
  <c r="G39" i="23"/>
  <c r="G40" i="23"/>
  <c r="G41" i="23"/>
  <c r="G42" i="23"/>
  <c r="G43" i="23"/>
  <c r="G44" i="23"/>
  <c r="G37" i="23"/>
  <c r="K36" i="23"/>
  <c r="K37" i="23"/>
  <c r="AH72" i="16" l="1"/>
  <c r="AH61" i="16"/>
  <c r="AH57" i="16"/>
  <c r="AH56" i="16"/>
  <c r="AH55" i="16"/>
  <c r="AH54" i="16"/>
  <c r="AH53" i="16"/>
  <c r="AH52" i="16"/>
  <c r="AH51" i="16"/>
  <c r="AH50" i="16"/>
  <c r="AH49" i="16"/>
  <c r="AH48" i="16"/>
  <c r="AH37" i="16"/>
  <c r="AH36" i="16"/>
  <c r="AH28" i="16"/>
  <c r="AH18" i="16"/>
  <c r="AH44" i="16"/>
  <c r="AH14" i="16"/>
  <c r="AH77" i="16"/>
  <c r="AH58" i="16" l="1"/>
  <c r="AH25" i="16"/>
  <c r="AF24" i="16" l="1"/>
  <c r="AF23" i="16"/>
  <c r="AF22" i="16"/>
  <c r="C19" i="20" l="1"/>
  <c r="C5" i="20"/>
  <c r="C9" i="20"/>
  <c r="C15" i="20"/>
  <c r="C12" i="20"/>
  <c r="C18" i="20"/>
  <c r="C6" i="20"/>
  <c r="C4" i="20"/>
  <c r="C8" i="20"/>
  <c r="C21" i="20"/>
  <c r="C54" i="20"/>
  <c r="C44" i="20" l="1"/>
  <c r="C41" i="20" l="1"/>
  <c r="AF20" i="16"/>
  <c r="AF21" i="16"/>
  <c r="AF19" i="16"/>
  <c r="AF39" i="16" s="1"/>
  <c r="AF25" i="16" l="1"/>
  <c r="AF72" i="16"/>
  <c r="AF61" i="16"/>
  <c r="AF57" i="16"/>
  <c r="AF56" i="16"/>
  <c r="AF55" i="16"/>
  <c r="AF54" i="16"/>
  <c r="AF53" i="16"/>
  <c r="AF52" i="16"/>
  <c r="AF51" i="16"/>
  <c r="AF50" i="16"/>
  <c r="AF49" i="16"/>
  <c r="AF48" i="16"/>
  <c r="AF37" i="16"/>
  <c r="AF36" i="16"/>
  <c r="AF28" i="16"/>
  <c r="AF18" i="16"/>
  <c r="AF44" i="16"/>
  <c r="AF77" i="16"/>
  <c r="AF14" i="16"/>
  <c r="AF58" i="16" l="1"/>
  <c r="AE14" i="16"/>
  <c r="H7" i="43" l="1"/>
  <c r="I7" i="42"/>
  <c r="K8" i="43"/>
  <c r="K12" i="43"/>
  <c r="K16" i="43"/>
  <c r="K20" i="43"/>
  <c r="K9" i="43"/>
  <c r="K13" i="43"/>
  <c r="K17" i="43"/>
  <c r="K21" i="43"/>
  <c r="K10" i="43"/>
  <c r="K14" i="43"/>
  <c r="K18" i="43"/>
  <c r="K11" i="43"/>
  <c r="K15" i="43"/>
  <c r="K19" i="43"/>
  <c r="K7" i="43"/>
  <c r="L21" i="42"/>
  <c r="L20" i="42"/>
  <c r="L19" i="42"/>
  <c r="I7" i="43" l="1"/>
  <c r="F8" i="43" s="1"/>
  <c r="J7" i="42"/>
  <c r="H7" i="41"/>
  <c r="I7" i="41" s="1"/>
  <c r="L8" i="42"/>
  <c r="L12" i="42"/>
  <c r="L16" i="42"/>
  <c r="L9" i="42"/>
  <c r="L13" i="42"/>
  <c r="L17" i="42"/>
  <c r="L10" i="42"/>
  <c r="L14" i="42"/>
  <c r="L18" i="42"/>
  <c r="L11" i="42"/>
  <c r="L15" i="42"/>
  <c r="L7" i="42"/>
  <c r="K19" i="41"/>
  <c r="K20" i="41"/>
  <c r="K21" i="41"/>
  <c r="L19" i="39"/>
  <c r="L20" i="39"/>
  <c r="L21" i="39"/>
  <c r="K8" i="41"/>
  <c r="K12" i="41"/>
  <c r="K16" i="41"/>
  <c r="K9" i="41"/>
  <c r="K13" i="41"/>
  <c r="K17" i="41"/>
  <c r="K10" i="41"/>
  <c r="K14" i="41"/>
  <c r="K18" i="41"/>
  <c r="K11" i="41"/>
  <c r="K15" i="41"/>
  <c r="K7" i="41"/>
  <c r="F8" i="42" l="1"/>
  <c r="I8" i="42" s="1"/>
  <c r="J8" i="42" s="1"/>
  <c r="F9" i="42" s="1"/>
  <c r="M7" i="42"/>
  <c r="L7" i="43"/>
  <c r="H8" i="43"/>
  <c r="I8" i="43" s="1"/>
  <c r="F9" i="43" s="1"/>
  <c r="F8" i="41"/>
  <c r="H8" i="41" l="1"/>
  <c r="I8" i="41"/>
  <c r="L8" i="43"/>
  <c r="M8" i="42"/>
  <c r="H9" i="43"/>
  <c r="I9" i="43" s="1"/>
  <c r="I9" i="42"/>
  <c r="J9" i="42" s="1"/>
  <c r="L7" i="41"/>
  <c r="F9" i="41"/>
  <c r="I7" i="39"/>
  <c r="J7" i="39" s="1"/>
  <c r="L7" i="39"/>
  <c r="L8" i="39"/>
  <c r="L12" i="39"/>
  <c r="L16" i="39"/>
  <c r="L9" i="39"/>
  <c r="L13" i="39"/>
  <c r="L17" i="39"/>
  <c r="L10" i="39"/>
  <c r="L14" i="39"/>
  <c r="L18" i="39"/>
  <c r="L11" i="39"/>
  <c r="L15" i="39"/>
  <c r="F10" i="43" l="1"/>
  <c r="H10" i="43" s="1"/>
  <c r="I10" i="43" s="1"/>
  <c r="L9" i="43"/>
  <c r="F10" i="42"/>
  <c r="I10" i="42" s="1"/>
  <c r="J10" i="42" s="1"/>
  <c r="M9" i="42"/>
  <c r="H9" i="41"/>
  <c r="I9" i="41"/>
  <c r="M7" i="39"/>
  <c r="L8" i="41"/>
  <c r="F11" i="43" l="1"/>
  <c r="L10" i="43"/>
  <c r="F11" i="42"/>
  <c r="I11" i="42" s="1"/>
  <c r="J11" i="42" s="1"/>
  <c r="M10" i="42"/>
  <c r="H11" i="43"/>
  <c r="I11" i="43" s="1"/>
  <c r="F10" i="41"/>
  <c r="L9" i="41"/>
  <c r="F12" i="43" l="1"/>
  <c r="L11" i="43"/>
  <c r="F12" i="42"/>
  <c r="I12" i="42" s="1"/>
  <c r="J12" i="42" s="1"/>
  <c r="M11" i="42"/>
  <c r="H12" i="43"/>
  <c r="I12" i="43" s="1"/>
  <c r="H10" i="41"/>
  <c r="I10" i="41" s="1"/>
  <c r="F8" i="39"/>
  <c r="I8" i="39" s="1"/>
  <c r="M12" i="42" l="1"/>
  <c r="E17" i="42"/>
  <c r="F13" i="43"/>
  <c r="H13" i="43" s="1"/>
  <c r="I13" i="43" s="1"/>
  <c r="L12" i="43"/>
  <c r="F13" i="42"/>
  <c r="F11" i="41"/>
  <c r="L10" i="41"/>
  <c r="J8" i="39"/>
  <c r="M8" i="39" s="1"/>
  <c r="F14" i="43" l="1"/>
  <c r="H14" i="43" s="1"/>
  <c r="I14" i="43" s="1"/>
  <c r="L13" i="43"/>
  <c r="I13" i="42"/>
  <c r="J13" i="42" s="1"/>
  <c r="H11" i="41"/>
  <c r="I11" i="41" s="1"/>
  <c r="F9" i="39"/>
  <c r="I9" i="39" s="1"/>
  <c r="F15" i="43" l="1"/>
  <c r="L14" i="43"/>
  <c r="F14" i="42"/>
  <c r="I14" i="42" s="1"/>
  <c r="J14" i="42" s="1"/>
  <c r="M13" i="42"/>
  <c r="H15" i="43"/>
  <c r="I15" i="43" s="1"/>
  <c r="F12" i="41"/>
  <c r="L11" i="41"/>
  <c r="J9" i="39"/>
  <c r="M9" i="39" s="1"/>
  <c r="F16" i="43" l="1"/>
  <c r="L15" i="43"/>
  <c r="F15" i="42"/>
  <c r="I15" i="42" s="1"/>
  <c r="J15" i="42" s="1"/>
  <c r="M14" i="42"/>
  <c r="H16" i="43"/>
  <c r="I16" i="43" s="1"/>
  <c r="H12" i="41"/>
  <c r="I12" i="41" s="1"/>
  <c r="F10" i="39"/>
  <c r="I10" i="39" s="1"/>
  <c r="L16" i="43" l="1"/>
  <c r="H17" i="43"/>
  <c r="F16" i="42"/>
  <c r="M15" i="42"/>
  <c r="F17" i="43"/>
  <c r="I16" i="42"/>
  <c r="M16" i="42" s="1"/>
  <c r="L12" i="41"/>
  <c r="F13" i="41"/>
  <c r="J10" i="39"/>
  <c r="M10" i="39" s="1"/>
  <c r="J16" i="42" l="1"/>
  <c r="I17" i="43"/>
  <c r="H13" i="41"/>
  <c r="I13" i="41" s="1"/>
  <c r="F11" i="39"/>
  <c r="I11" i="39" s="1"/>
  <c r="L17" i="43" l="1"/>
  <c r="F18" i="43"/>
  <c r="H18" i="43" s="1"/>
  <c r="F17" i="42"/>
  <c r="I17" i="42"/>
  <c r="F14" i="41"/>
  <c r="L13" i="41"/>
  <c r="J11" i="39"/>
  <c r="M11" i="39" s="1"/>
  <c r="J17" i="42" l="1"/>
  <c r="F18" i="42"/>
  <c r="I18" i="42" s="1"/>
  <c r="J18" i="42" s="1"/>
  <c r="M17" i="42"/>
  <c r="I18" i="43"/>
  <c r="H14" i="41"/>
  <c r="I14" i="41" s="1"/>
  <c r="F12" i="39"/>
  <c r="I12" i="39" s="1"/>
  <c r="F19" i="43" l="1"/>
  <c r="L18" i="43"/>
  <c r="F19" i="42"/>
  <c r="I19" i="42" s="1"/>
  <c r="J19" i="42" s="1"/>
  <c r="M18" i="42"/>
  <c r="H19" i="43"/>
  <c r="F15" i="41"/>
  <c r="L14" i="41"/>
  <c r="J12" i="39"/>
  <c r="E17" i="39" s="1"/>
  <c r="I19" i="43" l="1"/>
  <c r="L19" i="43" s="1"/>
  <c r="F20" i="42"/>
  <c r="I20" i="42" s="1"/>
  <c r="J20" i="42" s="1"/>
  <c r="M19" i="42"/>
  <c r="F20" i="43"/>
  <c r="H15" i="41"/>
  <c r="I15" i="41" s="1"/>
  <c r="M12" i="39"/>
  <c r="F13" i="39"/>
  <c r="I13" i="39" s="1"/>
  <c r="H20" i="43" l="1"/>
  <c r="I20" i="43" s="1"/>
  <c r="F21" i="42"/>
  <c r="I21" i="42" s="1"/>
  <c r="J21" i="42" s="1"/>
  <c r="M21" i="42" s="1"/>
  <c r="M20" i="42"/>
  <c r="F16" i="41"/>
  <c r="L15" i="41"/>
  <c r="J13" i="39"/>
  <c r="M13" i="39" s="1"/>
  <c r="F21" i="43" l="1"/>
  <c r="H21" i="43" s="1"/>
  <c r="I21" i="43" s="1"/>
  <c r="L21" i="43" s="1"/>
  <c r="L20" i="43"/>
  <c r="H16" i="41"/>
  <c r="I16" i="41" s="1"/>
  <c r="F14" i="39"/>
  <c r="I14" i="39" s="1"/>
  <c r="H17" i="41" l="1"/>
  <c r="L16" i="41"/>
  <c r="F17" i="41"/>
  <c r="I17" i="41" s="1"/>
  <c r="H18" i="41" s="1"/>
  <c r="J14" i="39"/>
  <c r="M14" i="39" s="1"/>
  <c r="F15" i="39" l="1"/>
  <c r="I15" i="39" s="1"/>
  <c r="L17" i="41" l="1"/>
  <c r="F18" i="41"/>
  <c r="I18" i="41" s="1"/>
  <c r="J15" i="39"/>
  <c r="M15" i="39" s="1"/>
  <c r="F19" i="41" l="1"/>
  <c r="L18" i="41"/>
  <c r="F16" i="39"/>
  <c r="I16" i="39" s="1"/>
  <c r="H19" i="41" l="1"/>
  <c r="I19" i="41" s="1"/>
  <c r="J16" i="39"/>
  <c r="F20" i="41" l="1"/>
  <c r="H20" i="41"/>
  <c r="L19" i="41"/>
  <c r="M16" i="39"/>
  <c r="I17" i="39"/>
  <c r="F17" i="39"/>
  <c r="M17" i="39"/>
  <c r="I20" i="41" l="1"/>
  <c r="F21" i="41" s="1"/>
  <c r="H21" i="41" s="1"/>
  <c r="I21" i="41" s="1"/>
  <c r="L21" i="41" s="1"/>
  <c r="J17" i="39"/>
  <c r="F18" i="39"/>
  <c r="I18" i="39" s="1"/>
  <c r="L20" i="41" l="1"/>
  <c r="J18" i="39"/>
  <c r="M18" i="39" s="1"/>
  <c r="F19" i="39" l="1"/>
  <c r="I19" i="39" s="1"/>
  <c r="J19" i="39" l="1"/>
  <c r="M19" i="39" s="1"/>
  <c r="F20" i="39" l="1"/>
  <c r="I20" i="39" s="1"/>
  <c r="J20" i="39" l="1"/>
  <c r="M20" i="39" s="1"/>
  <c r="F21" i="39" l="1"/>
  <c r="I21" i="39" s="1"/>
  <c r="J21" i="39" l="1"/>
  <c r="M21" i="39" s="1"/>
  <c r="K40" i="21" l="1"/>
  <c r="C53" i="21" l="1"/>
  <c r="C18" i="21"/>
  <c r="C21" i="21"/>
  <c r="C6" i="21"/>
  <c r="C4" i="21"/>
  <c r="C8" i="21"/>
  <c r="C5" i="21"/>
  <c r="C9" i="21"/>
  <c r="C15" i="21"/>
  <c r="C12" i="21"/>
  <c r="C54" i="21"/>
  <c r="C44" i="21" l="1"/>
  <c r="AE24" i="16" l="1"/>
  <c r="AE22" i="16"/>
  <c r="AE23" i="16"/>
  <c r="AE20" i="16"/>
  <c r="AE21" i="16"/>
  <c r="AE19" i="16"/>
  <c r="AE72" i="16"/>
  <c r="AE61" i="16"/>
  <c r="AE57" i="16"/>
  <c r="AE56" i="16"/>
  <c r="AE55" i="16"/>
  <c r="AE54" i="16"/>
  <c r="AE53" i="16"/>
  <c r="AE52" i="16"/>
  <c r="AE51" i="16"/>
  <c r="AE50" i="16"/>
  <c r="AE49" i="16"/>
  <c r="AE48" i="16"/>
  <c r="AE37" i="16"/>
  <c r="AE36" i="16"/>
  <c r="AE28" i="16"/>
  <c r="AE18" i="16"/>
  <c r="AE77" i="16"/>
  <c r="AE44" i="16"/>
  <c r="AE39" i="16" l="1"/>
  <c r="AE58" i="16"/>
  <c r="AE25" i="16"/>
  <c r="R25" i="16" l="1"/>
  <c r="R39" i="16" l="1"/>
  <c r="C19" i="19" l="1"/>
  <c r="C5" i="19"/>
  <c r="C9" i="19"/>
  <c r="C15" i="19"/>
  <c r="C12" i="19"/>
  <c r="C18" i="19"/>
  <c r="C6" i="19"/>
  <c r="C10" i="19"/>
  <c r="C21" i="19"/>
  <c r="C54" i="19"/>
  <c r="AD19" i="16" l="1"/>
  <c r="AC23" i="16" l="1"/>
  <c r="AD23" i="16"/>
  <c r="C23" i="16" l="1"/>
  <c r="D23" i="16"/>
  <c r="AD42" i="16" l="1"/>
  <c r="AD50" i="16" l="1"/>
  <c r="AD51" i="16"/>
  <c r="AD52" i="16"/>
  <c r="AD53" i="16"/>
  <c r="AD54" i="16"/>
  <c r="AD55" i="16"/>
  <c r="AD56" i="16"/>
  <c r="AD57" i="16"/>
  <c r="AD49" i="16"/>
  <c r="AD20" i="16"/>
  <c r="AD21" i="16"/>
  <c r="AD22" i="16"/>
  <c r="AD24" i="16"/>
  <c r="AC50" i="16"/>
  <c r="AC51" i="16"/>
  <c r="AC52" i="16"/>
  <c r="AC53" i="16"/>
  <c r="AC54" i="16"/>
  <c r="AC55" i="16"/>
  <c r="AC56" i="16"/>
  <c r="AC57" i="16"/>
  <c r="AC49" i="16"/>
  <c r="AD18" i="16"/>
  <c r="AC18" i="16"/>
  <c r="AC20" i="16"/>
  <c r="AC21" i="16"/>
  <c r="AC22" i="16"/>
  <c r="AC24" i="16"/>
  <c r="AC19" i="16"/>
  <c r="AC72" i="16"/>
  <c r="AC61" i="16"/>
  <c r="AC48" i="16"/>
  <c r="AC37" i="16"/>
  <c r="AC36" i="16"/>
  <c r="AC28" i="16"/>
  <c r="C44" i="19"/>
  <c r="AD39" i="16" l="1"/>
  <c r="AC39" i="16"/>
  <c r="AD58" i="16"/>
  <c r="AC25" i="16"/>
  <c r="AD25" i="16"/>
  <c r="AC58" i="16"/>
  <c r="Q39" i="16"/>
  <c r="C54" i="5" l="1"/>
  <c r="C19" i="5" l="1"/>
  <c r="C5" i="5"/>
  <c r="C9" i="5"/>
  <c r="C15" i="5"/>
  <c r="C12" i="5"/>
  <c r="C18" i="5"/>
  <c r="C6" i="5"/>
  <c r="C21" i="5"/>
  <c r="C53" i="5" l="1"/>
  <c r="AC14" i="16"/>
  <c r="AC77" i="16"/>
  <c r="AC44" i="16"/>
  <c r="C44" i="5" l="1"/>
  <c r="AD37" i="16" l="1"/>
  <c r="AJ34" i="16" l="1"/>
  <c r="AA9" i="16"/>
  <c r="C6" i="16" l="1"/>
  <c r="D6" i="16"/>
  <c r="AD72" i="16"/>
  <c r="AD61" i="16"/>
  <c r="AD48" i="16"/>
  <c r="AD36" i="16"/>
  <c r="AD28" i="16"/>
  <c r="AD77" i="16"/>
  <c r="AD14" i="16"/>
  <c r="AD44" i="16"/>
  <c r="D73" i="16" l="1"/>
  <c r="D59" i="16"/>
  <c r="D42" i="16"/>
  <c r="D41" i="16"/>
  <c r="D38" i="16"/>
  <c r="D26" i="16"/>
  <c r="D12" i="16"/>
  <c r="D5" i="16"/>
  <c r="Q72" i="16"/>
  <c r="R72" i="16" s="1"/>
  <c r="Q61" i="16"/>
  <c r="R61" i="16" s="1"/>
  <c r="C59" i="16"/>
  <c r="Q48" i="16"/>
  <c r="R48" i="16" s="1"/>
  <c r="C42" i="16" l="1"/>
  <c r="C41" i="16"/>
  <c r="Q36" i="16"/>
  <c r="R36" i="16" s="1"/>
  <c r="Q28" i="16"/>
  <c r="R28" i="16" s="1"/>
  <c r="C26" i="16"/>
  <c r="Q18" i="16"/>
  <c r="R18" i="16" s="1"/>
  <c r="Q44" i="16"/>
  <c r="Q14" i="16"/>
  <c r="C12" i="16" l="1"/>
  <c r="R3" i="16"/>
  <c r="Q77" i="16"/>
  <c r="F3" i="16" l="1"/>
  <c r="F18" i="16"/>
  <c r="G18" i="16" s="1"/>
  <c r="H18" i="16" s="1"/>
  <c r="I18" i="16" s="1"/>
  <c r="J18" i="16" s="1"/>
  <c r="K18" i="16" s="1"/>
  <c r="L18" i="16" s="1"/>
  <c r="M18" i="16" s="1"/>
  <c r="N18" i="16" s="1"/>
  <c r="O18" i="16" s="1"/>
  <c r="P18" i="16" s="1"/>
  <c r="F25" i="16"/>
  <c r="G25" i="16"/>
  <c r="H25" i="16"/>
  <c r="I25" i="16"/>
  <c r="J25" i="16"/>
  <c r="K25" i="16"/>
  <c r="L25" i="16"/>
  <c r="M25" i="16"/>
  <c r="N25" i="16"/>
  <c r="O25" i="16"/>
  <c r="P25" i="16"/>
  <c r="F28" i="16"/>
  <c r="G28" i="16" s="1"/>
  <c r="H28" i="16" s="1"/>
  <c r="I28" i="16" s="1"/>
  <c r="J28" i="16" s="1"/>
  <c r="K28" i="16" s="1"/>
  <c r="L28" i="16" s="1"/>
  <c r="M28" i="16" s="1"/>
  <c r="N28" i="16" s="1"/>
  <c r="O28" i="16" s="1"/>
  <c r="P28" i="16" s="1"/>
  <c r="F36" i="16"/>
  <c r="P39" i="16"/>
  <c r="F48" i="16"/>
  <c r="G48" i="16" s="1"/>
  <c r="H48" i="16" s="1"/>
  <c r="I48" i="16" s="1"/>
  <c r="J48" i="16" s="1"/>
  <c r="K48" i="16" s="1"/>
  <c r="L48" i="16" s="1"/>
  <c r="M48" i="16" s="1"/>
  <c r="N48" i="16" s="1"/>
  <c r="O48" i="16" s="1"/>
  <c r="P48" i="16" s="1"/>
  <c r="F58" i="16"/>
  <c r="G58" i="16"/>
  <c r="H58" i="16"/>
  <c r="I58" i="16"/>
  <c r="J58" i="16"/>
  <c r="K58" i="16"/>
  <c r="L58" i="16"/>
  <c r="M58" i="16"/>
  <c r="N58" i="16"/>
  <c r="O58" i="16"/>
  <c r="P58" i="16"/>
  <c r="F61" i="16"/>
  <c r="G61" i="16" s="1"/>
  <c r="H61" i="16" s="1"/>
  <c r="I61" i="16" s="1"/>
  <c r="J61" i="16" s="1"/>
  <c r="K61" i="16" s="1"/>
  <c r="L61" i="16" s="1"/>
  <c r="M61" i="16" s="1"/>
  <c r="N61" i="16" s="1"/>
  <c r="O61" i="16" s="1"/>
  <c r="P61" i="16" s="1"/>
  <c r="F72" i="16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F14" i="16"/>
  <c r="F44" i="16"/>
  <c r="F77" i="16"/>
  <c r="O77" i="16"/>
  <c r="L77" i="16"/>
  <c r="I77" i="16"/>
  <c r="J77" i="16"/>
  <c r="H77" i="16"/>
  <c r="G77" i="16"/>
  <c r="K77" i="16"/>
  <c r="M77" i="16"/>
  <c r="N77" i="16"/>
  <c r="P77" i="16"/>
  <c r="G36" i="16" l="1"/>
  <c r="G3" i="16"/>
  <c r="G14" i="16"/>
  <c r="G44" i="16"/>
  <c r="H3" i="16" l="1"/>
  <c r="H36" i="16"/>
  <c r="H14" i="16"/>
  <c r="H44" i="16"/>
  <c r="I36" i="16" l="1"/>
  <c r="I3" i="16"/>
  <c r="F73" i="16"/>
  <c r="F76" i="16" s="1"/>
  <c r="F38" i="16"/>
  <c r="F43" i="16" s="1"/>
  <c r="I14" i="16"/>
  <c r="I44" i="16"/>
  <c r="J3" i="16" l="1"/>
  <c r="J36" i="16"/>
  <c r="F45" i="16"/>
  <c r="G38" i="16"/>
  <c r="G43" i="16" s="1"/>
  <c r="F78" i="16"/>
  <c r="G73" i="16"/>
  <c r="G76" i="16" s="1"/>
  <c r="J44" i="16"/>
  <c r="J14" i="16"/>
  <c r="K36" i="16" l="1"/>
  <c r="K3" i="16"/>
  <c r="H73" i="16"/>
  <c r="H76" i="16" s="1"/>
  <c r="G78" i="16"/>
  <c r="H38" i="16"/>
  <c r="H43" i="16" s="1"/>
  <c r="G45" i="16"/>
  <c r="F5" i="16"/>
  <c r="F13" i="16" s="1"/>
  <c r="K44" i="16"/>
  <c r="K14" i="16"/>
  <c r="L3" i="16" l="1"/>
  <c r="L36" i="16"/>
  <c r="I38" i="16"/>
  <c r="I43" i="16" s="1"/>
  <c r="H45" i="16"/>
  <c r="F15" i="16"/>
  <c r="G5" i="16"/>
  <c r="G13" i="16" s="1"/>
  <c r="I73" i="16"/>
  <c r="I76" i="16" s="1"/>
  <c r="H78" i="16"/>
  <c r="L44" i="16"/>
  <c r="L14" i="16"/>
  <c r="M36" i="16" l="1"/>
  <c r="M3" i="16"/>
  <c r="J73" i="16"/>
  <c r="J76" i="16" s="1"/>
  <c r="I78" i="16"/>
  <c r="G15" i="16"/>
  <c r="H5" i="16"/>
  <c r="H13" i="16" s="1"/>
  <c r="I45" i="16"/>
  <c r="J38" i="16"/>
  <c r="J43" i="16" s="1"/>
  <c r="M44" i="16"/>
  <c r="M14" i="16"/>
  <c r="N3" i="16" l="1"/>
  <c r="N36" i="16"/>
  <c r="I5" i="16"/>
  <c r="I13" i="16" s="1"/>
  <c r="H15" i="16"/>
  <c r="J45" i="16"/>
  <c r="K38" i="16"/>
  <c r="J78" i="16"/>
  <c r="K73" i="16"/>
  <c r="C44" i="29"/>
  <c r="C8" i="29"/>
  <c r="C21" i="29"/>
  <c r="C5" i="29"/>
  <c r="C9" i="29"/>
  <c r="C15" i="29"/>
  <c r="C12" i="29"/>
  <c r="C18" i="29"/>
  <c r="C6" i="29"/>
  <c r="C54" i="29"/>
  <c r="N44" i="16"/>
  <c r="N14" i="16"/>
  <c r="O36" i="16" l="1"/>
  <c r="O3" i="16"/>
  <c r="C33" i="29"/>
  <c r="K76" i="16"/>
  <c r="K78" i="16" s="1"/>
  <c r="K43" i="16"/>
  <c r="K45" i="16" s="1"/>
  <c r="J5" i="16"/>
  <c r="J13" i="16" s="1"/>
  <c r="I15" i="16"/>
  <c r="K40" i="29"/>
  <c r="K39" i="29"/>
  <c r="K38" i="29"/>
  <c r="K37" i="29"/>
  <c r="K36" i="29"/>
  <c r="G44" i="29"/>
  <c r="G43" i="29"/>
  <c r="G42" i="29"/>
  <c r="G41" i="29"/>
  <c r="G40" i="29"/>
  <c r="G39" i="29"/>
  <c r="G38" i="29"/>
  <c r="G37" i="29"/>
  <c r="G44" i="28"/>
  <c r="G43" i="28"/>
  <c r="G42" i="28"/>
  <c r="G41" i="28"/>
  <c r="G40" i="28"/>
  <c r="G39" i="28"/>
  <c r="G38" i="28"/>
  <c r="G37" i="28"/>
  <c r="O14" i="16"/>
  <c r="O44" i="16"/>
  <c r="P3" i="16" l="1"/>
  <c r="P36" i="16"/>
  <c r="L73" i="16"/>
  <c r="L76" i="16" s="1"/>
  <c r="M73" i="16" s="1"/>
  <c r="M76" i="16" s="1"/>
  <c r="L38" i="16"/>
  <c r="L43" i="16" s="1"/>
  <c r="M38" i="16" s="1"/>
  <c r="M43" i="16" s="1"/>
  <c r="J15" i="16"/>
  <c r="K5" i="16"/>
  <c r="P44" i="16"/>
  <c r="P14" i="16"/>
  <c r="L78" i="16" l="1"/>
  <c r="L45" i="16"/>
  <c r="K13" i="16"/>
  <c r="K15" i="16" s="1"/>
  <c r="N73" i="16"/>
  <c r="N76" i="16" s="1"/>
  <c r="M78" i="16"/>
  <c r="N38" i="16"/>
  <c r="N43" i="16" s="1"/>
  <c r="M45" i="16"/>
  <c r="L5" i="16" l="1"/>
  <c r="L13" i="16" s="1"/>
  <c r="L15" i="16" s="1"/>
  <c r="N78" i="16"/>
  <c r="O73" i="16"/>
  <c r="O76" i="16" s="1"/>
  <c r="N45" i="16"/>
  <c r="O38" i="16"/>
  <c r="C6" i="28"/>
  <c r="C4" i="28"/>
  <c r="M5" i="16" l="1"/>
  <c r="M13" i="16" s="1"/>
  <c r="N5" i="16" s="1"/>
  <c r="N13" i="16" s="1"/>
  <c r="O40" i="16"/>
  <c r="O78" i="16"/>
  <c r="P73" i="16"/>
  <c r="P76" i="16" s="1"/>
  <c r="P78" i="16" s="1"/>
  <c r="C54" i="28"/>
  <c r="M15" i="16" l="1"/>
  <c r="O43" i="16"/>
  <c r="O45" i="16" s="1"/>
  <c r="O5" i="16"/>
  <c r="N15" i="16"/>
  <c r="Z39" i="16" l="1"/>
  <c r="P38" i="16"/>
  <c r="P40" i="16" s="1"/>
  <c r="O8" i="16"/>
  <c r="Z25" i="16"/>
  <c r="C19" i="28"/>
  <c r="C5" i="28"/>
  <c r="C9" i="28"/>
  <c r="C15" i="28"/>
  <c r="C12" i="28"/>
  <c r="C18" i="28"/>
  <c r="C21" i="28"/>
  <c r="O13" i="16" l="1"/>
  <c r="O15" i="16" s="1"/>
  <c r="P43" i="16"/>
  <c r="P45" i="16" s="1"/>
  <c r="C33" i="28"/>
  <c r="P5" i="16" l="1"/>
  <c r="P13" i="16" s="1"/>
  <c r="P15" i="16" s="1"/>
  <c r="C44" i="28"/>
  <c r="C41" i="28" l="1"/>
  <c r="AQ72" i="16" l="1"/>
  <c r="AQ73" i="16"/>
  <c r="AO71" i="16" l="1"/>
  <c r="AQ71" i="16"/>
  <c r="Z49" i="16" l="1"/>
  <c r="C5" i="27" l="1"/>
  <c r="C9" i="27"/>
  <c r="C15" i="27"/>
  <c r="C12" i="27"/>
  <c r="C18" i="27"/>
  <c r="C6" i="27"/>
  <c r="C21" i="27"/>
  <c r="C44" i="27" l="1"/>
  <c r="Y25" i="16" l="1"/>
  <c r="C5" i="26"/>
  <c r="C9" i="26"/>
  <c r="C15" i="26"/>
  <c r="C12" i="26"/>
  <c r="C18" i="26"/>
  <c r="C6" i="26"/>
  <c r="C21" i="26"/>
  <c r="K38" i="25" l="1"/>
  <c r="K36" i="25" l="1"/>
  <c r="C18" i="25" l="1"/>
  <c r="C6" i="25"/>
  <c r="C19" i="25"/>
  <c r="C5" i="25"/>
  <c r="C33" i="25" l="1"/>
  <c r="C15" i="25"/>
  <c r="C12" i="25"/>
  <c r="C4" i="25"/>
  <c r="C21" i="25"/>
  <c r="C54" i="25"/>
  <c r="C53" i="25" l="1"/>
  <c r="C44" i="25" l="1"/>
  <c r="G44" i="24" l="1"/>
  <c r="G43" i="24"/>
  <c r="G42" i="24"/>
  <c r="G41" i="24"/>
  <c r="G40" i="24"/>
  <c r="G39" i="24"/>
  <c r="G38" i="24"/>
  <c r="G37" i="24"/>
  <c r="C19" i="24" l="1"/>
  <c r="C5" i="24"/>
  <c r="C9" i="24"/>
  <c r="C15" i="24"/>
  <c r="C12" i="24"/>
  <c r="C18" i="24"/>
  <c r="C6" i="24"/>
  <c r="C4" i="24"/>
  <c r="C10" i="24"/>
  <c r="C8" i="24"/>
  <c r="C21" i="24"/>
  <c r="C44" i="24" l="1"/>
  <c r="AQ9" i="16"/>
  <c r="AQ6" i="16"/>
  <c r="AQ36" i="16"/>
  <c r="AQ70" i="16"/>
  <c r="AQ8" i="16"/>
  <c r="AQ38" i="16"/>
  <c r="AQ7" i="16"/>
  <c r="AQ35" i="16"/>
  <c r="AQ37" i="16"/>
  <c r="AQ5" i="16"/>
  <c r="C43" i="22" l="1"/>
  <c r="C33" i="23" l="1"/>
  <c r="C43" i="23" l="1"/>
  <c r="C33" i="20" l="1"/>
  <c r="C52" i="20" s="1"/>
  <c r="C43" i="21" l="1"/>
  <c r="C33" i="21" l="1"/>
  <c r="C52" i="21" s="1"/>
  <c r="C56" i="21" l="1"/>
  <c r="H9" i="21" s="1"/>
  <c r="H11" i="19" l="1"/>
  <c r="H10" i="19"/>
  <c r="K10" i="19" s="1"/>
  <c r="C43" i="19"/>
  <c r="C33" i="19" l="1"/>
  <c r="C52" i="19" l="1"/>
  <c r="C56" i="19" s="1"/>
  <c r="Q75" i="16"/>
  <c r="C59" i="19" l="1"/>
  <c r="H9" i="19"/>
  <c r="D75" i="16"/>
  <c r="C75" i="16"/>
  <c r="G32" i="5"/>
  <c r="C33" i="5" l="1"/>
  <c r="C52" i="5" s="1"/>
  <c r="AA57" i="16" l="1"/>
  <c r="Z57" i="16"/>
  <c r="Y57" i="16"/>
  <c r="X57" i="16"/>
  <c r="W57" i="16"/>
  <c r="V57" i="16"/>
  <c r="U57" i="16"/>
  <c r="AA56" i="16"/>
  <c r="Z56" i="16"/>
  <c r="Y56" i="16"/>
  <c r="X56" i="16"/>
  <c r="W56" i="16"/>
  <c r="V56" i="16"/>
  <c r="U56" i="16"/>
  <c r="AB55" i="16"/>
  <c r="AA55" i="16"/>
  <c r="Z55" i="16"/>
  <c r="Y55" i="16"/>
  <c r="X55" i="16"/>
  <c r="W55" i="16"/>
  <c r="V55" i="16"/>
  <c r="U55" i="16"/>
  <c r="AA54" i="16"/>
  <c r="Z54" i="16"/>
  <c r="Y54" i="16"/>
  <c r="X54" i="16"/>
  <c r="W54" i="16"/>
  <c r="V54" i="16"/>
  <c r="U54" i="16"/>
  <c r="AA53" i="16"/>
  <c r="Z53" i="16"/>
  <c r="Y53" i="16"/>
  <c r="X53" i="16"/>
  <c r="W53" i="16"/>
  <c r="V53" i="16"/>
  <c r="U53" i="16"/>
  <c r="AA52" i="16"/>
  <c r="Z52" i="16"/>
  <c r="Y52" i="16"/>
  <c r="X52" i="16"/>
  <c r="W52" i="16"/>
  <c r="V52" i="16"/>
  <c r="U52" i="16"/>
  <c r="AA51" i="16"/>
  <c r="Z51" i="16"/>
  <c r="Y51" i="16"/>
  <c r="X51" i="16"/>
  <c r="W51" i="16"/>
  <c r="V51" i="16"/>
  <c r="U51" i="16"/>
  <c r="AA50" i="16"/>
  <c r="Z50" i="16"/>
  <c r="Y50" i="16"/>
  <c r="X50" i="16"/>
  <c r="W50" i="16"/>
  <c r="V50" i="16"/>
  <c r="U50" i="16"/>
  <c r="AA49" i="16"/>
  <c r="Y49" i="16"/>
  <c r="X49" i="16"/>
  <c r="W49" i="16"/>
  <c r="V49" i="16"/>
  <c r="U49" i="16"/>
  <c r="AB49" i="16"/>
  <c r="AB50" i="16"/>
  <c r="AB51" i="16"/>
  <c r="AB52" i="16"/>
  <c r="AB53" i="16"/>
  <c r="AB54" i="16"/>
  <c r="AB56" i="16"/>
  <c r="AB57" i="16"/>
  <c r="S72" i="16"/>
  <c r="T72" i="16" s="1"/>
  <c r="U72" i="16" s="1"/>
  <c r="V72" i="16" s="1"/>
  <c r="W72" i="16" s="1"/>
  <c r="S48" i="16"/>
  <c r="T48" i="16" s="1"/>
  <c r="U48" i="16" s="1"/>
  <c r="V48" i="16" s="1"/>
  <c r="W48" i="16" s="1"/>
  <c r="X48" i="16" s="1"/>
  <c r="Y48" i="16" s="1"/>
  <c r="Z48" i="16" s="1"/>
  <c r="AA48" i="16" s="1"/>
  <c r="AB48" i="16" s="1"/>
  <c r="S36" i="16"/>
  <c r="S28" i="16"/>
  <c r="T28" i="16" s="1"/>
  <c r="U28" i="16" s="1"/>
  <c r="V28" i="16" s="1"/>
  <c r="W28" i="16" s="1"/>
  <c r="X28" i="16" s="1"/>
  <c r="Y28" i="16" s="1"/>
  <c r="Z28" i="16" s="1"/>
  <c r="AA28" i="16" s="1"/>
  <c r="AB28" i="16" s="1"/>
  <c r="S61" i="16"/>
  <c r="T61" i="16" s="1"/>
  <c r="U61" i="16" s="1"/>
  <c r="V61" i="16" s="1"/>
  <c r="W61" i="16" s="1"/>
  <c r="X61" i="16" s="1"/>
  <c r="Y61" i="16" s="1"/>
  <c r="Z61" i="16" s="1"/>
  <c r="AA61" i="16" s="1"/>
  <c r="AB61" i="16" s="1"/>
  <c r="T57" i="16"/>
  <c r="S57" i="16"/>
  <c r="R57" i="16"/>
  <c r="T56" i="16"/>
  <c r="S56" i="16"/>
  <c r="R56" i="16"/>
  <c r="T55" i="16"/>
  <c r="S55" i="16"/>
  <c r="R55" i="16"/>
  <c r="T54" i="16"/>
  <c r="S54" i="16"/>
  <c r="R54" i="16"/>
  <c r="T53" i="16"/>
  <c r="S53" i="16"/>
  <c r="R53" i="16"/>
  <c r="T52" i="16"/>
  <c r="S52" i="16"/>
  <c r="R52" i="16"/>
  <c r="T51" i="16"/>
  <c r="S51" i="16"/>
  <c r="R51" i="16"/>
  <c r="T50" i="16"/>
  <c r="S50" i="16"/>
  <c r="R50" i="16"/>
  <c r="T49" i="16"/>
  <c r="S49" i="16"/>
  <c r="R49" i="16"/>
  <c r="Y39" i="16"/>
  <c r="AA25" i="16"/>
  <c r="S18" i="16"/>
  <c r="T18" i="16" s="1"/>
  <c r="U18" i="16" s="1"/>
  <c r="V18" i="16" s="1"/>
  <c r="W18" i="16" s="1"/>
  <c r="X18" i="16" s="1"/>
  <c r="Y18" i="16" s="1"/>
  <c r="Z18" i="16" s="1"/>
  <c r="AA18" i="16" s="1"/>
  <c r="AB18" i="16" s="1"/>
  <c r="S3" i="16"/>
  <c r="T3" i="16" s="1"/>
  <c r="U3" i="16" s="1"/>
  <c r="V3" i="16" s="1"/>
  <c r="R74" i="16" l="1"/>
  <c r="S74" i="16"/>
  <c r="Z74" i="16"/>
  <c r="D19" i="16"/>
  <c r="C19" i="16"/>
  <c r="Q25" i="16"/>
  <c r="D20" i="16"/>
  <c r="C20" i="16"/>
  <c r="D24" i="16"/>
  <c r="C24" i="16"/>
  <c r="D21" i="16"/>
  <c r="C21" i="16"/>
  <c r="D49" i="16"/>
  <c r="Q58" i="16"/>
  <c r="C49" i="16"/>
  <c r="Q74" i="16"/>
  <c r="C50" i="16"/>
  <c r="D50" i="16"/>
  <c r="C51" i="16"/>
  <c r="D51" i="16"/>
  <c r="D52" i="16"/>
  <c r="C52" i="16"/>
  <c r="D53" i="16"/>
  <c r="C53" i="16"/>
  <c r="C54" i="16"/>
  <c r="D54" i="16"/>
  <c r="C55" i="16"/>
  <c r="D55" i="16"/>
  <c r="D56" i="16"/>
  <c r="C56" i="16"/>
  <c r="D57" i="16"/>
  <c r="C57" i="16"/>
  <c r="D22" i="16"/>
  <c r="C22" i="16"/>
  <c r="T74" i="16"/>
  <c r="T39" i="16"/>
  <c r="X39" i="16"/>
  <c r="U39" i="16"/>
  <c r="AB25" i="16"/>
  <c r="S39" i="16"/>
  <c r="W39" i="16"/>
  <c r="V74" i="16"/>
  <c r="W74" i="16"/>
  <c r="X72" i="16"/>
  <c r="W3" i="16"/>
  <c r="V25" i="16"/>
  <c r="V39" i="16"/>
  <c r="U25" i="16"/>
  <c r="T36" i="16"/>
  <c r="R58" i="16"/>
  <c r="S58" i="16"/>
  <c r="AB58" i="16"/>
  <c r="U58" i="16"/>
  <c r="U74" i="16"/>
  <c r="AA58" i="16"/>
  <c r="V58" i="16"/>
  <c r="Y74" i="16"/>
  <c r="X74" i="16"/>
  <c r="Y58" i="16"/>
  <c r="Z58" i="16"/>
  <c r="W25" i="16"/>
  <c r="X25" i="16"/>
  <c r="W58" i="16"/>
  <c r="S25" i="16"/>
  <c r="T25" i="16"/>
  <c r="T58" i="16"/>
  <c r="X58" i="16"/>
  <c r="S77" i="16"/>
  <c r="R44" i="16"/>
  <c r="W77" i="16"/>
  <c r="V77" i="16"/>
  <c r="R14" i="16"/>
  <c r="R77" i="16"/>
  <c r="U14" i="16"/>
  <c r="T14" i="16"/>
  <c r="U77" i="16"/>
  <c r="X77" i="16"/>
  <c r="T44" i="16"/>
  <c r="T77" i="16"/>
  <c r="S14" i="16"/>
  <c r="V14" i="16"/>
  <c r="W14" i="16"/>
  <c r="S44" i="16"/>
  <c r="D74" i="16" l="1"/>
  <c r="C74" i="16"/>
  <c r="C76" i="16" s="1"/>
  <c r="D25" i="16"/>
  <c r="C39" i="16"/>
  <c r="D39" i="16"/>
  <c r="D58" i="16"/>
  <c r="C25" i="16"/>
  <c r="C58" i="16"/>
  <c r="Y72" i="16"/>
  <c r="X3" i="16"/>
  <c r="U36" i="16"/>
  <c r="X14" i="16"/>
  <c r="Y77" i="16"/>
  <c r="U44" i="16"/>
  <c r="Z72" i="16" l="1"/>
  <c r="Y3" i="16"/>
  <c r="V36" i="16"/>
  <c r="V44" i="16"/>
  <c r="Y14" i="16"/>
  <c r="Z77" i="16"/>
  <c r="AA72" i="16" l="1"/>
  <c r="Z3" i="16"/>
  <c r="W36" i="16"/>
  <c r="AA77" i="16"/>
  <c r="W44" i="16"/>
  <c r="Z14" i="16"/>
  <c r="AB72" i="16" l="1"/>
  <c r="AA3" i="16"/>
  <c r="X36" i="16"/>
  <c r="AB77" i="16"/>
  <c r="D77" i="16"/>
  <c r="X44" i="16"/>
  <c r="AA14" i="16"/>
  <c r="AB3" i="16" l="1"/>
  <c r="Y36" i="16"/>
  <c r="C52" i="29"/>
  <c r="D14" i="16"/>
  <c r="Y44" i="16"/>
  <c r="AB14" i="16"/>
  <c r="AN9" i="16" l="1"/>
  <c r="AO10" i="16" s="1"/>
  <c r="Z36" i="16"/>
  <c r="Z44" i="16"/>
  <c r="AA36" i="16" l="1"/>
  <c r="AA44" i="16"/>
  <c r="AB36" i="16" l="1"/>
  <c r="K38" i="28"/>
  <c r="AB44" i="16"/>
  <c r="D44" i="16"/>
  <c r="AO38" i="16" l="1"/>
  <c r="AN38" i="16"/>
  <c r="AO39" i="16"/>
  <c r="BC39" i="16" s="1"/>
  <c r="AN40" i="16" l="1"/>
  <c r="BC40" i="16" s="1"/>
  <c r="M43" i="28" l="1"/>
  <c r="I45" i="28"/>
  <c r="H53" i="28" s="1"/>
  <c r="I32" i="28"/>
  <c r="N43" i="28" l="1"/>
  <c r="K36" i="27"/>
  <c r="G37" i="26" l="1"/>
  <c r="C43" i="26"/>
  <c r="C11" i="26"/>
  <c r="C20" i="26" l="1"/>
  <c r="C7" i="26"/>
  <c r="C33" i="26"/>
  <c r="C52" i="26" s="1"/>
  <c r="C56" i="26" s="1"/>
  <c r="C59" i="26" s="1"/>
  <c r="C52" i="25" l="1"/>
  <c r="C33" i="24" l="1"/>
  <c r="C52" i="24" s="1"/>
  <c r="K36" i="22"/>
  <c r="I23" i="22" l="1"/>
  <c r="C33" i="22" l="1"/>
  <c r="C52" i="22" s="1"/>
  <c r="C56" i="22" s="1"/>
  <c r="H9" i="22" s="1"/>
  <c r="C59" i="22" l="1"/>
  <c r="I24" i="20" l="1"/>
  <c r="G38" i="26" l="1"/>
  <c r="G38" i="25"/>
  <c r="G38" i="22"/>
  <c r="G38" i="20"/>
  <c r="I38" i="20" s="1"/>
  <c r="G38" i="21"/>
  <c r="G29" i="18" l="1"/>
  <c r="H29" i="18"/>
  <c r="I29" i="18"/>
  <c r="K29" i="18"/>
  <c r="L29" i="18"/>
  <c r="M29" i="18"/>
  <c r="G30" i="18"/>
  <c r="H30" i="18"/>
  <c r="I30" i="18"/>
  <c r="K30" i="18"/>
  <c r="L30" i="18"/>
  <c r="M30" i="18"/>
  <c r="I38" i="26" l="1"/>
  <c r="I24" i="26"/>
  <c r="I38" i="25"/>
  <c r="I24" i="25"/>
  <c r="I38" i="24"/>
  <c r="I24" i="24"/>
  <c r="I25" i="24"/>
  <c r="I38" i="22"/>
  <c r="I24" i="22"/>
  <c r="I25" i="22"/>
  <c r="I38" i="23"/>
  <c r="I24" i="23"/>
  <c r="I38" i="5"/>
  <c r="I24" i="5"/>
  <c r="M27" i="29" l="1"/>
  <c r="C52" i="28" l="1"/>
  <c r="G38" i="27" l="1"/>
  <c r="I38" i="27" l="1"/>
  <c r="I24" i="27"/>
  <c r="AL39" i="16" l="1"/>
  <c r="AM39" i="16"/>
  <c r="AL40" i="16"/>
  <c r="AM40" i="16"/>
  <c r="AK40" i="16"/>
  <c r="AK39" i="16"/>
  <c r="AJ40" i="16"/>
  <c r="AQ40" i="16"/>
  <c r="AQ39" i="16"/>
  <c r="AM10" i="16" l="1"/>
  <c r="AL10" i="16"/>
  <c r="AK10" i="16"/>
  <c r="AJ10" i="16"/>
  <c r="AQ10" i="16"/>
  <c r="C33" i="27" l="1"/>
  <c r="C52" i="27" s="1"/>
  <c r="B12" i="30" l="1"/>
  <c r="B9" i="30"/>
  <c r="C129" i="3"/>
  <c r="C162" i="6"/>
  <c r="B13" i="30" l="1"/>
  <c r="B11" i="30"/>
  <c r="B10" i="30"/>
  <c r="B8" i="30"/>
  <c r="B16" i="30"/>
  <c r="B7" i="30"/>
  <c r="C4" i="30"/>
  <c r="C16" i="30" s="1"/>
  <c r="D4" i="30" l="1"/>
  <c r="C7" i="30"/>
  <c r="D16" i="30" l="1"/>
  <c r="D7" i="30"/>
  <c r="E4" i="30"/>
  <c r="E16" i="30" s="1"/>
  <c r="F4" i="30" l="1"/>
  <c r="F16" i="30" s="1"/>
  <c r="E7" i="30"/>
  <c r="F7" i="30" l="1"/>
  <c r="G4" i="30"/>
  <c r="G16" i="30" l="1"/>
  <c r="G7" i="30"/>
  <c r="H4" i="30"/>
  <c r="H16" i="30" l="1"/>
  <c r="H7" i="30"/>
  <c r="I4" i="30"/>
  <c r="I16" i="30" l="1"/>
  <c r="I7" i="30"/>
  <c r="J4" i="30"/>
  <c r="J16" i="30" l="1"/>
  <c r="J7" i="30"/>
  <c r="K4" i="30"/>
  <c r="K16" i="30" l="1"/>
  <c r="K7" i="30"/>
  <c r="L4" i="30"/>
  <c r="L16" i="30" l="1"/>
  <c r="L7" i="30"/>
  <c r="M4" i="30"/>
  <c r="M16" i="30" l="1"/>
  <c r="M7" i="30"/>
  <c r="N4" i="30"/>
  <c r="N7" i="30" s="1"/>
  <c r="N16" i="30" l="1"/>
  <c r="G32" i="21" l="1"/>
  <c r="C1" i="19" l="1"/>
  <c r="C1" i="21" s="1"/>
  <c r="AJ69" i="16"/>
  <c r="AN72" i="16" s="1"/>
  <c r="C43" i="29"/>
  <c r="C56" i="29" s="1"/>
  <c r="C27" i="29"/>
  <c r="C22" i="29"/>
  <c r="C20" i="29"/>
  <c r="C17" i="29"/>
  <c r="C14" i="29"/>
  <c r="C11" i="29"/>
  <c r="C7" i="29"/>
  <c r="C43" i="28"/>
  <c r="C27" i="28"/>
  <c r="C22" i="28"/>
  <c r="C20" i="28"/>
  <c r="C17" i="28"/>
  <c r="C14" i="28"/>
  <c r="C11" i="28"/>
  <c r="C7" i="28"/>
  <c r="C43" i="27"/>
  <c r="C56" i="27" s="1"/>
  <c r="H9" i="27" s="1"/>
  <c r="C27" i="27"/>
  <c r="C22" i="27"/>
  <c r="C20" i="27"/>
  <c r="C17" i="27"/>
  <c r="C14" i="27"/>
  <c r="C11" i="27"/>
  <c r="C7" i="27"/>
  <c r="C27" i="26"/>
  <c r="C22" i="26"/>
  <c r="C17" i="26"/>
  <c r="C14" i="26"/>
  <c r="C43" i="25"/>
  <c r="C56" i="25" s="1"/>
  <c r="C27" i="25"/>
  <c r="C22" i="25"/>
  <c r="C20" i="25"/>
  <c r="C17" i="25"/>
  <c r="C14" i="25"/>
  <c r="C11" i="25"/>
  <c r="C7" i="25"/>
  <c r="C43" i="24"/>
  <c r="C56" i="24" s="1"/>
  <c r="H9" i="24" s="1"/>
  <c r="C27" i="24"/>
  <c r="C22" i="24"/>
  <c r="C20" i="24"/>
  <c r="C17" i="24"/>
  <c r="C14" i="24"/>
  <c r="C11" i="24"/>
  <c r="C7" i="24"/>
  <c r="C27" i="22"/>
  <c r="C22" i="22"/>
  <c r="C20" i="22"/>
  <c r="C17" i="22"/>
  <c r="C14" i="22"/>
  <c r="C11" i="22"/>
  <c r="C30" i="22" s="1"/>
  <c r="C7" i="22"/>
  <c r="C52" i="23"/>
  <c r="C56" i="23" s="1"/>
  <c r="C27" i="23"/>
  <c r="C22" i="23"/>
  <c r="C20" i="23"/>
  <c r="C17" i="23"/>
  <c r="C14" i="23"/>
  <c r="C11" i="23"/>
  <c r="C7" i="23"/>
  <c r="C43" i="20"/>
  <c r="C56" i="20" s="1"/>
  <c r="C27" i="20"/>
  <c r="C22" i="20"/>
  <c r="C20" i="20"/>
  <c r="C17" i="20"/>
  <c r="C14" i="20"/>
  <c r="C11" i="20"/>
  <c r="C7" i="20"/>
  <c r="C27" i="21"/>
  <c r="C22" i="21"/>
  <c r="C20" i="21"/>
  <c r="C17" i="21"/>
  <c r="C14" i="21"/>
  <c r="C11" i="21"/>
  <c r="C7" i="21"/>
  <c r="C14" i="19"/>
  <c r="C1485" i="29"/>
  <c r="G32" i="29"/>
  <c r="G34" i="29" s="1"/>
  <c r="K28" i="29"/>
  <c r="K30" i="29" s="1"/>
  <c r="H11" i="29"/>
  <c r="L11" i="29" s="1"/>
  <c r="H10" i="29"/>
  <c r="K10" i="29" s="1"/>
  <c r="C1485" i="28"/>
  <c r="K40" i="28"/>
  <c r="K39" i="28"/>
  <c r="K37" i="28"/>
  <c r="K36" i="28"/>
  <c r="G32" i="28"/>
  <c r="G34" i="28" s="1"/>
  <c r="K28" i="28"/>
  <c r="M27" i="28"/>
  <c r="M28" i="28" s="1"/>
  <c r="N28" i="28" s="1"/>
  <c r="H11" i="28"/>
  <c r="L11" i="28" s="1"/>
  <c r="H10" i="28"/>
  <c r="K10" i="28" s="1"/>
  <c r="C1485" i="27"/>
  <c r="M42" i="27"/>
  <c r="G44" i="27"/>
  <c r="I44" i="27" s="1"/>
  <c r="M41" i="27"/>
  <c r="G43" i="27"/>
  <c r="I43" i="27" s="1"/>
  <c r="K40" i="27"/>
  <c r="M40" i="27" s="1"/>
  <c r="G42" i="27"/>
  <c r="I42" i="27" s="1"/>
  <c r="K39" i="27"/>
  <c r="G41" i="27"/>
  <c r="I41" i="27" s="1"/>
  <c r="K38" i="27"/>
  <c r="G40" i="27"/>
  <c r="I40" i="27" s="1"/>
  <c r="K37" i="27"/>
  <c r="G39" i="27"/>
  <c r="I39" i="27" s="1"/>
  <c r="G37" i="27"/>
  <c r="I37" i="27" s="1"/>
  <c r="G32" i="27"/>
  <c r="G34" i="27" s="1"/>
  <c r="I31" i="27"/>
  <c r="I30" i="27"/>
  <c r="K28" i="27"/>
  <c r="K30" i="27" s="1"/>
  <c r="I29" i="27"/>
  <c r="M27" i="27"/>
  <c r="I28" i="27"/>
  <c r="M26" i="27"/>
  <c r="I27" i="27"/>
  <c r="M25" i="27"/>
  <c r="I26" i="27"/>
  <c r="M24" i="27"/>
  <c r="I25" i="27"/>
  <c r="M23" i="27"/>
  <c r="I23" i="27"/>
  <c r="H11" i="27"/>
  <c r="L11" i="27" s="1"/>
  <c r="H10" i="27"/>
  <c r="K10" i="27" s="1"/>
  <c r="C1485" i="26"/>
  <c r="M42" i="26"/>
  <c r="G44" i="26"/>
  <c r="I44" i="26" s="1"/>
  <c r="M41" i="26"/>
  <c r="G43" i="26"/>
  <c r="I43" i="26" s="1"/>
  <c r="K40" i="26"/>
  <c r="M40" i="26" s="1"/>
  <c r="G42" i="26"/>
  <c r="I42" i="26" s="1"/>
  <c r="K39" i="26"/>
  <c r="G41" i="26"/>
  <c r="I41" i="26" s="1"/>
  <c r="K38" i="26"/>
  <c r="G40" i="26"/>
  <c r="I40" i="26" s="1"/>
  <c r="K37" i="26"/>
  <c r="G39" i="26"/>
  <c r="I39" i="26" s="1"/>
  <c r="K36" i="26"/>
  <c r="G32" i="26"/>
  <c r="I31" i="26"/>
  <c r="I30" i="26"/>
  <c r="K28" i="26"/>
  <c r="K30" i="26" s="1"/>
  <c r="I29" i="26"/>
  <c r="M27" i="26"/>
  <c r="I28" i="26"/>
  <c r="M26" i="26"/>
  <c r="I27" i="26"/>
  <c r="M25" i="26"/>
  <c r="I26" i="26"/>
  <c r="M24" i="26"/>
  <c r="I25" i="26"/>
  <c r="M23" i="26"/>
  <c r="I23" i="26"/>
  <c r="H11" i="26"/>
  <c r="L11" i="26" s="1"/>
  <c r="H10" i="26"/>
  <c r="K10" i="26" s="1"/>
  <c r="C1485" i="25"/>
  <c r="M42" i="25"/>
  <c r="G44" i="25"/>
  <c r="I44" i="25" s="1"/>
  <c r="M41" i="25"/>
  <c r="G43" i="25"/>
  <c r="I43" i="25" s="1"/>
  <c r="K40" i="25"/>
  <c r="M40" i="25" s="1"/>
  <c r="G42" i="25"/>
  <c r="I42" i="25" s="1"/>
  <c r="K39" i="25"/>
  <c r="G41" i="25"/>
  <c r="I41" i="25" s="1"/>
  <c r="G40" i="25"/>
  <c r="I40" i="25" s="1"/>
  <c r="K37" i="25"/>
  <c r="G39" i="25"/>
  <c r="I39" i="25" s="1"/>
  <c r="G37" i="25"/>
  <c r="G32" i="25"/>
  <c r="I31" i="25"/>
  <c r="I30" i="25"/>
  <c r="K28" i="25"/>
  <c r="K30" i="25" s="1"/>
  <c r="I29" i="25"/>
  <c r="M27" i="25"/>
  <c r="I28" i="25"/>
  <c r="M26" i="25"/>
  <c r="I27" i="25"/>
  <c r="M25" i="25"/>
  <c r="I26" i="25"/>
  <c r="M24" i="25"/>
  <c r="I25" i="25"/>
  <c r="M23" i="25"/>
  <c r="I23" i="25"/>
  <c r="H11" i="25"/>
  <c r="L11" i="25" s="1"/>
  <c r="H10" i="25"/>
  <c r="K10" i="25" s="1"/>
  <c r="C1485" i="24"/>
  <c r="M42" i="24"/>
  <c r="I44" i="24"/>
  <c r="M41" i="24"/>
  <c r="I43" i="24"/>
  <c r="K40" i="24"/>
  <c r="M40" i="24" s="1"/>
  <c r="I42" i="24"/>
  <c r="K39" i="24"/>
  <c r="I41" i="24"/>
  <c r="K38" i="24"/>
  <c r="I40" i="24"/>
  <c r="K37" i="24"/>
  <c r="I39" i="24"/>
  <c r="K36" i="24"/>
  <c r="I37" i="24"/>
  <c r="G32" i="24"/>
  <c r="I31" i="24"/>
  <c r="I30" i="24"/>
  <c r="K28" i="24"/>
  <c r="K30" i="24" s="1"/>
  <c r="I29" i="24"/>
  <c r="M27" i="24"/>
  <c r="I28" i="24"/>
  <c r="M26" i="24"/>
  <c r="I27" i="24"/>
  <c r="M25" i="24"/>
  <c r="I26" i="24"/>
  <c r="M24" i="24"/>
  <c r="M23" i="24"/>
  <c r="I23" i="24"/>
  <c r="H11" i="24"/>
  <c r="L11" i="24" s="1"/>
  <c r="H10" i="24"/>
  <c r="K10" i="24" s="1"/>
  <c r="C1485" i="23"/>
  <c r="M42" i="23"/>
  <c r="I44" i="23"/>
  <c r="M41" i="23"/>
  <c r="I43" i="23"/>
  <c r="K40" i="23"/>
  <c r="M40" i="23" s="1"/>
  <c r="I42" i="23"/>
  <c r="K39" i="23"/>
  <c r="I41" i="23"/>
  <c r="K38" i="23"/>
  <c r="I40" i="23"/>
  <c r="I39" i="23"/>
  <c r="G32" i="23"/>
  <c r="I31" i="23"/>
  <c r="I30" i="23"/>
  <c r="K28" i="23"/>
  <c r="K30" i="23" s="1"/>
  <c r="I29" i="23"/>
  <c r="M27" i="23"/>
  <c r="I28" i="23"/>
  <c r="M26" i="23"/>
  <c r="I27" i="23"/>
  <c r="M25" i="23"/>
  <c r="I26" i="23"/>
  <c r="M24" i="23"/>
  <c r="I25" i="23"/>
  <c r="M23" i="23"/>
  <c r="I23" i="23"/>
  <c r="H11" i="23"/>
  <c r="L11" i="23" s="1"/>
  <c r="H10" i="23"/>
  <c r="K10" i="23" s="1"/>
  <c r="C1485" i="22"/>
  <c r="M42" i="22"/>
  <c r="G44" i="22"/>
  <c r="M41" i="22"/>
  <c r="G43" i="22"/>
  <c r="I43" i="22" s="1"/>
  <c r="K40" i="22"/>
  <c r="G42" i="22"/>
  <c r="I42" i="22" s="1"/>
  <c r="K39" i="22"/>
  <c r="G41" i="22"/>
  <c r="I41" i="22" s="1"/>
  <c r="K38" i="22"/>
  <c r="G40" i="22"/>
  <c r="I40" i="22" s="1"/>
  <c r="K37" i="22"/>
  <c r="G39" i="22"/>
  <c r="I39" i="22" s="1"/>
  <c r="G37" i="22"/>
  <c r="I37" i="22" s="1"/>
  <c r="G32" i="22"/>
  <c r="I31" i="22"/>
  <c r="I30" i="22"/>
  <c r="K28" i="22"/>
  <c r="K30" i="22" s="1"/>
  <c r="I29" i="22"/>
  <c r="M27" i="22"/>
  <c r="I28" i="22"/>
  <c r="M26" i="22"/>
  <c r="I27" i="22"/>
  <c r="M25" i="22"/>
  <c r="I26" i="22"/>
  <c r="M24" i="22"/>
  <c r="M23" i="22"/>
  <c r="H11" i="22"/>
  <c r="L11" i="22" s="1"/>
  <c r="H10" i="22"/>
  <c r="K10" i="22" s="1"/>
  <c r="C1485" i="21"/>
  <c r="M42" i="21"/>
  <c r="G44" i="21"/>
  <c r="M41" i="21"/>
  <c r="G43" i="21"/>
  <c r="M40" i="21"/>
  <c r="G42" i="21"/>
  <c r="K39" i="21"/>
  <c r="G41" i="21"/>
  <c r="K38" i="21"/>
  <c r="G40" i="21"/>
  <c r="K37" i="21"/>
  <c r="G39" i="21"/>
  <c r="K36" i="21"/>
  <c r="G37" i="21"/>
  <c r="G34" i="21"/>
  <c r="K28" i="21"/>
  <c r="K30" i="21" s="1"/>
  <c r="H11" i="21"/>
  <c r="L11" i="21" s="1"/>
  <c r="H10" i="21"/>
  <c r="K10" i="21" s="1"/>
  <c r="C1485" i="20"/>
  <c r="M42" i="20"/>
  <c r="G44" i="20"/>
  <c r="M41" i="20"/>
  <c r="G43" i="20"/>
  <c r="I43" i="20" s="1"/>
  <c r="K40" i="20"/>
  <c r="M40" i="20" s="1"/>
  <c r="G42" i="20"/>
  <c r="I42" i="20" s="1"/>
  <c r="K39" i="20"/>
  <c r="G41" i="20"/>
  <c r="I41" i="20" s="1"/>
  <c r="K38" i="20"/>
  <c r="G40" i="20"/>
  <c r="I40" i="20" s="1"/>
  <c r="K37" i="20"/>
  <c r="G39" i="20"/>
  <c r="I39" i="20" s="1"/>
  <c r="K36" i="20"/>
  <c r="G37" i="20"/>
  <c r="I37" i="20" s="1"/>
  <c r="G32" i="20"/>
  <c r="I31" i="20"/>
  <c r="I30" i="20"/>
  <c r="K28" i="20"/>
  <c r="K30" i="20" s="1"/>
  <c r="I29" i="20"/>
  <c r="M27" i="20"/>
  <c r="I28" i="20"/>
  <c r="M26" i="20"/>
  <c r="I27" i="20"/>
  <c r="M25" i="20"/>
  <c r="I26" i="20"/>
  <c r="M24" i="20"/>
  <c r="I25" i="20"/>
  <c r="M23" i="20"/>
  <c r="I23" i="20"/>
  <c r="H11" i="20"/>
  <c r="L11" i="20" s="1"/>
  <c r="H10" i="20"/>
  <c r="K10" i="20" s="1"/>
  <c r="C1485" i="19"/>
  <c r="M42" i="19"/>
  <c r="M41" i="19"/>
  <c r="K40" i="19"/>
  <c r="M40" i="19" s="1"/>
  <c r="K39" i="19"/>
  <c r="K38" i="19"/>
  <c r="K37" i="19"/>
  <c r="K36" i="19"/>
  <c r="G32" i="19"/>
  <c r="K28" i="19"/>
  <c r="K30" i="19" s="1"/>
  <c r="M27" i="19"/>
  <c r="C27" i="19"/>
  <c r="M26" i="19"/>
  <c r="C22" i="19"/>
  <c r="C20" i="19"/>
  <c r="C17" i="19"/>
  <c r="L11" i="19"/>
  <c r="C11" i="19"/>
  <c r="C7" i="19"/>
  <c r="C32" i="22" l="1"/>
  <c r="C34" i="22" s="1"/>
  <c r="C61" i="22" s="1"/>
  <c r="C30" i="23"/>
  <c r="C32" i="23" s="1"/>
  <c r="C34" i="23" s="1"/>
  <c r="H7" i="23" s="1"/>
  <c r="I7" i="23" s="1"/>
  <c r="I14" i="23" s="1"/>
  <c r="I52" i="23" s="1"/>
  <c r="AO73" i="16"/>
  <c r="AN71" i="16"/>
  <c r="C30" i="28"/>
  <c r="C32" i="28" s="1"/>
  <c r="C34" i="28" s="1"/>
  <c r="H7" i="28" s="1"/>
  <c r="C56" i="28"/>
  <c r="AO70" i="16"/>
  <c r="C30" i="25"/>
  <c r="C32" i="25" s="1"/>
  <c r="C30" i="24"/>
  <c r="C32" i="24" s="1"/>
  <c r="C34" i="24" s="1"/>
  <c r="H7" i="24" s="1"/>
  <c r="H9" i="23"/>
  <c r="C30" i="21"/>
  <c r="C32" i="21" s="1"/>
  <c r="C34" i="21" s="1"/>
  <c r="H7" i="21" s="1"/>
  <c r="C30" i="19"/>
  <c r="C32" i="19" s="1"/>
  <c r="C34" i="19" s="1"/>
  <c r="H7" i="19" s="1"/>
  <c r="C30" i="27"/>
  <c r="C32" i="27" s="1"/>
  <c r="C34" i="27" s="1"/>
  <c r="H7" i="27" s="1"/>
  <c r="C30" i="26"/>
  <c r="C32" i="26" s="1"/>
  <c r="M39" i="26"/>
  <c r="M39" i="25"/>
  <c r="M40" i="22"/>
  <c r="C59" i="20"/>
  <c r="G34" i="26"/>
  <c r="G34" i="25"/>
  <c r="G34" i="24"/>
  <c r="G34" i="22"/>
  <c r="G34" i="23"/>
  <c r="G34" i="20"/>
  <c r="G34" i="19"/>
  <c r="M39" i="27"/>
  <c r="M37" i="26"/>
  <c r="M36" i="26"/>
  <c r="M38" i="26"/>
  <c r="M37" i="25"/>
  <c r="M38" i="25"/>
  <c r="M37" i="24"/>
  <c r="M39" i="24"/>
  <c r="M38" i="24"/>
  <c r="M37" i="22"/>
  <c r="M38" i="22"/>
  <c r="M39" i="22"/>
  <c r="M38" i="23"/>
  <c r="M37" i="23"/>
  <c r="M39" i="23"/>
  <c r="M38" i="20"/>
  <c r="M37" i="20"/>
  <c r="M39" i="20"/>
  <c r="M39" i="19"/>
  <c r="K30" i="28"/>
  <c r="F1" i="19"/>
  <c r="C59" i="21"/>
  <c r="G45" i="26"/>
  <c r="C1" i="20"/>
  <c r="F1" i="20" s="1"/>
  <c r="F1" i="21"/>
  <c r="M37" i="27"/>
  <c r="I32" i="26"/>
  <c r="I33" i="26" s="1"/>
  <c r="C30" i="29"/>
  <c r="C32" i="29" s="1"/>
  <c r="C59" i="24"/>
  <c r="M28" i="27"/>
  <c r="M29" i="27" s="1"/>
  <c r="G45" i="28"/>
  <c r="G47" i="28" s="1"/>
  <c r="G45" i="29"/>
  <c r="G47" i="29" s="1"/>
  <c r="C59" i="25"/>
  <c r="C59" i="29"/>
  <c r="M28" i="23"/>
  <c r="K53" i="23" s="1"/>
  <c r="I20" i="30" s="1"/>
  <c r="M28" i="24"/>
  <c r="K53" i="24" s="1"/>
  <c r="K20" i="30" s="1"/>
  <c r="K43" i="27"/>
  <c r="M28" i="19"/>
  <c r="K53" i="19" s="1"/>
  <c r="F20" i="30" s="1"/>
  <c r="K43" i="19"/>
  <c r="K45" i="19" s="1"/>
  <c r="K43" i="20"/>
  <c r="K45" i="20" s="1"/>
  <c r="I32" i="21"/>
  <c r="I32" i="22"/>
  <c r="I33" i="22" s="1"/>
  <c r="I32" i="23"/>
  <c r="I33" i="23" s="1"/>
  <c r="K43" i="23"/>
  <c r="K47" i="23" s="1"/>
  <c r="K43" i="24"/>
  <c r="K47" i="24" s="1"/>
  <c r="M28" i="26"/>
  <c r="K53" i="26" s="1"/>
  <c r="M20" i="30" s="1"/>
  <c r="G45" i="27"/>
  <c r="M28" i="29"/>
  <c r="M29" i="29" s="1"/>
  <c r="I32" i="19"/>
  <c r="G45" i="21"/>
  <c r="G45" i="23"/>
  <c r="G47" i="23" s="1"/>
  <c r="K43" i="29"/>
  <c r="K45" i="29" s="1"/>
  <c r="C30" i="20"/>
  <c r="I45" i="29"/>
  <c r="H53" i="29" s="1"/>
  <c r="I32" i="29"/>
  <c r="K43" i="28"/>
  <c r="I53" i="28"/>
  <c r="M38" i="27"/>
  <c r="M36" i="27"/>
  <c r="I32" i="27"/>
  <c r="I53" i="27" s="1"/>
  <c r="I45" i="27"/>
  <c r="H53" i="27" s="1"/>
  <c r="I37" i="26"/>
  <c r="I45" i="26" s="1"/>
  <c r="H53" i="26" s="1"/>
  <c r="M28" i="25"/>
  <c r="M29" i="25" s="1"/>
  <c r="K43" i="25"/>
  <c r="K47" i="25" s="1"/>
  <c r="I32" i="25"/>
  <c r="I53" i="25" s="1"/>
  <c r="G45" i="25"/>
  <c r="I37" i="25"/>
  <c r="I45" i="25" s="1"/>
  <c r="H53" i="25" s="1"/>
  <c r="I32" i="24"/>
  <c r="I33" i="24" s="1"/>
  <c r="M28" i="22"/>
  <c r="K53" i="22" s="1"/>
  <c r="J20" i="30" s="1"/>
  <c r="K43" i="22"/>
  <c r="K47" i="22" s="1"/>
  <c r="G45" i="22"/>
  <c r="G47" i="22" s="1"/>
  <c r="I37" i="23"/>
  <c r="I45" i="23" s="1"/>
  <c r="M28" i="20"/>
  <c r="M29" i="20" s="1"/>
  <c r="I32" i="20"/>
  <c r="I53" i="20" s="1"/>
  <c r="G45" i="20"/>
  <c r="M28" i="21"/>
  <c r="K43" i="21"/>
  <c r="K47" i="21" s="1"/>
  <c r="I45" i="21"/>
  <c r="H53" i="21" s="1"/>
  <c r="I45" i="19"/>
  <c r="H53" i="19" s="1"/>
  <c r="I45" i="24"/>
  <c r="M36" i="25"/>
  <c r="M43" i="29"/>
  <c r="M36" i="24"/>
  <c r="G45" i="24"/>
  <c r="K43" i="26"/>
  <c r="K47" i="26" s="1"/>
  <c r="I44" i="22"/>
  <c r="I45" i="22" s="1"/>
  <c r="H53" i="22" s="1"/>
  <c r="M36" i="23"/>
  <c r="M36" i="22"/>
  <c r="I44" i="20"/>
  <c r="I45" i="20" s="1"/>
  <c r="M36" i="20"/>
  <c r="G45" i="19"/>
  <c r="H7" i="22" l="1"/>
  <c r="I7" i="22" s="1"/>
  <c r="K45" i="28"/>
  <c r="M44" i="28"/>
  <c r="C59" i="28"/>
  <c r="H9" i="28"/>
  <c r="C61" i="21"/>
  <c r="K5" i="26"/>
  <c r="G47" i="26"/>
  <c r="L5" i="26"/>
  <c r="G47" i="20"/>
  <c r="K5" i="20"/>
  <c r="L5" i="20" s="1"/>
  <c r="C32" i="20"/>
  <c r="C34" i="20" s="1"/>
  <c r="M29" i="21"/>
  <c r="K53" i="21"/>
  <c r="G20" i="30" s="1"/>
  <c r="G47" i="21"/>
  <c r="K5" i="21"/>
  <c r="K9" i="21" s="1"/>
  <c r="I53" i="21"/>
  <c r="G11" i="30" s="1"/>
  <c r="I53" i="19"/>
  <c r="F11" i="30" s="1"/>
  <c r="K5" i="19"/>
  <c r="K9" i="19" s="1"/>
  <c r="C61" i="19"/>
  <c r="C63" i="19" s="1"/>
  <c r="I53" i="29"/>
  <c r="I33" i="29"/>
  <c r="I46" i="29"/>
  <c r="C34" i="29"/>
  <c r="J7" i="28"/>
  <c r="J14" i="28" s="1"/>
  <c r="K52" i="28" s="1"/>
  <c r="C61" i="28"/>
  <c r="C63" i="28" s="1"/>
  <c r="G47" i="27"/>
  <c r="K5" i="27"/>
  <c r="L5" i="27" s="1"/>
  <c r="C34" i="26"/>
  <c r="C34" i="25"/>
  <c r="C61" i="25" s="1"/>
  <c r="K5" i="25"/>
  <c r="L5" i="25" s="1"/>
  <c r="G47" i="25"/>
  <c r="C61" i="24"/>
  <c r="K45" i="27"/>
  <c r="M43" i="26"/>
  <c r="J53" i="26" s="1"/>
  <c r="M17" i="30" s="1"/>
  <c r="M43" i="25"/>
  <c r="J53" i="25" s="1"/>
  <c r="L17" i="30" s="1"/>
  <c r="F8" i="30"/>
  <c r="M43" i="22"/>
  <c r="M44" i="22" s="1"/>
  <c r="M43" i="24"/>
  <c r="M44" i="24" s="1"/>
  <c r="M43" i="20"/>
  <c r="M44" i="20" s="1"/>
  <c r="M43" i="21"/>
  <c r="M43" i="23"/>
  <c r="M43" i="19"/>
  <c r="M44" i="19" s="1"/>
  <c r="K53" i="28"/>
  <c r="M29" i="28"/>
  <c r="J7" i="27"/>
  <c r="J14" i="27" s="1"/>
  <c r="C59" i="27"/>
  <c r="C1" i="23"/>
  <c r="F1" i="23" s="1"/>
  <c r="C59" i="23"/>
  <c r="M29" i="22"/>
  <c r="K53" i="27"/>
  <c r="N20" i="30" s="1"/>
  <c r="I33" i="19"/>
  <c r="K53" i="29"/>
  <c r="I46" i="26"/>
  <c r="I33" i="27"/>
  <c r="K53" i="20"/>
  <c r="H20" i="30" s="1"/>
  <c r="I53" i="22"/>
  <c r="K53" i="25"/>
  <c r="L20" i="30" s="1"/>
  <c r="M29" i="19"/>
  <c r="K5" i="29"/>
  <c r="L5" i="29" s="1"/>
  <c r="M29" i="26"/>
  <c r="M29" i="23"/>
  <c r="I33" i="28"/>
  <c r="I33" i="21"/>
  <c r="I46" i="21"/>
  <c r="K5" i="28"/>
  <c r="L5" i="28" s="1"/>
  <c r="I33" i="20"/>
  <c r="K5" i="23"/>
  <c r="L5" i="23" s="1"/>
  <c r="I53" i="26"/>
  <c r="J61" i="26" s="1"/>
  <c r="C63" i="22"/>
  <c r="I33" i="25"/>
  <c r="I53" i="23"/>
  <c r="M29" i="24"/>
  <c r="M43" i="27"/>
  <c r="I46" i="27"/>
  <c r="I53" i="24"/>
  <c r="K5" i="22"/>
  <c r="K9" i="22" s="1"/>
  <c r="J53" i="28"/>
  <c r="H9" i="26"/>
  <c r="H9" i="25"/>
  <c r="M44" i="29"/>
  <c r="J53" i="29"/>
  <c r="I46" i="28"/>
  <c r="I46" i="25"/>
  <c r="I46" i="24"/>
  <c r="H53" i="24"/>
  <c r="G47" i="24"/>
  <c r="K5" i="24"/>
  <c r="H9" i="29"/>
  <c r="H12" i="29" s="1"/>
  <c r="I46" i="22"/>
  <c r="J7" i="23"/>
  <c r="H53" i="23"/>
  <c r="I46" i="23"/>
  <c r="I46" i="20"/>
  <c r="H53" i="20"/>
  <c r="H9" i="20"/>
  <c r="G47" i="19"/>
  <c r="J7" i="19"/>
  <c r="I7" i="19"/>
  <c r="I14" i="19" s="1"/>
  <c r="I52" i="19" s="1"/>
  <c r="H12" i="19"/>
  <c r="I46" i="19"/>
  <c r="K9" i="20" l="1"/>
  <c r="C61" i="29"/>
  <c r="H7" i="29"/>
  <c r="C61" i="26"/>
  <c r="C63" i="26" s="1"/>
  <c r="I7" i="28"/>
  <c r="I14" i="28" s="1"/>
  <c r="I52" i="28" s="1"/>
  <c r="I55" i="28" s="1"/>
  <c r="J61" i="25"/>
  <c r="L5" i="19"/>
  <c r="L9" i="19" s="1"/>
  <c r="L12" i="19" s="1"/>
  <c r="L5" i="24"/>
  <c r="L9" i="24" s="1"/>
  <c r="L12" i="24" s="1"/>
  <c r="K9" i="24"/>
  <c r="K12" i="24" s="1"/>
  <c r="H52" i="24" s="1"/>
  <c r="L5" i="22"/>
  <c r="L9" i="22" s="1"/>
  <c r="L12" i="22" s="1"/>
  <c r="L14" i="22" s="1"/>
  <c r="J19" i="30" s="1"/>
  <c r="K12" i="22"/>
  <c r="J53" i="23"/>
  <c r="I17" i="30" s="1"/>
  <c r="H7" i="20"/>
  <c r="J7" i="20" s="1"/>
  <c r="J14" i="20" s="1"/>
  <c r="K52" i="20" s="1"/>
  <c r="K55" i="20" s="1"/>
  <c r="C61" i="20"/>
  <c r="C63" i="20" s="1"/>
  <c r="L5" i="21"/>
  <c r="L9" i="21" s="1"/>
  <c r="L12" i="21" s="1"/>
  <c r="M44" i="21"/>
  <c r="J53" i="21"/>
  <c r="G17" i="30" s="1"/>
  <c r="J53" i="19"/>
  <c r="L53" i="19" s="1"/>
  <c r="C63" i="29"/>
  <c r="C61" i="27"/>
  <c r="C63" i="27" s="1"/>
  <c r="H7" i="26"/>
  <c r="J7" i="26" s="1"/>
  <c r="J14" i="26" s="1"/>
  <c r="H7" i="25"/>
  <c r="C63" i="25"/>
  <c r="L53" i="26"/>
  <c r="C63" i="24"/>
  <c r="M44" i="25"/>
  <c r="L53" i="25"/>
  <c r="J7" i="22"/>
  <c r="J14" i="22" s="1"/>
  <c r="I14" i="22"/>
  <c r="I52" i="22" s="1"/>
  <c r="I55" i="22" s="1"/>
  <c r="AH7" i="16" s="1"/>
  <c r="H12" i="22"/>
  <c r="H14" i="22" s="1"/>
  <c r="H15" i="22" s="1"/>
  <c r="L53" i="28"/>
  <c r="C61" i="23"/>
  <c r="C63" i="23" s="1"/>
  <c r="M44" i="26"/>
  <c r="J53" i="24"/>
  <c r="K17" i="30" s="1"/>
  <c r="J53" i="22"/>
  <c r="J17" i="30" s="1"/>
  <c r="M44" i="23"/>
  <c r="L53" i="29"/>
  <c r="K55" i="28"/>
  <c r="J53" i="20"/>
  <c r="H17" i="30" s="1"/>
  <c r="I7" i="27"/>
  <c r="N22" i="30"/>
  <c r="K52" i="27"/>
  <c r="K55" i="27" s="1"/>
  <c r="H22" i="30"/>
  <c r="G8" i="30"/>
  <c r="K8" i="30"/>
  <c r="J8" i="30"/>
  <c r="N8" i="30"/>
  <c r="I8" i="30"/>
  <c r="M8" i="30"/>
  <c r="H8" i="30"/>
  <c r="L8" i="30"/>
  <c r="I55" i="23"/>
  <c r="C1" i="22"/>
  <c r="C1" i="24" s="1"/>
  <c r="C1" i="25" s="1"/>
  <c r="C1" i="26" s="1"/>
  <c r="I55" i="19"/>
  <c r="F13" i="30"/>
  <c r="M44" i="27"/>
  <c r="J53" i="27"/>
  <c r="N17" i="30" s="1"/>
  <c r="J61" i="29"/>
  <c r="K12" i="19"/>
  <c r="H52" i="19" s="1"/>
  <c r="K9" i="26"/>
  <c r="K12" i="26" s="1"/>
  <c r="H12" i="26"/>
  <c r="L9" i="26"/>
  <c r="L12" i="26" s="1"/>
  <c r="H12" i="28"/>
  <c r="L9" i="28"/>
  <c r="L12" i="28" s="1"/>
  <c r="K9" i="28"/>
  <c r="K12" i="28" s="1"/>
  <c r="H52" i="28" s="1"/>
  <c r="H12" i="24"/>
  <c r="K9" i="27"/>
  <c r="K12" i="27" s="1"/>
  <c r="H52" i="27" s="1"/>
  <c r="H12" i="27"/>
  <c r="H14" i="27" s="1"/>
  <c r="L9" i="27"/>
  <c r="L12" i="27" s="1"/>
  <c r="K9" i="29"/>
  <c r="K12" i="29" s="1"/>
  <c r="H52" i="29" s="1"/>
  <c r="L9" i="29"/>
  <c r="L12" i="29" s="1"/>
  <c r="J61" i="28"/>
  <c r="K9" i="25"/>
  <c r="K12" i="25" s="1"/>
  <c r="H12" i="25"/>
  <c r="L9" i="25"/>
  <c r="L12" i="25" s="1"/>
  <c r="K9" i="23"/>
  <c r="K12" i="23" s="1"/>
  <c r="H12" i="23"/>
  <c r="H14" i="23" s="1"/>
  <c r="L9" i="23"/>
  <c r="L12" i="23" s="1"/>
  <c r="J52" i="23" s="1"/>
  <c r="J15" i="23"/>
  <c r="J14" i="23"/>
  <c r="H12" i="20"/>
  <c r="L9" i="20"/>
  <c r="L12" i="20" s="1"/>
  <c r="K12" i="20"/>
  <c r="H52" i="20" s="1"/>
  <c r="K12" i="21"/>
  <c r="H12" i="21"/>
  <c r="H14" i="21" s="1"/>
  <c r="J15" i="19"/>
  <c r="J14" i="19"/>
  <c r="H14" i="19"/>
  <c r="H15" i="19" s="1"/>
  <c r="J61" i="23" l="1"/>
  <c r="I7" i="20"/>
  <c r="I14" i="20" s="1"/>
  <c r="I52" i="20" s="1"/>
  <c r="I55" i="20" s="1"/>
  <c r="J61" i="21"/>
  <c r="J61" i="20"/>
  <c r="AD7" i="16"/>
  <c r="H14" i="25"/>
  <c r="H15" i="25" s="1"/>
  <c r="J15" i="28"/>
  <c r="I14" i="27"/>
  <c r="I52" i="27" s="1"/>
  <c r="I55" i="27" s="1"/>
  <c r="I7" i="26"/>
  <c r="J15" i="26" s="1"/>
  <c r="H14" i="26"/>
  <c r="H15" i="26" s="1"/>
  <c r="L53" i="23"/>
  <c r="J61" i="24"/>
  <c r="H52" i="22"/>
  <c r="H55" i="22" s="1"/>
  <c r="AH6" i="16" s="1"/>
  <c r="AH8" i="16" s="1"/>
  <c r="J61" i="22"/>
  <c r="C63" i="21"/>
  <c r="H15" i="21"/>
  <c r="I7" i="21"/>
  <c r="I14" i="21" s="1"/>
  <c r="I52" i="21" s="1"/>
  <c r="J7" i="21"/>
  <c r="J52" i="19"/>
  <c r="J55" i="19" s="1"/>
  <c r="L14" i="19"/>
  <c r="F19" i="30" s="1"/>
  <c r="F17" i="30"/>
  <c r="J61" i="19"/>
  <c r="I7" i="29"/>
  <c r="I14" i="29" s="1"/>
  <c r="I52" i="29" s="1"/>
  <c r="I55" i="29" s="1"/>
  <c r="J7" i="29"/>
  <c r="I7" i="25"/>
  <c r="I14" i="25" s="1"/>
  <c r="I52" i="25" s="1"/>
  <c r="I55" i="25" s="1"/>
  <c r="J7" i="25"/>
  <c r="J15" i="22"/>
  <c r="J7" i="24"/>
  <c r="I7" i="24"/>
  <c r="I14" i="24" s="1"/>
  <c r="I52" i="24" s="1"/>
  <c r="I55" i="24" s="1"/>
  <c r="L53" i="27"/>
  <c r="L53" i="24"/>
  <c r="L53" i="22"/>
  <c r="K14" i="22"/>
  <c r="L15" i="22" s="1"/>
  <c r="L53" i="20"/>
  <c r="L53" i="21"/>
  <c r="J15" i="27"/>
  <c r="K52" i="26"/>
  <c r="K55" i="26" s="1"/>
  <c r="M22" i="30"/>
  <c r="K52" i="23"/>
  <c r="I22" i="30"/>
  <c r="F1" i="22"/>
  <c r="J52" i="22"/>
  <c r="J55" i="22" s="1"/>
  <c r="J15" i="20"/>
  <c r="K52" i="19"/>
  <c r="K55" i="19" s="1"/>
  <c r="F22" i="30"/>
  <c r="K14" i="19"/>
  <c r="H14" i="29"/>
  <c r="H15" i="29" s="1"/>
  <c r="H52" i="26"/>
  <c r="K14" i="26"/>
  <c r="J52" i="29"/>
  <c r="J55" i="29" s="1"/>
  <c r="L14" i="29"/>
  <c r="K14" i="27"/>
  <c r="K14" i="28"/>
  <c r="J52" i="25"/>
  <c r="J55" i="25" s="1"/>
  <c r="L14" i="25"/>
  <c r="L19" i="30" s="1"/>
  <c r="K14" i="25"/>
  <c r="H52" i="25"/>
  <c r="H15" i="27"/>
  <c r="H14" i="24"/>
  <c r="H15" i="24" s="1"/>
  <c r="J52" i="26"/>
  <c r="J55" i="26" s="1"/>
  <c r="L14" i="26"/>
  <c r="M19" i="30" s="1"/>
  <c r="K14" i="24"/>
  <c r="J52" i="28"/>
  <c r="J55" i="28" s="1"/>
  <c r="L14" i="28"/>
  <c r="K14" i="29"/>
  <c r="J52" i="27"/>
  <c r="J55" i="27" s="1"/>
  <c r="L14" i="27"/>
  <c r="J52" i="24"/>
  <c r="J55" i="24" s="1"/>
  <c r="L14" i="24"/>
  <c r="K19" i="30" s="1"/>
  <c r="H14" i="28"/>
  <c r="H15" i="28" s="1"/>
  <c r="K14" i="23"/>
  <c r="H52" i="23"/>
  <c r="H15" i="23"/>
  <c r="J55" i="23"/>
  <c r="L14" i="23"/>
  <c r="I19" i="30" s="1"/>
  <c r="H14" i="20"/>
  <c r="H15" i="20" s="1"/>
  <c r="J52" i="21"/>
  <c r="J55" i="21" s="1"/>
  <c r="L14" i="21"/>
  <c r="G19" i="30" s="1"/>
  <c r="J52" i="20"/>
  <c r="J55" i="20" s="1"/>
  <c r="L14" i="20"/>
  <c r="H19" i="30" s="1"/>
  <c r="K14" i="20"/>
  <c r="K14" i="21"/>
  <c r="G10" i="30" s="1"/>
  <c r="H52" i="21"/>
  <c r="H55" i="21" s="1"/>
  <c r="H55" i="23" l="1"/>
  <c r="L52" i="23"/>
  <c r="AE6" i="16"/>
  <c r="AF7" i="16"/>
  <c r="I14" i="26"/>
  <c r="I52" i="26" s="1"/>
  <c r="I55" i="26" s="1"/>
  <c r="I56" i="23"/>
  <c r="J15" i="21"/>
  <c r="J14" i="21"/>
  <c r="G13" i="30"/>
  <c r="I55" i="21"/>
  <c r="J15" i="29"/>
  <c r="J14" i="29"/>
  <c r="K52" i="29" s="1"/>
  <c r="K55" i="29" s="1"/>
  <c r="H55" i="25"/>
  <c r="J15" i="25"/>
  <c r="J14" i="25"/>
  <c r="J14" i="24"/>
  <c r="J15" i="24"/>
  <c r="L54" i="23"/>
  <c r="L52" i="27"/>
  <c r="L54" i="27" s="1"/>
  <c r="I56" i="22"/>
  <c r="K55" i="23"/>
  <c r="H55" i="20"/>
  <c r="L52" i="20"/>
  <c r="L54" i="20" s="1"/>
  <c r="L52" i="19"/>
  <c r="L54" i="19" s="1"/>
  <c r="L52" i="28"/>
  <c r="L54" i="28" s="1"/>
  <c r="H55" i="26"/>
  <c r="H55" i="24"/>
  <c r="H55" i="19"/>
  <c r="H55" i="29"/>
  <c r="H55" i="28"/>
  <c r="H55" i="27"/>
  <c r="L15" i="27"/>
  <c r="N19" i="30"/>
  <c r="K56" i="27"/>
  <c r="K52" i="22"/>
  <c r="K55" i="22" s="1"/>
  <c r="J22" i="30"/>
  <c r="L15" i="19"/>
  <c r="F10" i="30"/>
  <c r="K56" i="19"/>
  <c r="L15" i="26"/>
  <c r="L15" i="29"/>
  <c r="L15" i="28"/>
  <c r="K56" i="28"/>
  <c r="K56" i="26"/>
  <c r="L15" i="25"/>
  <c r="L15" i="24"/>
  <c r="L15" i="23"/>
  <c r="L15" i="20"/>
  <c r="K56" i="20"/>
  <c r="L15" i="21"/>
  <c r="I31" i="5"/>
  <c r="I30" i="5"/>
  <c r="I29" i="5"/>
  <c r="I28" i="5"/>
  <c r="I27" i="5"/>
  <c r="I26" i="5"/>
  <c r="I25" i="5"/>
  <c r="I23" i="5"/>
  <c r="AF6" i="16" l="1"/>
  <c r="AN8" i="16" s="1"/>
  <c r="I56" i="20"/>
  <c r="G59" i="20" s="1"/>
  <c r="AE7" i="16"/>
  <c r="AD6" i="16"/>
  <c r="L52" i="26"/>
  <c r="L54" i="26" s="1"/>
  <c r="K56" i="23"/>
  <c r="G59" i="23" s="1"/>
  <c r="K52" i="21"/>
  <c r="G22" i="30"/>
  <c r="K56" i="29"/>
  <c r="L52" i="29"/>
  <c r="L54" i="29" s="1"/>
  <c r="I56" i="25"/>
  <c r="K52" i="25"/>
  <c r="L22" i="30"/>
  <c r="L55" i="22"/>
  <c r="K52" i="24"/>
  <c r="K22" i="30"/>
  <c r="L55" i="27"/>
  <c r="L55" i="26"/>
  <c r="L52" i="22"/>
  <c r="L54" i="22" s="1"/>
  <c r="L55" i="23"/>
  <c r="L55" i="20"/>
  <c r="L56" i="20" s="1"/>
  <c r="L55" i="19"/>
  <c r="L56" i="19" s="1"/>
  <c r="L55" i="28"/>
  <c r="I56" i="19"/>
  <c r="G59" i="19" s="1"/>
  <c r="L55" i="29"/>
  <c r="I56" i="27"/>
  <c r="K56" i="22"/>
  <c r="I56" i="29"/>
  <c r="I56" i="26"/>
  <c r="G59" i="26" s="1"/>
  <c r="I56" i="24"/>
  <c r="I56" i="28"/>
  <c r="I56" i="21"/>
  <c r="AO8" i="16" l="1"/>
  <c r="K55" i="21"/>
  <c r="L52" i="21"/>
  <c r="L54" i="21" s="1"/>
  <c r="G59" i="29"/>
  <c r="L56" i="22"/>
  <c r="K55" i="25"/>
  <c r="L52" i="25"/>
  <c r="L54" i="25" s="1"/>
  <c r="K55" i="24"/>
  <c r="L52" i="24"/>
  <c r="L54" i="24" s="1"/>
  <c r="L56" i="26"/>
  <c r="L56" i="23"/>
  <c r="L56" i="27"/>
  <c r="L56" i="29"/>
  <c r="L56" i="28"/>
  <c r="K56" i="21" l="1"/>
  <c r="G59" i="21" s="1"/>
  <c r="L55" i="21"/>
  <c r="L56" i="21" s="1"/>
  <c r="K56" i="25"/>
  <c r="G59" i="25" s="1"/>
  <c r="L55" i="25"/>
  <c r="L56" i="25" s="1"/>
  <c r="K56" i="24"/>
  <c r="G59" i="24" s="1"/>
  <c r="L55" i="24"/>
  <c r="L56" i="24" s="1"/>
  <c r="L26" i="18"/>
  <c r="L18" i="18"/>
  <c r="L14" i="18"/>
  <c r="L6" i="18"/>
  <c r="L3" i="18"/>
  <c r="K25" i="18"/>
  <c r="K17" i="18"/>
  <c r="K13" i="18"/>
  <c r="M28" i="18"/>
  <c r="M27" i="18"/>
  <c r="M26" i="18"/>
  <c r="M25" i="18"/>
  <c r="M20" i="18"/>
  <c r="M19" i="18"/>
  <c r="M18" i="18"/>
  <c r="M17" i="18"/>
  <c r="M16" i="18"/>
  <c r="M15" i="18"/>
  <c r="M14" i="18"/>
  <c r="M13" i="18"/>
  <c r="K2" i="18"/>
  <c r="I28" i="18"/>
  <c r="I27" i="18"/>
  <c r="I26" i="18"/>
  <c r="I25" i="18"/>
  <c r="I20" i="18"/>
  <c r="I19" i="18"/>
  <c r="I18" i="18"/>
  <c r="I17" i="18"/>
  <c r="I16" i="18"/>
  <c r="I15" i="18"/>
  <c r="I14" i="18"/>
  <c r="I13" i="18"/>
  <c r="H28" i="18"/>
  <c r="H27" i="18"/>
  <c r="H26" i="18"/>
  <c r="H25" i="18"/>
  <c r="H20" i="18"/>
  <c r="H19" i="18"/>
  <c r="H18" i="18"/>
  <c r="H17" i="18"/>
  <c r="H16" i="18"/>
  <c r="H15" i="18"/>
  <c r="H14" i="18"/>
  <c r="H13" i="18"/>
  <c r="M10" i="18"/>
  <c r="M9" i="18"/>
  <c r="M8" i="18"/>
  <c r="M7" i="18"/>
  <c r="M6" i="18"/>
  <c r="M5" i="18"/>
  <c r="M4" i="18"/>
  <c r="M3" i="18"/>
  <c r="M2" i="18"/>
  <c r="I10" i="18"/>
  <c r="I9" i="18"/>
  <c r="I8" i="18"/>
  <c r="I7" i="18"/>
  <c r="I6" i="18"/>
  <c r="I5" i="18"/>
  <c r="I4" i="18"/>
  <c r="I3" i="18"/>
  <c r="I2" i="18"/>
  <c r="H10" i="18"/>
  <c r="H9" i="18"/>
  <c r="H8" i="18"/>
  <c r="H7" i="18"/>
  <c r="H6" i="18"/>
  <c r="H5" i="18"/>
  <c r="H4" i="18"/>
  <c r="H3" i="18"/>
  <c r="H2" i="18"/>
  <c r="G2" i="18"/>
  <c r="G3" i="18"/>
  <c r="G4" i="18"/>
  <c r="G5" i="18"/>
  <c r="G6" i="18"/>
  <c r="G7" i="18"/>
  <c r="G8" i="18"/>
  <c r="G9" i="18"/>
  <c r="G10" i="18"/>
  <c r="G13" i="18"/>
  <c r="G14" i="18"/>
  <c r="G15" i="18"/>
  <c r="G16" i="18"/>
  <c r="G17" i="18"/>
  <c r="G18" i="18"/>
  <c r="G19" i="18"/>
  <c r="G20" i="18"/>
  <c r="G26" i="18"/>
  <c r="G27" i="18"/>
  <c r="G28" i="18"/>
  <c r="G25" i="18"/>
  <c r="F260" i="7" l="1"/>
  <c r="F282" i="10" l="1"/>
  <c r="C238" i="10"/>
  <c r="C127" i="3" l="1"/>
  <c r="C160" i="6"/>
  <c r="N15" i="13"/>
  <c r="N14" i="13"/>
  <c r="N16" i="13" l="1"/>
  <c r="Q141" i="3" l="1"/>
  <c r="R140" i="3"/>
  <c r="R133" i="3"/>
  <c r="R132" i="3"/>
  <c r="S178" i="6"/>
  <c r="T177" i="6"/>
  <c r="S176" i="6"/>
  <c r="T173" i="6"/>
  <c r="T168" i="6"/>
  <c r="T167" i="6"/>
  <c r="T170" i="6" l="1"/>
  <c r="E293" i="7" l="1"/>
  <c r="E292" i="7"/>
  <c r="E290" i="7"/>
  <c r="E289" i="7"/>
  <c r="E288" i="7"/>
  <c r="E55" i="14"/>
  <c r="E53" i="14"/>
  <c r="E52" i="14"/>
  <c r="M42" i="5"/>
  <c r="M41" i="5"/>
  <c r="M27" i="5"/>
  <c r="M26" i="5"/>
  <c r="M25" i="5"/>
  <c r="M24" i="5"/>
  <c r="M23" i="5"/>
  <c r="L10" i="18" l="1"/>
  <c r="L9" i="18"/>
  <c r="K10" i="18"/>
  <c r="C291" i="7"/>
  <c r="E291" i="7" s="1"/>
  <c r="C287" i="7"/>
  <c r="E287" i="7" s="1"/>
  <c r="C286" i="7"/>
  <c r="A46" i="14"/>
  <c r="C54" i="14"/>
  <c r="E54" i="14" s="1"/>
  <c r="C157" i="6"/>
  <c r="C156" i="6"/>
  <c r="C192" i="9"/>
  <c r="C191" i="9"/>
  <c r="C190" i="9"/>
  <c r="C189" i="9"/>
  <c r="I188" i="9"/>
  <c r="J189" i="9" s="1"/>
  <c r="C188" i="9"/>
  <c r="C187" i="9"/>
  <c r="C186" i="9"/>
  <c r="C185" i="9"/>
  <c r="A290" i="10"/>
  <c r="G293" i="10" s="1"/>
  <c r="E303" i="10"/>
  <c r="E305" i="10" s="1"/>
  <c r="C299" i="10"/>
  <c r="C297" i="10"/>
  <c r="C295" i="10"/>
  <c r="C294" i="10"/>
  <c r="C293" i="10"/>
  <c r="C292" i="10"/>
  <c r="C124" i="3"/>
  <c r="C123" i="3"/>
  <c r="Q130" i="3" s="1"/>
  <c r="C122" i="3"/>
  <c r="C121" i="3"/>
  <c r="K9" i="18" l="1"/>
  <c r="AO74" i="16"/>
  <c r="C295" i="7"/>
  <c r="C297" i="7" s="1"/>
  <c r="E286" i="7"/>
  <c r="E295" i="7" s="1"/>
  <c r="C303" i="10"/>
  <c r="C305" i="10" s="1"/>
  <c r="C193" i="9"/>
  <c r="C195" i="9" s="1"/>
  <c r="G49" i="14"/>
  <c r="D61" i="14"/>
  <c r="J190" i="9"/>
  <c r="D308" i="10"/>
  <c r="I297" i="10"/>
  <c r="J297" i="10"/>
  <c r="E39" i="14" l="1"/>
  <c r="A266" i="7"/>
  <c r="A284" i="7" s="1"/>
  <c r="A112" i="3"/>
  <c r="A120" i="3" s="1"/>
  <c r="A167" i="9"/>
  <c r="A183" i="9" s="1"/>
  <c r="G186" i="9" s="1"/>
  <c r="A126" i="3" l="1"/>
  <c r="D299" i="7"/>
  <c r="G287" i="7"/>
  <c r="D281" i="7"/>
  <c r="E277" i="7"/>
  <c r="G269" i="7"/>
  <c r="C277" i="7"/>
  <c r="C279" i="7" s="1"/>
  <c r="G170" i="9"/>
  <c r="I172" i="9"/>
  <c r="D287" i="10"/>
  <c r="G272" i="10"/>
  <c r="A118" i="3"/>
  <c r="C116" i="3"/>
  <c r="C115" i="3"/>
  <c r="C114" i="3"/>
  <c r="C113" i="3"/>
  <c r="J173" i="9" l="1"/>
  <c r="J174" i="9" s="1"/>
  <c r="C177" i="9"/>
  <c r="C179" i="9" s="1"/>
  <c r="E282" i="10"/>
  <c r="E284" i="10" s="1"/>
  <c r="C282" i="10"/>
  <c r="C284" i="10" s="1"/>
  <c r="E40" i="14"/>
  <c r="D43" i="14"/>
  <c r="C39" i="14"/>
  <c r="C41" i="14" s="1"/>
  <c r="G31" i="14"/>
  <c r="C147" i="6"/>
  <c r="I276" i="10" l="1"/>
  <c r="J276" i="10"/>
  <c r="C148" i="6" l="1"/>
  <c r="C138" i="6"/>
  <c r="A107" i="3"/>
  <c r="C105" i="3"/>
  <c r="C104" i="3"/>
  <c r="C103" i="3"/>
  <c r="C102" i="3"/>
  <c r="D264" i="10"/>
  <c r="G249" i="10"/>
  <c r="G154" i="9"/>
  <c r="A141" i="6"/>
  <c r="A146" i="6" s="1"/>
  <c r="A150" i="6" s="1"/>
  <c r="A155" i="6" s="1"/>
  <c r="A159" i="6" s="1"/>
  <c r="C139" i="6"/>
  <c r="D263" i="7"/>
  <c r="G251" i="7"/>
  <c r="E21" i="14"/>
  <c r="P118" i="14"/>
  <c r="D25" i="14"/>
  <c r="C21" i="14"/>
  <c r="C23" i="14" s="1"/>
  <c r="G13" i="14"/>
  <c r="E259" i="10" l="1"/>
  <c r="E261" i="10" s="1"/>
  <c r="J253" i="10" s="1"/>
  <c r="E161" i="9"/>
  <c r="I156" i="9" s="1"/>
  <c r="C259" i="7"/>
  <c r="C261" i="7" s="1"/>
  <c r="C259" i="10"/>
  <c r="C261" i="10" s="1"/>
  <c r="C161" i="9"/>
  <c r="C163" i="9" s="1"/>
  <c r="E259" i="7"/>
  <c r="J157" i="9" l="1"/>
  <c r="J158" i="9" s="1"/>
  <c r="M13" i="13"/>
  <c r="D243" i="7"/>
  <c r="G231" i="7"/>
  <c r="A101" i="12"/>
  <c r="C99" i="12"/>
  <c r="C98" i="12"/>
  <c r="C97" i="12"/>
  <c r="T99" i="12" s="1"/>
  <c r="A128" i="6"/>
  <c r="C126" i="6"/>
  <c r="D68" i="9"/>
  <c r="D84" i="9" s="1"/>
  <c r="D100" i="9" s="1"/>
  <c r="D116" i="9" s="1"/>
  <c r="D132" i="9" s="1"/>
  <c r="D148" i="9" s="1"/>
  <c r="D164" i="9" s="1"/>
  <c r="D180" i="9" s="1"/>
  <c r="D196" i="9" s="1"/>
  <c r="G138" i="9"/>
  <c r="D243" i="10"/>
  <c r="G228" i="10"/>
  <c r="A99" i="3"/>
  <c r="C97" i="3"/>
  <c r="C96" i="3"/>
  <c r="C95" i="3"/>
  <c r="C94" i="3"/>
  <c r="S99" i="12" l="1"/>
  <c r="C239" i="7"/>
  <c r="C241" i="7" s="1"/>
  <c r="C145" i="9"/>
  <c r="C147" i="9" s="1"/>
  <c r="C240" i="10"/>
  <c r="E238" i="10"/>
  <c r="E240" i="10" s="1"/>
  <c r="E239" i="7"/>
  <c r="E145" i="9"/>
  <c r="I140" i="9" s="1"/>
  <c r="D225" i="7"/>
  <c r="G213" i="7"/>
  <c r="A93" i="12"/>
  <c r="C91" i="12"/>
  <c r="C90" i="12"/>
  <c r="C89" i="12"/>
  <c r="T91" i="12" s="1"/>
  <c r="A119" i="6"/>
  <c r="C117" i="6"/>
  <c r="G122" i="9"/>
  <c r="D222" i="10"/>
  <c r="G207" i="10"/>
  <c r="A91" i="3"/>
  <c r="C89" i="3"/>
  <c r="C88" i="3"/>
  <c r="C87" i="3"/>
  <c r="C86" i="3"/>
  <c r="S91" i="12" l="1"/>
  <c r="J235" i="7"/>
  <c r="J141" i="9"/>
  <c r="J142" i="9" s="1"/>
  <c r="J232" i="10"/>
  <c r="E129" i="9"/>
  <c r="I124" i="9" s="1"/>
  <c r="J125" i="9" s="1"/>
  <c r="J126" i="9" s="1"/>
  <c r="C221" i="7"/>
  <c r="C223" i="7" s="1"/>
  <c r="E221" i="7"/>
  <c r="C129" i="9"/>
  <c r="C131" i="9" s="1"/>
  <c r="E217" i="10"/>
  <c r="E219" i="10" s="1"/>
  <c r="C217" i="10"/>
  <c r="C219" i="10" s="1"/>
  <c r="D207" i="7"/>
  <c r="G195" i="7"/>
  <c r="A85" i="12"/>
  <c r="C83" i="12"/>
  <c r="C82" i="12"/>
  <c r="C81" i="12"/>
  <c r="A110" i="6"/>
  <c r="C108" i="6"/>
  <c r="G106" i="9"/>
  <c r="D201" i="10"/>
  <c r="G186" i="10"/>
  <c r="K13" i="13"/>
  <c r="A83" i="3"/>
  <c r="C81" i="3"/>
  <c r="C80" i="3"/>
  <c r="C79" i="3"/>
  <c r="C78" i="3"/>
  <c r="G159" i="7"/>
  <c r="D189" i="7"/>
  <c r="G177" i="7"/>
  <c r="A77" i="12"/>
  <c r="C75" i="12"/>
  <c r="C74" i="12"/>
  <c r="C73" i="12"/>
  <c r="T75" i="12" s="1"/>
  <c r="A101" i="6"/>
  <c r="C99" i="6"/>
  <c r="G90" i="9"/>
  <c r="G165" i="10"/>
  <c r="A75" i="3"/>
  <c r="C73" i="3"/>
  <c r="C72" i="3"/>
  <c r="C71" i="3"/>
  <c r="C70" i="3"/>
  <c r="J217" i="7" l="1"/>
  <c r="J211" i="10"/>
  <c r="E203" i="7"/>
  <c r="E196" i="10"/>
  <c r="E198" i="10" s="1"/>
  <c r="C203" i="7"/>
  <c r="C205" i="7" s="1"/>
  <c r="T83" i="12"/>
  <c r="S83" i="12"/>
  <c r="E113" i="9"/>
  <c r="I108" i="9" s="1"/>
  <c r="C113" i="9"/>
  <c r="C115" i="9" s="1"/>
  <c r="C196" i="10"/>
  <c r="C198" i="10" s="1"/>
  <c r="S75" i="12"/>
  <c r="E185" i="7"/>
  <c r="J181" i="7" s="1"/>
  <c r="E97" i="9"/>
  <c r="C185" i="7"/>
  <c r="C187" i="7" s="1"/>
  <c r="C97" i="9"/>
  <c r="C99" i="9" s="1"/>
  <c r="E175" i="10"/>
  <c r="E177" i="10" s="1"/>
  <c r="C175" i="10"/>
  <c r="C177" i="10" s="1"/>
  <c r="C20" i="5"/>
  <c r="C17" i="5"/>
  <c r="C14" i="5"/>
  <c r="C11" i="5"/>
  <c r="C7" i="5"/>
  <c r="D171" i="7"/>
  <c r="A69" i="12"/>
  <c r="C67" i="12"/>
  <c r="C66" i="12"/>
  <c r="C65" i="12"/>
  <c r="S67" i="12" s="1"/>
  <c r="A92" i="6"/>
  <c r="C90" i="6"/>
  <c r="G74" i="9"/>
  <c r="D159" i="10"/>
  <c r="G144" i="10"/>
  <c r="A67" i="3"/>
  <c r="C65" i="3"/>
  <c r="C64" i="3"/>
  <c r="C63" i="3"/>
  <c r="C62" i="3"/>
  <c r="J199" i="7" l="1"/>
  <c r="J190" i="10"/>
  <c r="J109" i="9"/>
  <c r="J110" i="9" s="1"/>
  <c r="I92" i="9"/>
  <c r="J93" i="9" s="1"/>
  <c r="J94" i="9" s="1"/>
  <c r="J169" i="10"/>
  <c r="T67" i="12"/>
  <c r="E167" i="7"/>
  <c r="J163" i="7" s="1"/>
  <c r="C167" i="7"/>
  <c r="C169" i="7" s="1"/>
  <c r="E81" i="9"/>
  <c r="I76" i="9" s="1"/>
  <c r="E154" i="10"/>
  <c r="E156" i="10" s="1"/>
  <c r="J148" i="10" s="1"/>
  <c r="C81" i="9"/>
  <c r="C83" i="9" s="1"/>
  <c r="C154" i="10"/>
  <c r="C156" i="10" s="1"/>
  <c r="D153" i="7"/>
  <c r="G141" i="7"/>
  <c r="A61" i="12"/>
  <c r="C59" i="12"/>
  <c r="C58" i="12"/>
  <c r="C57" i="12"/>
  <c r="T59" i="12" s="1"/>
  <c r="A83" i="6"/>
  <c r="C81" i="6"/>
  <c r="G58" i="9"/>
  <c r="D138" i="10"/>
  <c r="G123" i="10"/>
  <c r="A59" i="3"/>
  <c r="C57" i="3"/>
  <c r="C56" i="3"/>
  <c r="C55" i="3"/>
  <c r="C54" i="3"/>
  <c r="J77" i="9" l="1"/>
  <c r="J78" i="9" s="1"/>
  <c r="S59" i="12"/>
  <c r="C149" i="7"/>
  <c r="C151" i="7" s="1"/>
  <c r="E149" i="7"/>
  <c r="C65" i="9"/>
  <c r="C67" i="9" s="1"/>
  <c r="E133" i="10"/>
  <c r="E135" i="10" s="1"/>
  <c r="J127" i="10" s="1"/>
  <c r="E65" i="9"/>
  <c r="C133" i="10"/>
  <c r="C135" i="10" s="1"/>
  <c r="E131" i="7"/>
  <c r="J145" i="7" l="1"/>
  <c r="I60" i="9"/>
  <c r="J61" i="9" l="1"/>
  <c r="J62" i="9" s="1"/>
  <c r="D135" i="7"/>
  <c r="G123" i="7"/>
  <c r="A53" i="12"/>
  <c r="C51" i="12"/>
  <c r="C50" i="12"/>
  <c r="C49" i="12"/>
  <c r="S51" i="12" s="1"/>
  <c r="A74" i="6"/>
  <c r="C72" i="6"/>
  <c r="D52" i="9"/>
  <c r="G42" i="9"/>
  <c r="D117" i="10"/>
  <c r="G102" i="10"/>
  <c r="A51" i="3"/>
  <c r="C49" i="3"/>
  <c r="C48" i="3"/>
  <c r="C47" i="3"/>
  <c r="C46" i="3"/>
  <c r="C131" i="7" l="1"/>
  <c r="C133" i="7" s="1"/>
  <c r="C112" i="10"/>
  <c r="C114" i="10" s="1"/>
  <c r="E112" i="10"/>
  <c r="E114" i="10" s="1"/>
  <c r="T51" i="12"/>
  <c r="E49" i="9"/>
  <c r="I44" i="9" s="1"/>
  <c r="J45" i="9" s="1"/>
  <c r="J46" i="9" s="1"/>
  <c r="J127" i="7"/>
  <c r="C49" i="9"/>
  <c r="C51" i="9" s="1"/>
  <c r="F13" i="13"/>
  <c r="F7" i="13"/>
  <c r="R14" i="3"/>
  <c r="J106" i="10" l="1"/>
  <c r="D117" i="7" l="1"/>
  <c r="E112" i="7"/>
  <c r="E111" i="7"/>
  <c r="E110" i="7"/>
  <c r="E109" i="7"/>
  <c r="E108" i="7"/>
  <c r="E107" i="7"/>
  <c r="E106" i="7"/>
  <c r="G105" i="7"/>
  <c r="E105" i="7"/>
  <c r="A45" i="12"/>
  <c r="C43" i="12"/>
  <c r="C42" i="12"/>
  <c r="C41" i="12"/>
  <c r="A65" i="6"/>
  <c r="C63" i="6"/>
  <c r="D36" i="9"/>
  <c r="G26" i="9"/>
  <c r="D96" i="10"/>
  <c r="G81" i="10"/>
  <c r="C91" i="10"/>
  <c r="C93" i="10" s="1"/>
  <c r="A43" i="3"/>
  <c r="C41" i="3"/>
  <c r="C40" i="3"/>
  <c r="C39" i="3"/>
  <c r="C38" i="3"/>
  <c r="C44" i="12" l="1"/>
  <c r="T41" i="12" s="1"/>
  <c r="C113" i="7"/>
  <c r="C115" i="7" s="1"/>
  <c r="E104" i="7"/>
  <c r="E113" i="7" s="1"/>
  <c r="E33" i="9"/>
  <c r="T43" i="12"/>
  <c r="S43" i="12"/>
  <c r="C33" i="9"/>
  <c r="C35" i="9" s="1"/>
  <c r="E91" i="10"/>
  <c r="E93" i="10" s="1"/>
  <c r="E63" i="10"/>
  <c r="E65" i="10"/>
  <c r="E67" i="10"/>
  <c r="E68" i="10"/>
  <c r="A37" i="12"/>
  <c r="C35" i="12"/>
  <c r="C34" i="12"/>
  <c r="C33" i="12"/>
  <c r="S41" i="12" l="1"/>
  <c r="T44" i="12"/>
  <c r="S45" i="12"/>
  <c r="I28" i="9"/>
  <c r="J29" i="9" s="1"/>
  <c r="J109" i="7"/>
  <c r="J85" i="10"/>
  <c r="T35" i="12"/>
  <c r="S35" i="12"/>
  <c r="D20" i="9"/>
  <c r="E16" i="9"/>
  <c r="E15" i="9"/>
  <c r="E14" i="9"/>
  <c r="E13" i="9"/>
  <c r="E12" i="9"/>
  <c r="E11" i="9"/>
  <c r="G10" i="9"/>
  <c r="E10" i="9"/>
  <c r="E9" i="9"/>
  <c r="D99" i="7"/>
  <c r="E94" i="7"/>
  <c r="E93" i="7"/>
  <c r="E92" i="7"/>
  <c r="E91" i="7"/>
  <c r="E90" i="7"/>
  <c r="E89" i="7"/>
  <c r="E88" i="7"/>
  <c r="G87" i="7"/>
  <c r="E87" i="7"/>
  <c r="E86" i="7"/>
  <c r="A56" i="6"/>
  <c r="C54" i="6"/>
  <c r="D75" i="10"/>
  <c r="E66" i="10"/>
  <c r="E64" i="10"/>
  <c r="E62" i="10"/>
  <c r="E61" i="10"/>
  <c r="G60" i="10"/>
  <c r="E60" i="10"/>
  <c r="E59" i="10"/>
  <c r="C11" i="3"/>
  <c r="A35" i="3"/>
  <c r="C33" i="3"/>
  <c r="C32" i="3"/>
  <c r="C31" i="3"/>
  <c r="C30" i="3"/>
  <c r="J30" i="9" l="1"/>
  <c r="E70" i="10"/>
  <c r="E17" i="9"/>
  <c r="E20" i="9" s="1"/>
  <c r="E36" i="9" s="1"/>
  <c r="E52" i="9" s="1"/>
  <c r="E68" i="9" s="1"/>
  <c r="E84" i="9" s="1"/>
  <c r="E100" i="9" s="1"/>
  <c r="E116" i="9" s="1"/>
  <c r="E132" i="9" s="1"/>
  <c r="E148" i="9" s="1"/>
  <c r="E164" i="9" s="1"/>
  <c r="E180" i="9" s="1"/>
  <c r="E196" i="9" s="1"/>
  <c r="E95" i="7"/>
  <c r="J91" i="7" s="1"/>
  <c r="C17" i="9"/>
  <c r="C19" i="9" s="1"/>
  <c r="C95" i="7"/>
  <c r="C97" i="7" s="1"/>
  <c r="C70" i="10"/>
  <c r="C72" i="10" s="1"/>
  <c r="E70" i="7"/>
  <c r="E71" i="7"/>
  <c r="E72" i="7"/>
  <c r="E73" i="7"/>
  <c r="E74" i="7"/>
  <c r="E75" i="7"/>
  <c r="E76" i="7"/>
  <c r="H196" i="9"/>
  <c r="I12" i="9" l="1"/>
  <c r="E26" i="10"/>
  <c r="E28" i="10" s="1"/>
  <c r="A30" i="12"/>
  <c r="C28" i="12"/>
  <c r="C27" i="12"/>
  <c r="C26" i="12"/>
  <c r="D54" i="10"/>
  <c r="E47" i="10"/>
  <c r="E46" i="10"/>
  <c r="E45" i="10"/>
  <c r="E44" i="10"/>
  <c r="E43" i="10"/>
  <c r="E42" i="10"/>
  <c r="E40" i="10"/>
  <c r="G39" i="10"/>
  <c r="A27" i="3"/>
  <c r="C25" i="3"/>
  <c r="C24" i="3"/>
  <c r="C23" i="3"/>
  <c r="C22" i="3"/>
  <c r="D81" i="7"/>
  <c r="G69" i="7"/>
  <c r="E69" i="7"/>
  <c r="G51" i="7"/>
  <c r="D63" i="7"/>
  <c r="E60" i="7"/>
  <c r="E57" i="7"/>
  <c r="E56" i="7"/>
  <c r="E55" i="7"/>
  <c r="E54" i="7"/>
  <c r="E53" i="7"/>
  <c r="E52" i="7"/>
  <c r="J13" i="9" l="1"/>
  <c r="J14" i="9" s="1"/>
  <c r="E59" i="7"/>
  <c r="J55" i="7" s="1"/>
  <c r="E49" i="10"/>
  <c r="C77" i="7"/>
  <c r="C79" i="7" s="1"/>
  <c r="E68" i="7"/>
  <c r="E77" i="7" s="1"/>
  <c r="J73" i="7" s="1"/>
  <c r="C59" i="7"/>
  <c r="C61" i="7" s="1"/>
  <c r="C49" i="10"/>
  <c r="C51" i="10" s="1"/>
  <c r="T28" i="12"/>
  <c r="S28" i="12"/>
  <c r="A47" i="6"/>
  <c r="C45" i="6"/>
  <c r="N38" i="6"/>
  <c r="N47" i="6" s="1"/>
  <c r="N56" i="6" s="1"/>
  <c r="N65" i="6" s="1"/>
  <c r="N74" i="6" s="1"/>
  <c r="N83" i="6" s="1"/>
  <c r="N92" i="6" s="1"/>
  <c r="N101" i="6" s="1"/>
  <c r="N110" i="6" s="1"/>
  <c r="N119" i="6" s="1"/>
  <c r="N128" i="6" s="1"/>
  <c r="M38" i="6"/>
  <c r="M47" i="6" s="1"/>
  <c r="M56" i="6" s="1"/>
  <c r="M65" i="6" s="1"/>
  <c r="M74" i="6" s="1"/>
  <c r="M83" i="6" s="1"/>
  <c r="M92" i="6" s="1"/>
  <c r="M101" i="6" s="1"/>
  <c r="M110" i="6" s="1"/>
  <c r="M119" i="6" s="1"/>
  <c r="M128" i="6" s="1"/>
  <c r="A38" i="6"/>
  <c r="C36" i="6"/>
  <c r="C13" i="13"/>
  <c r="L13" i="13"/>
  <c r="J13" i="13"/>
  <c r="I13" i="13"/>
  <c r="H13" i="13"/>
  <c r="G13" i="13"/>
  <c r="E13" i="13"/>
  <c r="D13" i="13"/>
  <c r="B13" i="13"/>
  <c r="N7" i="13"/>
  <c r="M7" i="13"/>
  <c r="L7" i="13"/>
  <c r="K7" i="13"/>
  <c r="J7" i="13"/>
  <c r="I7" i="13"/>
  <c r="H7" i="13"/>
  <c r="G7" i="13"/>
  <c r="E7" i="13"/>
  <c r="D7" i="13"/>
  <c r="C7" i="13"/>
  <c r="B7" i="13"/>
  <c r="M132" i="6" l="1"/>
  <c r="M141" i="6" s="1"/>
  <c r="M150" i="6" s="1"/>
  <c r="M159" i="6" s="1"/>
  <c r="M161" i="6" s="1"/>
  <c r="N132" i="6"/>
  <c r="N141" i="6" s="1"/>
  <c r="N150" i="6" s="1"/>
  <c r="N159" i="6" s="1"/>
  <c r="N161" i="6" s="1"/>
  <c r="G61" i="7"/>
  <c r="E62" i="7"/>
  <c r="J54" i="7" s="1"/>
  <c r="I57" i="7" s="1"/>
  <c r="J58" i="7" l="1"/>
  <c r="A23" i="12" l="1"/>
  <c r="C21" i="12"/>
  <c r="C20" i="12"/>
  <c r="C19" i="12"/>
  <c r="A29" i="6"/>
  <c r="C27" i="6"/>
  <c r="D31" i="10"/>
  <c r="G16" i="10"/>
  <c r="A19" i="3"/>
  <c r="C17" i="3"/>
  <c r="C16" i="3"/>
  <c r="C15" i="3"/>
  <c r="C14" i="3"/>
  <c r="T14" i="12"/>
  <c r="S14" i="12"/>
  <c r="N16" i="12"/>
  <c r="N23" i="12" s="1"/>
  <c r="N30" i="12" s="1"/>
  <c r="N37" i="12" s="1"/>
  <c r="N45" i="12" s="1"/>
  <c r="N53" i="12" s="1"/>
  <c r="N61" i="12" s="1"/>
  <c r="N69" i="12" s="1"/>
  <c r="N77" i="12" s="1"/>
  <c r="N85" i="12" s="1"/>
  <c r="N93" i="12" s="1"/>
  <c r="N101" i="12" s="1"/>
  <c r="M16" i="12"/>
  <c r="M23" i="12" s="1"/>
  <c r="M30" i="12" s="1"/>
  <c r="M37" i="12" s="1"/>
  <c r="M45" i="12" s="1"/>
  <c r="M53" i="12" s="1"/>
  <c r="M61" i="12" s="1"/>
  <c r="M69" i="12" s="1"/>
  <c r="M77" i="12" s="1"/>
  <c r="M85" i="12" s="1"/>
  <c r="M93" i="12" s="1"/>
  <c r="M101" i="12" s="1"/>
  <c r="L16" i="12"/>
  <c r="L23" i="12" s="1"/>
  <c r="L30" i="12" s="1"/>
  <c r="L37" i="12" s="1"/>
  <c r="L45" i="12" s="1"/>
  <c r="L53" i="12" s="1"/>
  <c r="L61" i="12" s="1"/>
  <c r="L69" i="12" s="1"/>
  <c r="L77" i="12" s="1"/>
  <c r="L85" i="12" s="1"/>
  <c r="L93" i="12" s="1"/>
  <c r="L101" i="12" s="1"/>
  <c r="K16" i="12"/>
  <c r="K23" i="12" s="1"/>
  <c r="K30" i="12" s="1"/>
  <c r="K37" i="12" s="1"/>
  <c r="K45" i="12" s="1"/>
  <c r="K53" i="12" s="1"/>
  <c r="K61" i="12" s="1"/>
  <c r="K69" i="12" s="1"/>
  <c r="K77" i="12" s="1"/>
  <c r="K85" i="12" s="1"/>
  <c r="K93" i="12" s="1"/>
  <c r="K101" i="12" s="1"/>
  <c r="J16" i="12"/>
  <c r="J23" i="12" s="1"/>
  <c r="J30" i="12" s="1"/>
  <c r="J37" i="12" s="1"/>
  <c r="J45" i="12" s="1"/>
  <c r="J53" i="12" s="1"/>
  <c r="J61" i="12" s="1"/>
  <c r="J69" i="12" s="1"/>
  <c r="J77" i="12" s="1"/>
  <c r="J85" i="12" s="1"/>
  <c r="J93" i="12" s="1"/>
  <c r="J101" i="12" s="1"/>
  <c r="I16" i="12"/>
  <c r="I23" i="12" s="1"/>
  <c r="I30" i="12" s="1"/>
  <c r="I37" i="12" s="1"/>
  <c r="I45" i="12" s="1"/>
  <c r="I53" i="12" s="1"/>
  <c r="I61" i="12" s="1"/>
  <c r="I69" i="12" s="1"/>
  <c r="I77" i="12" s="1"/>
  <c r="I85" i="12" s="1"/>
  <c r="I93" i="12" s="1"/>
  <c r="I101" i="12" s="1"/>
  <c r="G16" i="12"/>
  <c r="G23" i="12" s="1"/>
  <c r="G30" i="12" s="1"/>
  <c r="G37" i="12" s="1"/>
  <c r="G45" i="12" s="1"/>
  <c r="G53" i="12" s="1"/>
  <c r="G61" i="12" s="1"/>
  <c r="G69" i="12" s="1"/>
  <c r="G77" i="12" s="1"/>
  <c r="G85" i="12" s="1"/>
  <c r="G93" i="12" s="1"/>
  <c r="G101" i="12" s="1"/>
  <c r="F16" i="12"/>
  <c r="F23" i="12" s="1"/>
  <c r="F30" i="12" s="1"/>
  <c r="F37" i="12" s="1"/>
  <c r="F45" i="12" s="1"/>
  <c r="F53" i="12" s="1"/>
  <c r="F61" i="12" s="1"/>
  <c r="F69" i="12" s="1"/>
  <c r="F77" i="12" s="1"/>
  <c r="F85" i="12" s="1"/>
  <c r="F93" i="12" s="1"/>
  <c r="F101" i="12" s="1"/>
  <c r="C17" i="6"/>
  <c r="T17" i="6"/>
  <c r="C26" i="10" l="1"/>
  <c r="C28" i="10" s="1"/>
  <c r="T21" i="12"/>
  <c r="S21" i="12"/>
  <c r="S16" i="12"/>
  <c r="T15" i="12"/>
  <c r="C16" i="12"/>
  <c r="T12" i="12"/>
  <c r="S12" i="12"/>
  <c r="H11" i="6"/>
  <c r="E11" i="6" s="1"/>
  <c r="H10" i="6"/>
  <c r="H22" i="12" l="1"/>
  <c r="C22" i="12" s="1"/>
  <c r="E10" i="6"/>
  <c r="E9" i="12" s="1"/>
  <c r="E16" i="12" s="1"/>
  <c r="H9" i="12"/>
  <c r="H16" i="12" s="1"/>
  <c r="D11" i="6"/>
  <c r="D10" i="6"/>
  <c r="D9" i="12" s="1"/>
  <c r="D16" i="12" s="1"/>
  <c r="E23" i="12" l="1"/>
  <c r="D23" i="12"/>
  <c r="S19" i="12"/>
  <c r="T19" i="12"/>
  <c r="T22" i="12"/>
  <c r="C23" i="12"/>
  <c r="S23" i="12"/>
  <c r="H23" i="12"/>
  <c r="D30" i="12" l="1"/>
  <c r="E30" i="12"/>
  <c r="H29" i="12"/>
  <c r="C29" i="12" s="1"/>
  <c r="A16" i="12"/>
  <c r="T18" i="6"/>
  <c r="E8" i="7"/>
  <c r="D37" i="12" l="1"/>
  <c r="E37" i="12"/>
  <c r="H30" i="12"/>
  <c r="S26" i="12"/>
  <c r="T26" i="12"/>
  <c r="S30" i="12"/>
  <c r="T29" i="12"/>
  <c r="C30" i="12"/>
  <c r="C1153" i="12"/>
  <c r="D27" i="7"/>
  <c r="G15" i="7"/>
  <c r="A20" i="6"/>
  <c r="C18" i="6"/>
  <c r="E45" i="12" l="1"/>
  <c r="E53" i="12" s="1"/>
  <c r="D45" i="12"/>
  <c r="D53" i="12" s="1"/>
  <c r="H36" i="12"/>
  <c r="C36" i="12" s="1"/>
  <c r="C37" i="12" s="1"/>
  <c r="C45" i="12" s="1"/>
  <c r="C23" i="7"/>
  <c r="C25" i="7" s="1"/>
  <c r="E23" i="7"/>
  <c r="J19" i="7" s="1"/>
  <c r="E61" i="12" l="1"/>
  <c r="E69" i="12" s="1"/>
  <c r="E77" i="12" s="1"/>
  <c r="E85" i="12" s="1"/>
  <c r="E93" i="12" s="1"/>
  <c r="E101" i="12" s="1"/>
  <c r="D61" i="12"/>
  <c r="D69" i="12" s="1"/>
  <c r="D77" i="12" s="1"/>
  <c r="D85" i="12" s="1"/>
  <c r="D93" i="12" s="1"/>
  <c r="D101" i="12" s="1"/>
  <c r="C52" i="12"/>
  <c r="H37" i="12"/>
  <c r="H45" i="12" s="1"/>
  <c r="T33" i="12"/>
  <c r="S33" i="12"/>
  <c r="S37" i="12"/>
  <c r="T36" i="12"/>
  <c r="L20" i="6"/>
  <c r="L29" i="6" s="1"/>
  <c r="L38" i="6" s="1"/>
  <c r="L47" i="6" s="1"/>
  <c r="L56" i="6" s="1"/>
  <c r="L65" i="6" s="1"/>
  <c r="L74" i="6" s="1"/>
  <c r="L83" i="6" s="1"/>
  <c r="L92" i="6" s="1"/>
  <c r="L101" i="6" s="1"/>
  <c r="L110" i="6" s="1"/>
  <c r="L119" i="6" s="1"/>
  <c r="K20" i="6"/>
  <c r="K29" i="6" s="1"/>
  <c r="K38" i="6" s="1"/>
  <c r="K47" i="6" s="1"/>
  <c r="K56" i="6" s="1"/>
  <c r="K65" i="6" s="1"/>
  <c r="K74" i="6" s="1"/>
  <c r="K83" i="6" s="1"/>
  <c r="K92" i="6" s="1"/>
  <c r="K101" i="6" s="1"/>
  <c r="K110" i="6" s="1"/>
  <c r="K119" i="6" s="1"/>
  <c r="J20" i="6"/>
  <c r="J29" i="6" s="1"/>
  <c r="J38" i="6" s="1"/>
  <c r="J47" i="6" s="1"/>
  <c r="J56" i="6" s="1"/>
  <c r="J65" i="6" s="1"/>
  <c r="J74" i="6" s="1"/>
  <c r="J83" i="6" s="1"/>
  <c r="J92" i="6" s="1"/>
  <c r="J101" i="6" s="1"/>
  <c r="J110" i="6" s="1"/>
  <c r="J119" i="6" s="1"/>
  <c r="I20" i="6"/>
  <c r="I29" i="6" s="1"/>
  <c r="I38" i="6" s="1"/>
  <c r="I47" i="6" s="1"/>
  <c r="I56" i="6" s="1"/>
  <c r="I65" i="6" s="1"/>
  <c r="I74" i="6" s="1"/>
  <c r="I83" i="6" s="1"/>
  <c r="I92" i="6" s="1"/>
  <c r="I101" i="6" s="1"/>
  <c r="I110" i="6" s="1"/>
  <c r="I119" i="6" s="1"/>
  <c r="K19" i="3"/>
  <c r="K27" i="3" s="1"/>
  <c r="K35" i="3" s="1"/>
  <c r="K43" i="3" s="1"/>
  <c r="K51" i="3" s="1"/>
  <c r="K59" i="3" s="1"/>
  <c r="K67" i="3" s="1"/>
  <c r="K75" i="3" s="1"/>
  <c r="K83" i="3" s="1"/>
  <c r="K91" i="3" s="1"/>
  <c r="K99" i="3" s="1"/>
  <c r="K107" i="3" s="1"/>
  <c r="K118" i="3" s="1"/>
  <c r="K126" i="3" s="1"/>
  <c r="J19" i="3"/>
  <c r="J27" i="3" s="1"/>
  <c r="J35" i="3" s="1"/>
  <c r="J43" i="3" s="1"/>
  <c r="J51" i="3" s="1"/>
  <c r="J59" i="3" s="1"/>
  <c r="J67" i="3" s="1"/>
  <c r="J75" i="3" s="1"/>
  <c r="J83" i="3" s="1"/>
  <c r="J91" i="3" s="1"/>
  <c r="J99" i="3" s="1"/>
  <c r="J107" i="3" s="1"/>
  <c r="J118" i="3" s="1"/>
  <c r="J126" i="3" s="1"/>
  <c r="I19" i="3"/>
  <c r="I27" i="3" s="1"/>
  <c r="I35" i="3" s="1"/>
  <c r="I43" i="3" s="1"/>
  <c r="I51" i="3" s="1"/>
  <c r="I59" i="3" s="1"/>
  <c r="I67" i="3" s="1"/>
  <c r="I75" i="3" s="1"/>
  <c r="I83" i="3" s="1"/>
  <c r="I91" i="3" s="1"/>
  <c r="I99" i="3" s="1"/>
  <c r="I107" i="3" s="1"/>
  <c r="I118" i="3" s="1"/>
  <c r="I126" i="3" s="1"/>
  <c r="H19" i="3"/>
  <c r="H27" i="3" s="1"/>
  <c r="H35" i="3" s="1"/>
  <c r="H43" i="3" s="1"/>
  <c r="H51" i="3" s="1"/>
  <c r="H59" i="3" s="1"/>
  <c r="H67" i="3" s="1"/>
  <c r="H75" i="3" s="1"/>
  <c r="H83" i="3" s="1"/>
  <c r="H91" i="3" s="1"/>
  <c r="H99" i="3" s="1"/>
  <c r="H107" i="3" s="1"/>
  <c r="H118" i="3" s="1"/>
  <c r="H126" i="3" s="1"/>
  <c r="G19" i="3"/>
  <c r="G27" i="3" s="1"/>
  <c r="G35" i="3" s="1"/>
  <c r="G43" i="3" s="1"/>
  <c r="G51" i="3" s="1"/>
  <c r="G59" i="3" s="1"/>
  <c r="G67" i="3" s="1"/>
  <c r="G75" i="3" s="1"/>
  <c r="G83" i="3" s="1"/>
  <c r="G91" i="3" s="1"/>
  <c r="G99" i="3" s="1"/>
  <c r="G107" i="3" s="1"/>
  <c r="G118" i="3" s="1"/>
  <c r="G126" i="3" s="1"/>
  <c r="Q73" i="16" l="1"/>
  <c r="Q76" i="16" s="1"/>
  <c r="L128" i="6"/>
  <c r="L132" i="6" s="1"/>
  <c r="K128" i="6"/>
  <c r="J128" i="6"/>
  <c r="J132" i="6" s="1"/>
  <c r="I128" i="6"/>
  <c r="S53" i="12"/>
  <c r="C53" i="12"/>
  <c r="T52" i="12"/>
  <c r="T49" i="12"/>
  <c r="S49" i="12"/>
  <c r="H53" i="12"/>
  <c r="L11" i="3"/>
  <c r="L19" i="3" s="1"/>
  <c r="L27" i="3" s="1"/>
  <c r="L35" i="3" s="1"/>
  <c r="L43" i="3" s="1"/>
  <c r="L51" i="3" s="1"/>
  <c r="L59" i="3" s="1"/>
  <c r="L67" i="3" s="1"/>
  <c r="L75" i="3" s="1"/>
  <c r="L83" i="3" s="1"/>
  <c r="L91" i="3" s="1"/>
  <c r="L99" i="3" s="1"/>
  <c r="L107" i="3" s="1"/>
  <c r="Q78" i="16" l="1"/>
  <c r="R73" i="16"/>
  <c r="D76" i="16"/>
  <c r="L110" i="3"/>
  <c r="L118" i="3" s="1"/>
  <c r="L126" i="3" s="1"/>
  <c r="L128" i="3" s="1"/>
  <c r="J141" i="6"/>
  <c r="L141" i="6"/>
  <c r="I132" i="6"/>
  <c r="I141" i="6" s="1"/>
  <c r="K132" i="6"/>
  <c r="C60" i="12"/>
  <c r="R76" i="16" l="1"/>
  <c r="R78" i="16" s="1"/>
  <c r="J150" i="6"/>
  <c r="J159" i="6" s="1"/>
  <c r="L150" i="6"/>
  <c r="L159" i="6" s="1"/>
  <c r="I150" i="6"/>
  <c r="I159" i="6" s="1"/>
  <c r="K141" i="6"/>
  <c r="S57" i="12"/>
  <c r="S61" i="12"/>
  <c r="T60" i="12"/>
  <c r="T57" i="12"/>
  <c r="C61" i="12"/>
  <c r="H61" i="12"/>
  <c r="K28" i="5"/>
  <c r="K30" i="5" s="1"/>
  <c r="C43" i="5"/>
  <c r="C56" i="5" s="1"/>
  <c r="C27" i="5"/>
  <c r="C22" i="5"/>
  <c r="C30" i="5" s="1"/>
  <c r="S73" i="16" l="1"/>
  <c r="S76" i="16" s="1"/>
  <c r="T73" i="16" s="1"/>
  <c r="T76" i="16" s="1"/>
  <c r="C32" i="5"/>
  <c r="C34" i="5" s="1"/>
  <c r="H7" i="5" s="1"/>
  <c r="K150" i="6"/>
  <c r="K159" i="6" s="1"/>
  <c r="C68" i="12"/>
  <c r="S78" i="16" l="1"/>
  <c r="J7" i="5"/>
  <c r="I7" i="5"/>
  <c r="I14" i="5" s="1"/>
  <c r="C59" i="5"/>
  <c r="C61" i="5" s="1"/>
  <c r="C63" i="5" s="1"/>
  <c r="H9" i="5"/>
  <c r="T78" i="16"/>
  <c r="U73" i="16"/>
  <c r="U76" i="16" s="1"/>
  <c r="S69" i="12"/>
  <c r="T68" i="12"/>
  <c r="T65" i="12"/>
  <c r="S65" i="12"/>
  <c r="C69" i="12"/>
  <c r="H69" i="12"/>
  <c r="U78" i="16" l="1"/>
  <c r="V73" i="16"/>
  <c r="V76" i="16" s="1"/>
  <c r="K8" i="18"/>
  <c r="L8" i="18"/>
  <c r="H76" i="12"/>
  <c r="C76" i="12" s="1"/>
  <c r="C77" i="12" s="1"/>
  <c r="E9" i="7"/>
  <c r="V78" i="16" l="1"/>
  <c r="W73" i="16"/>
  <c r="W76" i="16" s="1"/>
  <c r="W78" i="16" s="1"/>
  <c r="H84" i="12"/>
  <c r="C84" i="12" s="1"/>
  <c r="H77" i="12"/>
  <c r="T76" i="12"/>
  <c r="S77" i="12"/>
  <c r="T73" i="12"/>
  <c r="S73" i="12"/>
  <c r="E25" i="7"/>
  <c r="E26" i="7"/>
  <c r="I18" i="7" s="1"/>
  <c r="G25" i="7"/>
  <c r="X73" i="16" l="1"/>
  <c r="X76" i="16" s="1"/>
  <c r="S81" i="12"/>
  <c r="S85" i="12"/>
  <c r="T84" i="12"/>
  <c r="T81" i="12"/>
  <c r="C85" i="12"/>
  <c r="H85" i="12"/>
  <c r="E27" i="7"/>
  <c r="E61" i="7" s="1"/>
  <c r="E63" i="7" s="1"/>
  <c r="X78" i="16" l="1"/>
  <c r="Y73" i="16"/>
  <c r="Y76" i="16" s="1"/>
  <c r="Z73" i="16" s="1"/>
  <c r="C92" i="12"/>
  <c r="C93" i="12" s="1"/>
  <c r="E80" i="7"/>
  <c r="I72" i="7" s="1"/>
  <c r="E79" i="7"/>
  <c r="G79" i="7"/>
  <c r="I21" i="7"/>
  <c r="J22" i="7" s="1"/>
  <c r="Y78" i="16" l="1"/>
  <c r="Z76" i="16"/>
  <c r="H100" i="12"/>
  <c r="C100" i="12" s="1"/>
  <c r="T92" i="12"/>
  <c r="S93" i="12"/>
  <c r="T89" i="12"/>
  <c r="S89" i="12"/>
  <c r="H93" i="12"/>
  <c r="E81" i="7"/>
  <c r="Z78" i="16" l="1"/>
  <c r="AA73" i="16"/>
  <c r="AA76" i="16" s="1"/>
  <c r="AC73" i="16" s="1"/>
  <c r="AC76" i="16" s="1"/>
  <c r="AH73" i="16" s="1"/>
  <c r="AH76" i="16" s="1"/>
  <c r="AH78" i="16" s="1"/>
  <c r="T94" i="12"/>
  <c r="S97" i="12"/>
  <c r="C101" i="12"/>
  <c r="E7" i="14" s="1"/>
  <c r="E24" i="14" s="1"/>
  <c r="S101" i="12"/>
  <c r="T97" i="12"/>
  <c r="T100" i="12"/>
  <c r="H101" i="12"/>
  <c r="E98" i="7"/>
  <c r="I90" i="7" s="1"/>
  <c r="G97" i="7"/>
  <c r="E97" i="7"/>
  <c r="I75" i="7"/>
  <c r="J76" i="7" s="1"/>
  <c r="AC78" i="16" l="1"/>
  <c r="AE73" i="16"/>
  <c r="AE76" i="16" s="1"/>
  <c r="AE78" i="16" s="1"/>
  <c r="AB73" i="16"/>
  <c r="AB76" i="16" s="1"/>
  <c r="AG73" i="16" s="1"/>
  <c r="AG76" i="16" s="1"/>
  <c r="AG78" i="16" s="1"/>
  <c r="AA78" i="16"/>
  <c r="I16" i="14"/>
  <c r="J15" i="14"/>
  <c r="G23" i="14"/>
  <c r="E23" i="14"/>
  <c r="T102" i="12"/>
  <c r="E99" i="7"/>
  <c r="AB78" i="16" l="1"/>
  <c r="AD73" i="16"/>
  <c r="AD76" i="16" s="1"/>
  <c r="I17" i="14"/>
  <c r="J17" i="14"/>
  <c r="E25" i="14"/>
  <c r="G115" i="7"/>
  <c r="E116" i="7"/>
  <c r="I108" i="7" s="1"/>
  <c r="E115" i="7"/>
  <c r="I93" i="7"/>
  <c r="J94" i="7" s="1"/>
  <c r="C1485" i="5"/>
  <c r="C1010" i="3"/>
  <c r="C1066" i="6"/>
  <c r="AD78" i="16" l="1"/>
  <c r="AF73" i="16"/>
  <c r="AF76" i="16" s="1"/>
  <c r="AF78" i="16" s="1"/>
  <c r="E42" i="14"/>
  <c r="E41" i="14"/>
  <c r="I35" i="14" s="1"/>
  <c r="G41" i="14"/>
  <c r="J19" i="14"/>
  <c r="I19" i="14"/>
  <c r="E117" i="7"/>
  <c r="N12" i="6"/>
  <c r="N20" i="6" s="1"/>
  <c r="N29" i="6" s="1"/>
  <c r="M12" i="6"/>
  <c r="M20" i="6" s="1"/>
  <c r="M29" i="6" s="1"/>
  <c r="G42" i="14" l="1"/>
  <c r="I34" i="14"/>
  <c r="J33" i="14"/>
  <c r="E43" i="14"/>
  <c r="J35" i="14"/>
  <c r="J20" i="14"/>
  <c r="G133" i="7"/>
  <c r="E134" i="7"/>
  <c r="I126" i="7" s="1"/>
  <c r="I111" i="7"/>
  <c r="J112" i="7" s="1"/>
  <c r="E133" i="7"/>
  <c r="G12" i="6"/>
  <c r="F12" i="6"/>
  <c r="J37" i="14" l="1"/>
  <c r="I37" i="14"/>
  <c r="E135" i="7"/>
  <c r="G20" i="6"/>
  <c r="F20" i="6"/>
  <c r="P355" i="7"/>
  <c r="F1" i="5"/>
  <c r="J38" i="14" l="1"/>
  <c r="E152" i="7"/>
  <c r="I144" i="7" s="1"/>
  <c r="E151" i="7"/>
  <c r="G151" i="7"/>
  <c r="I129" i="7"/>
  <c r="J130" i="7" s="1"/>
  <c r="F29" i="6"/>
  <c r="F38" i="6"/>
  <c r="F47" i="6" s="1"/>
  <c r="F56" i="6" s="1"/>
  <c r="F65" i="6" s="1"/>
  <c r="F74" i="6" s="1"/>
  <c r="F83" i="6" s="1"/>
  <c r="F92" i="6" s="1"/>
  <c r="F101" i="6" s="1"/>
  <c r="G29" i="6"/>
  <c r="G38" i="6"/>
  <c r="G47" i="6" s="1"/>
  <c r="G56" i="6" s="1"/>
  <c r="G65" i="6" s="1"/>
  <c r="G74" i="6" s="1"/>
  <c r="G83" i="6" s="1"/>
  <c r="G92" i="6" s="1"/>
  <c r="G101" i="6" s="1"/>
  <c r="G110" i="6" s="1"/>
  <c r="G119" i="6" s="1"/>
  <c r="G128" i="6" s="1"/>
  <c r="G132" i="6" s="1"/>
  <c r="G141" i="6" s="1"/>
  <c r="G150" i="6" s="1"/>
  <c r="I44" i="5"/>
  <c r="G159" i="6" l="1"/>
  <c r="G161" i="6" s="1"/>
  <c r="F110" i="6"/>
  <c r="F119" i="6" s="1"/>
  <c r="F128" i="6" s="1"/>
  <c r="F132" i="6" s="1"/>
  <c r="F141" i="6" s="1"/>
  <c r="F150" i="6" s="1"/>
  <c r="E153" i="7"/>
  <c r="I43" i="5"/>
  <c r="I42" i="5"/>
  <c r="I40" i="5"/>
  <c r="F159" i="6" l="1"/>
  <c r="F161" i="6" s="1"/>
  <c r="E169" i="7"/>
  <c r="E170" i="7"/>
  <c r="I162" i="7" s="1"/>
  <c r="I147" i="7"/>
  <c r="J148" i="7" s="1"/>
  <c r="G169" i="7"/>
  <c r="I41" i="5"/>
  <c r="E171" i="7" l="1"/>
  <c r="I37" i="5"/>
  <c r="G34" i="5"/>
  <c r="I39" i="5"/>
  <c r="E188" i="7" l="1"/>
  <c r="I180" i="7" s="1"/>
  <c r="E187" i="7"/>
  <c r="I165" i="7"/>
  <c r="J166" i="7" s="1"/>
  <c r="G187" i="7"/>
  <c r="I45" i="5"/>
  <c r="H53" i="5" s="1"/>
  <c r="G45" i="5"/>
  <c r="I32" i="5"/>
  <c r="I53" i="5" s="1"/>
  <c r="E11" i="30" s="1"/>
  <c r="E8" i="30" l="1"/>
  <c r="E189" i="7"/>
  <c r="I33" i="5"/>
  <c r="I46" i="5"/>
  <c r="G47" i="5"/>
  <c r="E205" i="7" l="1"/>
  <c r="E206" i="7"/>
  <c r="I183" i="7"/>
  <c r="J184" i="7" s="1"/>
  <c r="G205" i="7"/>
  <c r="K39" i="5"/>
  <c r="C51" i="14" l="1"/>
  <c r="E51" i="14" s="1"/>
  <c r="M39" i="5"/>
  <c r="C50" i="14"/>
  <c r="E50" i="14" s="1"/>
  <c r="M38" i="5"/>
  <c r="E207" i="7"/>
  <c r="E223" i="7" s="1"/>
  <c r="I198" i="7"/>
  <c r="K40" i="5"/>
  <c r="M40" i="5" s="1"/>
  <c r="C49" i="14" l="1"/>
  <c r="E49" i="14" s="1"/>
  <c r="M37" i="5"/>
  <c r="G223" i="7"/>
  <c r="I201" i="7"/>
  <c r="J202" i="7" s="1"/>
  <c r="E224" i="7"/>
  <c r="I216" i="7" s="1"/>
  <c r="M28" i="5"/>
  <c r="M29" i="5" s="1"/>
  <c r="C48" i="14" l="1"/>
  <c r="M36" i="5"/>
  <c r="M43" i="5" s="1"/>
  <c r="J53" i="5" s="1"/>
  <c r="E225" i="7"/>
  <c r="K43" i="5"/>
  <c r="K5" i="5" s="1"/>
  <c r="K9" i="5" s="1"/>
  <c r="K53" i="5"/>
  <c r="E20" i="30" s="1"/>
  <c r="L53" i="5" l="1"/>
  <c r="E17" i="30"/>
  <c r="J61" i="5"/>
  <c r="I219" i="7"/>
  <c r="J220" i="7" s="1"/>
  <c r="C57" i="14"/>
  <c r="C59" i="14" s="1"/>
  <c r="E48" i="14"/>
  <c r="E57" i="14" s="1"/>
  <c r="E60" i="14" s="1"/>
  <c r="G241" i="7"/>
  <c r="E241" i="7"/>
  <c r="E242" i="7"/>
  <c r="I234" i="7" s="1"/>
  <c r="L5" i="5"/>
  <c r="M44" i="5"/>
  <c r="K45" i="5"/>
  <c r="L28" i="18" l="1"/>
  <c r="K28" i="18"/>
  <c r="G59" i="14"/>
  <c r="E59" i="14"/>
  <c r="E243" i="7"/>
  <c r="H11" i="5"/>
  <c r="L11" i="5" s="1"/>
  <c r="H10" i="5"/>
  <c r="K10" i="5" l="1"/>
  <c r="H12" i="5"/>
  <c r="H14" i="5" s="1"/>
  <c r="K20" i="18"/>
  <c r="L20" i="18"/>
  <c r="I53" i="14"/>
  <c r="E61" i="14"/>
  <c r="J53" i="14"/>
  <c r="I52" i="14"/>
  <c r="J51" i="14"/>
  <c r="I237" i="7"/>
  <c r="J238" i="7" s="1"/>
  <c r="G261" i="7"/>
  <c r="H61" i="14"/>
  <c r="I52" i="5" l="1"/>
  <c r="I55" i="5" s="1"/>
  <c r="E13" i="30"/>
  <c r="I55" i="14"/>
  <c r="J55" i="14"/>
  <c r="J14" i="5"/>
  <c r="E22" i="30" s="1"/>
  <c r="AC7" i="16" l="1"/>
  <c r="J56" i="14"/>
  <c r="E120" i="3"/>
  <c r="K52" i="5"/>
  <c r="K55" i="5" s="1"/>
  <c r="J15" i="5"/>
  <c r="D7" i="16" l="1"/>
  <c r="C7" i="16"/>
  <c r="AA10" i="16"/>
  <c r="E155" i="6"/>
  <c r="B9" i="13"/>
  <c r="E11" i="3"/>
  <c r="E19" i="3" s="1"/>
  <c r="K12" i="5"/>
  <c r="H52" i="5" s="1"/>
  <c r="L9" i="5"/>
  <c r="L12" i="5" s="1"/>
  <c r="J52" i="5" s="1"/>
  <c r="C10" i="16" l="1"/>
  <c r="D10" i="16"/>
  <c r="L52" i="5"/>
  <c r="H55" i="5"/>
  <c r="E27" i="3"/>
  <c r="D9" i="13" s="1"/>
  <c r="C9" i="13"/>
  <c r="L14" i="5"/>
  <c r="E19" i="30" s="1"/>
  <c r="J55" i="5"/>
  <c r="H15" i="5"/>
  <c r="K14" i="5"/>
  <c r="E10" i="30" s="1"/>
  <c r="L16" i="18" l="1"/>
  <c r="L55" i="5"/>
  <c r="D155" i="6"/>
  <c r="C155" i="6" s="1"/>
  <c r="E35" i="3"/>
  <c r="C124" i="6"/>
  <c r="S127" i="6" s="1"/>
  <c r="C106" i="6"/>
  <c r="T109" i="6" s="1"/>
  <c r="C115" i="6"/>
  <c r="C88" i="6"/>
  <c r="T91" i="6" s="1"/>
  <c r="C70" i="6"/>
  <c r="T73" i="6" s="1"/>
  <c r="C52" i="6"/>
  <c r="S55" i="6" s="1"/>
  <c r="C25" i="6"/>
  <c r="C16" i="6"/>
  <c r="K56" i="5"/>
  <c r="L15" i="5"/>
  <c r="L54" i="5"/>
  <c r="K16" i="18" l="1"/>
  <c r="K5" i="18"/>
  <c r="D120" i="3"/>
  <c r="C120" i="3" s="1"/>
  <c r="E43" i="3"/>
  <c r="E9" i="13"/>
  <c r="S158" i="6"/>
  <c r="T176" i="6" s="1"/>
  <c r="T158" i="6"/>
  <c r="T127" i="6"/>
  <c r="C146" i="6"/>
  <c r="S149" i="6" s="1"/>
  <c r="C101" i="3"/>
  <c r="R104" i="3" s="1"/>
  <c r="C137" i="6"/>
  <c r="S109" i="6"/>
  <c r="C85" i="3"/>
  <c r="Q88" i="3" s="1"/>
  <c r="C93" i="3"/>
  <c r="S118" i="6"/>
  <c r="T118" i="6"/>
  <c r="C77" i="3"/>
  <c r="S91" i="6"/>
  <c r="C97" i="6"/>
  <c r="S100" i="6" s="1"/>
  <c r="C61" i="3"/>
  <c r="R64" i="3" s="1"/>
  <c r="T55" i="6"/>
  <c r="S73" i="6"/>
  <c r="C53" i="3"/>
  <c r="C79" i="6"/>
  <c r="C45" i="3"/>
  <c r="C29" i="3"/>
  <c r="Q32" i="3" s="1"/>
  <c r="C61" i="6"/>
  <c r="C43" i="6"/>
  <c r="C13" i="3"/>
  <c r="C21" i="3"/>
  <c r="C34" i="6"/>
  <c r="S37" i="6" s="1"/>
  <c r="T19" i="6"/>
  <c r="S19" i="6"/>
  <c r="I56" i="5"/>
  <c r="G59" i="5" s="1"/>
  <c r="L56" i="5"/>
  <c r="C9" i="16" l="1"/>
  <c r="D9" i="16"/>
  <c r="L5" i="18"/>
  <c r="E51" i="3"/>
  <c r="F9" i="13"/>
  <c r="Q104" i="3"/>
  <c r="Q123" i="3"/>
  <c r="R139" i="3" s="1"/>
  <c r="R123" i="3"/>
  <c r="T149" i="6"/>
  <c r="C112" i="3"/>
  <c r="T140" i="6"/>
  <c r="S140" i="6"/>
  <c r="R88" i="3"/>
  <c r="R96" i="3"/>
  <c r="Q96" i="3"/>
  <c r="Q64" i="3"/>
  <c r="Q80" i="3"/>
  <c r="R80" i="3"/>
  <c r="T100" i="6"/>
  <c r="C69" i="3"/>
  <c r="R72" i="3" s="1"/>
  <c r="T82" i="6"/>
  <c r="S82" i="6"/>
  <c r="Q56" i="3"/>
  <c r="R56" i="3"/>
  <c r="R32" i="3"/>
  <c r="Q48" i="3"/>
  <c r="R48" i="3"/>
  <c r="C37" i="3"/>
  <c r="T64" i="6"/>
  <c r="S64" i="6"/>
  <c r="S46" i="6"/>
  <c r="T46" i="6"/>
  <c r="R24" i="3"/>
  <c r="Q24" i="3"/>
  <c r="R16" i="3"/>
  <c r="C37" i="6"/>
  <c r="T34" i="6" s="1"/>
  <c r="Q16" i="3"/>
  <c r="E59" i="3" l="1"/>
  <c r="G9" i="13"/>
  <c r="Q115" i="3"/>
  <c r="R115" i="3"/>
  <c r="Q72" i="3"/>
  <c r="R40" i="3"/>
  <c r="Q40" i="3"/>
  <c r="B8" i="13"/>
  <c r="B10" i="13" s="1"/>
  <c r="D11" i="3"/>
  <c r="D19" i="3" s="1"/>
  <c r="E67" i="3" l="1"/>
  <c r="H9" i="13"/>
  <c r="D27" i="3"/>
  <c r="C8" i="13"/>
  <c r="C10" i="13" s="1"/>
  <c r="E75" i="3" l="1"/>
  <c r="I9" i="13"/>
  <c r="D35" i="3"/>
  <c r="D8" i="13"/>
  <c r="D10" i="13" s="1"/>
  <c r="E12" i="6"/>
  <c r="E20" i="6" s="1"/>
  <c r="E109" i="3" l="1"/>
  <c r="E83" i="3"/>
  <c r="J9" i="13"/>
  <c r="D43" i="3"/>
  <c r="E8" i="13"/>
  <c r="E10" i="13" s="1"/>
  <c r="E38" i="6"/>
  <c r="E47" i="6" s="1"/>
  <c r="B15" i="13"/>
  <c r="E29" i="6"/>
  <c r="E91" i="3" l="1"/>
  <c r="K9" i="13"/>
  <c r="C15" i="13"/>
  <c r="D51" i="3"/>
  <c r="F8" i="13"/>
  <c r="F10" i="13" s="1"/>
  <c r="E56" i="6"/>
  <c r="D15" i="13"/>
  <c r="F11" i="3"/>
  <c r="D12" i="6"/>
  <c r="D20" i="6" s="1"/>
  <c r="Q38" i="16" l="1"/>
  <c r="Q40" i="16" s="1"/>
  <c r="D59" i="3"/>
  <c r="G8" i="13"/>
  <c r="G10" i="13" s="1"/>
  <c r="E99" i="3"/>
  <c r="L9" i="13"/>
  <c r="E15" i="13"/>
  <c r="E65" i="6"/>
  <c r="E74" i="6" s="1"/>
  <c r="D38" i="6"/>
  <c r="D47" i="6" s="1"/>
  <c r="B14" i="13"/>
  <c r="B16" i="13" s="1"/>
  <c r="D29" i="6"/>
  <c r="Q43" i="16" l="1"/>
  <c r="D67" i="3"/>
  <c r="H8" i="13"/>
  <c r="H10" i="13" s="1"/>
  <c r="N8" i="13"/>
  <c r="E107" i="3"/>
  <c r="M9" i="13"/>
  <c r="G15" i="13"/>
  <c r="E83" i="6"/>
  <c r="E92" i="6" s="1"/>
  <c r="E101" i="6" s="1"/>
  <c r="E131" i="6" s="1"/>
  <c r="F15" i="13"/>
  <c r="C14" i="13"/>
  <c r="C16" i="13" s="1"/>
  <c r="D56" i="6"/>
  <c r="D14" i="13"/>
  <c r="D16" i="13" s="1"/>
  <c r="E9" i="10"/>
  <c r="F19" i="3"/>
  <c r="Q45" i="16" l="1"/>
  <c r="R38" i="16"/>
  <c r="R40" i="16" s="1"/>
  <c r="E110" i="3"/>
  <c r="E118" i="3" s="1"/>
  <c r="D75" i="3"/>
  <c r="I8" i="13"/>
  <c r="I10" i="13" s="1"/>
  <c r="E110" i="6"/>
  <c r="I15" i="13"/>
  <c r="J15" i="13"/>
  <c r="H15" i="13"/>
  <c r="E14" i="13"/>
  <c r="E16" i="13" s="1"/>
  <c r="D65" i="6"/>
  <c r="D74" i="6" s="1"/>
  <c r="E10" i="10"/>
  <c r="E30" i="10" s="1"/>
  <c r="C18" i="3"/>
  <c r="C19" i="3" s="1"/>
  <c r="E126" i="3" l="1"/>
  <c r="E128" i="3" s="1"/>
  <c r="D109" i="3"/>
  <c r="D83" i="3"/>
  <c r="J8" i="13"/>
  <c r="J10" i="13" s="1"/>
  <c r="K15" i="13"/>
  <c r="E119" i="6"/>
  <c r="G14" i="13"/>
  <c r="G16" i="13" s="1"/>
  <c r="D83" i="6"/>
  <c r="D92" i="6" s="1"/>
  <c r="D101" i="6" s="1"/>
  <c r="F14" i="13"/>
  <c r="F16" i="13" s="1"/>
  <c r="E29" i="10"/>
  <c r="G29" i="10"/>
  <c r="R17" i="3"/>
  <c r="R18" i="3"/>
  <c r="Q18" i="3"/>
  <c r="D91" i="3" l="1"/>
  <c r="K8" i="13"/>
  <c r="K10" i="13" s="1"/>
  <c r="D110" i="6"/>
  <c r="D119" i="6" s="1"/>
  <c r="D131" i="6"/>
  <c r="L15" i="13"/>
  <c r="E128" i="6"/>
  <c r="E132" i="6" s="1"/>
  <c r="E141" i="6" s="1"/>
  <c r="I14" i="13"/>
  <c r="I16" i="13" s="1"/>
  <c r="J14" i="13"/>
  <c r="J16" i="13" s="1"/>
  <c r="H14" i="13"/>
  <c r="H16" i="13" s="1"/>
  <c r="E31" i="10"/>
  <c r="E33" i="10" s="1"/>
  <c r="E50" i="10" s="1"/>
  <c r="E51" i="10" s="1"/>
  <c r="Q15" i="3"/>
  <c r="F27" i="3"/>
  <c r="R15" i="3"/>
  <c r="J23" i="10"/>
  <c r="R43" i="16" l="1"/>
  <c r="S38" i="16" s="1"/>
  <c r="K14" i="13"/>
  <c r="K16" i="13" s="1"/>
  <c r="E150" i="6"/>
  <c r="E159" i="6" s="1"/>
  <c r="E161" i="6" s="1"/>
  <c r="D99" i="3"/>
  <c r="L8" i="13"/>
  <c r="L10" i="13" s="1"/>
  <c r="M15" i="13"/>
  <c r="L14" i="13"/>
  <c r="L16" i="13" s="1"/>
  <c r="D128" i="6"/>
  <c r="D132" i="6" s="1"/>
  <c r="D141" i="6" s="1"/>
  <c r="E52" i="10"/>
  <c r="J43" i="10"/>
  <c r="R19" i="3"/>
  <c r="C26" i="3"/>
  <c r="C27" i="3" s="1"/>
  <c r="I61" i="24" l="1"/>
  <c r="H61" i="24"/>
  <c r="I61" i="25"/>
  <c r="H61" i="25"/>
  <c r="R45" i="16"/>
  <c r="S40" i="16"/>
  <c r="D150" i="6"/>
  <c r="D107" i="3"/>
  <c r="M8" i="13"/>
  <c r="M10" i="13" s="1"/>
  <c r="M14" i="13"/>
  <c r="M16" i="13" s="1"/>
  <c r="E53" i="10"/>
  <c r="I42" i="10" s="1"/>
  <c r="G52" i="10"/>
  <c r="F35" i="3"/>
  <c r="F43" i="3" s="1"/>
  <c r="Q23" i="3"/>
  <c r="Q26" i="3"/>
  <c r="R26" i="3"/>
  <c r="R25" i="3"/>
  <c r="S43" i="16" l="1"/>
  <c r="S45" i="16" s="1"/>
  <c r="D159" i="6"/>
  <c r="D161" i="6" s="1"/>
  <c r="D110" i="3"/>
  <c r="D118" i="3" s="1"/>
  <c r="E54" i="10"/>
  <c r="C34" i="3"/>
  <c r="C35" i="3" s="1"/>
  <c r="J41" i="10"/>
  <c r="R23" i="3"/>
  <c r="R27" i="3" s="1"/>
  <c r="H61" i="26" l="1"/>
  <c r="T38" i="16"/>
  <c r="D126" i="3"/>
  <c r="D128" i="3" s="1"/>
  <c r="I45" i="10"/>
  <c r="J46" i="10" s="1"/>
  <c r="E72" i="10"/>
  <c r="J64" i="10" s="1"/>
  <c r="R34" i="3"/>
  <c r="Q34" i="3"/>
  <c r="R33" i="3"/>
  <c r="T40" i="16" l="1"/>
  <c r="E73" i="10"/>
  <c r="E74" i="10"/>
  <c r="I63" i="10" s="1"/>
  <c r="C42" i="3"/>
  <c r="C43" i="3" s="1"/>
  <c r="F51" i="3" s="1"/>
  <c r="G73" i="10"/>
  <c r="Q31" i="3"/>
  <c r="R31" i="3"/>
  <c r="T43" i="16" l="1"/>
  <c r="T45" i="16" s="1"/>
  <c r="E75" i="10"/>
  <c r="I66" i="10" s="1"/>
  <c r="Q42" i="3"/>
  <c r="R42" i="3"/>
  <c r="R41" i="3"/>
  <c r="J62" i="10"/>
  <c r="R35" i="3"/>
  <c r="U38" i="16" l="1"/>
  <c r="U40" i="16" s="1"/>
  <c r="I61" i="26"/>
  <c r="E95" i="10"/>
  <c r="I84" i="10" s="1"/>
  <c r="E94" i="10"/>
  <c r="J67" i="10"/>
  <c r="C50" i="3"/>
  <c r="C51" i="3" s="1"/>
  <c r="F59" i="3" s="1"/>
  <c r="G94" i="10"/>
  <c r="R39" i="3"/>
  <c r="Q39" i="3"/>
  <c r="U43" i="16" l="1"/>
  <c r="V38" i="16" s="1"/>
  <c r="V40" i="16" s="1"/>
  <c r="E96" i="10"/>
  <c r="I87" i="10" s="1"/>
  <c r="R49" i="3"/>
  <c r="Q50" i="3"/>
  <c r="R50" i="3"/>
  <c r="R43" i="3"/>
  <c r="J83" i="10"/>
  <c r="H12" i="6"/>
  <c r="U45" i="16" l="1"/>
  <c r="V43" i="16"/>
  <c r="V45" i="16" s="1"/>
  <c r="G115" i="10"/>
  <c r="E116" i="10"/>
  <c r="J104" i="10" s="1"/>
  <c r="E115" i="10"/>
  <c r="C58" i="3"/>
  <c r="C59" i="3" s="1"/>
  <c r="R47" i="3"/>
  <c r="Q47" i="3"/>
  <c r="J88" i="10"/>
  <c r="H20" i="6"/>
  <c r="H38" i="6" s="1"/>
  <c r="W38" i="16" l="1"/>
  <c r="W40" i="16" s="1"/>
  <c r="F67" i="3"/>
  <c r="I105" i="10"/>
  <c r="E117" i="10"/>
  <c r="E137" i="10" s="1"/>
  <c r="R57" i="3"/>
  <c r="R58" i="3"/>
  <c r="Q58" i="3"/>
  <c r="R51" i="3"/>
  <c r="C19" i="6"/>
  <c r="W43" i="16" l="1"/>
  <c r="G136" i="10"/>
  <c r="C66" i="3"/>
  <c r="C67" i="3" s="1"/>
  <c r="F75" i="3" s="1"/>
  <c r="F109" i="3" s="1"/>
  <c r="C109" i="3" s="1"/>
  <c r="I108" i="10"/>
  <c r="J109" i="10" s="1"/>
  <c r="E136" i="10"/>
  <c r="E138" i="10" s="1"/>
  <c r="J125" i="10"/>
  <c r="I126" i="10"/>
  <c r="R55" i="3"/>
  <c r="Q55" i="3"/>
  <c r="S16" i="6"/>
  <c r="T20" i="6"/>
  <c r="S20" i="6"/>
  <c r="S21" i="6"/>
  <c r="W45" i="16" l="1"/>
  <c r="X38" i="16"/>
  <c r="X40" i="16" s="1"/>
  <c r="Q113" i="3"/>
  <c r="E265" i="10"/>
  <c r="G157" i="10"/>
  <c r="E157" i="10"/>
  <c r="E158" i="10"/>
  <c r="I129" i="10"/>
  <c r="J130" i="10" s="1"/>
  <c r="Q66" i="3"/>
  <c r="R66" i="3"/>
  <c r="R65" i="3"/>
  <c r="R59" i="3"/>
  <c r="C12" i="6"/>
  <c r="X43" i="16" l="1"/>
  <c r="Y38" i="16" s="1"/>
  <c r="Y40" i="16" s="1"/>
  <c r="C74" i="3"/>
  <c r="E159" i="10"/>
  <c r="E179" i="10" s="1"/>
  <c r="J146" i="10"/>
  <c r="I147" i="10"/>
  <c r="R63" i="3"/>
  <c r="Q63" i="3"/>
  <c r="C20" i="6"/>
  <c r="C38" i="6" s="1"/>
  <c r="X45" i="16" l="1"/>
  <c r="C75" i="3"/>
  <c r="R73" i="3"/>
  <c r="E178" i="10"/>
  <c r="I150" i="10"/>
  <c r="J151" i="10" s="1"/>
  <c r="G178" i="10"/>
  <c r="Q74" i="3"/>
  <c r="R74" i="3"/>
  <c r="R67" i="3"/>
  <c r="H46" i="6"/>
  <c r="H47" i="6" s="1"/>
  <c r="T16" i="6"/>
  <c r="T22" i="6" s="1"/>
  <c r="Y43" i="16" l="1"/>
  <c r="Z38" i="16" s="1"/>
  <c r="F83" i="3"/>
  <c r="E180" i="10"/>
  <c r="E199" i="10" s="1"/>
  <c r="I168" i="10"/>
  <c r="J167" i="10"/>
  <c r="R71" i="3"/>
  <c r="Q71" i="3"/>
  <c r="C46" i="6"/>
  <c r="C47" i="6" s="1"/>
  <c r="C28" i="6"/>
  <c r="S38" i="6" s="1"/>
  <c r="T40" i="6" s="1"/>
  <c r="H29" i="6"/>
  <c r="Y45" i="16" l="1"/>
  <c r="Z40" i="16"/>
  <c r="I171" i="10"/>
  <c r="J172" i="10" s="1"/>
  <c r="G199" i="10"/>
  <c r="E200" i="10"/>
  <c r="C82" i="3"/>
  <c r="C83" i="3" s="1"/>
  <c r="R75" i="3"/>
  <c r="H55" i="6"/>
  <c r="S47" i="6"/>
  <c r="T47" i="6"/>
  <c r="S48" i="6"/>
  <c r="C29" i="6"/>
  <c r="Z43" i="16" l="1"/>
  <c r="Z45" i="16" s="1"/>
  <c r="E201" i="10"/>
  <c r="E221" i="10" s="1"/>
  <c r="J188" i="10"/>
  <c r="I189" i="10"/>
  <c r="Q82" i="3"/>
  <c r="R82" i="3"/>
  <c r="R81" i="3"/>
  <c r="C55" i="6"/>
  <c r="H56" i="6"/>
  <c r="S43" i="6"/>
  <c r="T43" i="6"/>
  <c r="AA38" i="16" l="1"/>
  <c r="AA40" i="16" s="1"/>
  <c r="I192" i="10"/>
  <c r="J193" i="10" s="1"/>
  <c r="G220" i="10"/>
  <c r="E220" i="10"/>
  <c r="C90" i="3"/>
  <c r="F91" i="3"/>
  <c r="Q79" i="3"/>
  <c r="R79" i="3"/>
  <c r="C56" i="6"/>
  <c r="H64" i="6" s="1"/>
  <c r="H65" i="6" s="1"/>
  <c r="H74" i="6" s="1"/>
  <c r="S56" i="6"/>
  <c r="T56" i="6"/>
  <c r="S57" i="6"/>
  <c r="T49" i="6"/>
  <c r="T31" i="6"/>
  <c r="AA43" i="16" l="1"/>
  <c r="E222" i="10"/>
  <c r="E242" i="10" s="1"/>
  <c r="I210" i="10"/>
  <c r="J209" i="10"/>
  <c r="Q90" i="3"/>
  <c r="R90" i="3"/>
  <c r="R89" i="3"/>
  <c r="C91" i="3"/>
  <c r="R83" i="3"/>
  <c r="C64" i="6"/>
  <c r="C65" i="6" s="1"/>
  <c r="S52" i="6"/>
  <c r="T52" i="6"/>
  <c r="AA45" i="16" l="1"/>
  <c r="AB38" i="16"/>
  <c r="I213" i="10"/>
  <c r="J214" i="10" s="1"/>
  <c r="G241" i="10"/>
  <c r="E241" i="10"/>
  <c r="R87" i="3"/>
  <c r="Q87" i="3"/>
  <c r="T65" i="6"/>
  <c r="T66" i="6"/>
  <c r="S66" i="6"/>
  <c r="S65" i="6"/>
  <c r="C73" i="6"/>
  <c r="C74" i="6" s="1"/>
  <c r="S61" i="6"/>
  <c r="T61" i="6"/>
  <c r="T58" i="6"/>
  <c r="AB40" i="16" l="1"/>
  <c r="AB43" i="16" s="1"/>
  <c r="D40" i="16"/>
  <c r="D43" i="16" s="1"/>
  <c r="E243" i="10"/>
  <c r="E263" i="10" s="1"/>
  <c r="I231" i="10"/>
  <c r="J230" i="10"/>
  <c r="C98" i="3"/>
  <c r="F99" i="3"/>
  <c r="N9" i="13" s="1"/>
  <c r="N10" i="13" s="1"/>
  <c r="R91" i="3"/>
  <c r="T74" i="6"/>
  <c r="S75" i="6"/>
  <c r="T75" i="6"/>
  <c r="S74" i="6"/>
  <c r="T67" i="6"/>
  <c r="C40" i="16" l="1"/>
  <c r="C43" i="16" s="1"/>
  <c r="I234" i="10"/>
  <c r="J235" i="10" s="1"/>
  <c r="G262" i="10"/>
  <c r="E262" i="10"/>
  <c r="Q98" i="3"/>
  <c r="R98" i="3"/>
  <c r="R97" i="3"/>
  <c r="C99" i="3"/>
  <c r="C82" i="6"/>
  <c r="C83" i="6" s="1"/>
  <c r="H83" i="6"/>
  <c r="S70" i="6"/>
  <c r="T70" i="6"/>
  <c r="AB45" i="16" l="1"/>
  <c r="AC38" i="16"/>
  <c r="AC40" i="16" s="1"/>
  <c r="AC43" i="16" s="1"/>
  <c r="E264" i="10"/>
  <c r="J251" i="10"/>
  <c r="I252" i="10"/>
  <c r="R95" i="3"/>
  <c r="Q95" i="3"/>
  <c r="C91" i="6"/>
  <c r="C92" i="6" s="1"/>
  <c r="H100" i="6" s="1"/>
  <c r="S84" i="6"/>
  <c r="T83" i="6"/>
  <c r="S83" i="6"/>
  <c r="T84" i="6"/>
  <c r="T76" i="6"/>
  <c r="AC45" i="16" l="1"/>
  <c r="AD38" i="16"/>
  <c r="E266" i="10"/>
  <c r="G285" i="10" s="1"/>
  <c r="I255" i="10"/>
  <c r="J256" i="10" s="1"/>
  <c r="C106" i="3"/>
  <c r="F107" i="3"/>
  <c r="F110" i="3" s="1"/>
  <c r="F118" i="3" s="1"/>
  <c r="R99" i="3"/>
  <c r="C100" i="6"/>
  <c r="C101" i="6" s="1"/>
  <c r="H92" i="6"/>
  <c r="S88" i="6"/>
  <c r="T88" i="6"/>
  <c r="T92" i="6"/>
  <c r="S93" i="6"/>
  <c r="T93" i="6"/>
  <c r="S92" i="6"/>
  <c r="S79" i="6"/>
  <c r="T79" i="6"/>
  <c r="AD40" i="16" l="1"/>
  <c r="E286" i="10"/>
  <c r="I275" i="10" s="1"/>
  <c r="E285" i="10"/>
  <c r="Q106" i="3"/>
  <c r="R106" i="3"/>
  <c r="R105" i="3"/>
  <c r="C107" i="3"/>
  <c r="C110" i="3" s="1"/>
  <c r="C109" i="6"/>
  <c r="H101" i="6"/>
  <c r="H131" i="6" s="1"/>
  <c r="T101" i="6"/>
  <c r="S101" i="6"/>
  <c r="S102" i="6"/>
  <c r="T102" i="6"/>
  <c r="T94" i="6"/>
  <c r="T85" i="6"/>
  <c r="AD43" i="16" l="1"/>
  <c r="E287" i="10"/>
  <c r="J274" i="10"/>
  <c r="C131" i="6"/>
  <c r="E244" i="7" s="1"/>
  <c r="E245" i="7" s="1"/>
  <c r="Q103" i="3"/>
  <c r="R103" i="3"/>
  <c r="C110" i="6"/>
  <c r="T106" i="6" s="1"/>
  <c r="T110" i="6"/>
  <c r="H110" i="6"/>
  <c r="S111" i="6"/>
  <c r="S97" i="6"/>
  <c r="T97" i="6"/>
  <c r="AE38" i="16" l="1"/>
  <c r="AD45" i="16"/>
  <c r="E261" i="7"/>
  <c r="I255" i="7" s="1"/>
  <c r="E262" i="7"/>
  <c r="E307" i="10"/>
  <c r="E306" i="10"/>
  <c r="I278" i="10"/>
  <c r="G306" i="10"/>
  <c r="J278" i="10"/>
  <c r="C117" i="3"/>
  <c r="S138" i="6"/>
  <c r="R107" i="3"/>
  <c r="C118" i="6"/>
  <c r="C119" i="6" s="1"/>
  <c r="S106" i="6"/>
  <c r="T103" i="6"/>
  <c r="AE40" i="16" l="1"/>
  <c r="J255" i="7"/>
  <c r="G279" i="7"/>
  <c r="J279" i="10"/>
  <c r="H261" i="7"/>
  <c r="I254" i="7"/>
  <c r="J253" i="7"/>
  <c r="E263" i="7"/>
  <c r="E280" i="7" s="1"/>
  <c r="I296" i="10"/>
  <c r="J295" i="10"/>
  <c r="E308" i="10"/>
  <c r="C118" i="3"/>
  <c r="F125" i="3" s="1"/>
  <c r="F126" i="3" s="1"/>
  <c r="F128" i="3" s="1"/>
  <c r="R116" i="3"/>
  <c r="R117" i="3"/>
  <c r="Q117" i="3"/>
  <c r="H127" i="6"/>
  <c r="C127" i="6" s="1"/>
  <c r="C128" i="6" s="1"/>
  <c r="C132" i="6" s="1"/>
  <c r="H119" i="6"/>
  <c r="S115" i="6"/>
  <c r="T115" i="6"/>
  <c r="T119" i="6"/>
  <c r="S120" i="6"/>
  <c r="T112" i="6"/>
  <c r="H308" i="10"/>
  <c r="AO35" i="16" l="1"/>
  <c r="AE43" i="16"/>
  <c r="H279" i="7"/>
  <c r="I257" i="7"/>
  <c r="I272" i="7"/>
  <c r="J271" i="7"/>
  <c r="J257" i="7"/>
  <c r="E279" i="7"/>
  <c r="G297" i="7" s="1"/>
  <c r="I299" i="10"/>
  <c r="J299" i="10"/>
  <c r="R114" i="3"/>
  <c r="Q114" i="3"/>
  <c r="T128" i="6"/>
  <c r="S129" i="6"/>
  <c r="H128" i="6"/>
  <c r="H132" i="6" s="1"/>
  <c r="T121" i="6"/>
  <c r="AF38" i="16" l="1"/>
  <c r="AE45" i="16"/>
  <c r="AF40" i="16"/>
  <c r="I273" i="7"/>
  <c r="J273" i="7"/>
  <c r="E281" i="7"/>
  <c r="E298" i="7" s="1"/>
  <c r="H297" i="7" s="1"/>
  <c r="J258" i="7"/>
  <c r="J300" i="10"/>
  <c r="C125" i="3"/>
  <c r="C126" i="3" s="1"/>
  <c r="C128" i="3" s="1"/>
  <c r="R118" i="3"/>
  <c r="H141" i="6"/>
  <c r="T124" i="6"/>
  <c r="S124" i="6"/>
  <c r="AG40" i="16" l="1"/>
  <c r="AG43" i="16" s="1"/>
  <c r="AF43" i="16"/>
  <c r="E297" i="7"/>
  <c r="J291" i="7" s="1"/>
  <c r="J275" i="7"/>
  <c r="I275" i="7"/>
  <c r="I290" i="7"/>
  <c r="J289" i="7"/>
  <c r="C130" i="3"/>
  <c r="R131" i="3"/>
  <c r="R122" i="3"/>
  <c r="Q138" i="3" s="1"/>
  <c r="Q125" i="3"/>
  <c r="R141" i="3" s="1"/>
  <c r="R124" i="3"/>
  <c r="R125" i="3"/>
  <c r="C140" i="6"/>
  <c r="T130" i="6"/>
  <c r="AG45" i="16" l="1"/>
  <c r="AH38" i="16"/>
  <c r="AF45" i="16"/>
  <c r="E299" i="7"/>
  <c r="J293" i="7" s="1"/>
  <c r="I291" i="7"/>
  <c r="J276" i="7"/>
  <c r="R134" i="3"/>
  <c r="R142" i="3"/>
  <c r="Q122" i="3"/>
  <c r="R126" i="3" s="1"/>
  <c r="C141" i="6"/>
  <c r="H150" i="6" s="1"/>
  <c r="T141" i="6"/>
  <c r="S142" i="6"/>
  <c r="AH40" i="16" l="1"/>
  <c r="AH43" i="16" s="1"/>
  <c r="AH45" i="16" s="1"/>
  <c r="I293" i="7"/>
  <c r="J294" i="7" s="1"/>
  <c r="T137" i="6"/>
  <c r="S137" i="6"/>
  <c r="H299" i="7"/>
  <c r="AN37" i="16" l="1"/>
  <c r="K7" i="18" s="1"/>
  <c r="AO37" i="16"/>
  <c r="L7" i="18" s="1"/>
  <c r="AN36" i="16"/>
  <c r="T143" i="6"/>
  <c r="C149" i="6"/>
  <c r="AO41" i="16" l="1"/>
  <c r="K6" i="18"/>
  <c r="C150" i="6"/>
  <c r="H158" i="6" s="1"/>
  <c r="T150" i="6"/>
  <c r="S151" i="6"/>
  <c r="T146" i="6" l="1"/>
  <c r="S146" i="6"/>
  <c r="C158" i="6" l="1"/>
  <c r="C159" i="6" s="1"/>
  <c r="C161" i="6" s="1"/>
  <c r="C163" i="6" s="1"/>
  <c r="H159" i="6"/>
  <c r="H161" i="6" s="1"/>
  <c r="T152" i="6"/>
  <c r="S160" i="6" l="1"/>
  <c r="T178" i="6" s="1"/>
  <c r="T159" i="6"/>
  <c r="T155" i="6" l="1"/>
  <c r="S155" i="6"/>
  <c r="S173" i="6" l="1"/>
  <c r="T161" i="6"/>
  <c r="T179" i="6" l="1"/>
  <c r="L17" i="18" l="1"/>
  <c r="K19" i="18"/>
  <c r="L15" i="18" l="1"/>
  <c r="K15" i="18"/>
  <c r="K18" i="18"/>
  <c r="L19" i="18"/>
  <c r="L13" i="18" l="1"/>
  <c r="K14" i="18"/>
  <c r="F1" i="24" l="1"/>
  <c r="F1" i="26"/>
  <c r="Q5" i="16" l="1"/>
  <c r="F1" i="25"/>
  <c r="C1" i="27"/>
  <c r="Q8" i="16" l="1"/>
  <c r="Q13" i="16" s="1"/>
  <c r="F1" i="27"/>
  <c r="C1" i="28"/>
  <c r="Q15" i="16" l="1"/>
  <c r="R5" i="16"/>
  <c r="R8" i="16" s="1"/>
  <c r="C1" i="29"/>
  <c r="F1" i="29" s="1"/>
  <c r="F1" i="28"/>
  <c r="L25" i="18" l="1"/>
  <c r="L27" i="18"/>
  <c r="K27" i="18"/>
  <c r="R13" i="16"/>
  <c r="S5" i="16" s="1"/>
  <c r="S8" i="16" s="1"/>
  <c r="K26" i="18" l="1"/>
  <c r="R15" i="16"/>
  <c r="S13" i="16" l="1"/>
  <c r="T5" i="16" l="1"/>
  <c r="T8" i="16" s="1"/>
  <c r="S15" i="16"/>
  <c r="T13" i="16" l="1"/>
  <c r="T15" i="16" s="1"/>
  <c r="U5" i="16" l="1"/>
  <c r="U8" i="16" s="1"/>
  <c r="U13" i="16" l="1"/>
  <c r="V5" i="16" s="1"/>
  <c r="V8" i="16" s="1"/>
  <c r="AA11" i="16" s="1"/>
  <c r="D11" i="16" s="1"/>
  <c r="U15" i="16" l="1"/>
  <c r="C11" i="16"/>
  <c r="V13" i="16" l="1"/>
  <c r="W5" i="16" l="1"/>
  <c r="V15" i="16"/>
  <c r="W8" i="16" l="1"/>
  <c r="W13" i="16" l="1"/>
  <c r="W15" i="16" s="1"/>
  <c r="X5" i="16" l="1"/>
  <c r="X8" i="16" s="1"/>
  <c r="X13" i="16" l="1"/>
  <c r="Y5" i="16" s="1"/>
  <c r="X15" i="16" l="1"/>
  <c r="Y8" i="16"/>
  <c r="Y13" i="16" l="1"/>
  <c r="Y15" i="16" s="1"/>
  <c r="Z5" i="16" l="1"/>
  <c r="Z8" i="16" s="1"/>
  <c r="I62" i="26"/>
  <c r="I62" i="24"/>
  <c r="I62" i="25"/>
  <c r="Z13" i="16" l="1"/>
  <c r="AA5" i="16" s="1"/>
  <c r="AA8" i="16" s="1"/>
  <c r="Z15" i="16" l="1"/>
  <c r="AA13" i="16"/>
  <c r="AA15" i="16" l="1"/>
  <c r="AB5" i="16"/>
  <c r="AB8" i="16" l="1"/>
  <c r="D8" i="16" l="1"/>
  <c r="D13" i="16" s="1"/>
  <c r="C8" i="16"/>
  <c r="C13" i="16" s="1"/>
  <c r="AB13" i="16"/>
  <c r="AC5" i="16" s="1"/>
  <c r="AC8" i="16" s="1"/>
  <c r="AC13" i="16" s="1"/>
  <c r="AC15" i="16" l="1"/>
  <c r="AD5" i="16"/>
  <c r="AD8" i="16" s="1"/>
  <c r="AB15" i="16"/>
  <c r="AD13" i="16" l="1"/>
  <c r="AE5" i="16" l="1"/>
  <c r="AE8" i="16" s="1"/>
  <c r="AE13" i="16" s="1"/>
  <c r="AD15" i="16"/>
  <c r="AF5" i="16" l="1"/>
  <c r="AF8" i="16" s="1"/>
  <c r="AF13" i="16" s="1"/>
  <c r="AF15" i="16" s="1"/>
  <c r="AE15" i="16"/>
  <c r="AG13" i="16" l="1"/>
  <c r="AH5" i="16" s="1"/>
  <c r="AG15" i="16" l="1"/>
  <c r="AH13" i="16"/>
  <c r="AO5" i="16"/>
  <c r="L2" i="18" l="1"/>
  <c r="AH15" i="16"/>
  <c r="AN6" i="16"/>
  <c r="AO7" i="16"/>
  <c r="AN7" i="16"/>
  <c r="K4" i="18" s="1"/>
  <c r="H61" i="22" l="1"/>
  <c r="H61" i="23"/>
  <c r="I61" i="23"/>
  <c r="K3" i="18"/>
  <c r="K32" i="18" s="1"/>
  <c r="L4" i="18"/>
  <c r="L32" i="18" s="1"/>
  <c r="I61" i="29"/>
  <c r="I61" i="5"/>
  <c r="I61" i="28"/>
  <c r="I61" i="27"/>
  <c r="I61" i="19"/>
  <c r="H61" i="28"/>
  <c r="H61" i="27"/>
  <c r="H61" i="5"/>
  <c r="H61" i="21"/>
  <c r="H61" i="29"/>
  <c r="H61" i="20"/>
  <c r="AO11" i="16"/>
  <c r="I61" i="22" s="1"/>
  <c r="I62" i="22" s="1"/>
  <c r="H61" i="19"/>
  <c r="I62" i="19" s="1"/>
  <c r="I62" i="29" l="1"/>
  <c r="I62" i="5"/>
  <c r="I62" i="28"/>
  <c r="I62" i="27"/>
  <c r="I62" i="23"/>
  <c r="I61" i="20"/>
  <c r="I62" i="20" s="1"/>
  <c r="I61" i="21"/>
  <c r="I62" i="21" s="1"/>
</calcChain>
</file>

<file path=xl/comments1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C30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adjust for penny rounding</t>
        </r>
      </text>
    </comment>
    <comment ref="H31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was .0054
found and corrected 4/25/18… dollars corrected in April Entry</t>
        </r>
      </text>
    </comment>
  </commentList>
</comments>
</file>

<file path=xl/comments10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11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M28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ID - PGA Rate Changes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WA - PGA Rate Changes</t>
        </r>
      </text>
    </comment>
    <comment ref="M4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ID - PGA Rate Changes</t>
        </r>
      </text>
    </comment>
    <comment ref="I45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WA - PGA Rate Changes</t>
        </r>
      </text>
    </comment>
  </commentList>
</comments>
</file>

<file path=xl/comments12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3.xml><?xml version="1.0" encoding="utf-8"?>
<comments xmlns="http://schemas.openxmlformats.org/spreadsheetml/2006/main">
  <authors>
    <author>Berg, Jenny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Beginning 201701</t>
        </r>
      </text>
    </comment>
    <comment ref="AC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updated 4/25/18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"plug" to get to Ryan's balance of $14,182,183.96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Dec/Jan Rate Schedule 146 difference per Rates
Added in order to tie to Annette's balance of $14,771,212.55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= 
$14,182,183.96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= $14,771,212.55.
Difference = $35.15 and noted under Misc Adjustments in November.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Demand…increases in '16 b/c of change in rate from .02571 to .09174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A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</t>
        </r>
      </text>
    </comment>
    <comment ref="AB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C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D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E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F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G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H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B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C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D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E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F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G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H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</t>
        </r>
      </text>
    </comment>
    <comment ref="AA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"November 2016 Transfers" spreadsheet</t>
        </r>
      </text>
    </comment>
    <comment ref="AA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Temporary Refunds/Charges Rate Spreadsheet</t>
        </r>
      </text>
    </comment>
    <comment ref="AB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moved from Nov column b/c actually booked in Dec and interest should reflect this.  The $459.10 is getting picked up in Jan'18.</t>
        </r>
      </text>
    </comment>
    <comment ref="AD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to correct for $130,571.12 being too high - picked up wrong column on Annette's spreadsheet.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P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AA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October unbilled reversal…and then move remaining balance to 426500-ZZ-ZZ</t>
        </r>
      </text>
    </comment>
    <comment ref="Q7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Correction to backwards sign on $298 last month...</t>
        </r>
      </text>
    </comment>
    <comment ref="AB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C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D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E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F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G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H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Z7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 November write off to 426500-ZZ-ZZ… </t>
        </r>
      </text>
    </comment>
  </commentList>
</comments>
</file>

<file path=xl/comments14.xml><?xml version="1.0" encoding="utf-8"?>
<comments xmlns="http://schemas.openxmlformats.org/spreadsheetml/2006/main">
  <authors>
    <author>CGroome</author>
  </authors>
  <commentList>
    <comment ref="E2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69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90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1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3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53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74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9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16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37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5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8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30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</commentList>
</comments>
</file>

<file path=xl/comments2.xml><?xml version="1.0" encoding="utf-8"?>
<comments xmlns="http://schemas.openxmlformats.org/spreadsheetml/2006/main">
  <authors>
    <author>Berg, Jenny</author>
    <author>MGG9990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Transportation = amount of capacity in the pipeline.</t>
        </r>
      </text>
    </comment>
    <comment ref="I5" authorId="1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6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7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8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9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see if this amount is still a negative cost…like july and aug '17.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sharedStrings.xml><?xml version="1.0" encoding="utf-8"?>
<sst xmlns="http://schemas.openxmlformats.org/spreadsheetml/2006/main" count="5138" uniqueCount="347">
  <si>
    <t>State of Washington</t>
  </si>
  <si>
    <t>Balance</t>
  </si>
  <si>
    <t>Commodity</t>
  </si>
  <si>
    <t>Demand</t>
  </si>
  <si>
    <t>Interest</t>
  </si>
  <si>
    <t>NWP/PGT</t>
  </si>
  <si>
    <t>Capacity</t>
  </si>
  <si>
    <t>Deferral</t>
  </si>
  <si>
    <t>Refund</t>
  </si>
  <si>
    <t>Charges</t>
  </si>
  <si>
    <t>Tracker transfer</t>
  </si>
  <si>
    <t>Tracker Transfer</t>
  </si>
  <si>
    <t xml:space="preserve"> Interest</t>
  </si>
  <si>
    <t>Avista Corporation</t>
  </si>
  <si>
    <t>Misc</t>
  </si>
  <si>
    <t>Recap of Account 191010 GD WA</t>
  </si>
  <si>
    <t>Acct 191010</t>
  </si>
  <si>
    <t>191010 GD WA</t>
  </si>
  <si>
    <t>dr</t>
  </si>
  <si>
    <t>cr</t>
  </si>
  <si>
    <t>805120 GD WA</t>
  </si>
  <si>
    <t>Total</t>
  </si>
  <si>
    <t>Rates</t>
  </si>
  <si>
    <t>Amortization</t>
  </si>
  <si>
    <t>Schedule</t>
  </si>
  <si>
    <t>J0URNAL ENTRY</t>
  </si>
  <si>
    <t>805110 GD WA</t>
  </si>
  <si>
    <t>191000 GD WA</t>
  </si>
  <si>
    <t>Total Interest Income</t>
  </si>
  <si>
    <t xml:space="preserve">Total Interest Expense 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</si>
  <si>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</si>
  <si>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</si>
  <si>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</si>
  <si>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</si>
  <si>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</si>
  <si>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</si>
  <si>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</si>
  <si>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</si>
  <si>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</si>
  <si>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</si>
  <si>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</si>
  <si>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</si>
  <si>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</si>
  <si>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</si>
  <si>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</si>
  <si>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</si>
  <si>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State of Idaho</t>
  </si>
  <si>
    <t>Analysis of Account 191010 GD ID</t>
  </si>
  <si>
    <t>Contract</t>
  </si>
  <si>
    <t>Cascade</t>
  </si>
  <si>
    <t>Off-Sys Sales</t>
  </si>
  <si>
    <t>Off-System Sales</t>
  </si>
  <si>
    <t>Admin &amp; Gen</t>
  </si>
  <si>
    <t>Marg-Commod</t>
  </si>
  <si>
    <t>Marg-Capacity</t>
  </si>
  <si>
    <t>Releases</t>
  </si>
  <si>
    <t>Ending Balance</t>
  </si>
  <si>
    <t xml:space="preserve">Interest </t>
  </si>
  <si>
    <t>191010 GD ID</t>
  </si>
  <si>
    <t>805120 GD ID</t>
  </si>
  <si>
    <t>805110 GD ID</t>
  </si>
  <si>
    <t>132J</t>
  </si>
  <si>
    <t>191000 GD ID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</si>
  <si>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</si>
  <si>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</si>
  <si>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</si>
  <si>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</si>
  <si>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</si>
  <si>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</si>
  <si>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</si>
  <si>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</si>
  <si>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</si>
  <si>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</si>
  <si>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</si>
  <si>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</si>
  <si>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419600 GD WA</t>
  </si>
  <si>
    <t>431600 GD WA</t>
  </si>
  <si>
    <t>419600 GD ID</t>
  </si>
  <si>
    <t>431600 GD ID</t>
  </si>
  <si>
    <t>WA deferral</t>
  </si>
  <si>
    <t>Deferral exp</t>
  </si>
  <si>
    <t>ID deferral</t>
  </si>
  <si>
    <t>Interest Income</t>
  </si>
  <si>
    <t xml:space="preserve">Interest Expense </t>
  </si>
  <si>
    <t>Current Mo Deferrals</t>
  </si>
  <si>
    <t>Interest %</t>
  </si>
  <si>
    <t>Adjustments</t>
  </si>
  <si>
    <t>Subtotal</t>
  </si>
  <si>
    <t xml:space="preserve">NWP Fixed </t>
  </si>
  <si>
    <t>GTN Fixed</t>
  </si>
  <si>
    <t xml:space="preserve">GTN Variable </t>
  </si>
  <si>
    <t>GTN Capacity Release</t>
  </si>
  <si>
    <t>ANG Total</t>
  </si>
  <si>
    <t>WEI (Duke) Total</t>
  </si>
  <si>
    <t>Commodity Purchases (Natural Gas)</t>
  </si>
  <si>
    <t xml:space="preserve">Total Net Gas Costs </t>
  </si>
  <si>
    <t>Counterparty Invoice Total</t>
  </si>
  <si>
    <t>Total WA Amortization Expense</t>
  </si>
  <si>
    <t>WA Recoverable Gas Costs</t>
  </si>
  <si>
    <t>Total ID Amortization Expense</t>
  </si>
  <si>
    <t>ID Recoverable Gas Costs</t>
  </si>
  <si>
    <t>Volumes</t>
  </si>
  <si>
    <t>check</t>
  </si>
  <si>
    <t>Totals from above</t>
  </si>
  <si>
    <t xml:space="preserve"> Current Unrecovered PGA Deferred</t>
  </si>
  <si>
    <t>Large Customer</t>
  </si>
  <si>
    <t>WA CURR UNRECOV PGA DEFERRED</t>
  </si>
  <si>
    <t>ID CURR UNRECOV PGA DEFERRED</t>
  </si>
  <si>
    <t xml:space="preserve">Balance Sheet </t>
  </si>
  <si>
    <t>PGA Deferral Revenue from above</t>
  </si>
  <si>
    <r>
      <t>Demand (Transportation)</t>
    </r>
    <r>
      <rPr>
        <b/>
        <sz val="12"/>
        <color indexed="8"/>
        <rFont val="Arial"/>
        <family val="2"/>
      </rPr>
      <t xml:space="preserve"> Costs</t>
    </r>
  </si>
  <si>
    <r>
      <t>Total Demand</t>
    </r>
    <r>
      <rPr>
        <b/>
        <sz val="12"/>
        <color indexed="8"/>
        <rFont val="Arial"/>
        <family val="2"/>
      </rPr>
      <t xml:space="preserve"> Costs from Purchase Journals</t>
    </r>
  </si>
  <si>
    <t>WA/ID Buy/Sell Transportation Recovery</t>
  </si>
  <si>
    <t>less variable costs charged to Commodity</t>
  </si>
  <si>
    <t>Total Demand Costs to be Allocated</t>
  </si>
  <si>
    <t>804000 GD AN</t>
  </si>
  <si>
    <t xml:space="preserve">Total Demand Costs </t>
  </si>
  <si>
    <t>804001 GD AN</t>
  </si>
  <si>
    <t>plus variable costs from Demand</t>
  </si>
  <si>
    <t>Total Commodity Costs to be Allocated</t>
  </si>
  <si>
    <t>808100/808200 GD AN</t>
  </si>
  <si>
    <t>WA Imbalance</t>
  </si>
  <si>
    <t>ID Imbalance</t>
  </si>
  <si>
    <t>Total Commodity Costs from Purchase Journals</t>
  </si>
  <si>
    <t>WA/ID Off System Revenue</t>
  </si>
  <si>
    <t>Total Deferred Commodity Costs:</t>
  </si>
  <si>
    <t>DEMAND</t>
  </si>
  <si>
    <t xml:space="preserve">Total Demand </t>
  </si>
  <si>
    <t>COMMODITY</t>
  </si>
  <si>
    <t>Commodity Physical</t>
  </si>
  <si>
    <t>Broker Fees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</si>
  <si>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</si>
  <si>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</si>
  <si>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</si>
  <si>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</si>
  <si>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</si>
  <si>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</si>
  <si>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</si>
  <si>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</si>
  <si>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r>
      <t xml:space="preserve">Total Current Demand Costs </t>
    </r>
    <r>
      <rPr>
        <b/>
        <sz val="12"/>
        <rFont val="Arial"/>
        <family val="2"/>
      </rPr>
      <t>(excluding refund)</t>
    </r>
  </si>
  <si>
    <t>NWP Total (excluding Refund)</t>
  </si>
  <si>
    <t>WA 191000 Recoverable Gas Costs Amortized</t>
  </si>
  <si>
    <t>ID 191000 Recoverable Gas Costs Amortized</t>
  </si>
  <si>
    <t xml:space="preserve">Valley Hospital </t>
  </si>
  <si>
    <t>Terasen</t>
  </si>
  <si>
    <t xml:space="preserve">  Current Month Estimate</t>
  </si>
  <si>
    <t>Cochrane Credit</t>
  </si>
  <si>
    <t>811000 GD AN</t>
  </si>
  <si>
    <t>Misc Adjustment</t>
  </si>
  <si>
    <t>Questar</t>
  </si>
  <si>
    <t>Thermal Transport</t>
  </si>
  <si>
    <t>Spokane Rock Products</t>
  </si>
  <si>
    <t>804017 GD AN</t>
  </si>
  <si>
    <t>Foreign Exchange Hedge Activity</t>
  </si>
  <si>
    <t>Interest Revenue</t>
  </si>
  <si>
    <t>804010 GD AN</t>
  </si>
  <si>
    <t>Large Customer Refund</t>
  </si>
  <si>
    <t xml:space="preserve">Adjustments </t>
  </si>
  <si>
    <t>interest check</t>
  </si>
  <si>
    <t>Check</t>
  </si>
  <si>
    <t>From DJ 430</t>
  </si>
  <si>
    <t>Adj</t>
  </si>
  <si>
    <t>Def Rev Calc</t>
  </si>
  <si>
    <t>Spectra Westcoast Fixed</t>
  </si>
  <si>
    <t>Spectra Westcoast Variable</t>
  </si>
  <si>
    <t>Transcanada Foothills (BC System) Fixed</t>
  </si>
  <si>
    <t>Transcanada Foothills (BC System) Variable</t>
  </si>
  <si>
    <t>Intracompany Transportation Optimization</t>
  </si>
  <si>
    <t>FAFB Commodity for Anderson Elementary/Lignetics (semi-annual)</t>
  </si>
  <si>
    <t>WA/ID Gas Purchased from Interstate Asphalt (Annual)</t>
  </si>
  <si>
    <t>Analysis of Account 191000 GD ID</t>
  </si>
  <si>
    <t>Recovered PGA Deferred</t>
  </si>
  <si>
    <t>Analysis of Account 191000 GD WA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</si>
  <si>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</si>
  <si>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</si>
  <si>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</si>
  <si>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</si>
  <si>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</si>
  <si>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</si>
  <si>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</si>
  <si>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</si>
  <si>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</si>
  <si>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</si>
  <si>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</si>
  <si>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</si>
  <si>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</si>
  <si>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</si>
  <si>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Manual Calc</t>
  </si>
  <si>
    <t>Other capacity release credit</t>
  </si>
  <si>
    <t>Other Pipeline Fixed charges</t>
  </si>
  <si>
    <t>495028 GD AN</t>
  </si>
  <si>
    <t>Avista Corp. - Resource Accounting</t>
  </si>
  <si>
    <t>Date of Graphs</t>
  </si>
  <si>
    <t>$ in Millions:  (+) Rebate; (-) Surcharge</t>
  </si>
  <si>
    <t>Washington Deferral</t>
  </si>
  <si>
    <t>WA 191025 WA GRC JACKSON PRAIRIE DEFERRAL</t>
  </si>
  <si>
    <t>WA GRC Jackson Prairie Deferral</t>
  </si>
  <si>
    <t>191025 GD WA</t>
  </si>
  <si>
    <t>Current Month Amortization</t>
  </si>
  <si>
    <t>Original</t>
  </si>
  <si>
    <t>Amortization of JP Deferral</t>
  </si>
  <si>
    <t>Analysis of Account 191015 GD ID</t>
  </si>
  <si>
    <t>ID Deferral Holdback</t>
  </si>
  <si>
    <t>Acct 191015</t>
  </si>
  <si>
    <t>Balance 10/1/12</t>
  </si>
  <si>
    <t>Tracker Transfer 191015</t>
  </si>
  <si>
    <t>Tracker Transfer 191000</t>
  </si>
  <si>
    <t>191015 GD ID</t>
  </si>
  <si>
    <t>Tracker Transfer 10/1/12</t>
  </si>
  <si>
    <t>ID Holdback</t>
  </si>
  <si>
    <t>Balance 11/1/12</t>
  </si>
  <si>
    <t>2012 Deferral Transfer</t>
  </si>
  <si>
    <t>Tracker Transfer 11/1/12</t>
  </si>
  <si>
    <t>CORRECTED</t>
  </si>
  <si>
    <t>J0URNAL ENTRY - ORIGINAL</t>
  </si>
  <si>
    <t>J0URNAL ENTRY CORRECTION - book 12/31</t>
  </si>
  <si>
    <t>ID CURR UNRECOV PGA DEFERRED - ORIGINALLY RECORDED</t>
  </si>
  <si>
    <t>ID CURR UNRECOV PGA DEFERRED Correcting Entry CORRECTING booked 12/31</t>
  </si>
  <si>
    <t>Correcting Adjustment for 12/2012</t>
  </si>
  <si>
    <t>11-30-2012 - Corrected</t>
  </si>
  <si>
    <t>M Checmical Accrual</t>
  </si>
  <si>
    <t>Idaho Deferral (With Holdback)</t>
  </si>
  <si>
    <t>Mizuho Broker Fees</t>
  </si>
  <si>
    <t>Balance 10/1/13</t>
  </si>
  <si>
    <t>SEE ID AMORT 191015 TAB FOR AMORTIZATION BEGINNING 10/1/2013</t>
  </si>
  <si>
    <t>10/1/2013 Tracker Transfer</t>
  </si>
  <si>
    <t>10/1/13 Balance</t>
  </si>
  <si>
    <t>10/1/2013 Balance</t>
  </si>
  <si>
    <t>805111 GD ID</t>
  </si>
  <si>
    <t>= Var = Correction of rate used 10/2013 close</t>
  </si>
  <si>
    <t>PGA Tracker Transfer</t>
  </si>
  <si>
    <t>Balance 11/1/2013</t>
  </si>
  <si>
    <t>2013 Deferral Transfer</t>
  </si>
  <si>
    <t>Adjusted 11/1/2013 Balance</t>
  </si>
  <si>
    <t>Demand Allocation Correction NSJ</t>
  </si>
  <si>
    <t>WA CURR UNRECOV PGA DEFERRED - CORRECTED</t>
  </si>
  <si>
    <t>WA CURR UNRECOV PGA DEFERRED - ORIGINALLY RECORDED IN DJ431</t>
  </si>
  <si>
    <t>WA CURR UNRECOV PGA DEFERRED - CORRECTING ENTRY</t>
  </si>
  <si>
    <t>ID CURR UNRECOV PGA DEFERRED - CORRECTED</t>
  </si>
  <si>
    <t>ID CURR UNRECOV PGA DEFERRED - ORIGINALLY RECORDED IN DJ431</t>
  </si>
  <si>
    <t>ID CURR UNRECOV PGA DEFERRED - CORRECTING ENTRY</t>
  </si>
  <si>
    <t>Adjusted Ending Balance</t>
  </si>
  <si>
    <t>GL Wand Check</t>
  </si>
  <si>
    <t>Variance</t>
  </si>
  <si>
    <t>GL CHECK</t>
  </si>
  <si>
    <t>O</t>
  </si>
  <si>
    <t>2012-2013 PGA Deferral Balances</t>
  </si>
  <si>
    <t>NSJ025</t>
  </si>
  <si>
    <t>YTD</t>
  </si>
  <si>
    <t>PGA YTD</t>
  </si>
  <si>
    <t>Beginning Balance</t>
  </si>
  <si>
    <t>Demand Deferral</t>
  </si>
  <si>
    <t>Month</t>
  </si>
  <si>
    <t>Interest Rate</t>
  </si>
  <si>
    <t>Interest (Rev/Expense)</t>
  </si>
  <si>
    <t>PGA Transfer</t>
  </si>
  <si>
    <t>GLW Check</t>
  </si>
  <si>
    <t>Cumulative
Balance</t>
  </si>
  <si>
    <t>Commodity Adjustment</t>
  </si>
  <si>
    <t>Demand Adjustment</t>
  </si>
  <si>
    <t>Interest Adjustment</t>
  </si>
  <si>
    <t>Blue Text = Drag Formula to next month and copy/paste value in prior month</t>
  </si>
  <si>
    <t>Washington Current Deferral</t>
  </si>
  <si>
    <t>Washington Amortization</t>
  </si>
  <si>
    <t>Calendar Sales Check</t>
  </si>
  <si>
    <t>*Misc Adjustments*</t>
  </si>
  <si>
    <t>Project or GL entry</t>
  </si>
  <si>
    <t>Project</t>
  </si>
  <si>
    <t>Task</t>
  </si>
  <si>
    <t>Expenditure Type</t>
  </si>
  <si>
    <t>Organization</t>
  </si>
  <si>
    <t>Company</t>
  </si>
  <si>
    <t>FERC</t>
  </si>
  <si>
    <t>Service Code</t>
  </si>
  <si>
    <t>Rate Making Jurisdiction</t>
  </si>
  <si>
    <t>Statistical Indicator</t>
  </si>
  <si>
    <t>Quantity</t>
  </si>
  <si>
    <t>Credit (GL Only entries)</t>
  </si>
  <si>
    <t>Comments</t>
  </si>
  <si>
    <t>G</t>
  </si>
  <si>
    <t>GD</t>
  </si>
  <si>
    <t>WA</t>
  </si>
  <si>
    <t>DL</t>
  </si>
  <si>
    <t>GL</t>
  </si>
  <si>
    <t>WA Deferral Interest Income</t>
  </si>
  <si>
    <t>WA Deferral Interest Expense</t>
  </si>
  <si>
    <t>WA Deferral</t>
  </si>
  <si>
    <t>WA Deferral Expense</t>
  </si>
  <si>
    <t>WA Amortization Interest Income</t>
  </si>
  <si>
    <t>WA Amortization Interest Expense</t>
  </si>
  <si>
    <t>WA Amortization</t>
  </si>
  <si>
    <t>WA Amortization Expense</t>
  </si>
  <si>
    <t>WA Amortization JP</t>
  </si>
  <si>
    <t>WA Amortization Expense JP</t>
  </si>
  <si>
    <t>JET Entry</t>
  </si>
  <si>
    <t>Update JE date to pull current month values</t>
  </si>
  <si>
    <t>483000/483600/483730</t>
  </si>
  <si>
    <t>Idaho PGA Costs</t>
  </si>
  <si>
    <t>Washington PGA Costs</t>
  </si>
  <si>
    <t>2013-2014 PGA Costs</t>
  </si>
  <si>
    <t>Actual</t>
  </si>
  <si>
    <t>PGA Rate</t>
  </si>
  <si>
    <t>PGA Budget</t>
  </si>
  <si>
    <t>Deferral Check</t>
  </si>
  <si>
    <t>M Chemical Accrual</t>
  </si>
  <si>
    <t>Schedule 102</t>
  </si>
  <si>
    <t>MAIN CALC</t>
  </si>
  <si>
    <t>Main Calc</t>
  </si>
  <si>
    <t>Wells Fargo Journal DJ 473</t>
  </si>
  <si>
    <t>Commodity Deferral</t>
  </si>
  <si>
    <t>Volume - Commodity &amp; Demand</t>
  </si>
  <si>
    <t>Volume - Demand only</t>
  </si>
  <si>
    <t>Deferred Exchange Revenue</t>
  </si>
  <si>
    <t>Other Capacity Release credit</t>
  </si>
  <si>
    <t>(   ) = Rebate</t>
  </si>
  <si>
    <t>Merchandise Processing Fee DJ 467</t>
  </si>
  <si>
    <t>804018 GD AN</t>
  </si>
  <si>
    <t>cost to allocate is negative…</t>
  </si>
  <si>
    <t>ZZ</t>
  </si>
  <si>
    <t>NO MORE ENTRY</t>
  </si>
  <si>
    <t>n/a</t>
  </si>
  <si>
    <t>BOOKED IN DECEMBER 2017:</t>
  </si>
  <si>
    <t>Month Ending</t>
  </si>
  <si>
    <t>Prior Period Adjustments</t>
  </si>
  <si>
    <t>GL WAND BALANCES</t>
  </si>
  <si>
    <t>MONTHLY RECON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</si>
  <si>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</si>
  <si>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</si>
  <si>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</si>
  <si>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</si>
  <si>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</si>
  <si>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</si>
  <si>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</si>
  <si>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</si>
  <si>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</si>
  <si>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</si>
  <si>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</si>
  <si>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</si>
  <si>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</si>
  <si>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</si>
  <si>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</si>
  <si>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Accounts 191010</t>
  </si>
  <si>
    <t>191010 - Current Unrecovered PGA Deferral</t>
  </si>
  <si>
    <t>Accounts 191000</t>
  </si>
  <si>
    <t>191000 - Recoverable Gas Costs Amortized</t>
  </si>
  <si>
    <t>Annual xfer of balance per PGA to 191000</t>
  </si>
  <si>
    <t>Annual xfer of balance per PGA to 191010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</si>
</sst>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0.0000%"/>
    <numFmt numFmtId="167" formatCode="_(* #,##0.000_);_(* \(#,##0.000\);_(* &quot;-&quot;??_);_(@_)"/>
    <numFmt numFmtId="168" formatCode="General_)"/>
    <numFmt numFmtId="169" formatCode="0_)"/>
    <numFmt numFmtId="170" formatCode="&quot;$&quot;#,##0.00000_);\(&quot;$&quot;#,##0.00000\)"/>
    <numFmt numFmtId="171" formatCode="#,##0.00000_);\(#,##0.00000\)"/>
    <numFmt numFmtId="172" formatCode="mm/dd/yy_)"/>
    <numFmt numFmtId="173" formatCode="mm/dd/yy"/>
    <numFmt numFmtId="174" formatCode="#,##0.0000_);\(#,##0.0000\)"/>
    <numFmt numFmtId="175" formatCode="[$-409]mmm/yy;@"/>
    <numFmt numFmtId="176" formatCode="#,##0.0000_);[Red]\(#,##0.0000\)"/>
    <numFmt numFmtId="177" formatCode="_(&quot;$&quot;* #,##0.00000_);_(&quot;$&quot;* \(#,##0.00000\);_(&quot;$&quot;* &quot;-&quot;??_);_(@_)"/>
    <numFmt numFmtId="178" formatCode="&quot;$&quot;#,##0.00000_);[Red]\(&quot;$&quot;#,##0.00000\)"/>
    <numFmt numFmtId="179" formatCode="&quot;$&quot;#,##0.0_);\(&quot;$&quot;#,##0.0\)"/>
    <numFmt numFmtId="180" formatCode="&quot;$&quot;#,##0\ ;\(&quot;$&quot;#,##0\)"/>
    <numFmt numFmtId="181" formatCode="_(* #,##0.00_);_(* \(#,##0.00\);_(* &quot;-&quot;_);_(@_)"/>
    <numFmt numFmtId="182" formatCode="00000000"/>
    <numFmt numFmtId="183" formatCode="000"/>
    <numFmt numFmtId="184" formatCode="0.0000000"/>
  </numFmts>
  <fonts count="62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color indexed="12"/>
      <name val="Helv"/>
    </font>
    <font>
      <b/>
      <sz val="10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2"/>
      <color indexed="14"/>
      <name val="Arial"/>
      <family val="2"/>
    </font>
    <font>
      <sz val="12"/>
      <color indexed="9"/>
      <name val="Arial"/>
      <family val="2"/>
    </font>
    <font>
      <b/>
      <sz val="12"/>
      <color indexed="17"/>
      <name val="Arial"/>
      <family val="2"/>
    </font>
    <font>
      <sz val="12"/>
      <color indexed="10"/>
      <name val="Times New Roman"/>
      <family val="1"/>
    </font>
    <font>
      <b/>
      <sz val="12"/>
      <color rgb="FF008000"/>
      <name val="Arial"/>
      <family val="2"/>
    </font>
    <font>
      <sz val="12"/>
      <color theme="0"/>
      <name val="Arial"/>
      <family val="2"/>
    </font>
    <font>
      <b/>
      <sz val="12"/>
      <color rgb="FF0000FF"/>
      <name val="Arial"/>
      <family val="2"/>
    </font>
    <font>
      <b/>
      <sz val="18"/>
      <name val="Helv"/>
    </font>
    <font>
      <b/>
      <sz val="16"/>
      <name val="Helv"/>
    </font>
    <font>
      <sz val="10"/>
      <color rgb="FF0000FF"/>
      <name val="Helv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rgb="FF0000FF"/>
      <name val="Helv"/>
    </font>
    <font>
      <sz val="12"/>
      <name val="Helv"/>
    </font>
    <font>
      <b/>
      <sz val="12"/>
      <name val="Helv"/>
    </font>
    <font>
      <sz val="12"/>
      <color rgb="FF0000FF"/>
      <name val="Helv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b/>
      <i/>
      <sz val="12"/>
      <name val="Helv"/>
    </font>
    <font>
      <b/>
      <sz val="11"/>
      <name val="Arial"/>
      <family val="2"/>
    </font>
    <font>
      <b/>
      <sz val="14"/>
      <name val="Geneva"/>
    </font>
    <font>
      <strike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4">
    <xf numFmtId="39" fontId="0" fillId="0" borderId="0"/>
    <xf numFmtId="40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0" fontId="28" fillId="2" borderId="0"/>
    <xf numFmtId="9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7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0" fontId="37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21" fillId="0" borderId="0"/>
    <xf numFmtId="9" fontId="21" fillId="0" borderId="0" applyFont="0" applyFill="0" applyBorder="0" applyAlignment="0" applyProtection="0"/>
    <xf numFmtId="1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9" fillId="0" borderId="0"/>
    <xf numFmtId="0" fontId="40" fillId="0" borderId="0"/>
    <xf numFmtId="0" fontId="9" fillId="0" borderId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0" borderId="0"/>
    <xf numFmtId="0" fontId="4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3" fillId="0" borderId="29" applyNumberFormat="0" applyFill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2">
    <xf numFmtId="39" fontId="0" fillId="0" borderId="0" xfId="0"/>
    <xf numFmtId="39" fontId="15" fillId="0" borderId="0" xfId="0" applyFont="1"/>
    <xf numFmtId="39" fontId="16" fillId="0" borderId="0" xfId="0" applyFont="1"/>
    <xf numFmtId="14" fontId="16" fillId="0" borderId="0" xfId="0" applyNumberFormat="1" applyFont="1"/>
    <xf numFmtId="43" fontId="17" fillId="0" borderId="0" xfId="0" applyNumberFormat="1" applyFont="1" applyFill="1"/>
    <xf numFmtId="39" fontId="15" fillId="0" borderId="0" xfId="0" applyFont="1" applyBorder="1"/>
    <xf numFmtId="39" fontId="15" fillId="0" borderId="0" xfId="0" applyFont="1" applyAlignment="1">
      <alignment horizontal="center"/>
    </xf>
    <xf numFmtId="39" fontId="15" fillId="0" borderId="0" xfId="0" applyFont="1" applyFill="1" applyBorder="1"/>
    <xf numFmtId="7" fontId="15" fillId="0" borderId="0" xfId="0" applyNumberFormat="1" applyFont="1" applyFill="1" applyBorder="1"/>
    <xf numFmtId="39" fontId="16" fillId="0" borderId="0" xfId="0" applyFont="1" applyAlignment="1">
      <alignment horizontal="right"/>
    </xf>
    <xf numFmtId="7" fontId="15" fillId="0" borderId="0" xfId="4" applyNumberFormat="1" applyFont="1" applyFill="1" applyBorder="1"/>
    <xf numFmtId="39" fontId="16" fillId="0" borderId="0" xfId="0" applyFont="1" applyFill="1" applyBorder="1"/>
    <xf numFmtId="39" fontId="16" fillId="0" borderId="0" xfId="0" applyFont="1" applyFill="1" applyBorder="1" applyAlignment="1">
      <alignment horizontal="center"/>
    </xf>
    <xf numFmtId="39" fontId="16" fillId="0" borderId="2" xfId="0" applyFont="1" applyFill="1" applyBorder="1" applyAlignment="1">
      <alignment horizontal="center"/>
    </xf>
    <xf numFmtId="39" fontId="17" fillId="0" borderId="4" xfId="0" applyFont="1" applyBorder="1"/>
    <xf numFmtId="39" fontId="15" fillId="0" borderId="0" xfId="0" applyFont="1" applyAlignment="1">
      <alignment horizontal="right"/>
    </xf>
    <xf numFmtId="39" fontId="16" fillId="0" borderId="0" xfId="0" applyFont="1" applyBorder="1"/>
    <xf numFmtId="37" fontId="16" fillId="0" borderId="0" xfId="0" applyNumberFormat="1" applyFont="1" applyAlignment="1">
      <alignment horizontal="center"/>
    </xf>
    <xf numFmtId="37" fontId="16" fillId="0" borderId="5" xfId="0" applyNumberFormat="1" applyFont="1" applyBorder="1" applyAlignment="1">
      <alignment horizontal="center"/>
    </xf>
    <xf numFmtId="39" fontId="10" fillId="0" borderId="0" xfId="0" applyFont="1" applyFill="1" applyBorder="1"/>
    <xf numFmtId="39" fontId="16" fillId="0" borderId="0" xfId="0" applyFont="1" applyAlignment="1">
      <alignment horizontal="left"/>
    </xf>
    <xf numFmtId="165" fontId="23" fillId="0" borderId="0" xfId="0" applyNumberFormat="1" applyFont="1" applyBorder="1" applyProtection="1"/>
    <xf numFmtId="39" fontId="15" fillId="0" borderId="0" xfId="0" applyFont="1" applyAlignment="1">
      <alignment horizontal="left"/>
    </xf>
    <xf numFmtId="165" fontId="18" fillId="0" borderId="0" xfId="0" applyNumberFormat="1" applyFont="1" applyProtection="1">
      <protection locked="0"/>
    </xf>
    <xf numFmtId="165" fontId="23" fillId="0" borderId="0" xfId="0" applyNumberFormat="1" applyFont="1" applyProtection="1">
      <protection locked="0"/>
    </xf>
    <xf numFmtId="165" fontId="15" fillId="0" borderId="0" xfId="0" applyNumberFormat="1" applyFont="1" applyProtection="1"/>
    <xf numFmtId="165" fontId="15" fillId="0" borderId="0" xfId="0" applyNumberFormat="1" applyFont="1" applyProtection="1">
      <protection locked="0"/>
    </xf>
    <xf numFmtId="170" fontId="15" fillId="0" borderId="0" xfId="0" applyNumberFormat="1" applyFont="1" applyProtection="1"/>
    <xf numFmtId="5" fontId="15" fillId="0" borderId="0" xfId="0" applyNumberFormat="1" applyFont="1" applyProtection="1"/>
    <xf numFmtId="17" fontId="16" fillId="0" borderId="17" xfId="0" applyNumberFormat="1" applyFont="1" applyBorder="1"/>
    <xf numFmtId="39" fontId="15" fillId="3" borderId="0" xfId="0" applyFont="1" applyFill="1"/>
    <xf numFmtId="5" fontId="16" fillId="0" borderId="0" xfId="0" applyNumberFormat="1" applyFont="1" applyFill="1" applyAlignment="1">
      <alignment horizontal="center"/>
    </xf>
    <xf numFmtId="5" fontId="15" fillId="0" borderId="0" xfId="0" applyNumberFormat="1" applyFont="1" applyFill="1"/>
    <xf numFmtId="17" fontId="16" fillId="3" borderId="0" xfId="0" applyNumberFormat="1" applyFont="1" applyFill="1"/>
    <xf numFmtId="5" fontId="16" fillId="3" borderId="0" xfId="0" applyNumberFormat="1" applyFont="1" applyFill="1" applyAlignment="1">
      <alignment horizontal="center"/>
    </xf>
    <xf numFmtId="5" fontId="15" fillId="3" borderId="0" xfId="0" applyNumberFormat="1" applyFont="1" applyFill="1"/>
    <xf numFmtId="7" fontId="15" fillId="3" borderId="0" xfId="0" applyNumberFormat="1" applyFont="1" applyFill="1"/>
    <xf numFmtId="7" fontId="15" fillId="3" borderId="0" xfId="0" applyNumberFormat="1" applyFont="1" applyFill="1" applyBorder="1"/>
    <xf numFmtId="39" fontId="15" fillId="0" borderId="0" xfId="0" applyFont="1" applyFill="1"/>
    <xf numFmtId="39" fontId="15" fillId="3" borderId="0" xfId="0" applyNumberFormat="1" applyFont="1" applyFill="1"/>
    <xf numFmtId="7" fontId="19" fillId="3" borderId="0" xfId="0" applyNumberFormat="1" applyFont="1" applyFill="1"/>
    <xf numFmtId="172" fontId="15" fillId="0" borderId="0" xfId="0" applyNumberFormat="1" applyFont="1" applyProtection="1"/>
    <xf numFmtId="39" fontId="15" fillId="0" borderId="0" xfId="0" applyNumberFormat="1" applyFont="1" applyProtection="1"/>
    <xf numFmtId="39" fontId="15" fillId="3" borderId="0" xfId="0" applyNumberFormat="1" applyFont="1" applyFill="1" applyBorder="1"/>
    <xf numFmtId="39" fontId="20" fillId="0" borderId="0" xfId="0" applyFont="1"/>
    <xf numFmtId="8" fontId="15" fillId="3" borderId="0" xfId="2" applyFont="1" applyFill="1" applyBorder="1"/>
    <xf numFmtId="39" fontId="15" fillId="0" borderId="9" xfId="0" applyFont="1" applyBorder="1"/>
    <xf numFmtId="39" fontId="15" fillId="0" borderId="16" xfId="0" applyFont="1" applyBorder="1"/>
    <xf numFmtId="43" fontId="15" fillId="0" borderId="0" xfId="0" applyNumberFormat="1" applyFont="1" applyFill="1" applyBorder="1"/>
    <xf numFmtId="39" fontId="15" fillId="0" borderId="9" xfId="0" applyFont="1" applyFill="1" applyBorder="1"/>
    <xf numFmtId="39" fontId="16" fillId="0" borderId="0" xfId="0" applyFont="1" applyFill="1"/>
    <xf numFmtId="164" fontId="16" fillId="0" borderId="0" xfId="0" applyNumberFormat="1" applyFont="1" applyAlignment="1">
      <alignment horizontal="left"/>
    </xf>
    <xf numFmtId="166" fontId="15" fillId="0" borderId="0" xfId="4" applyNumberFormat="1" applyFont="1"/>
    <xf numFmtId="164" fontId="15" fillId="0" borderId="0" xfId="0" applyNumberFormat="1" applyFont="1"/>
    <xf numFmtId="164" fontId="16" fillId="0" borderId="0" xfId="0" applyNumberFormat="1" applyFont="1" applyAlignment="1">
      <alignment horizontal="center"/>
    </xf>
    <xf numFmtId="39" fontId="16" fillId="0" borderId="0" xfId="0" applyFont="1" applyAlignment="1">
      <alignment horizontal="center"/>
    </xf>
    <xf numFmtId="39" fontId="16" fillId="0" borderId="0" xfId="0" applyFont="1" applyBorder="1" applyAlignment="1">
      <alignment horizontal="center"/>
    </xf>
    <xf numFmtId="166" fontId="16" fillId="0" borderId="0" xfId="4" applyNumberFormat="1" applyFont="1" applyFill="1"/>
    <xf numFmtId="164" fontId="20" fillId="0" borderId="0" xfId="0" applyNumberFormat="1" applyFont="1" applyFill="1" applyAlignment="1" applyProtection="1">
      <alignment horizontal="left"/>
      <protection locked="0"/>
    </xf>
    <xf numFmtId="39" fontId="16" fillId="0" borderId="0" xfId="0" applyFont="1" applyFill="1" applyAlignment="1">
      <alignment horizontal="left"/>
    </xf>
    <xf numFmtId="39" fontId="20" fillId="0" borderId="0" xfId="0" applyFont="1" applyFill="1" applyProtection="1">
      <protection locked="0"/>
    </xf>
    <xf numFmtId="164" fontId="16" fillId="0" borderId="0" xfId="0" applyNumberFormat="1" applyFont="1" applyFill="1"/>
    <xf numFmtId="164" fontId="16" fillId="0" borderId="0" xfId="0" applyNumberFormat="1" applyFont="1"/>
    <xf numFmtId="39" fontId="16" fillId="0" borderId="9" xfId="0" applyFont="1" applyBorder="1"/>
    <xf numFmtId="39" fontId="16" fillId="0" borderId="9" xfId="0" applyFont="1" applyFill="1" applyBorder="1"/>
    <xf numFmtId="39" fontId="15" fillId="0" borderId="0" xfId="0" applyFont="1" applyFill="1" applyBorder="1" applyAlignment="1">
      <alignment horizontal="right"/>
    </xf>
    <xf numFmtId="39" fontId="15" fillId="0" borderId="0" xfId="0" applyFont="1" applyFill="1" applyAlignment="1">
      <alignment horizontal="right"/>
    </xf>
    <xf numFmtId="39" fontId="15" fillId="0" borderId="0" xfId="0" applyFont="1" applyBorder="1" applyAlignment="1">
      <alignment horizontal="right"/>
    </xf>
    <xf numFmtId="8" fontId="16" fillId="0" borderId="0" xfId="2" applyFont="1" applyFill="1" applyBorder="1"/>
    <xf numFmtId="39" fontId="21" fillId="0" borderId="0" xfId="0" applyFont="1"/>
    <xf numFmtId="37" fontId="16" fillId="0" borderId="0" xfId="0" applyNumberFormat="1" applyFont="1" applyAlignment="1">
      <alignment horizontal="left"/>
    </xf>
    <xf numFmtId="37" fontId="16" fillId="0" borderId="0" xfId="0" applyNumberFormat="1" applyFont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39" fontId="16" fillId="0" borderId="18" xfId="0" applyFont="1" applyBorder="1" applyAlignment="1">
      <alignment horizontal="left"/>
    </xf>
    <xf numFmtId="39" fontId="15" fillId="0" borderId="19" xfId="0" applyFont="1" applyBorder="1" applyAlignment="1">
      <alignment horizontal="center"/>
    </xf>
    <xf numFmtId="39" fontId="16" fillId="0" borderId="19" xfId="0" applyFont="1" applyBorder="1" applyAlignment="1">
      <alignment horizontal="center"/>
    </xf>
    <xf numFmtId="173" fontId="20" fillId="0" borderId="19" xfId="0" applyNumberFormat="1" applyFont="1" applyFill="1" applyBorder="1" applyAlignment="1">
      <alignment horizontal="center"/>
    </xf>
    <xf numFmtId="43" fontId="16" fillId="0" borderId="8" xfId="0" applyNumberFormat="1" applyFont="1" applyBorder="1"/>
    <xf numFmtId="37" fontId="16" fillId="0" borderId="19" xfId="0" applyNumberFormat="1" applyFont="1" applyBorder="1" applyAlignment="1">
      <alignment horizontal="center"/>
    </xf>
    <xf numFmtId="39" fontId="16" fillId="0" borderId="19" xfId="0" applyFont="1" applyBorder="1"/>
    <xf numFmtId="14" fontId="16" fillId="0" borderId="19" xfId="0" applyNumberFormat="1" applyFont="1" applyBorder="1"/>
    <xf numFmtId="43" fontId="16" fillId="0" borderId="20" xfId="0" applyNumberFormat="1" applyFont="1" applyBorder="1"/>
    <xf numFmtId="39" fontId="16" fillId="0" borderId="0" xfId="0" applyNumberFormat="1" applyFont="1" applyAlignment="1">
      <alignment horizontal="left" vertical="top"/>
    </xf>
    <xf numFmtId="39" fontId="15" fillId="0" borderId="0" xfId="0" applyNumberFormat="1" applyFont="1" applyAlignment="1">
      <alignment horizontal="left" vertical="top"/>
    </xf>
    <xf numFmtId="39" fontId="15" fillId="0" borderId="0" xfId="0" applyNumberFormat="1" applyFont="1" applyAlignment="1">
      <alignment horizontal="center" vertical="top"/>
    </xf>
    <xf numFmtId="39" fontId="16" fillId="0" borderId="0" xfId="0" applyFont="1" applyFill="1" applyBorder="1" applyAlignment="1">
      <alignment horizontal="left"/>
    </xf>
    <xf numFmtId="39" fontId="15" fillId="0" borderId="0" xfId="0" applyFont="1" applyFill="1" applyBorder="1" applyAlignment="1">
      <alignment horizontal="center"/>
    </xf>
    <xf numFmtId="39" fontId="20" fillId="0" borderId="0" xfId="0" applyFont="1" applyFill="1"/>
    <xf numFmtId="39" fontId="22" fillId="0" borderId="0" xfId="0" applyFont="1" applyFill="1" applyBorder="1"/>
    <xf numFmtId="39" fontId="22" fillId="0" borderId="8" xfId="0" applyFont="1" applyFill="1" applyBorder="1"/>
    <xf numFmtId="14" fontId="16" fillId="0" borderId="0" xfId="0" applyNumberFormat="1" applyFont="1" applyFill="1"/>
    <xf numFmtId="164" fontId="14" fillId="0" borderId="0" xfId="0" quotePrefix="1" applyNumberFormat="1" applyFont="1" applyFill="1" applyBorder="1"/>
    <xf numFmtId="39" fontId="21" fillId="0" borderId="0" xfId="0" applyFont="1" applyFill="1" applyBorder="1"/>
    <xf numFmtId="39" fontId="22" fillId="0" borderId="11" xfId="0" applyFont="1" applyFill="1" applyBorder="1"/>
    <xf numFmtId="39" fontId="22" fillId="0" borderId="17" xfId="0" applyFont="1" applyFill="1" applyBorder="1"/>
    <xf numFmtId="37" fontId="16" fillId="0" borderId="0" xfId="0" applyNumberFormat="1" applyFont="1" applyFill="1" applyAlignment="1">
      <alignment horizontal="center"/>
    </xf>
    <xf numFmtId="174" fontId="15" fillId="0" borderId="0" xfId="0" applyNumberFormat="1" applyFont="1"/>
    <xf numFmtId="7" fontId="15" fillId="0" borderId="3" xfId="0" applyNumberFormat="1" applyFont="1" applyFill="1" applyBorder="1"/>
    <xf numFmtId="39" fontId="15" fillId="0" borderId="8" xfId="0" applyFont="1" applyFill="1" applyBorder="1"/>
    <xf numFmtId="9" fontId="20" fillId="0" borderId="0" xfId="4" applyFont="1" applyFill="1" applyAlignment="1">
      <alignment horizontal="center"/>
    </xf>
    <xf numFmtId="44" fontId="15" fillId="0" borderId="0" xfId="0" applyNumberFormat="1" applyFont="1" applyFill="1" applyBorder="1"/>
    <xf numFmtId="44" fontId="16" fillId="5" borderId="0" xfId="0" applyNumberFormat="1" applyFont="1" applyFill="1" applyBorder="1"/>
    <xf numFmtId="39" fontId="16" fillId="0" borderId="10" xfId="0" applyFont="1" applyFill="1" applyBorder="1"/>
    <xf numFmtId="164" fontId="16" fillId="0" borderId="0" xfId="0" applyNumberFormat="1" applyFont="1" applyFill="1" applyAlignment="1">
      <alignment horizontal="left"/>
    </xf>
    <xf numFmtId="164" fontId="16" fillId="0" borderId="0" xfId="0" applyNumberFormat="1" applyFont="1" applyFill="1" applyAlignment="1" applyProtection="1">
      <alignment horizontal="left"/>
      <protection locked="0"/>
    </xf>
    <xf numFmtId="39" fontId="17" fillId="0" borderId="0" xfId="0" applyFont="1" applyFill="1"/>
    <xf numFmtId="39" fontId="25" fillId="0" borderId="0" xfId="0" applyFont="1" applyFill="1" applyAlignment="1">
      <alignment horizontal="center"/>
    </xf>
    <xf numFmtId="43" fontId="15" fillId="0" borderId="6" xfId="0" applyNumberFormat="1" applyFont="1" applyFill="1" applyBorder="1"/>
    <xf numFmtId="7" fontId="15" fillId="0" borderId="2" xfId="0" applyNumberFormat="1" applyFont="1" applyFill="1" applyBorder="1"/>
    <xf numFmtId="167" fontId="15" fillId="0" borderId="8" xfId="0" applyNumberFormat="1" applyFont="1" applyFill="1" applyBorder="1"/>
    <xf numFmtId="43" fontId="15" fillId="0" borderId="5" xfId="0" applyNumberFormat="1" applyFont="1" applyFill="1" applyBorder="1"/>
    <xf numFmtId="39" fontId="22" fillId="0" borderId="6" xfId="0" applyFont="1" applyFill="1" applyBorder="1"/>
    <xf numFmtId="39" fontId="22" fillId="0" borderId="0" xfId="0" applyFont="1" applyFill="1" applyBorder="1" applyAlignment="1">
      <alignment horizontal="right"/>
    </xf>
    <xf numFmtId="39" fontId="16" fillId="0" borderId="1" xfId="0" applyFont="1" applyFill="1" applyBorder="1"/>
    <xf numFmtId="37" fontId="15" fillId="0" borderId="0" xfId="0" applyNumberFormat="1" applyFont="1" applyFill="1" applyBorder="1" applyProtection="1"/>
    <xf numFmtId="44" fontId="16" fillId="0" borderId="0" xfId="2" applyNumberFormat="1" applyFont="1" applyFill="1" applyBorder="1" applyProtection="1"/>
    <xf numFmtId="39" fontId="22" fillId="0" borderId="5" xfId="0" applyFont="1" applyFill="1" applyBorder="1" applyAlignment="1">
      <alignment horizontal="right"/>
    </xf>
    <xf numFmtId="39" fontId="22" fillId="0" borderId="3" xfId="0" applyFont="1" applyFill="1" applyBorder="1" applyAlignment="1">
      <alignment horizontal="right"/>
    </xf>
    <xf numFmtId="39" fontId="22" fillId="0" borderId="5" xfId="0" applyFont="1" applyFill="1" applyBorder="1"/>
    <xf numFmtId="7" fontId="16" fillId="0" borderId="9" xfId="0" applyNumberFormat="1" applyFont="1" applyFill="1" applyBorder="1"/>
    <xf numFmtId="39" fontId="26" fillId="5" borderId="0" xfId="0" applyFont="1" applyFill="1"/>
    <xf numFmtId="171" fontId="20" fillId="0" borderId="0" xfId="0" applyNumberFormat="1" applyFont="1" applyFill="1" applyAlignment="1">
      <alignment horizontal="right"/>
    </xf>
    <xf numFmtId="44" fontId="27" fillId="0" borderId="0" xfId="0" applyNumberFormat="1" applyFont="1" applyFill="1" applyBorder="1"/>
    <xf numFmtId="17" fontId="16" fillId="0" borderId="0" xfId="0" applyNumberFormat="1" applyFont="1" applyFill="1" applyBorder="1" applyAlignment="1">
      <alignment horizontal="left"/>
    </xf>
    <xf numFmtId="8" fontId="15" fillId="0" borderId="0" xfId="2" applyFont="1" applyFill="1"/>
    <xf numFmtId="44" fontId="16" fillId="3" borderId="23" xfId="0" applyNumberFormat="1" applyFont="1" applyFill="1" applyBorder="1"/>
    <xf numFmtId="39" fontId="16" fillId="0" borderId="14" xfId="0" applyFont="1" applyFill="1" applyBorder="1" applyAlignment="1">
      <alignment horizontal="center"/>
    </xf>
    <xf numFmtId="39" fontId="16" fillId="0" borderId="3" xfId="0" applyFont="1" applyFill="1" applyBorder="1" applyAlignment="1">
      <alignment horizontal="center"/>
    </xf>
    <xf numFmtId="39" fontId="16" fillId="0" borderId="6" xfId="0" applyFont="1" applyFill="1" applyBorder="1" applyAlignment="1">
      <alignment horizontal="center"/>
    </xf>
    <xf numFmtId="39" fontId="16" fillId="0" borderId="1" xfId="0" applyFont="1" applyFill="1" applyBorder="1" applyAlignment="1">
      <alignment horizontal="center"/>
    </xf>
    <xf numFmtId="39" fontId="16" fillId="0" borderId="4" xfId="0" applyFont="1" applyFill="1" applyBorder="1" applyAlignment="1">
      <alignment horizontal="center"/>
    </xf>
    <xf numFmtId="39" fontId="16" fillId="0" borderId="5" xfId="0" applyFont="1" applyFill="1" applyBorder="1" applyAlignment="1">
      <alignment horizontal="center"/>
    </xf>
    <xf numFmtId="44" fontId="16" fillId="0" borderId="15" xfId="2" applyNumberFormat="1" applyFont="1" applyFill="1" applyBorder="1" applyProtection="1"/>
    <xf numFmtId="10" fontId="16" fillId="0" borderId="0" xfId="4" applyNumberFormat="1" applyFont="1" applyFill="1"/>
    <xf numFmtId="10" fontId="27" fillId="0" borderId="0" xfId="4" applyNumberFormat="1" applyFont="1" applyFill="1"/>
    <xf numFmtId="44" fontId="15" fillId="4" borderId="0" xfId="0" applyNumberFormat="1" applyFont="1" applyFill="1" applyBorder="1"/>
    <xf numFmtId="171" fontId="20" fillId="0" borderId="0" xfId="0" applyNumberFormat="1" applyFont="1" applyFill="1"/>
    <xf numFmtId="37" fontId="16" fillId="0" borderId="0" xfId="0" applyNumberFormat="1" applyFont="1" applyFill="1" applyBorder="1" applyAlignment="1">
      <alignment horizontal="center"/>
    </xf>
    <xf numFmtId="14" fontId="16" fillId="0" borderId="0" xfId="0" applyNumberFormat="1" applyFont="1" applyFill="1" applyBorder="1"/>
    <xf numFmtId="39" fontId="16" fillId="0" borderId="4" xfId="0" applyFont="1" applyFill="1" applyBorder="1"/>
    <xf numFmtId="37" fontId="16" fillId="0" borderId="5" xfId="0" applyNumberFormat="1" applyFont="1" applyFill="1" applyBorder="1" applyAlignment="1">
      <alignment horizontal="center"/>
    </xf>
    <xf numFmtId="37" fontId="16" fillId="0" borderId="0" xfId="0" applyNumberFormat="1" applyFont="1" applyFill="1" applyAlignment="1">
      <alignment horizontal="left"/>
    </xf>
    <xf numFmtId="39" fontId="16" fillId="0" borderId="0" xfId="0" applyFont="1" applyFill="1" applyAlignment="1">
      <alignment horizontal="right"/>
    </xf>
    <xf numFmtId="17" fontId="15" fillId="0" borderId="0" xfId="0" applyNumberFormat="1" applyFont="1" applyFill="1" applyBorder="1"/>
    <xf numFmtId="0" fontId="15" fillId="0" borderId="0" xfId="0" applyNumberFormat="1" applyFont="1"/>
    <xf numFmtId="17" fontId="16" fillId="0" borderId="10" xfId="0" applyNumberFormat="1" applyFont="1" applyBorder="1"/>
    <xf numFmtId="17" fontId="16" fillId="0" borderId="5" xfId="0" applyNumberFormat="1" applyFont="1" applyFill="1" applyBorder="1" applyAlignment="1">
      <alignment horizontal="left"/>
    </xf>
    <xf numFmtId="39" fontId="15" fillId="0" borderId="5" xfId="0" applyFont="1" applyFill="1" applyBorder="1"/>
    <xf numFmtId="39" fontId="15" fillId="0" borderId="11" xfId="0" applyFont="1" applyFill="1" applyBorder="1"/>
    <xf numFmtId="39" fontId="16" fillId="0" borderId="12" xfId="0" applyFont="1" applyFill="1" applyBorder="1" applyAlignment="1">
      <alignment horizontal="center"/>
    </xf>
    <xf numFmtId="39" fontId="16" fillId="0" borderId="13" xfId="0" applyFont="1" applyFill="1" applyBorder="1" applyAlignment="1">
      <alignment horizontal="center"/>
    </xf>
    <xf numFmtId="39" fontId="15" fillId="0" borderId="1" xfId="0" applyFont="1" applyFill="1" applyBorder="1"/>
    <xf numFmtId="39" fontId="15" fillId="0" borderId="2" xfId="0" applyFont="1" applyFill="1" applyBorder="1"/>
    <xf numFmtId="39" fontId="15" fillId="0" borderId="7" xfId="0" applyFont="1" applyFill="1" applyBorder="1"/>
    <xf numFmtId="39" fontId="15" fillId="0" borderId="4" xfId="0" applyFont="1" applyFill="1" applyBorder="1"/>
    <xf numFmtId="39" fontId="23" fillId="0" borderId="0" xfId="0" applyFont="1" applyFill="1"/>
    <xf numFmtId="43" fontId="16" fillId="0" borderId="9" xfId="0" applyNumberFormat="1" applyFont="1" applyFill="1" applyBorder="1"/>
    <xf numFmtId="39" fontId="15" fillId="5" borderId="0" xfId="0" applyNumberFormat="1" applyFont="1" applyFill="1"/>
    <xf numFmtId="39" fontId="16" fillId="0" borderId="22" xfId="0" applyFont="1" applyFill="1" applyBorder="1"/>
    <xf numFmtId="37" fontId="15" fillId="0" borderId="22" xfId="0" applyNumberFormat="1" applyFont="1" applyFill="1" applyBorder="1"/>
    <xf numFmtId="44" fontId="16" fillId="0" borderId="22" xfId="0" applyNumberFormat="1" applyFont="1" applyFill="1" applyBorder="1"/>
    <xf numFmtId="39" fontId="16" fillId="6" borderId="0" xfId="0" applyFont="1" applyFill="1"/>
    <xf numFmtId="169" fontId="16" fillId="0" borderId="14" xfId="0" applyNumberFormat="1" applyFont="1" applyFill="1" applyBorder="1" applyAlignment="1" applyProtection="1">
      <alignment horizontal="center"/>
    </xf>
    <xf numFmtId="169" fontId="16" fillId="0" borderId="15" xfId="0" applyNumberFormat="1" applyFont="1" applyFill="1" applyBorder="1" applyAlignment="1" applyProtection="1">
      <alignment horizontal="center"/>
    </xf>
    <xf numFmtId="39" fontId="16" fillId="0" borderId="15" xfId="0" applyFont="1" applyFill="1" applyBorder="1" applyAlignment="1">
      <alignment horizontal="center"/>
    </xf>
    <xf numFmtId="39" fontId="16" fillId="0" borderId="16" xfId="0" applyFont="1" applyFill="1" applyBorder="1" applyAlignment="1">
      <alignment horizontal="center"/>
    </xf>
    <xf numFmtId="168" fontId="15" fillId="0" borderId="0" xfId="0" applyNumberFormat="1" applyFont="1" applyFill="1" applyAlignment="1" applyProtection="1">
      <alignment horizontal="left"/>
    </xf>
    <xf numFmtId="44" fontId="15" fillId="0" borderId="0" xfId="0" applyNumberFormat="1" applyFont="1" applyFill="1" applyProtection="1">
      <protection locked="0"/>
    </xf>
    <xf numFmtId="44" fontId="15" fillId="0" borderId="0" xfId="0" applyNumberFormat="1" applyFont="1" applyFill="1"/>
    <xf numFmtId="39" fontId="15" fillId="0" borderId="0" xfId="0" applyFont="1" applyFill="1" applyAlignment="1">
      <alignment horizontal="left"/>
    </xf>
    <xf numFmtId="44" fontId="15" fillId="0" borderId="9" xfId="0" applyNumberFormat="1" applyFont="1" applyFill="1" applyBorder="1" applyProtection="1">
      <protection locked="0"/>
    </xf>
    <xf numFmtId="39" fontId="18" fillId="0" borderId="0" xfId="0" applyFont="1" applyFill="1"/>
    <xf numFmtId="39" fontId="18" fillId="0" borderId="0" xfId="0" applyFont="1" applyFill="1" applyAlignment="1">
      <alignment horizontal="right"/>
    </xf>
    <xf numFmtId="44" fontId="18" fillId="0" borderId="0" xfId="0" applyNumberFormat="1" applyFont="1" applyFill="1" applyAlignment="1" applyProtection="1">
      <alignment horizontal="center"/>
    </xf>
    <xf numFmtId="44" fontId="15" fillId="0" borderId="0" xfId="0" applyNumberFormat="1" applyFont="1" applyFill="1" applyProtection="1"/>
    <xf numFmtId="168" fontId="16" fillId="0" borderId="0" xfId="0" applyNumberFormat="1" applyFont="1" applyFill="1" applyAlignment="1" applyProtection="1">
      <alignment horizontal="left"/>
    </xf>
    <xf numFmtId="44" fontId="16" fillId="0" borderId="22" xfId="0" applyNumberFormat="1" applyFont="1" applyFill="1" applyBorder="1" applyProtection="1">
      <protection locked="0"/>
    </xf>
    <xf numFmtId="49" fontId="15" fillId="0" borderId="0" xfId="0" applyNumberFormat="1" applyFont="1" applyFill="1" applyProtection="1"/>
    <xf numFmtId="176" fontId="18" fillId="0" borderId="0" xfId="1" applyNumberFormat="1" applyFont="1" applyFill="1"/>
    <xf numFmtId="7" fontId="18" fillId="0" borderId="0" xfId="0" applyNumberFormat="1" applyFont="1" applyFill="1" applyAlignment="1" applyProtection="1">
      <alignment horizontal="center"/>
    </xf>
    <xf numFmtId="7" fontId="15" fillId="0" borderId="0" xfId="0" applyNumberFormat="1" applyFont="1" applyFill="1" applyProtection="1"/>
    <xf numFmtId="37" fontId="15" fillId="0" borderId="22" xfId="0" applyNumberFormat="1" applyFont="1" applyFill="1" applyBorder="1" applyProtection="1"/>
    <xf numFmtId="171" fontId="23" fillId="0" borderId="0" xfId="0" applyNumberFormat="1" applyFont="1" applyFill="1" applyBorder="1" applyAlignment="1" applyProtection="1">
      <alignment horizontal="center"/>
      <protection locked="0"/>
    </xf>
    <xf numFmtId="7" fontId="18" fillId="0" borderId="0" xfId="0" applyNumberFormat="1" applyFont="1" applyFill="1" applyBorder="1" applyAlignment="1" applyProtection="1">
      <alignment horizontal="center"/>
    </xf>
    <xf numFmtId="39" fontId="16" fillId="0" borderId="7" xfId="0" applyFont="1" applyFill="1" applyBorder="1"/>
    <xf numFmtId="39" fontId="16" fillId="0" borderId="8" xfId="0" applyFont="1" applyFill="1" applyBorder="1" applyAlignment="1">
      <alignment horizontal="center"/>
    </xf>
    <xf numFmtId="39" fontId="15" fillId="0" borderId="7" xfId="0" applyFont="1" applyFill="1" applyBorder="1" applyAlignment="1">
      <alignment horizontal="left"/>
    </xf>
    <xf numFmtId="171" fontId="15" fillId="0" borderId="0" xfId="0" applyNumberFormat="1" applyFont="1" applyFill="1" applyBorder="1" applyAlignment="1" applyProtection="1">
      <alignment horizontal="left"/>
      <protection locked="0"/>
    </xf>
    <xf numFmtId="39" fontId="15" fillId="0" borderId="4" xfId="0" applyFont="1" applyFill="1" applyBorder="1" applyAlignment="1">
      <alignment horizontal="left"/>
    </xf>
    <xf numFmtId="171" fontId="15" fillId="0" borderId="5" xfId="0" applyNumberFormat="1" applyFont="1" applyFill="1" applyBorder="1" applyAlignment="1" applyProtection="1">
      <alignment horizontal="left"/>
      <protection locked="0"/>
    </xf>
    <xf numFmtId="8" fontId="16" fillId="0" borderId="8" xfId="2" applyFont="1" applyFill="1" applyBorder="1"/>
    <xf numFmtId="8" fontId="15" fillId="0" borderId="0" xfId="2" applyFont="1" applyFill="1" applyBorder="1"/>
    <xf numFmtId="8" fontId="15" fillId="0" borderId="7" xfId="2" applyFont="1" applyFill="1" applyBorder="1"/>
    <xf numFmtId="165" fontId="15" fillId="0" borderId="0" xfId="4" applyNumberFormat="1" applyFont="1" applyFill="1" applyBorder="1"/>
    <xf numFmtId="39" fontId="16" fillId="0" borderId="4" xfId="0" applyFont="1" applyFill="1" applyBorder="1" applyAlignment="1">
      <alignment horizontal="left"/>
    </xf>
    <xf numFmtId="39" fontId="16" fillId="0" borderId="16" xfId="0" applyFont="1" applyFill="1" applyBorder="1"/>
    <xf numFmtId="44" fontId="15" fillId="0" borderId="8" xfId="2" applyNumberFormat="1" applyFont="1" applyFill="1" applyBorder="1"/>
    <xf numFmtId="44" fontId="16" fillId="0" borderId="21" xfId="2" applyNumberFormat="1" applyFont="1" applyFill="1" applyBorder="1"/>
    <xf numFmtId="8" fontId="15" fillId="0" borderId="8" xfId="2" applyFont="1" applyFill="1" applyBorder="1"/>
    <xf numFmtId="39" fontId="16" fillId="0" borderId="7" xfId="0" applyFont="1" applyFill="1" applyBorder="1" applyAlignment="1">
      <alignment horizontal="right"/>
    </xf>
    <xf numFmtId="39" fontId="15" fillId="0" borderId="7" xfId="0" applyFont="1" applyFill="1" applyBorder="1" applyAlignment="1">
      <alignment horizontal="right"/>
    </xf>
    <xf numFmtId="39" fontId="16" fillId="0" borderId="15" xfId="0" applyFont="1" applyFill="1" applyBorder="1"/>
    <xf numFmtId="39" fontId="15" fillId="6" borderId="0" xfId="0" applyFont="1" applyFill="1"/>
    <xf numFmtId="39" fontId="16" fillId="6" borderId="9" xfId="0" applyFont="1" applyFill="1" applyBorder="1"/>
    <xf numFmtId="2" fontId="15" fillId="5" borderId="0" xfId="0" applyNumberFormat="1" applyFont="1" applyFill="1"/>
    <xf numFmtId="39" fontId="15" fillId="0" borderId="3" xfId="0" applyFont="1" applyFill="1" applyBorder="1"/>
    <xf numFmtId="37" fontId="29" fillId="0" borderId="0" xfId="0" applyNumberFormat="1" applyFont="1" applyFill="1" applyAlignment="1">
      <alignment horizontal="right"/>
    </xf>
    <xf numFmtId="44" fontId="16" fillId="0" borderId="0" xfId="0" applyNumberFormat="1" applyFont="1" applyFill="1"/>
    <xf numFmtId="0" fontId="15" fillId="0" borderId="0" xfId="0" applyNumberFormat="1" applyFont="1" applyFill="1" applyBorder="1"/>
    <xf numFmtId="0" fontId="15" fillId="0" borderId="9" xfId="0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/>
    <xf numFmtId="44" fontId="16" fillId="0" borderId="7" xfId="2" applyNumberFormat="1" applyFont="1" applyFill="1" applyBorder="1" applyProtection="1"/>
    <xf numFmtId="44" fontId="15" fillId="4" borderId="24" xfId="0" applyNumberFormat="1" applyFont="1" applyFill="1" applyBorder="1"/>
    <xf numFmtId="39" fontId="15" fillId="0" borderId="25" xfId="0" applyFont="1" applyBorder="1"/>
    <xf numFmtId="177" fontId="15" fillId="0" borderId="6" xfId="0" applyNumberFormat="1" applyFont="1" applyFill="1" applyBorder="1" applyAlignment="1">
      <alignment horizontal="right"/>
    </xf>
    <xf numFmtId="177" fontId="15" fillId="0" borderId="8" xfId="0" applyNumberFormat="1" applyFont="1" applyFill="1" applyBorder="1"/>
    <xf numFmtId="178" fontId="15" fillId="0" borderId="6" xfId="2" applyNumberFormat="1" applyFont="1" applyFill="1" applyBorder="1"/>
    <xf numFmtId="39" fontId="15" fillId="0" borderId="0" xfId="0" applyFont="1" applyFill="1" applyBorder="1" applyAlignment="1">
      <alignment horizontal="center"/>
    </xf>
    <xf numFmtId="17" fontId="31" fillId="0" borderId="7" xfId="0" applyNumberFormat="1" applyFont="1" applyFill="1" applyBorder="1"/>
    <xf numFmtId="171" fontId="31" fillId="0" borderId="0" xfId="0" applyNumberFormat="1" applyFont="1" applyFill="1" applyAlignment="1">
      <alignment horizontal="right"/>
    </xf>
    <xf numFmtId="39" fontId="16" fillId="6" borderId="0" xfId="0" applyFont="1" applyFill="1" applyBorder="1"/>
    <xf numFmtId="7" fontId="15" fillId="0" borderId="8" xfId="4" applyNumberFormat="1" applyFont="1" applyFill="1" applyBorder="1"/>
    <xf numFmtId="7" fontId="15" fillId="0" borderId="8" xfId="0" applyNumberFormat="1" applyFont="1" applyFill="1" applyBorder="1"/>
    <xf numFmtId="37" fontId="31" fillId="0" borderId="0" xfId="0" applyNumberFormat="1" applyFont="1" applyFill="1"/>
    <xf numFmtId="10" fontId="31" fillId="0" borderId="0" xfId="0" applyNumberFormat="1" applyFont="1" applyFill="1" applyAlignment="1">
      <alignment horizontal="right"/>
    </xf>
    <xf numFmtId="8" fontId="31" fillId="0" borderId="9" xfId="2" applyFont="1" applyFill="1" applyBorder="1"/>
    <xf numFmtId="39" fontId="22" fillId="0" borderId="8" xfId="0" applyFont="1" applyFill="1" applyBorder="1" applyAlignment="1">
      <alignment horizontal="right"/>
    </xf>
    <xf numFmtId="39" fontId="15" fillId="0" borderId="17" xfId="0" applyFont="1" applyBorder="1"/>
    <xf numFmtId="39" fontId="15" fillId="0" borderId="0" xfId="0" applyFont="1" applyFill="1" applyBorder="1" applyAlignment="1">
      <alignment horizontal="center"/>
    </xf>
    <xf numFmtId="37" fontId="30" fillId="0" borderId="0" xfId="0" applyNumberFormat="1" applyFont="1" applyFill="1" applyBorder="1"/>
    <xf numFmtId="37" fontId="31" fillId="0" borderId="0" xfId="0" applyNumberFormat="1" applyFont="1" applyFill="1" applyBorder="1" applyProtection="1"/>
    <xf numFmtId="37" fontId="31" fillId="0" borderId="5" xfId="0" applyNumberFormat="1" applyFont="1" applyFill="1" applyBorder="1" applyProtection="1"/>
    <xf numFmtId="171" fontId="31" fillId="0" borderId="0" xfId="0" applyNumberFormat="1" applyFont="1" applyFill="1" applyBorder="1" applyAlignment="1" applyProtection="1">
      <alignment horizontal="center"/>
      <protection locked="0"/>
    </xf>
    <xf numFmtId="44" fontId="31" fillId="0" borderId="10" xfId="2" applyNumberFormat="1" applyFont="1" applyFill="1" applyBorder="1" applyProtection="1"/>
    <xf numFmtId="44" fontId="31" fillId="0" borderId="11" xfId="2" applyNumberFormat="1" applyFont="1" applyFill="1" applyBorder="1" applyProtection="1"/>
    <xf numFmtId="44" fontId="31" fillId="0" borderId="17" xfId="2" applyNumberFormat="1" applyFont="1" applyFill="1" applyBorder="1" applyProtection="1"/>
    <xf numFmtId="10" fontId="20" fillId="0" borderId="0" xfId="4" applyNumberFormat="1" applyFont="1" applyFill="1"/>
    <xf numFmtId="171" fontId="31" fillId="0" borderId="0" xfId="0" applyNumberFormat="1" applyFont="1" applyFill="1" applyAlignment="1">
      <alignment horizontal="center"/>
    </xf>
    <xf numFmtId="39" fontId="30" fillId="0" borderId="0" xfId="0" applyFont="1"/>
    <xf numFmtId="39" fontId="27" fillId="6" borderId="0" xfId="0" applyFont="1" applyFill="1" applyProtection="1">
      <protection locked="0"/>
    </xf>
    <xf numFmtId="39" fontId="20" fillId="6" borderId="0" xfId="0" applyFont="1" applyFill="1" applyProtection="1">
      <protection locked="0"/>
    </xf>
    <xf numFmtId="39" fontId="20" fillId="6" borderId="0" xfId="0" applyFont="1" applyFill="1"/>
    <xf numFmtId="39" fontId="29" fillId="6" borderId="0" xfId="0" applyNumberFormat="1" applyFont="1" applyFill="1" applyAlignment="1">
      <alignment horizontal="right"/>
    </xf>
    <xf numFmtId="39" fontId="27" fillId="6" borderId="0" xfId="0" applyFont="1" applyFill="1"/>
    <xf numFmtId="2" fontId="15" fillId="0" borderId="0" xfId="0" applyNumberFormat="1" applyFont="1" applyFill="1" applyBorder="1" applyAlignment="1">
      <alignment horizontal="right"/>
    </xf>
    <xf numFmtId="39" fontId="16" fillId="7" borderId="0" xfId="0" applyFont="1" applyFill="1"/>
    <xf numFmtId="39" fontId="27" fillId="7" borderId="0" xfId="0" applyFont="1" applyFill="1" applyProtection="1">
      <protection locked="0"/>
    </xf>
    <xf numFmtId="39" fontId="20" fillId="7" borderId="0" xfId="0" applyFont="1" applyFill="1" applyProtection="1">
      <protection locked="0"/>
    </xf>
    <xf numFmtId="39" fontId="20" fillId="7" borderId="0" xfId="0" applyFont="1" applyFill="1"/>
    <xf numFmtId="37" fontId="20" fillId="7" borderId="0" xfId="0" applyNumberFormat="1" applyFont="1" applyFill="1"/>
    <xf numFmtId="37" fontId="27" fillId="7" borderId="0" xfId="0" applyNumberFormat="1" applyFont="1" applyFill="1" applyBorder="1" applyAlignment="1" applyProtection="1">
      <alignment horizontal="center"/>
    </xf>
    <xf numFmtId="37" fontId="20" fillId="7" borderId="0" xfId="0" applyNumberFormat="1" applyFont="1" applyFill="1" applyAlignment="1">
      <alignment horizontal="right"/>
    </xf>
    <xf numFmtId="37" fontId="15" fillId="7" borderId="22" xfId="0" applyNumberFormat="1" applyFont="1" applyFill="1" applyBorder="1"/>
    <xf numFmtId="37" fontId="31" fillId="7" borderId="0" xfId="0" applyNumberFormat="1" applyFont="1" applyFill="1"/>
    <xf numFmtId="164" fontId="15" fillId="6" borderId="0" xfId="0" applyNumberFormat="1" applyFont="1" applyFill="1"/>
    <xf numFmtId="44" fontId="15" fillId="6" borderId="0" xfId="0" applyNumberFormat="1" applyFont="1" applyFill="1" applyBorder="1"/>
    <xf numFmtId="39" fontId="16" fillId="6" borderId="22" xfId="0" applyFont="1" applyFill="1" applyBorder="1"/>
    <xf numFmtId="39" fontId="16" fillId="6" borderId="0" xfId="0" applyFont="1" applyFill="1" applyAlignment="1">
      <alignment horizontal="right"/>
    </xf>
    <xf numFmtId="7" fontId="15" fillId="4" borderId="0" xfId="0" applyNumberFormat="1" applyFont="1" applyFill="1" applyBorder="1"/>
    <xf numFmtId="44" fontId="16" fillId="0" borderId="26" xfId="2" applyNumberFormat="1" applyFont="1" applyFill="1" applyBorder="1" applyProtection="1"/>
    <xf numFmtId="38" fontId="27" fillId="0" borderId="0" xfId="1" applyNumberFormat="1" applyFont="1" applyFill="1" applyBorder="1" applyProtection="1"/>
    <xf numFmtId="38" fontId="15" fillId="0" borderId="0" xfId="1" applyNumberFormat="1" applyFont="1" applyFill="1" applyBorder="1" applyProtection="1"/>
    <xf numFmtId="38" fontId="27" fillId="0" borderId="9" xfId="1" applyNumberFormat="1" applyFont="1" applyFill="1" applyBorder="1" applyProtection="1"/>
    <xf numFmtId="39" fontId="11" fillId="0" borderId="0" xfId="0" applyFont="1" applyFill="1" applyBorder="1"/>
    <xf numFmtId="175" fontId="34" fillId="8" borderId="0" xfId="0" applyNumberFormat="1" applyFont="1" applyFill="1"/>
    <xf numFmtId="39" fontId="11" fillId="0" borderId="0" xfId="0" applyFont="1"/>
    <xf numFmtId="39" fontId="0" fillId="0" borderId="27" xfId="0" applyBorder="1"/>
    <xf numFmtId="39" fontId="0" fillId="0" borderId="27" xfId="0" applyBorder="1" applyAlignment="1">
      <alignment horizontal="center"/>
    </xf>
    <xf numFmtId="179" fontId="0" fillId="0" borderId="0" xfId="1" applyNumberFormat="1" applyFont="1"/>
    <xf numFmtId="39" fontId="11" fillId="0" borderId="27" xfId="0" applyFont="1" applyBorder="1"/>
    <xf numFmtId="179" fontId="11" fillId="0" borderId="27" xfId="1" applyNumberFormat="1" applyFont="1" applyBorder="1"/>
    <xf numFmtId="38" fontId="15" fillId="0" borderId="0" xfId="1" applyNumberFormat="1" applyFont="1"/>
    <xf numFmtId="0" fontId="36" fillId="0" borderId="0" xfId="6" applyFont="1"/>
    <xf numFmtId="0" fontId="35" fillId="0" borderId="0" xfId="6"/>
    <xf numFmtId="37" fontId="16" fillId="0" borderId="0" xfId="6" applyNumberFormat="1" applyFont="1" applyFill="1" applyBorder="1" applyAlignment="1">
      <alignment horizontal="center"/>
    </xf>
    <xf numFmtId="39" fontId="16" fillId="0" borderId="0" xfId="6" applyNumberFormat="1" applyFont="1" applyFill="1" applyBorder="1" applyAlignment="1">
      <alignment horizontal="center"/>
    </xf>
    <xf numFmtId="14" fontId="16" fillId="0" borderId="0" xfId="6" applyNumberFormat="1" applyFont="1" applyFill="1" applyBorder="1"/>
    <xf numFmtId="43" fontId="16" fillId="0" borderId="8" xfId="6" applyNumberFormat="1" applyFont="1" applyBorder="1"/>
    <xf numFmtId="39" fontId="16" fillId="0" borderId="4" xfId="6" applyNumberFormat="1" applyFont="1" applyFill="1" applyBorder="1"/>
    <xf numFmtId="37" fontId="16" fillId="0" borderId="5" xfId="6" applyNumberFormat="1" applyFont="1" applyFill="1" applyBorder="1" applyAlignment="1">
      <alignment horizontal="center"/>
    </xf>
    <xf numFmtId="39" fontId="16" fillId="0" borderId="5" xfId="6" applyNumberFormat="1" applyFont="1" applyFill="1" applyBorder="1" applyAlignment="1">
      <alignment horizontal="center"/>
    </xf>
    <xf numFmtId="39" fontId="16" fillId="0" borderId="6" xfId="6" applyNumberFormat="1" applyFont="1" applyFill="1" applyBorder="1" applyAlignment="1">
      <alignment horizontal="center"/>
    </xf>
    <xf numFmtId="39" fontId="16" fillId="0" borderId="0" xfId="6" applyNumberFormat="1" applyFont="1" applyFill="1"/>
    <xf numFmtId="37" fontId="16" fillId="0" borderId="0" xfId="6" applyNumberFormat="1" applyFont="1" applyFill="1" applyAlignment="1">
      <alignment horizontal="center"/>
    </xf>
    <xf numFmtId="37" fontId="29" fillId="0" borderId="0" xfId="6" applyNumberFormat="1" applyFont="1" applyFill="1" applyAlignment="1">
      <alignment horizontal="right"/>
    </xf>
    <xf numFmtId="171" fontId="31" fillId="0" borderId="0" xfId="6" applyNumberFormat="1" applyFont="1" applyFill="1" applyBorder="1" applyAlignment="1" applyProtection="1">
      <alignment horizontal="center"/>
      <protection locked="0"/>
    </xf>
    <xf numFmtId="44" fontId="15" fillId="0" borderId="0" xfId="6" applyNumberFormat="1" applyFont="1" applyFill="1"/>
    <xf numFmtId="17" fontId="16" fillId="0" borderId="0" xfId="6" applyNumberFormat="1" applyFont="1" applyFill="1" applyBorder="1" applyAlignment="1">
      <alignment horizontal="left"/>
    </xf>
    <xf numFmtId="39" fontId="15" fillId="0" borderId="0" xfId="6" applyNumberFormat="1" applyFont="1" applyFill="1"/>
    <xf numFmtId="39" fontId="16" fillId="0" borderId="23" xfId="6" applyNumberFormat="1" applyFont="1" applyFill="1" applyBorder="1"/>
    <xf numFmtId="39" fontId="15" fillId="0" borderId="23" xfId="6" applyNumberFormat="1" applyFont="1" applyFill="1" applyBorder="1"/>
    <xf numFmtId="39" fontId="16" fillId="0" borderId="23" xfId="6" applyNumberFormat="1" applyFont="1" applyFill="1" applyBorder="1" applyAlignment="1">
      <alignment horizontal="center"/>
    </xf>
    <xf numFmtId="39" fontId="15" fillId="0" borderId="7" xfId="6" applyNumberFormat="1" applyFont="1" applyFill="1" applyBorder="1"/>
    <xf numFmtId="39" fontId="15" fillId="0" borderId="0" xfId="6" applyNumberFormat="1" applyFont="1" applyFill="1" applyBorder="1"/>
    <xf numFmtId="44" fontId="15" fillId="0" borderId="0" xfId="6" applyNumberFormat="1" applyFont="1" applyFill="1" applyBorder="1"/>
    <xf numFmtId="43" fontId="15" fillId="0" borderId="8" xfId="8" applyFont="1" applyFill="1" applyBorder="1"/>
    <xf numFmtId="39" fontId="15" fillId="0" borderId="4" xfId="6" applyNumberFormat="1" applyFont="1" applyFill="1" applyBorder="1"/>
    <xf numFmtId="39" fontId="15" fillId="0" borderId="5" xfId="6" applyNumberFormat="1" applyFont="1" applyFill="1" applyBorder="1"/>
    <xf numFmtId="43" fontId="15" fillId="0" borderId="5" xfId="6" applyNumberFormat="1" applyFont="1" applyFill="1" applyBorder="1"/>
    <xf numFmtId="43" fontId="15" fillId="0" borderId="6" xfId="6" applyNumberFormat="1" applyFont="1" applyFill="1" applyBorder="1"/>
    <xf numFmtId="44" fontId="15" fillId="4" borderId="0" xfId="6" applyNumberFormat="1" applyFont="1" applyFill="1" applyBorder="1"/>
    <xf numFmtId="44" fontId="15" fillId="0" borderId="9" xfId="6" applyNumberFormat="1" applyFont="1" applyFill="1" applyBorder="1"/>
    <xf numFmtId="37" fontId="15" fillId="0" borderId="22" xfId="6" applyNumberFormat="1" applyFont="1" applyFill="1" applyBorder="1"/>
    <xf numFmtId="39" fontId="16" fillId="0" borderId="0" xfId="6" applyNumberFormat="1" applyFont="1" applyFill="1" applyAlignment="1">
      <alignment horizontal="right"/>
    </xf>
    <xf numFmtId="44" fontId="16" fillId="0" borderId="0" xfId="6" applyNumberFormat="1" applyFont="1" applyFill="1"/>
    <xf numFmtId="37" fontId="30" fillId="0" borderId="0" xfId="6" applyNumberFormat="1" applyFont="1" applyFill="1" applyBorder="1"/>
    <xf numFmtId="14" fontId="16" fillId="0" borderId="0" xfId="6" applyNumberFormat="1" applyFont="1" applyFill="1"/>
    <xf numFmtId="43" fontId="16" fillId="0" borderId="0" xfId="6" applyNumberFormat="1" applyFont="1" applyFill="1" applyBorder="1"/>
    <xf numFmtId="37" fontId="31" fillId="9" borderId="0" xfId="6" applyNumberFormat="1" applyFont="1" applyFill="1"/>
    <xf numFmtId="44" fontId="16" fillId="7" borderId="0" xfId="0" applyNumberFormat="1" applyFont="1" applyFill="1" applyBorder="1"/>
    <xf numFmtId="44" fontId="27" fillId="7" borderId="0" xfId="0" applyNumberFormat="1" applyFont="1" applyFill="1" applyBorder="1"/>
    <xf numFmtId="44" fontId="27" fillId="7" borderId="9" xfId="0" applyNumberFormat="1" applyFont="1" applyFill="1" applyBorder="1"/>
    <xf numFmtId="8" fontId="27" fillId="7" borderId="0" xfId="0" applyNumberFormat="1" applyFont="1" applyFill="1" applyBorder="1"/>
    <xf numFmtId="8" fontId="27" fillId="7" borderId="9" xfId="0" applyNumberFormat="1" applyFont="1" applyFill="1" applyBorder="1"/>
    <xf numFmtId="39" fontId="16" fillId="7" borderId="0" xfId="0" applyFont="1" applyFill="1" applyBorder="1"/>
    <xf numFmtId="37" fontId="30" fillId="7" borderId="0" xfId="0" applyNumberFormat="1" applyFont="1" applyFill="1" applyBorder="1"/>
    <xf numFmtId="39" fontId="15" fillId="0" borderId="4" xfId="0" applyFont="1" applyBorder="1"/>
    <xf numFmtId="39" fontId="15" fillId="0" borderId="6" xfId="0" applyFont="1" applyBorder="1"/>
    <xf numFmtId="181" fontId="15" fillId="0" borderId="0" xfId="0" applyNumberFormat="1" applyFont="1"/>
    <xf numFmtId="181" fontId="16" fillId="0" borderId="20" xfId="0" applyNumberFormat="1" applyFont="1" applyBorder="1" applyAlignment="1">
      <alignment horizontal="center"/>
    </xf>
    <xf numFmtId="181" fontId="16" fillId="0" borderId="8" xfId="0" applyNumberFormat="1" applyFont="1" applyBorder="1" applyAlignment="1">
      <alignment horizontal="center"/>
    </xf>
    <xf numFmtId="181" fontId="16" fillId="0" borderId="6" xfId="0" applyNumberFormat="1" applyFont="1" applyFill="1" applyBorder="1" applyAlignment="1">
      <alignment horizontal="center"/>
    </xf>
    <xf numFmtId="181" fontId="15" fillId="0" borderId="0" xfId="0" applyNumberFormat="1" applyFont="1" applyFill="1"/>
    <xf numFmtId="181" fontId="31" fillId="0" borderId="9" xfId="0" applyNumberFormat="1" applyFont="1" applyFill="1" applyBorder="1"/>
    <xf numFmtId="181" fontId="16" fillId="0" borderId="0" xfId="0" applyNumberFormat="1" applyFont="1" applyFill="1"/>
    <xf numFmtId="181" fontId="15" fillId="0" borderId="9" xfId="0" applyNumberFormat="1" applyFont="1" applyFill="1" applyBorder="1"/>
    <xf numFmtId="181" fontId="16" fillId="0" borderId="9" xfId="0" applyNumberFormat="1" applyFont="1" applyFill="1" applyBorder="1"/>
    <xf numFmtId="181" fontId="16" fillId="0" borderId="22" xfId="0" applyNumberFormat="1" applyFont="1" applyFill="1" applyBorder="1"/>
    <xf numFmtId="7" fontId="15" fillId="6" borderId="0" xfId="0" applyNumberFormat="1" applyFont="1" applyFill="1" applyBorder="1"/>
    <xf numFmtId="39" fontId="15" fillId="0" borderId="0" xfId="0" applyFont="1"/>
    <xf numFmtId="39" fontId="15" fillId="0" borderId="11" xfId="0" applyFont="1" applyBorder="1"/>
    <xf numFmtId="39" fontId="15" fillId="0" borderId="0" xfId="0" applyFont="1" applyFill="1"/>
    <xf numFmtId="39" fontId="14" fillId="0" borderId="7" xfId="0" applyFont="1" applyFill="1" applyBorder="1"/>
    <xf numFmtId="39" fontId="21" fillId="0" borderId="0" xfId="0" applyFont="1" applyFill="1" applyBorder="1"/>
    <xf numFmtId="39" fontId="11" fillId="0" borderId="10" xfId="0" applyFont="1" applyFill="1" applyBorder="1"/>
    <xf numFmtId="39" fontId="21" fillId="0" borderId="8" xfId="0" applyFont="1" applyFill="1" applyBorder="1"/>
    <xf numFmtId="44" fontId="15" fillId="4" borderId="0" xfId="0" applyNumberFormat="1" applyFont="1" applyFill="1" applyBorder="1"/>
    <xf numFmtId="164" fontId="14" fillId="0" borderId="0" xfId="0" applyNumberFormat="1" applyFont="1" applyFill="1" applyBorder="1"/>
    <xf numFmtId="9" fontId="14" fillId="0" borderId="7" xfId="0" applyNumberFormat="1" applyFont="1" applyFill="1" applyBorder="1"/>
    <xf numFmtId="164" fontId="14" fillId="0" borderId="5" xfId="0" quotePrefix="1" applyNumberFormat="1" applyFont="1" applyFill="1" applyBorder="1"/>
    <xf numFmtId="39" fontId="21" fillId="0" borderId="7" xfId="0" applyFont="1" applyFill="1" applyBorder="1"/>
    <xf numFmtId="39" fontId="21" fillId="0" borderId="4" xfId="0" applyFont="1" applyFill="1" applyBorder="1"/>
    <xf numFmtId="39" fontId="14" fillId="0" borderId="0" xfId="0" applyFont="1" applyFill="1" applyBorder="1"/>
    <xf numFmtId="39" fontId="14" fillId="0" borderId="1" xfId="0" applyFont="1" applyFill="1" applyBorder="1"/>
    <xf numFmtId="164" fontId="14" fillId="0" borderId="2" xfId="0" applyNumberFormat="1" applyFont="1" applyFill="1" applyBorder="1"/>
    <xf numFmtId="39" fontId="0" fillId="0" borderId="7" xfId="0" applyFill="1" applyBorder="1"/>
    <xf numFmtId="164" fontId="0" fillId="0" borderId="0" xfId="0" applyNumberFormat="1" applyFill="1" applyBorder="1"/>
    <xf numFmtId="39" fontId="15" fillId="0" borderId="10" xfId="0" applyNumberFormat="1" applyFont="1" applyFill="1" applyBorder="1"/>
    <xf numFmtId="7" fontId="31" fillId="7" borderId="0" xfId="0" applyNumberFormat="1" applyFont="1" applyFill="1" applyBorder="1"/>
    <xf numFmtId="7" fontId="15" fillId="0" borderId="0" xfId="1" applyNumberFormat="1" applyFont="1"/>
    <xf numFmtId="39" fontId="27" fillId="7" borderId="0" xfId="0" applyFont="1" applyFill="1" applyBorder="1" applyProtection="1">
      <protection locked="0"/>
    </xf>
    <xf numFmtId="39" fontId="20" fillId="7" borderId="0" xfId="0" applyFont="1" applyFill="1" applyBorder="1" applyProtection="1">
      <protection locked="0"/>
    </xf>
    <xf numFmtId="39" fontId="20" fillId="7" borderId="0" xfId="0" applyFont="1" applyFill="1" applyBorder="1"/>
    <xf numFmtId="164" fontId="15" fillId="7" borderId="0" xfId="0" applyNumberFormat="1" applyFont="1" applyFill="1" applyBorder="1"/>
    <xf numFmtId="39" fontId="15" fillId="7" borderId="0" xfId="0" applyFont="1" applyFill="1" applyBorder="1"/>
    <xf numFmtId="39" fontId="11" fillId="7" borderId="0" xfId="0" applyFont="1" applyFill="1" applyBorder="1"/>
    <xf numFmtId="164" fontId="20" fillId="7" borderId="0" xfId="0" applyNumberFormat="1" applyFont="1" applyFill="1" applyBorder="1" applyAlignment="1" applyProtection="1">
      <alignment horizontal="left"/>
      <protection locked="0"/>
    </xf>
    <xf numFmtId="39" fontId="16" fillId="7" borderId="0" xfId="0" applyFont="1" applyFill="1" applyBorder="1" applyAlignment="1">
      <alignment horizontal="left"/>
    </xf>
    <xf numFmtId="39" fontId="25" fillId="7" borderId="0" xfId="0" applyFont="1" applyFill="1" applyBorder="1" applyAlignment="1">
      <alignment horizontal="center"/>
    </xf>
    <xf numFmtId="39" fontId="14" fillId="7" borderId="0" xfId="0" applyFont="1" applyFill="1" applyBorder="1"/>
    <xf numFmtId="164" fontId="14" fillId="7" borderId="0" xfId="0" applyNumberFormat="1" applyFont="1" applyFill="1" applyBorder="1"/>
    <xf numFmtId="39" fontId="22" fillId="7" borderId="0" xfId="0" applyFont="1" applyFill="1" applyBorder="1" applyAlignment="1">
      <alignment horizontal="right"/>
    </xf>
    <xf numFmtId="164" fontId="16" fillId="7" borderId="0" xfId="0" applyNumberFormat="1" applyFont="1" applyFill="1" applyBorder="1"/>
    <xf numFmtId="39" fontId="0" fillId="7" borderId="0" xfId="0" applyFill="1" applyBorder="1"/>
    <xf numFmtId="164" fontId="0" fillId="7" borderId="0" xfId="0" applyNumberFormat="1" applyFill="1" applyBorder="1"/>
    <xf numFmtId="39" fontId="17" fillId="7" borderId="0" xfId="0" applyFont="1" applyFill="1" applyBorder="1"/>
    <xf numFmtId="9" fontId="14" fillId="7" borderId="0" xfId="0" applyNumberFormat="1" applyFont="1" applyFill="1" applyBorder="1"/>
    <xf numFmtId="39" fontId="22" fillId="7" borderId="0" xfId="0" applyFont="1" applyFill="1" applyBorder="1"/>
    <xf numFmtId="9" fontId="20" fillId="7" borderId="0" xfId="4" applyFont="1" applyFill="1" applyBorder="1" applyAlignment="1">
      <alignment horizontal="center"/>
    </xf>
    <xf numFmtId="39" fontId="21" fillId="7" borderId="0" xfId="0" applyFont="1" applyFill="1" applyBorder="1"/>
    <xf numFmtId="164" fontId="16" fillId="7" borderId="0" xfId="0" applyNumberFormat="1" applyFont="1" applyFill="1" applyBorder="1" applyAlignment="1" applyProtection="1">
      <alignment horizontal="left"/>
      <protection locked="0"/>
    </xf>
    <xf numFmtId="164" fontId="14" fillId="7" borderId="0" xfId="0" quotePrefix="1" applyNumberFormat="1" applyFont="1" applyFill="1" applyBorder="1"/>
    <xf numFmtId="44" fontId="15" fillId="7" borderId="0" xfId="0" applyNumberFormat="1" applyFont="1" applyFill="1" applyBorder="1"/>
    <xf numFmtId="7" fontId="15" fillId="7" borderId="0" xfId="0" applyNumberFormat="1" applyFont="1" applyFill="1" applyBorder="1"/>
    <xf numFmtId="39" fontId="15" fillId="7" borderId="0" xfId="0" applyFont="1" applyFill="1" applyBorder="1" applyAlignment="1">
      <alignment horizontal="left" indent="2"/>
    </xf>
    <xf numFmtId="39" fontId="16" fillId="7" borderId="0" xfId="0" applyFont="1" applyFill="1" applyBorder="1" applyAlignment="1">
      <alignment horizontal="center"/>
    </xf>
    <xf numFmtId="39" fontId="14" fillId="7" borderId="0" xfId="0" applyFont="1" applyFill="1" applyBorder="1" applyAlignment="1">
      <alignment horizontal="right"/>
    </xf>
    <xf numFmtId="40" fontId="15" fillId="7" borderId="0" xfId="1" applyFont="1" applyFill="1" applyBorder="1"/>
    <xf numFmtId="164" fontId="15" fillId="7" borderId="0" xfId="0" applyNumberFormat="1" applyFont="1" applyFill="1"/>
    <xf numFmtId="39" fontId="16" fillId="7" borderId="9" xfId="0" applyFont="1" applyFill="1" applyBorder="1"/>
    <xf numFmtId="39" fontId="15" fillId="7" borderId="0" xfId="0" applyFont="1" applyFill="1"/>
    <xf numFmtId="39" fontId="16" fillId="7" borderId="22" xfId="0" applyFont="1" applyFill="1" applyBorder="1"/>
    <xf numFmtId="39" fontId="15" fillId="0" borderId="0" xfId="0" applyFont="1"/>
    <xf numFmtId="39" fontId="15" fillId="0" borderId="0" xfId="0" applyFont="1" applyFill="1"/>
    <xf numFmtId="39" fontId="15" fillId="5" borderId="1" xfId="0" applyFont="1" applyFill="1" applyBorder="1"/>
    <xf numFmtId="39" fontId="15" fillId="5" borderId="3" xfId="0" applyFont="1" applyFill="1" applyBorder="1"/>
    <xf numFmtId="39" fontId="16" fillId="6" borderId="0" xfId="0" applyFont="1" applyFill="1" applyBorder="1"/>
    <xf numFmtId="171" fontId="31" fillId="0" borderId="0" xfId="0" applyNumberFormat="1" applyFont="1" applyFill="1" applyBorder="1" applyAlignment="1" applyProtection="1">
      <alignment horizontal="center"/>
      <protection locked="0"/>
    </xf>
    <xf numFmtId="39" fontId="16" fillId="6" borderId="22" xfId="0" applyFont="1" applyFill="1" applyBorder="1"/>
    <xf numFmtId="39" fontId="22" fillId="0" borderId="6" xfId="0" applyFont="1" applyFill="1" applyBorder="1" applyAlignment="1">
      <alignment horizontal="right"/>
    </xf>
    <xf numFmtId="39" fontId="0" fillId="0" borderId="1" xfId="0" applyFill="1" applyBorder="1"/>
    <xf numFmtId="164" fontId="0" fillId="0" borderId="2" xfId="0" applyNumberFormat="1" applyFill="1" applyBorder="1"/>
    <xf numFmtId="181" fontId="15" fillId="0" borderId="3" xfId="4" applyNumberFormat="1" applyFont="1" applyFill="1" applyBorder="1"/>
    <xf numFmtId="181" fontId="15" fillId="0" borderId="0" xfId="4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42" fillId="0" borderId="0" xfId="0" applyNumberFormat="1" applyFont="1"/>
    <xf numFmtId="39" fontId="15" fillId="0" borderId="0" xfId="0" applyFont="1" applyFill="1" applyBorder="1" applyAlignment="1">
      <alignment horizontal="center"/>
    </xf>
    <xf numFmtId="17" fontId="16" fillId="6" borderId="5" xfId="0" applyNumberFormat="1" applyFont="1" applyFill="1" applyBorder="1" applyAlignment="1">
      <alignment horizontal="left"/>
    </xf>
    <xf numFmtId="39" fontId="15" fillId="6" borderId="5" xfId="0" applyFont="1" applyFill="1" applyBorder="1"/>
    <xf numFmtId="39" fontId="16" fillId="6" borderId="10" xfId="0" applyFont="1" applyFill="1" applyBorder="1"/>
    <xf numFmtId="39" fontId="15" fillId="6" borderId="11" xfId="0" applyFont="1" applyFill="1" applyBorder="1"/>
    <xf numFmtId="39" fontId="16" fillId="6" borderId="12" xfId="0" applyFont="1" applyFill="1" applyBorder="1" applyAlignment="1">
      <alignment horizontal="center"/>
    </xf>
    <xf numFmtId="39" fontId="16" fillId="6" borderId="13" xfId="0" applyFont="1" applyFill="1" applyBorder="1" applyAlignment="1">
      <alignment horizontal="center"/>
    </xf>
    <xf numFmtId="39" fontId="15" fillId="6" borderId="1" xfId="0" applyFont="1" applyFill="1" applyBorder="1"/>
    <xf numFmtId="39" fontId="15" fillId="6" borderId="2" xfId="0" applyFont="1" applyFill="1" applyBorder="1"/>
    <xf numFmtId="7" fontId="15" fillId="6" borderId="2" xfId="0" applyNumberFormat="1" applyFont="1" applyFill="1" applyBorder="1"/>
    <xf numFmtId="181" fontId="15" fillId="6" borderId="3" xfId="4" applyNumberFormat="1" applyFont="1" applyFill="1" applyBorder="1"/>
    <xf numFmtId="39" fontId="15" fillId="6" borderId="7" xfId="0" applyFont="1" applyFill="1" applyBorder="1"/>
    <xf numFmtId="39" fontId="15" fillId="6" borderId="0" xfId="0" applyFont="1" applyFill="1" applyBorder="1"/>
    <xf numFmtId="181" fontId="15" fillId="6" borderId="0" xfId="4" applyNumberFormat="1" applyFont="1" applyFill="1" applyBorder="1"/>
    <xf numFmtId="7" fontId="15" fillId="6" borderId="8" xfId="4" applyNumberFormat="1" applyFont="1" applyFill="1" applyBorder="1"/>
    <xf numFmtId="39" fontId="15" fillId="6" borderId="8" xfId="0" applyFont="1" applyFill="1" applyBorder="1"/>
    <xf numFmtId="167" fontId="15" fillId="6" borderId="8" xfId="0" applyNumberFormat="1" applyFont="1" applyFill="1" applyBorder="1"/>
    <xf numFmtId="39" fontId="15" fillId="6" borderId="4" xfId="0" applyFont="1" applyFill="1" applyBorder="1"/>
    <xf numFmtId="43" fontId="15" fillId="6" borderId="5" xfId="0" applyNumberFormat="1" applyFont="1" applyFill="1" applyBorder="1"/>
    <xf numFmtId="7" fontId="15" fillId="6" borderId="6" xfId="0" applyNumberFormat="1" applyFont="1" applyFill="1" applyBorder="1"/>
    <xf numFmtId="39" fontId="11" fillId="6" borderId="10" xfId="0" applyFont="1" applyFill="1" applyBorder="1"/>
    <xf numFmtId="39" fontId="15" fillId="6" borderId="17" xfId="0" applyFont="1" applyFill="1" applyBorder="1"/>
    <xf numFmtId="164" fontId="20" fillId="6" borderId="0" xfId="0" applyNumberFormat="1" applyFont="1" applyFill="1" applyAlignment="1" applyProtection="1">
      <alignment horizontal="left"/>
      <protection locked="0"/>
    </xf>
    <xf numFmtId="39" fontId="16" fillId="6" borderId="0" xfId="0" applyFont="1" applyFill="1" applyAlignment="1">
      <alignment horizontal="left"/>
    </xf>
    <xf numFmtId="39" fontId="25" fillId="6" borderId="0" xfId="0" applyFont="1" applyFill="1" applyAlignment="1">
      <alignment horizontal="center"/>
    </xf>
    <xf numFmtId="39" fontId="14" fillId="6" borderId="1" xfId="0" applyFont="1" applyFill="1" applyBorder="1"/>
    <xf numFmtId="164" fontId="14" fillId="6" borderId="2" xfId="0" applyNumberFormat="1" applyFont="1" applyFill="1" applyBorder="1"/>
    <xf numFmtId="39" fontId="22" fillId="6" borderId="0" xfId="0" applyFont="1" applyFill="1" applyBorder="1" applyAlignment="1">
      <alignment horizontal="right"/>
    </xf>
    <xf numFmtId="39" fontId="22" fillId="6" borderId="3" xfId="0" applyFont="1" applyFill="1" applyBorder="1" applyAlignment="1">
      <alignment horizontal="right"/>
    </xf>
    <xf numFmtId="164" fontId="16" fillId="6" borderId="0" xfId="0" applyNumberFormat="1" applyFont="1" applyFill="1"/>
    <xf numFmtId="39" fontId="0" fillId="6" borderId="7" xfId="0" applyFill="1" applyBorder="1"/>
    <xf numFmtId="164" fontId="0" fillId="6" borderId="0" xfId="0" applyNumberFormat="1" applyFill="1" applyBorder="1"/>
    <xf numFmtId="39" fontId="22" fillId="6" borderId="8" xfId="0" applyFont="1" applyFill="1" applyBorder="1" applyAlignment="1">
      <alignment horizontal="right"/>
    </xf>
    <xf numFmtId="39" fontId="17" fillId="6" borderId="0" xfId="0" applyFont="1" applyFill="1"/>
    <xf numFmtId="9" fontId="20" fillId="6" borderId="0" xfId="4" applyFont="1" applyFill="1" applyAlignment="1">
      <alignment horizontal="center"/>
    </xf>
    <xf numFmtId="9" fontId="14" fillId="6" borderId="7" xfId="0" applyNumberFormat="1" applyFont="1" applyFill="1" applyBorder="1"/>
    <xf numFmtId="164" fontId="14" fillId="6" borderId="0" xfId="0" applyNumberFormat="1" applyFont="1" applyFill="1" applyBorder="1"/>
    <xf numFmtId="39" fontId="22" fillId="6" borderId="0" xfId="0" applyFont="1" applyFill="1" applyBorder="1"/>
    <xf numFmtId="39" fontId="22" fillId="6" borderId="8" xfId="0" applyFont="1" applyFill="1" applyBorder="1"/>
    <xf numFmtId="164" fontId="16" fillId="6" borderId="0" xfId="0" applyNumberFormat="1" applyFont="1" applyFill="1" applyAlignment="1" applyProtection="1">
      <alignment horizontal="left"/>
      <protection locked="0"/>
    </xf>
    <xf numFmtId="39" fontId="21" fillId="6" borderId="7" xfId="0" applyFont="1" applyFill="1" applyBorder="1"/>
    <xf numFmtId="39" fontId="21" fillId="6" borderId="4" xfId="0" applyFont="1" applyFill="1" applyBorder="1"/>
    <xf numFmtId="164" fontId="14" fillId="6" borderId="5" xfId="0" quotePrefix="1" applyNumberFormat="1" applyFont="1" applyFill="1" applyBorder="1"/>
    <xf numFmtId="39" fontId="22" fillId="6" borderId="5" xfId="0" applyFont="1" applyFill="1" applyBorder="1"/>
    <xf numFmtId="39" fontId="22" fillId="6" borderId="6" xfId="0" applyFont="1" applyFill="1" applyBorder="1"/>
    <xf numFmtId="14" fontId="16" fillId="0" borderId="0" xfId="0" applyNumberFormat="1" applyFont="1" applyFill="1" applyAlignment="1">
      <alignment horizontal="right"/>
    </xf>
    <xf numFmtId="39" fontId="16" fillId="0" borderId="0" xfId="0" applyNumberFormat="1" applyFont="1" applyFill="1"/>
    <xf numFmtId="166" fontId="16" fillId="0" borderId="0" xfId="4" applyNumberFormat="1" applyFont="1" applyFill="1" applyAlignment="1">
      <alignment horizontal="center"/>
    </xf>
    <xf numFmtId="39" fontId="15" fillId="0" borderId="0" xfId="0" applyFont="1" applyFill="1" applyBorder="1" applyAlignment="1">
      <alignment horizontal="center"/>
    </xf>
    <xf numFmtId="0" fontId="36" fillId="0" borderId="0" xfId="6" applyFont="1" applyAlignment="1">
      <alignment horizontal="left"/>
    </xf>
    <xf numFmtId="39" fontId="15" fillId="0" borderId="0" xfId="0" applyFont="1" applyFill="1" applyBorder="1" applyAlignment="1">
      <alignment horizontal="center"/>
    </xf>
    <xf numFmtId="39" fontId="15" fillId="0" borderId="23" xfId="0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164" fontId="15" fillId="6" borderId="0" xfId="0" applyNumberFormat="1" applyFont="1" applyFill="1" applyBorder="1"/>
    <xf numFmtId="40" fontId="15" fillId="0" borderId="8" xfId="1" applyFont="1" applyFill="1" applyBorder="1"/>
    <xf numFmtId="17" fontId="16" fillId="0" borderId="0" xfId="0" applyNumberFormat="1" applyFont="1" applyFill="1" applyBorder="1" applyAlignment="1">
      <alignment horizontal="right"/>
    </xf>
    <xf numFmtId="40" fontId="15" fillId="0" borderId="5" xfId="1" applyFont="1" applyFill="1" applyBorder="1"/>
    <xf numFmtId="181" fontId="16" fillId="6" borderId="0" xfId="0" applyNumberFormat="1" applyFont="1" applyFill="1" applyBorder="1"/>
    <xf numFmtId="181" fontId="16" fillId="6" borderId="22" xfId="0" applyNumberFormat="1" applyFont="1" applyFill="1" applyBorder="1"/>
    <xf numFmtId="0" fontId="15" fillId="0" borderId="8" xfId="2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quotePrefix="1" applyFont="1" applyFill="1" applyBorder="1"/>
    <xf numFmtId="40" fontId="15" fillId="0" borderId="2" xfId="1" applyFont="1" applyFill="1" applyBorder="1"/>
    <xf numFmtId="40" fontId="15" fillId="0" borderId="3" xfId="1" applyFont="1" applyFill="1" applyBorder="1"/>
    <xf numFmtId="40" fontId="15" fillId="0" borderId="0" xfId="1" applyFont="1" applyFill="1" applyBorder="1"/>
    <xf numFmtId="40" fontId="15" fillId="0" borderId="6" xfId="1" applyFont="1" applyFill="1" applyBorder="1"/>
    <xf numFmtId="39" fontId="15" fillId="0" borderId="0" xfId="0" applyFont="1" applyFill="1" applyBorder="1" applyAlignment="1">
      <alignment horizontal="center"/>
    </xf>
    <xf numFmtId="39" fontId="15" fillId="7" borderId="0" xfId="0" applyFont="1" applyFill="1" applyAlignment="1">
      <alignment horizontal="center"/>
    </xf>
    <xf numFmtId="39" fontId="16" fillId="0" borderId="28" xfId="0" applyFont="1" applyFill="1" applyBorder="1"/>
    <xf numFmtId="39" fontId="16" fillId="10" borderId="0" xfId="0" applyFont="1" applyFill="1" applyBorder="1" applyAlignment="1">
      <alignment horizontal="right"/>
    </xf>
    <xf numFmtId="39" fontId="16" fillId="10" borderId="0" xfId="0" applyFont="1" applyFill="1" applyBorder="1"/>
    <xf numFmtId="0" fontId="16" fillId="10" borderId="0" xfId="0" applyNumberFormat="1" applyFont="1" applyFill="1" applyBorder="1"/>
    <xf numFmtId="39" fontId="44" fillId="7" borderId="0" xfId="0" applyFont="1" applyFill="1"/>
    <xf numFmtId="39" fontId="45" fillId="7" borderId="0" xfId="0" applyFont="1" applyFill="1" applyAlignment="1">
      <alignment horizontal="right"/>
    </xf>
    <xf numFmtId="39" fontId="45" fillId="7" borderId="0" xfId="0" applyFont="1" applyFill="1"/>
    <xf numFmtId="39" fontId="46" fillId="7" borderId="0" xfId="0" applyFont="1" applyFill="1"/>
    <xf numFmtId="0" fontId="46" fillId="7" borderId="0" xfId="0" applyNumberFormat="1" applyFont="1" applyFill="1"/>
    <xf numFmtId="39" fontId="46" fillId="7" borderId="0" xfId="0" applyFont="1" applyFill="1" applyAlignment="1">
      <alignment horizontal="right"/>
    </xf>
    <xf numFmtId="39" fontId="46" fillId="7" borderId="0" xfId="0" applyFont="1" applyFill="1" applyAlignment="1">
      <alignment horizontal="center"/>
    </xf>
    <xf numFmtId="39" fontId="46" fillId="7" borderId="0" xfId="0" applyFont="1" applyFill="1" applyAlignment="1">
      <alignment horizontal="center" wrapText="1"/>
    </xf>
    <xf numFmtId="10" fontId="45" fillId="7" borderId="0" xfId="4" applyNumberFormat="1" applyFont="1" applyFill="1"/>
    <xf numFmtId="39" fontId="47" fillId="7" borderId="0" xfId="0" applyFont="1" applyFill="1"/>
    <xf numFmtId="38" fontId="45" fillId="7" borderId="0" xfId="1" applyNumberFormat="1" applyFont="1" applyFill="1"/>
    <xf numFmtId="171" fontId="45" fillId="7" borderId="0" xfId="0" applyNumberFormat="1" applyFont="1" applyFill="1"/>
    <xf numFmtId="39" fontId="45" fillId="7" borderId="0" xfId="0" applyFont="1" applyFill="1" applyAlignment="1">
      <alignment horizontal="center"/>
    </xf>
    <xf numFmtId="40" fontId="45" fillId="7" borderId="0" xfId="1" applyNumberFormat="1" applyFont="1" applyFill="1"/>
    <xf numFmtId="171" fontId="45" fillId="7" borderId="0" xfId="0" applyNumberFormat="1" applyFont="1" applyFill="1" applyAlignment="1">
      <alignment horizontal="center"/>
    </xf>
    <xf numFmtId="39" fontId="15" fillId="7" borderId="1" xfId="0" applyFont="1" applyFill="1" applyBorder="1"/>
    <xf numFmtId="39" fontId="15" fillId="7" borderId="2" xfId="0" applyFont="1" applyFill="1" applyBorder="1"/>
    <xf numFmtId="39" fontId="15" fillId="7" borderId="7" xfId="0" applyFont="1" applyFill="1" applyBorder="1"/>
    <xf numFmtId="40" fontId="15" fillId="7" borderId="8" xfId="1" applyFont="1" applyFill="1" applyBorder="1"/>
    <xf numFmtId="39" fontId="15" fillId="7" borderId="4" xfId="0" applyFont="1" applyFill="1" applyBorder="1"/>
    <xf numFmtId="40" fontId="15" fillId="7" borderId="5" xfId="1" applyFont="1" applyFill="1" applyBorder="1"/>
    <xf numFmtId="0" fontId="48" fillId="0" borderId="0" xfId="69" applyFont="1" applyFill="1" applyBorder="1" applyAlignment="1">
      <alignment horizontal="center"/>
    </xf>
    <xf numFmtId="182" fontId="48" fillId="0" borderId="0" xfId="69" applyNumberFormat="1" applyFont="1" applyFill="1" applyBorder="1" applyAlignment="1">
      <alignment horizontal="left"/>
    </xf>
    <xf numFmtId="0" fontId="48" fillId="0" borderId="0" xfId="69" applyFont="1" applyFill="1" applyBorder="1"/>
    <xf numFmtId="183" fontId="48" fillId="0" borderId="0" xfId="69" applyNumberFormat="1" applyFont="1" applyFill="1" applyBorder="1" applyAlignment="1">
      <alignment horizontal="left"/>
    </xf>
    <xf numFmtId="43" fontId="48" fillId="0" borderId="0" xfId="74" applyFont="1" applyFill="1" applyBorder="1" applyAlignment="1">
      <alignment horizontal="center"/>
    </xf>
    <xf numFmtId="0" fontId="5" fillId="0" borderId="0" xfId="69" applyFont="1" applyBorder="1" applyAlignment="1">
      <alignment horizontal="center"/>
    </xf>
    <xf numFmtId="0" fontId="5" fillId="0" borderId="0" xfId="69" applyFont="1" applyBorder="1"/>
    <xf numFmtId="0" fontId="48" fillId="0" borderId="0" xfId="69" applyNumberFormat="1" applyFont="1" applyFill="1" applyBorder="1" applyAlignment="1">
      <alignment horizontal="center"/>
    </xf>
    <xf numFmtId="43" fontId="0" fillId="0" borderId="0" xfId="74" applyFont="1" applyFill="1" applyBorder="1" applyAlignment="1">
      <alignment horizontal="center"/>
    </xf>
    <xf numFmtId="0" fontId="46" fillId="7" borderId="1" xfId="0" applyNumberFormat="1" applyFont="1" applyFill="1" applyBorder="1"/>
    <xf numFmtId="39" fontId="45" fillId="7" borderId="2" xfId="0" applyFont="1" applyFill="1" applyBorder="1"/>
    <xf numFmtId="39" fontId="45" fillId="7" borderId="3" xfId="0" applyFont="1" applyFill="1" applyBorder="1"/>
    <xf numFmtId="39" fontId="45" fillId="7" borderId="4" xfId="0" applyFont="1" applyFill="1" applyBorder="1"/>
    <xf numFmtId="39" fontId="45" fillId="7" borderId="5" xfId="0" applyFont="1" applyFill="1" applyBorder="1"/>
    <xf numFmtId="39" fontId="45" fillId="7" borderId="6" xfId="0" applyFont="1" applyFill="1" applyBorder="1"/>
    <xf numFmtId="40" fontId="15" fillId="7" borderId="2" xfId="1" applyFont="1" applyFill="1" applyBorder="1"/>
    <xf numFmtId="40" fontId="15" fillId="7" borderId="3" xfId="1" applyFont="1" applyFill="1" applyBorder="1"/>
    <xf numFmtId="40" fontId="15" fillId="7" borderId="6" xfId="1" applyFont="1" applyFill="1" applyBorder="1"/>
    <xf numFmtId="0" fontId="46" fillId="7" borderId="10" xfId="0" applyNumberFormat="1" applyFont="1" applyFill="1" applyBorder="1"/>
    <xf numFmtId="39" fontId="45" fillId="7" borderId="11" xfId="0" applyFont="1" applyFill="1" applyBorder="1"/>
    <xf numFmtId="39" fontId="45" fillId="7" borderId="17" xfId="0" applyFont="1" applyFill="1" applyBorder="1"/>
    <xf numFmtId="0" fontId="45" fillId="7" borderId="0" xfId="0" applyNumberFormat="1" applyFont="1" applyFill="1"/>
    <xf numFmtId="0" fontId="45" fillId="7" borderId="2" xfId="0" applyNumberFormat="1" applyFont="1" applyFill="1" applyBorder="1"/>
    <xf numFmtId="0" fontId="15" fillId="7" borderId="2" xfId="0" applyNumberFormat="1" applyFont="1" applyFill="1" applyBorder="1"/>
    <xf numFmtId="0" fontId="15" fillId="7" borderId="0" xfId="0" applyNumberFormat="1" applyFont="1" applyFill="1" applyBorder="1"/>
    <xf numFmtId="0" fontId="15" fillId="7" borderId="5" xfId="0" applyNumberFormat="1" applyFont="1" applyFill="1" applyBorder="1"/>
    <xf numFmtId="0" fontId="45" fillId="7" borderId="5" xfId="0" applyNumberFormat="1" applyFont="1" applyFill="1" applyBorder="1"/>
    <xf numFmtId="0" fontId="45" fillId="7" borderId="11" xfId="0" applyNumberFormat="1" applyFont="1" applyFill="1" applyBorder="1"/>
    <xf numFmtId="39" fontId="5" fillId="0" borderId="0" xfId="69" applyNumberFormat="1" applyFont="1" applyAlignment="1"/>
    <xf numFmtId="0" fontId="31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39" fontId="46" fillId="7" borderId="0" xfId="0" applyFont="1" applyFill="1" applyAlignment="1"/>
    <xf numFmtId="40" fontId="45" fillId="7" borderId="0" xfId="0" applyNumberFormat="1" applyFont="1" applyFill="1"/>
    <xf numFmtId="39" fontId="15" fillId="0" borderId="0" xfId="0" applyFont="1" applyFill="1" applyBorder="1" applyAlignment="1">
      <alignment horizontal="center"/>
    </xf>
    <xf numFmtId="39" fontId="49" fillId="7" borderId="29" xfId="73" applyNumberFormat="1" applyFont="1" applyFill="1"/>
    <xf numFmtId="37" fontId="49" fillId="7" borderId="29" xfId="73" applyNumberFormat="1" applyFont="1" applyFill="1"/>
    <xf numFmtId="37" fontId="45" fillId="7" borderId="0" xfId="0" applyNumberFormat="1" applyFont="1" applyFill="1"/>
    <xf numFmtId="0" fontId="50" fillId="7" borderId="1" xfId="0" applyNumberFormat="1" applyFont="1" applyFill="1" applyBorder="1"/>
    <xf numFmtId="7" fontId="0" fillId="0" borderId="0" xfId="1" applyNumberFormat="1" applyFont="1"/>
    <xf numFmtId="39" fontId="48" fillId="0" borderId="0" xfId="0" applyNumberFormat="1" applyFont="1" applyFill="1"/>
    <xf numFmtId="39" fontId="0" fillId="0" borderId="27" xfId="0" applyBorder="1" applyAlignment="1">
      <alignment horizontal="center"/>
    </xf>
    <xf numFmtId="39" fontId="0" fillId="0" borderId="27" xfId="0" applyBorder="1" applyAlignment="1">
      <alignment horizontal="center"/>
    </xf>
    <xf numFmtId="39" fontId="0" fillId="0" borderId="0" xfId="0"/>
    <xf numFmtId="39" fontId="0" fillId="0" borderId="27" xfId="0" applyBorder="1" applyAlignment="1">
      <alignment horizontal="center"/>
    </xf>
    <xf numFmtId="39" fontId="42" fillId="0" borderId="0" xfId="0" applyNumberFormat="1" applyFont="1" applyAlignment="1">
      <alignment horizontal="right"/>
    </xf>
    <xf numFmtId="39" fontId="53" fillId="0" borderId="0" xfId="0" applyFont="1"/>
    <xf numFmtId="39" fontId="53" fillId="0" borderId="0" xfId="0" applyFont="1" applyFill="1"/>
    <xf numFmtId="39" fontId="47" fillId="0" borderId="0" xfId="0" applyFont="1" applyFill="1"/>
    <xf numFmtId="0" fontId="15" fillId="0" borderId="5" xfId="0" applyNumberFormat="1" applyFont="1" applyFill="1" applyBorder="1"/>
    <xf numFmtId="39" fontId="3" fillId="0" borderId="0" xfId="69" applyNumberFormat="1" applyFont="1" applyAlignment="1"/>
    <xf numFmtId="39" fontId="45" fillId="0" borderId="0" xfId="0" applyFont="1" applyFill="1"/>
    <xf numFmtId="39" fontId="45" fillId="7" borderId="0" xfId="0" applyFont="1" applyFill="1" applyBorder="1"/>
    <xf numFmtId="0" fontId="45" fillId="7" borderId="0" xfId="0" applyNumberFormat="1" applyFont="1" applyFill="1" applyBorder="1"/>
    <xf numFmtId="37" fontId="45" fillId="0" borderId="0" xfId="0" applyNumberFormat="1" applyFont="1" applyFill="1"/>
    <xf numFmtId="38" fontId="45" fillId="0" borderId="0" xfId="1" applyNumberFormat="1" applyFont="1" applyFill="1"/>
    <xf numFmtId="171" fontId="45" fillId="0" borderId="0" xfId="0" applyNumberFormat="1" applyFont="1" applyFill="1"/>
    <xf numFmtId="39" fontId="45" fillId="0" borderId="0" xfId="0" applyFont="1" applyFill="1" applyAlignment="1">
      <alignment horizontal="right"/>
    </xf>
    <xf numFmtId="44" fontId="27" fillId="0" borderId="9" xfId="0" applyNumberFormat="1" applyFont="1" applyFill="1" applyBorder="1"/>
    <xf numFmtId="178" fontId="15" fillId="0" borderId="0" xfId="2" applyNumberFormat="1" applyFont="1" applyFill="1" applyBorder="1"/>
    <xf numFmtId="8" fontId="27" fillId="0" borderId="0" xfId="0" applyNumberFormat="1" applyFont="1" applyFill="1" applyBorder="1"/>
    <xf numFmtId="8" fontId="27" fillId="0" borderId="9" xfId="0" applyNumberFormat="1" applyFont="1" applyFill="1" applyBorder="1"/>
    <xf numFmtId="44" fontId="27" fillId="12" borderId="0" xfId="0" applyNumberFormat="1" applyFont="1" applyFill="1" applyBorder="1"/>
    <xf numFmtId="44" fontId="27" fillId="12" borderId="9" xfId="0" applyNumberFormat="1" applyFont="1" applyFill="1" applyBorder="1"/>
    <xf numFmtId="38" fontId="27" fillId="12" borderId="0" xfId="1" applyNumberFormat="1" applyFont="1" applyFill="1" applyBorder="1" applyProtection="1"/>
    <xf numFmtId="38" fontId="27" fillId="13" borderId="0" xfId="1" applyNumberFormat="1" applyFont="1" applyFill="1" applyBorder="1" applyProtection="1"/>
    <xf numFmtId="39" fontId="46" fillId="7" borderId="0" xfId="0" applyFont="1" applyFill="1" applyBorder="1"/>
    <xf numFmtId="38" fontId="45" fillId="7" borderId="0" xfId="1" applyNumberFormat="1" applyFont="1" applyFill="1" applyBorder="1"/>
    <xf numFmtId="44" fontId="16" fillId="0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44" fontId="27" fillId="13" borderId="0" xfId="0" applyNumberFormat="1" applyFont="1" applyFill="1" applyBorder="1"/>
    <xf numFmtId="44" fontId="27" fillId="13" borderId="9" xfId="0" applyNumberFormat="1" applyFont="1" applyFill="1" applyBorder="1"/>
    <xf numFmtId="10" fontId="45" fillId="0" borderId="0" xfId="4" applyNumberFormat="1" applyFont="1" applyFill="1"/>
    <xf numFmtId="0" fontId="46" fillId="0" borderId="0" xfId="0" applyNumberFormat="1" applyFont="1" applyFill="1"/>
    <xf numFmtId="44" fontId="16" fillId="13" borderId="0" xfId="0" applyNumberFormat="1" applyFont="1" applyFill="1" applyBorder="1"/>
    <xf numFmtId="38" fontId="15" fillId="0" borderId="9" xfId="1" applyNumberFormat="1" applyFont="1" applyFill="1" applyBorder="1" applyProtection="1"/>
    <xf numFmtId="39" fontId="15" fillId="0" borderId="0" xfId="0" applyFont="1" applyFill="1" applyBorder="1" applyAlignment="1">
      <alignment horizontal="center"/>
    </xf>
    <xf numFmtId="39" fontId="45" fillId="14" borderId="0" xfId="0" applyFont="1" applyFill="1"/>
    <xf numFmtId="39" fontId="45" fillId="13" borderId="0" xfId="0" applyFont="1" applyFill="1"/>
    <xf numFmtId="39" fontId="47" fillId="10" borderId="0" xfId="0" applyFont="1" applyFill="1"/>
    <xf numFmtId="39" fontId="15" fillId="0" borderId="0" xfId="0" applyFont="1" applyFill="1" applyBorder="1" applyAlignment="1">
      <alignment horizontal="center"/>
    </xf>
    <xf numFmtId="44" fontId="16" fillId="12" borderId="0" xfId="0" applyNumberFormat="1" applyFont="1" applyFill="1" applyBorder="1"/>
    <xf numFmtId="44" fontId="15" fillId="12" borderId="0" xfId="0" applyNumberFormat="1" applyFont="1" applyFill="1" applyBorder="1"/>
    <xf numFmtId="38" fontId="15" fillId="12" borderId="0" xfId="1" applyNumberFormat="1" applyFont="1" applyFill="1" applyBorder="1" applyProtection="1"/>
    <xf numFmtId="38" fontId="27" fillId="12" borderId="9" xfId="1" applyNumberFormat="1" applyFont="1" applyFill="1" applyBorder="1" applyProtection="1"/>
    <xf numFmtId="44" fontId="15" fillId="12" borderId="8" xfId="2" applyNumberFormat="1" applyFont="1" applyFill="1" applyBorder="1"/>
    <xf numFmtId="39" fontId="45" fillId="16" borderId="0" xfId="0" applyFont="1" applyFill="1"/>
    <xf numFmtId="39" fontId="49" fillId="7" borderId="31" xfId="73" applyNumberFormat="1" applyFont="1" applyFill="1" applyBorder="1"/>
    <xf numFmtId="39" fontId="45" fillId="14" borderId="32" xfId="0" applyFont="1" applyFill="1" applyBorder="1"/>
    <xf numFmtId="39" fontId="45" fillId="13" borderId="33" xfId="0" applyFont="1" applyFill="1" applyBorder="1"/>
    <xf numFmtId="39" fontId="45" fillId="10" borderId="33" xfId="0" applyFont="1" applyFill="1" applyBorder="1"/>
    <xf numFmtId="39" fontId="45" fillId="15" borderId="34" xfId="0" applyFont="1" applyFill="1" applyBorder="1"/>
    <xf numFmtId="39" fontId="45" fillId="16" borderId="30" xfId="0" applyFont="1" applyFill="1" applyBorder="1"/>
    <xf numFmtId="39" fontId="49" fillId="0" borderId="29" xfId="73" applyNumberFormat="1" applyFont="1" applyFill="1"/>
    <xf numFmtId="10" fontId="16" fillId="12" borderId="0" xfId="4" applyNumberFormat="1" applyFont="1" applyFill="1" applyAlignment="1">
      <alignment horizontal="center"/>
    </xf>
    <xf numFmtId="171" fontId="45" fillId="12" borderId="0" xfId="0" applyNumberFormat="1" applyFont="1" applyFill="1" applyAlignment="1">
      <alignment horizontal="center"/>
    </xf>
    <xf numFmtId="10" fontId="45" fillId="12" borderId="0" xfId="4" applyNumberFormat="1" applyFont="1" applyFill="1"/>
    <xf numFmtId="171" fontId="31" fillId="12" borderId="0" xfId="0" applyNumberFormat="1" applyFont="1" applyFill="1" applyBorder="1" applyAlignment="1" applyProtection="1">
      <alignment horizontal="center"/>
      <protection locked="0"/>
    </xf>
    <xf numFmtId="37" fontId="45" fillId="12" borderId="0" xfId="0" applyNumberFormat="1" applyFont="1" applyFill="1"/>
    <xf numFmtId="38" fontId="45" fillId="12" borderId="0" xfId="1" applyNumberFormat="1" applyFont="1" applyFill="1"/>
    <xf numFmtId="39" fontId="45" fillId="7" borderId="10" xfId="0" applyFont="1" applyFill="1" applyBorder="1"/>
    <xf numFmtId="44" fontId="15" fillId="13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7" fontId="31" fillId="13" borderId="0" xfId="0" applyNumberFormat="1" applyFont="1" applyFill="1" applyBorder="1"/>
    <xf numFmtId="38" fontId="15" fillId="13" borderId="0" xfId="1" applyNumberFormat="1" applyFont="1" applyFill="1" applyBorder="1" applyProtection="1"/>
    <xf numFmtId="38" fontId="27" fillId="13" borderId="9" xfId="1" applyNumberFormat="1" applyFont="1" applyFill="1" applyBorder="1" applyProtection="1"/>
    <xf numFmtId="7" fontId="31" fillId="0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44" fontId="27" fillId="11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45" fillId="10" borderId="0" xfId="0" applyFont="1" applyFill="1"/>
    <xf numFmtId="39" fontId="45" fillId="10" borderId="32" xfId="0" applyFont="1" applyFill="1" applyBorder="1"/>
    <xf numFmtId="39" fontId="45" fillId="15" borderId="0" xfId="0" applyFont="1" applyFill="1"/>
    <xf numFmtId="39" fontId="45" fillId="14" borderId="33" xfId="0" applyFont="1" applyFill="1" applyBorder="1"/>
    <xf numFmtId="39" fontId="47" fillId="16" borderId="0" xfId="0" applyFont="1" applyFill="1"/>
    <xf numFmtId="39" fontId="45" fillId="16" borderId="33" xfId="0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0" fontId="54" fillId="7" borderId="11" xfId="0" applyNumberFormat="1" applyFont="1" applyFill="1" applyBorder="1"/>
    <xf numFmtId="37" fontId="49" fillId="0" borderId="29" xfId="73" applyNumberFormat="1" applyFont="1" applyFill="1"/>
    <xf numFmtId="39" fontId="46" fillId="0" borderId="0" xfId="0" applyFont="1" applyFill="1" applyAlignment="1"/>
    <xf numFmtId="39" fontId="45" fillId="6" borderId="0" xfId="0" applyFont="1" applyFill="1"/>
    <xf numFmtId="39" fontId="15" fillId="0" borderId="0" xfId="0" applyFont="1" applyFill="1" applyBorder="1" applyAlignment="1">
      <alignment horizontal="center"/>
    </xf>
    <xf numFmtId="171" fontId="31" fillId="13" borderId="0" xfId="0" applyNumberFormat="1" applyFont="1" applyFill="1" applyBorder="1" applyAlignment="1" applyProtection="1">
      <alignment horizontal="center"/>
      <protection locked="0"/>
    </xf>
    <xf numFmtId="171" fontId="45" fillId="12" borderId="0" xfId="0" applyNumberFormat="1" applyFont="1" applyFill="1" applyAlignment="1">
      <alignment horizontal="right"/>
    </xf>
    <xf numFmtId="171" fontId="45" fillId="0" borderId="0" xfId="0" applyNumberFormat="1" applyFont="1" applyFill="1" applyAlignment="1">
      <alignment horizontal="right"/>
    </xf>
    <xf numFmtId="39" fontId="54" fillId="7" borderId="35" xfId="0" applyFont="1" applyFill="1" applyBorder="1"/>
    <xf numFmtId="39" fontId="45" fillId="7" borderId="28" xfId="0" applyFont="1" applyFill="1" applyBorder="1"/>
    <xf numFmtId="39" fontId="45" fillId="7" borderId="36" xfId="0" applyFont="1" applyFill="1" applyBorder="1"/>
    <xf numFmtId="39" fontId="45" fillId="7" borderId="37" xfId="0" applyFont="1" applyFill="1" applyBorder="1"/>
    <xf numFmtId="39" fontId="45" fillId="7" borderId="38" xfId="0" applyFont="1" applyFill="1" applyBorder="1"/>
    <xf numFmtId="39" fontId="45" fillId="7" borderId="39" xfId="0" applyFont="1" applyFill="1" applyBorder="1"/>
    <xf numFmtId="39" fontId="45" fillId="7" borderId="9" xfId="0" applyFont="1" applyFill="1" applyBorder="1"/>
    <xf numFmtId="39" fontId="45" fillId="7" borderId="40" xfId="0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164" fontId="55" fillId="0" borderId="0" xfId="93" applyNumberFormat="1" applyFont="1" applyAlignment="1">
      <alignment horizontal="left"/>
    </xf>
    <xf numFmtId="0" fontId="15" fillId="0" borderId="0" xfId="93" applyFont="1"/>
    <xf numFmtId="39" fontId="45" fillId="0" borderId="0" xfId="137" applyFont="1" applyFill="1" applyBorder="1"/>
    <xf numFmtId="164" fontId="56" fillId="0" borderId="0" xfId="93" applyNumberFormat="1" applyFont="1" applyAlignment="1">
      <alignment horizontal="left"/>
    </xf>
    <xf numFmtId="0" fontId="21" fillId="0" borderId="0" xfId="93"/>
    <xf numFmtId="39" fontId="14" fillId="0" borderId="0" xfId="137" applyFill="1" applyBorder="1"/>
    <xf numFmtId="0" fontId="57" fillId="0" borderId="0" xfId="138" applyFont="1" applyFill="1" applyBorder="1"/>
    <xf numFmtId="0" fontId="1" fillId="0" borderId="0" xfId="138"/>
    <xf numFmtId="0" fontId="1" fillId="0" borderId="0" xfId="138" applyFill="1" applyBorder="1"/>
    <xf numFmtId="184" fontId="21" fillId="0" borderId="0" xfId="138" applyNumberFormat="1" applyFont="1" applyFill="1" applyBorder="1" applyAlignment="1"/>
    <xf numFmtId="0" fontId="15" fillId="0" borderId="0" xfId="138" applyFont="1"/>
    <xf numFmtId="0" fontId="58" fillId="0" borderId="32" xfId="138" applyFont="1" applyBorder="1" applyAlignment="1">
      <alignment horizontal="center" wrapText="1"/>
    </xf>
    <xf numFmtId="0" fontId="58" fillId="0" borderId="30" xfId="138" applyFont="1" applyBorder="1" applyAlignment="1">
      <alignment horizontal="center" wrapText="1"/>
    </xf>
    <xf numFmtId="0" fontId="58" fillId="0" borderId="0" xfId="138" applyFont="1" applyFill="1" applyBorder="1" applyAlignment="1">
      <alignment horizontal="center" wrapText="1"/>
    </xf>
    <xf numFmtId="0" fontId="58" fillId="0" borderId="34" xfId="138" applyFont="1" applyBorder="1" applyAlignment="1">
      <alignment horizontal="center" wrapText="1"/>
    </xf>
    <xf numFmtId="0" fontId="58" fillId="17" borderId="30" xfId="138" applyFont="1" applyFill="1" applyBorder="1" applyAlignment="1">
      <alignment horizontal="center" wrapText="1"/>
    </xf>
    <xf numFmtId="14" fontId="58" fillId="0" borderId="30" xfId="138" quotePrefix="1" applyNumberFormat="1" applyFont="1" applyFill="1" applyBorder="1" applyAlignment="1">
      <alignment horizontal="right"/>
    </xf>
    <xf numFmtId="43" fontId="59" fillId="0" borderId="30" xfId="139" applyFont="1" applyFill="1" applyBorder="1"/>
    <xf numFmtId="43" fontId="59" fillId="17" borderId="30" xfId="139" applyFont="1" applyFill="1" applyBorder="1"/>
    <xf numFmtId="43" fontId="60" fillId="17" borderId="30" xfId="139" applyFont="1" applyFill="1" applyBorder="1"/>
    <xf numFmtId="165" fontId="61" fillId="8" borderId="30" xfId="140" applyNumberFormat="1" applyFont="1" applyFill="1" applyBorder="1"/>
    <xf numFmtId="165" fontId="61" fillId="0" borderId="0" xfId="140" applyNumberFormat="1" applyFont="1" applyFill="1" applyBorder="1"/>
    <xf numFmtId="43" fontId="61" fillId="8" borderId="30" xfId="139" applyFont="1" applyFill="1" applyBorder="1"/>
    <xf numFmtId="43" fontId="61" fillId="0" borderId="0" xfId="139" applyFont="1" applyFill="1" applyBorder="1"/>
    <xf numFmtId="14" fontId="58" fillId="0" borderId="41" xfId="138" quotePrefix="1" applyNumberFormat="1" applyFont="1" applyFill="1" applyBorder="1" applyAlignment="1">
      <alignment horizontal="right"/>
    </xf>
    <xf numFmtId="165" fontId="61" fillId="8" borderId="41" xfId="140" applyNumberFormat="1" applyFont="1" applyFill="1" applyBorder="1"/>
    <xf numFmtId="43" fontId="61" fillId="8" borderId="41" xfId="139" applyFont="1" applyFill="1" applyBorder="1"/>
    <xf numFmtId="43" fontId="59" fillId="0" borderId="41" xfId="139" applyFont="1" applyFill="1" applyBorder="1"/>
    <xf numFmtId="43" fontId="59" fillId="17" borderId="41" xfId="139" applyFont="1" applyFill="1" applyBorder="1"/>
    <xf numFmtId="43" fontId="60" fillId="17" borderId="41" xfId="139" applyFont="1" applyFill="1" applyBorder="1"/>
    <xf numFmtId="14" fontId="58" fillId="0" borderId="34" xfId="138" quotePrefix="1" applyNumberFormat="1" applyFont="1" applyFill="1" applyBorder="1" applyAlignment="1">
      <alignment horizontal="right"/>
    </xf>
    <xf numFmtId="165" fontId="61" fillId="8" borderId="34" xfId="140" applyNumberFormat="1" applyFont="1" applyFill="1" applyBorder="1"/>
    <xf numFmtId="43" fontId="61" fillId="8" borderId="34" xfId="139" applyFont="1" applyFill="1" applyBorder="1"/>
    <xf numFmtId="43" fontId="59" fillId="0" borderId="34" xfId="139" applyFont="1" applyFill="1" applyBorder="1"/>
    <xf numFmtId="43" fontId="59" fillId="17" borderId="34" xfId="139" applyFont="1" applyFill="1" applyBorder="1"/>
    <xf numFmtId="0" fontId="21" fillId="0" borderId="0" xfId="138" applyFont="1" applyFill="1" applyBorder="1"/>
    <xf numFmtId="43" fontId="21" fillId="0" borderId="0" xfId="139" applyFont="1" applyFill="1" applyBorder="1"/>
    <xf numFmtId="1" fontId="15" fillId="0" borderId="0" xfId="63" applyNumberFormat="1" applyFont="1" applyFill="1" applyBorder="1" applyAlignment="1">
      <alignment horizontal="left"/>
    </xf>
    <xf numFmtId="0" fontId="1" fillId="0" borderId="0" xfId="138" applyFont="1"/>
    <xf numFmtId="43" fontId="15" fillId="0" borderId="0" xfId="138" applyNumberFormat="1" applyFont="1"/>
    <xf numFmtId="0" fontId="58" fillId="17" borderId="34" xfId="138" applyFont="1" applyFill="1" applyBorder="1" applyAlignment="1">
      <alignment horizontal="center" wrapText="1"/>
    </xf>
    <xf numFmtId="0" fontId="58" fillId="0" borderId="0" xfId="138" applyFont="1" applyFill="1" applyBorder="1" applyAlignment="1"/>
    <xf numFmtId="0" fontId="58" fillId="0" borderId="9" xfId="138" applyFont="1" applyFill="1" applyBorder="1" applyAlignment="1"/>
    <xf numFmtId="184" fontId="21" fillId="0" borderId="9" xfId="138" applyNumberFormat="1" applyFont="1" applyFill="1" applyBorder="1" applyAlignment="1"/>
    <xf numFmtId="40" fontId="59" fillId="0" borderId="0" xfId="1" applyFont="1"/>
    <xf numFmtId="171" fontId="31" fillId="6" borderId="0" xfId="0" applyNumberFormat="1" applyFont="1" applyFill="1" applyBorder="1" applyAlignment="1" applyProtection="1">
      <alignment horizontal="center"/>
      <protection locked="0"/>
    </xf>
    <xf numFmtId="39" fontId="15" fillId="0" borderId="0" xfId="0" applyFont="1" applyFill="1" applyBorder="1" applyAlignment="1">
      <alignment horizontal="center"/>
    </xf>
    <xf numFmtId="39" fontId="11" fillId="0" borderId="0" xfId="0" applyFont="1" applyAlignment="1">
      <alignment horizontal="center"/>
    </xf>
    <xf numFmtId="39" fontId="32" fillId="0" borderId="0" xfId="0" applyFont="1" applyAlignment="1">
      <alignment horizontal="center"/>
    </xf>
    <xf numFmtId="39" fontId="0" fillId="0" borderId="0" xfId="0" applyAlignment="1">
      <alignment horizontal="center"/>
    </xf>
    <xf numFmtId="39" fontId="33" fillId="0" borderId="0" xfId="0" applyFont="1" applyAlignment="1">
      <alignment horizontal="center"/>
    </xf>
    <xf numFmtId="0" fontId="58" fillId="0" borderId="10" xfId="138" applyFont="1" applyFill="1" applyBorder="1" applyAlignment="1">
      <alignment horizontal="center"/>
    </xf>
    <xf numFmtId="0" fontId="58" fillId="0" borderId="11" xfId="138" applyFont="1" applyFill="1" applyBorder="1" applyAlignment="1">
      <alignment horizontal="center"/>
    </xf>
    <xf numFmtId="0" fontId="58" fillId="0" borderId="17" xfId="138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8" xfId="0" applyFont="1" applyFill="1" applyBorder="1" applyAlignment="1">
      <alignment horizontal="center"/>
    </xf>
    <xf numFmtId="39" fontId="16" fillId="0" borderId="10" xfId="0" applyFont="1" applyFill="1" applyBorder="1" applyAlignment="1">
      <alignment horizontal="center"/>
    </xf>
    <xf numFmtId="39" fontId="16" fillId="0" borderId="11" xfId="0" applyFont="1" applyFill="1" applyBorder="1" applyAlignment="1">
      <alignment horizontal="center"/>
    </xf>
    <xf numFmtId="39" fontId="16" fillId="0" borderId="17" xfId="0" applyFont="1" applyFill="1" applyBorder="1" applyAlignment="1">
      <alignment horizontal="center"/>
    </xf>
    <xf numFmtId="164" fontId="16" fillId="6" borderId="0" xfId="0" applyNumberFormat="1" applyFont="1" applyFill="1" applyAlignment="1">
      <alignment horizontal="center"/>
    </xf>
    <xf numFmtId="39" fontId="16" fillId="0" borderId="18" xfId="6" applyNumberFormat="1" applyFont="1" applyBorder="1" applyAlignment="1">
      <alignment horizontal="left"/>
    </xf>
    <xf numFmtId="39" fontId="16" fillId="0" borderId="19" xfId="6" applyNumberFormat="1" applyFont="1" applyBorder="1" applyAlignment="1">
      <alignment horizontal="left"/>
    </xf>
    <xf numFmtId="39" fontId="16" fillId="0" borderId="20" xfId="6" applyNumberFormat="1" applyFont="1" applyBorder="1" applyAlignment="1">
      <alignment horizontal="left"/>
    </xf>
    <xf numFmtId="39" fontId="15" fillId="0" borderId="2" xfId="0" applyFont="1" applyFill="1" applyBorder="1" applyAlignment="1">
      <alignment horizontal="left" vertical="top" wrapText="1"/>
    </xf>
    <xf numFmtId="39" fontId="15" fillId="0" borderId="0" xfId="0" applyFont="1" applyFill="1" applyAlignment="1">
      <alignment horizontal="left" vertical="top" wrapText="1"/>
    </xf>
  </cellXfs>
  <cellStyles count="144">
    <cellStyle name="Comma" xfId="1" builtinId="3"/>
    <cellStyle name="Comma 2" xfId="8"/>
    <cellStyle name="Comma 2 2" xfId="43"/>
    <cellStyle name="Comma 2 3" xfId="55"/>
    <cellStyle name="Comma 3" xfId="5"/>
    <cellStyle name="Comma 3 2" xfId="64"/>
    <cellStyle name="Comma 4" xfId="9"/>
    <cellStyle name="Comma 4 2" xfId="44"/>
    <cellStyle name="Comma 4 2 2" xfId="84"/>
    <cellStyle name="Comma 4 2 2 2" xfId="126"/>
    <cellStyle name="Comma 4 2 3" xfId="105"/>
    <cellStyle name="Comma 4 3" xfId="75"/>
    <cellStyle name="Comma 4 3 2" xfId="117"/>
    <cellStyle name="Comma 4 4" xfId="96"/>
    <cellStyle name="Comma 4 5" xfId="139"/>
    <cellStyle name="Comma 5" xfId="10"/>
    <cellStyle name="Comma 5 2" xfId="142"/>
    <cellStyle name="Comma 6" xfId="70"/>
    <cellStyle name="Comma 6 2" xfId="74"/>
    <cellStyle name="Comma 6 2 2" xfId="116"/>
    <cellStyle name="Comma 6 3" xfId="95"/>
    <cellStyle name="Comma 6 3 2" xfId="136"/>
    <cellStyle name="Comma 6 4" xfId="115"/>
    <cellStyle name="Comma0" xfId="11"/>
    <cellStyle name="Currency" xfId="2" builtinId="4"/>
    <cellStyle name="Currency 2" xfId="7"/>
    <cellStyle name="Currency 2 2" xfId="57"/>
    <cellStyle name="Currency 2 3" xfId="56"/>
    <cellStyle name="Currency 3" xfId="12"/>
    <cellStyle name="Currency 3 2" xfId="66"/>
    <cellStyle name="Currency 3 3" xfId="58"/>
    <cellStyle name="Currency 4" xfId="13"/>
    <cellStyle name="Currency 4 2" xfId="14"/>
    <cellStyle name="Currency 4 2 2" xfId="46"/>
    <cellStyle name="Currency 4 2 2 2" xfId="86"/>
    <cellStyle name="Currency 4 2 2 2 2" xfId="128"/>
    <cellStyle name="Currency 4 2 2 3" xfId="107"/>
    <cellStyle name="Currency 4 2 3" xfId="77"/>
    <cellStyle name="Currency 4 2 3 2" xfId="119"/>
    <cellStyle name="Currency 4 2 4" xfId="98"/>
    <cellStyle name="Currency 4 3" xfId="45"/>
    <cellStyle name="Currency 4 3 2" xfId="85"/>
    <cellStyle name="Currency 4 3 2 2" xfId="127"/>
    <cellStyle name="Currency 4 3 3" xfId="106"/>
    <cellStyle name="Currency 4 4" xfId="68"/>
    <cellStyle name="Currency 4 5" xfId="76"/>
    <cellStyle name="Currency 4 5 2" xfId="118"/>
    <cellStyle name="Currency 4 6" xfId="97"/>
    <cellStyle name="Currency 5" xfId="15"/>
    <cellStyle name="Currency 6" xfId="16"/>
    <cellStyle name="Currency 6 2" xfId="17"/>
    <cellStyle name="Currency 7" xfId="18"/>
    <cellStyle name="Currency 7 2" xfId="47"/>
    <cellStyle name="Currency 7 2 2" xfId="87"/>
    <cellStyle name="Currency 7 2 2 2" xfId="129"/>
    <cellStyle name="Currency 7 2 3" xfId="108"/>
    <cellStyle name="Currency 7 3" xfId="78"/>
    <cellStyle name="Currency 7 3 2" xfId="120"/>
    <cellStyle name="Currency 7 4" xfId="99"/>
    <cellStyle name="Currency 8" xfId="71"/>
    <cellStyle name="Currency0" xfId="19"/>
    <cellStyle name="Date" xfId="20"/>
    <cellStyle name="Fixed" xfId="21"/>
    <cellStyle name="Manual-Input" xfId="3"/>
    <cellStyle name="Normal" xfId="0" builtinId="0"/>
    <cellStyle name="Normal 10" xfId="42"/>
    <cellStyle name="Normal 11" xfId="54"/>
    <cellStyle name="Normal 11 2" xfId="93"/>
    <cellStyle name="Normal 12" xfId="69"/>
    <cellStyle name="Normal 12 2" xfId="94"/>
    <cellStyle name="Normal 12 2 2" xfId="135"/>
    <cellStyle name="Normal 12 3" xfId="114"/>
    <cellStyle name="Normal 2" xfId="6"/>
    <cellStyle name="Normal 2 2" xfId="41"/>
    <cellStyle name="Normal 2 3" xfId="59"/>
    <cellStyle name="Normal 3" xfId="22"/>
    <cellStyle name="Normal 3 2" xfId="65"/>
    <cellStyle name="Normal 4" xfId="23"/>
    <cellStyle name="Normal 4 2" xfId="63"/>
    <cellStyle name="Normal 5" xfId="24"/>
    <cellStyle name="Normal 5 2" xfId="138"/>
    <cellStyle name="Normal 6" xfId="25"/>
    <cellStyle name="Normal 6 2" xfId="26"/>
    <cellStyle name="Normal 6 3" xfId="141"/>
    <cellStyle name="Normal 7" xfId="27"/>
    <cellStyle name="Normal 7 2" xfId="48"/>
    <cellStyle name="Normal 7 2 2" xfId="88"/>
    <cellStyle name="Normal 7 2 2 2" xfId="130"/>
    <cellStyle name="Normal 7 2 3" xfId="109"/>
    <cellStyle name="Normal 7 3" xfId="79"/>
    <cellStyle name="Normal 7 3 2" xfId="121"/>
    <cellStyle name="Normal 7 4" xfId="100"/>
    <cellStyle name="Normal 8" xfId="28"/>
    <cellStyle name="Normal 9" xfId="40"/>
    <cellStyle name="Normal 9 2" xfId="53"/>
    <cellStyle name="Normal_02-06 WA-Id Deferral &amp; Amort" xfId="137"/>
    <cellStyle name="Percent" xfId="4" builtinId="5"/>
    <cellStyle name="Percent 10" xfId="72"/>
    <cellStyle name="Percent 2" xfId="29"/>
    <cellStyle name="Percent 2 2" xfId="61"/>
    <cellStyle name="Percent 2 3" xfId="60"/>
    <cellStyle name="Percent 2 4" xfId="140"/>
    <cellStyle name="Percent 3" xfId="30"/>
    <cellStyle name="Percent 3 2" xfId="67"/>
    <cellStyle name="Percent 3 3" xfId="62"/>
    <cellStyle name="Percent 3 4" xfId="143"/>
    <cellStyle name="Percent 4" xfId="31"/>
    <cellStyle name="Percent 5" xfId="32"/>
    <cellStyle name="Percent 5 2" xfId="33"/>
    <cellStyle name="Percent 5 2 2" xfId="34"/>
    <cellStyle name="Percent 5 2 2 2" xfId="51"/>
    <cellStyle name="Percent 5 2 2 2 2" xfId="91"/>
    <cellStyle name="Percent 5 2 2 2 2 2" xfId="133"/>
    <cellStyle name="Percent 5 2 2 2 3" xfId="112"/>
    <cellStyle name="Percent 5 2 2 3" xfId="82"/>
    <cellStyle name="Percent 5 2 2 3 2" xfId="124"/>
    <cellStyle name="Percent 5 2 2 4" xfId="103"/>
    <cellStyle name="Percent 5 2 3" xfId="50"/>
    <cellStyle name="Percent 5 2 3 2" xfId="90"/>
    <cellStyle name="Percent 5 2 3 2 2" xfId="132"/>
    <cellStyle name="Percent 5 2 3 3" xfId="111"/>
    <cellStyle name="Percent 5 2 4" xfId="81"/>
    <cellStyle name="Percent 5 2 4 2" xfId="123"/>
    <cellStyle name="Percent 5 2 5" xfId="102"/>
    <cellStyle name="Percent 5 3" xfId="49"/>
    <cellStyle name="Percent 5 3 2" xfId="89"/>
    <cellStyle name="Percent 5 3 2 2" xfId="131"/>
    <cellStyle name="Percent 5 3 3" xfId="110"/>
    <cellStyle name="Percent 5 4" xfId="80"/>
    <cellStyle name="Percent 5 4 2" xfId="122"/>
    <cellStyle name="Percent 5 5" xfId="101"/>
    <cellStyle name="Percent 6" xfId="35"/>
    <cellStyle name="Percent 7" xfId="36"/>
    <cellStyle name="Percent 7 2" xfId="37"/>
    <cellStyle name="Percent 8" xfId="38"/>
    <cellStyle name="Percent 8 2" xfId="52"/>
    <cellStyle name="Percent 8 2 2" xfId="92"/>
    <cellStyle name="Percent 8 2 2 2" xfId="134"/>
    <cellStyle name="Percent 8 2 3" xfId="113"/>
    <cellStyle name="Percent 8 3" xfId="83"/>
    <cellStyle name="Percent 8 3 2" xfId="125"/>
    <cellStyle name="Percent 8 4" xfId="104"/>
    <cellStyle name="Percent 9" xfId="39"/>
    <cellStyle name="Total" xfId="73" builtinId="25"/>
  </cellStyles>
  <dxfs count="289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5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42" Type="http://schemas.openxmlformats.org/officeDocument/2006/relationships/customXml" Target="../customXml/item8.xml"/><Relationship Id="rId47" Type="http://schemas.openxmlformats.org/officeDocument/2006/relationships/customXml" Target="../customXml/item13.xml"/><Relationship Id="rId50" Type="http://schemas.openxmlformats.org/officeDocument/2006/relationships/customXml" Target="../customXml/item1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40" Type="http://schemas.openxmlformats.org/officeDocument/2006/relationships/customXml" Target="../customXml/item6.xml"/><Relationship Id="rId45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ustomXml" Target="../customXml/item2.xml"/><Relationship Id="rId49" Type="http://schemas.openxmlformats.org/officeDocument/2006/relationships/customXml" Target="../customXml/item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4" Type="http://schemas.openxmlformats.org/officeDocument/2006/relationships/customXml" Target="../customXml/item10.xml"/><Relationship Id="rId52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ustomXml" Target="../customXml/item1.xml"/><Relationship Id="rId43" Type="http://schemas.openxmlformats.org/officeDocument/2006/relationships/customXml" Target="../customXml/item9.xml"/><Relationship Id="rId48" Type="http://schemas.openxmlformats.org/officeDocument/2006/relationships/customXml" Target="../customXml/item14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46" Type="http://schemas.openxmlformats.org/officeDocument/2006/relationships/customXml" Target="../customXml/item12.xml"/><Relationship Id="rId20" Type="http://schemas.openxmlformats.org/officeDocument/2006/relationships/worksheet" Target="worksheets/sheet20.xml"/><Relationship Id="rId41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Washington 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396582122003933E-2"/>
          <c:y val="4.7804438524449114E-2"/>
          <c:w val="0.89767419371909363"/>
          <c:h val="0.874068889043684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2012-13'!$A$8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9557880513114242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2012-13'!$C$8:$N$8</c:f>
              <c:numCache>
                <c:formatCode>"$"#,##0.0_);\("$"#,##0.0\)</c:formatCode>
                <c:ptCount val="12"/>
                <c:pt idx="0">
                  <c:v>0.90240319623620857</c:v>
                </c:pt>
                <c:pt idx="1">
                  <c:v>-0.24153536134178891</c:v>
                </c:pt>
                <c:pt idx="2">
                  <c:v>1.612370665690211</c:v>
                </c:pt>
                <c:pt idx="3">
                  <c:v>0.64834278387021227</c:v>
                </c:pt>
                <c:pt idx="4">
                  <c:v>0.33671900480321282</c:v>
                </c:pt>
                <c:pt idx="5">
                  <c:v>0.63119416496921332</c:v>
                </c:pt>
                <c:pt idx="6">
                  <c:v>1.2090547576992148</c:v>
                </c:pt>
                <c:pt idx="7">
                  <c:v>1.3830479967132137</c:v>
                </c:pt>
                <c:pt idx="8">
                  <c:v>1.8775711130472124</c:v>
                </c:pt>
                <c:pt idx="9">
                  <c:v>2.5238373414722122</c:v>
                </c:pt>
                <c:pt idx="10">
                  <c:v>3.3385260271402131</c:v>
                </c:pt>
                <c:pt idx="11">
                  <c:v>-6.0831075290700021</c:v>
                </c:pt>
              </c:numCache>
            </c:numRef>
          </c:val>
        </c:ser>
        <c:ser>
          <c:idx val="1"/>
          <c:order val="1"/>
          <c:tx>
            <c:strRef>
              <c:f>'PGA Graphs 2012-13'!$A$9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2012-13'!$C$9:$N$9</c:f>
              <c:numCache>
                <c:formatCode>"$"#,##0.0_);\("$"#,##0.0\)</c:formatCode>
                <c:ptCount val="12"/>
                <c:pt idx="0">
                  <c:v>-3.8730244701439993</c:v>
                </c:pt>
                <c:pt idx="1">
                  <c:v>-3.0674777859969997</c:v>
                </c:pt>
                <c:pt idx="2">
                  <c:v>-1.6934499394870002</c:v>
                </c:pt>
                <c:pt idx="3">
                  <c:v>-0.95669013858100027</c:v>
                </c:pt>
                <c:pt idx="4">
                  <c:v>-0.56131225301100107</c:v>
                </c:pt>
                <c:pt idx="5">
                  <c:v>-0.69541010451100072</c:v>
                </c:pt>
                <c:pt idx="6">
                  <c:v>-1.5643559408390004</c:v>
                </c:pt>
                <c:pt idx="7">
                  <c:v>-2.5778206653800004</c:v>
                </c:pt>
                <c:pt idx="8">
                  <c:v>-3.8494386956210014</c:v>
                </c:pt>
                <c:pt idx="9">
                  <c:v>-5.0597053680260018</c:v>
                </c:pt>
                <c:pt idx="10">
                  <c:v>-6.0831075290700021</c:v>
                </c:pt>
                <c:pt idx="11">
                  <c:v>3.1801240000000015E-2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462627056"/>
        <c:axId val="462626272"/>
      </c:barChart>
      <c:lineChart>
        <c:grouping val="standard"/>
        <c:varyColors val="0"/>
        <c:ser>
          <c:idx val="2"/>
          <c:order val="2"/>
          <c:tx>
            <c:strRef>
              <c:f>'PGA Graphs 2012-13'!$A$10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6573430354023E-2"/>
                  <c:y val="8.2711931981965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4.315405146885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77332839927E-2"/>
                  <c:y val="0.13305832536229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64597079407894E-2"/>
                  <c:y val="7.5519590070490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754753852707972E-2"/>
                  <c:y val="5.7538735291802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7374249950222123E-2"/>
                  <c:y val="6.832724815901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730203654163E-2"/>
                  <c:y val="9.709661580491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77332839927E-2"/>
                  <c:y val="0.107885128672129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564597079407894E-2"/>
                  <c:y val="0.13665449631803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2601612923489499E-2"/>
                  <c:y val="0.183404718742625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9791769696789723E-2"/>
                  <c:y val="0.115077470583604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3386219541039524E-2"/>
                  <c:y val="-5.0346393380327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2012-13'!$C$10:$N$10</c:f>
              <c:numCache>
                <c:formatCode>"$"#,##0.0_);\("$"#,##0.0\)</c:formatCode>
                <c:ptCount val="12"/>
                <c:pt idx="0">
                  <c:v>-2.9706212739077906</c:v>
                </c:pt>
                <c:pt idx="1">
                  <c:v>-3.3090131473387885</c:v>
                </c:pt>
                <c:pt idx="2">
                  <c:v>-8.1079273796789142E-2</c:v>
                </c:pt>
                <c:pt idx="3">
                  <c:v>-0.308347354710788</c:v>
                </c:pt>
                <c:pt idx="4">
                  <c:v>-0.22459324820778825</c:v>
                </c:pt>
                <c:pt idx="5">
                  <c:v>-6.4215939541787392E-2</c:v>
                </c:pt>
                <c:pt idx="6">
                  <c:v>-0.35530118313978565</c:v>
                </c:pt>
                <c:pt idx="7">
                  <c:v>-1.1947726686667868</c:v>
                </c:pt>
                <c:pt idx="8">
                  <c:v>-1.971867582573789</c:v>
                </c:pt>
                <c:pt idx="9">
                  <c:v>-2.5358680265537896</c:v>
                </c:pt>
                <c:pt idx="10">
                  <c:v>-2.744581501929789</c:v>
                </c:pt>
                <c:pt idx="11">
                  <c:v>-6.051306289070002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27056"/>
        <c:axId val="462626272"/>
      </c:lineChart>
      <c:catAx>
        <c:axId val="46262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462626272"/>
        <c:crosses val="autoZero"/>
        <c:auto val="1"/>
        <c:lblAlgn val="ctr"/>
        <c:lblOffset val="10"/>
        <c:noMultiLvlLbl val="0"/>
      </c:catAx>
      <c:valAx>
        <c:axId val="462626272"/>
        <c:scaling>
          <c:orientation val="minMax"/>
          <c:max val="9"/>
          <c:min val="-5.5"/>
        </c:scaling>
        <c:delete val="0"/>
        <c:axPos val="r"/>
        <c:numFmt formatCode="&quot;$&quot;#,##0.0" sourceLinked="0"/>
        <c:majorTickMark val="out"/>
        <c:minorTickMark val="none"/>
        <c:tickLblPos val="none"/>
        <c:crossAx val="462627056"/>
        <c:crosses val="max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573721217717333"/>
          <c:y val="6.8211717627523899E-2"/>
          <c:w val="0.18659635681678463"/>
          <c:h val="0.1474684938613198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Idaho (With Holdback)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726533128107232E-2"/>
          <c:y val="4.4208267568710935E-2"/>
          <c:w val="0.88800420717924078"/>
          <c:h val="0.84170346913160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2012-13'!$A$14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2012-13'!$B$14:$M$14</c:f>
              <c:numCache>
                <c:formatCode>"$"#,##0.0_);\("$"#,##0.0\)</c:formatCode>
                <c:ptCount val="12"/>
                <c:pt idx="0">
                  <c:v>2.1383911983473967</c:v>
                </c:pt>
                <c:pt idx="1">
                  <c:v>1.2444255776995812</c:v>
                </c:pt>
                <c:pt idx="2">
                  <c:v>0.87195540999758092</c:v>
                </c:pt>
                <c:pt idx="3">
                  <c:v>1.6660490220255828</c:v>
                </c:pt>
                <c:pt idx="4">
                  <c:v>1.2966995405455823</c:v>
                </c:pt>
                <c:pt idx="5">
                  <c:v>1.1561449650525837</c:v>
                </c:pt>
                <c:pt idx="6">
                  <c:v>1.2996516898465837</c:v>
                </c:pt>
                <c:pt idx="7">
                  <c:v>1.5610150065365844</c:v>
                </c:pt>
                <c:pt idx="8">
                  <c:v>1.6482739833225839</c:v>
                </c:pt>
                <c:pt idx="9">
                  <c:v>1.8954571715485831</c:v>
                </c:pt>
                <c:pt idx="10">
                  <c:v>2.2528616869035827</c:v>
                </c:pt>
                <c:pt idx="11">
                  <c:v>2.7080381318555831</c:v>
                </c:pt>
              </c:numCache>
            </c:numRef>
          </c:val>
        </c:ser>
        <c:ser>
          <c:idx val="1"/>
          <c:order val="1"/>
          <c:tx>
            <c:strRef>
              <c:f>'PGA Graphs 2012-13'!$A$15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2012-13'!$B$15:$M$15</c:f>
              <c:numCache>
                <c:formatCode>"$"#,##0.0_);\("$"#,##0.0\)</c:formatCode>
                <c:ptCount val="12"/>
                <c:pt idx="0">
                  <c:v>-0.82418407251353221</c:v>
                </c:pt>
                <c:pt idx="1">
                  <c:v>-0.80322416033553246</c:v>
                </c:pt>
                <c:pt idx="2">
                  <c:v>-0.39310178017253256</c:v>
                </c:pt>
                <c:pt idx="3">
                  <c:v>0.17129077183746722</c:v>
                </c:pt>
                <c:pt idx="4">
                  <c:v>0.35307272873146694</c:v>
                </c:pt>
                <c:pt idx="5">
                  <c:v>0.56382016840146643</c:v>
                </c:pt>
                <c:pt idx="6">
                  <c:v>0.53955121001146655</c:v>
                </c:pt>
                <c:pt idx="7">
                  <c:v>0.18205832733946647</c:v>
                </c:pt>
                <c:pt idx="8">
                  <c:v>-0.22184721294953361</c:v>
                </c:pt>
                <c:pt idx="9">
                  <c:v>-0.73848372468853407</c:v>
                </c:pt>
                <c:pt idx="10">
                  <c:v>-1.2085874236835343</c:v>
                </c:pt>
                <c:pt idx="11">
                  <c:v>-1.5854874293295345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462624704"/>
        <c:axId val="409999312"/>
      </c:barChart>
      <c:lineChart>
        <c:grouping val="standard"/>
        <c:varyColors val="0"/>
        <c:ser>
          <c:idx val="2"/>
          <c:order val="2"/>
          <c:tx>
            <c:strRef>
              <c:f>'PGA Graphs 2012-13'!$A$16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349053683786077E-2"/>
                  <c:y val="-0.18700117286143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-0.208577915432783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15427135108E-2"/>
                  <c:y val="-3.2365538601638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47015427135108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337214398659406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956816455610824E-2"/>
                  <c:y val="-2.876936764590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816455610824E-2"/>
                  <c:y val="-3.236553860163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15427135108E-2"/>
                  <c:y val="-3.955788051311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147077332839927E-2"/>
                  <c:y val="-6.113490624754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7766573430354023E-2"/>
                  <c:y val="-0.11867364153934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956730203654163E-2"/>
                  <c:y val="-0.165423863963931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551220390617801E-2"/>
                  <c:y val="-0.21577025734425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2012-13'!$B$16:$M$16</c:f>
              <c:numCache>
                <c:formatCode>"$"#,##0.0_);\("$"#,##0.0\)</c:formatCode>
                <c:ptCount val="12"/>
                <c:pt idx="0">
                  <c:v>1.3142071258338643</c:v>
                </c:pt>
                <c:pt idx="1">
                  <c:v>0.44120141736404872</c:v>
                </c:pt>
                <c:pt idx="2">
                  <c:v>0.47885362982504837</c:v>
                </c:pt>
                <c:pt idx="3">
                  <c:v>1.83733979386305</c:v>
                </c:pt>
                <c:pt idx="4">
                  <c:v>1.6497722692770493</c:v>
                </c:pt>
                <c:pt idx="5">
                  <c:v>1.7199651334540502</c:v>
                </c:pt>
                <c:pt idx="6">
                  <c:v>1.8392028998580503</c:v>
                </c:pt>
                <c:pt idx="7">
                  <c:v>1.7430733338760509</c:v>
                </c:pt>
                <c:pt idx="8">
                  <c:v>1.4264267703730502</c:v>
                </c:pt>
                <c:pt idx="9">
                  <c:v>1.156973446860049</c:v>
                </c:pt>
                <c:pt idx="10">
                  <c:v>1.0442742632200483</c:v>
                </c:pt>
                <c:pt idx="11">
                  <c:v>1.1225507025260486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24704"/>
        <c:axId val="409999312"/>
      </c:lineChart>
      <c:catAx>
        <c:axId val="46262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409999312"/>
        <c:crosses val="autoZero"/>
        <c:auto val="1"/>
        <c:lblAlgn val="ctr"/>
        <c:lblOffset val="0"/>
        <c:noMultiLvlLbl val="0"/>
      </c:catAx>
      <c:valAx>
        <c:axId val="409999312"/>
        <c:scaling>
          <c:orientation val="minMax"/>
          <c:max val="6"/>
          <c:min val="-2"/>
        </c:scaling>
        <c:delete val="1"/>
        <c:axPos val="l"/>
        <c:numFmt formatCode="&quot;$&quot;#,##0.0" sourceLinked="0"/>
        <c:majorTickMark val="out"/>
        <c:minorTickMark val="none"/>
        <c:tickLblPos val="none"/>
        <c:crossAx val="462624704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2024233065654875"/>
          <c:y val="7.180788858326155E-2"/>
          <c:w val="0.24347564720049344"/>
          <c:h val="0.10607798197610629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Commodity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2013-14'!$A$8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2013-14'!$B$8:$N$8</c:f>
              <c:numCache>
                <c:formatCode>"$"#,##0.00_);\("$"#,##0.00\)</c:formatCode>
                <c:ptCount val="13"/>
                <c:pt idx="0">
                  <c:v>3.3051999999999997</c:v>
                </c:pt>
                <c:pt idx="1">
                  <c:v>3.6246661221178802</c:v>
                </c:pt>
                <c:pt idx="2">
                  <c:v>3.6234780920677898</c:v>
                </c:pt>
                <c:pt idx="3">
                  <c:v>2.1817000000000006</c:v>
                </c:pt>
                <c:pt idx="4">
                  <c:v>1.4844931785530684</c:v>
                </c:pt>
                <c:pt idx="5">
                  <c:v>1.6408659872789688</c:v>
                </c:pt>
                <c:pt idx="6">
                  <c:v>1.6408659872789688</c:v>
                </c:pt>
                <c:pt idx="7">
                  <c:v>1.6408659872789688</c:v>
                </c:pt>
                <c:pt idx="8">
                  <c:v>1.6408659872789688</c:v>
                </c:pt>
                <c:pt idx="9">
                  <c:v>1.6408659872789688</c:v>
                </c:pt>
                <c:pt idx="10">
                  <c:v>1.6408659872789688</c:v>
                </c:pt>
                <c:pt idx="11">
                  <c:v>1.6408659872789688</c:v>
                </c:pt>
                <c:pt idx="12">
                  <c:v>1.6408659872789688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2013-14'!$A$9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2013-14'!$B$9:$N$9</c:f>
              <c:numCache>
                <c:formatCode>"$"#,##0.00_);\("$"#,##0.00\)</c:formatCode>
                <c:ptCount val="13"/>
                <c:pt idx="0">
                  <c:v>3.5167999999999999</c:v>
                </c:pt>
                <c:pt idx="1">
                  <c:v>3.8812999999999995</c:v>
                </c:pt>
                <c:pt idx="2">
                  <c:v>3.6348000000000003</c:v>
                </c:pt>
                <c:pt idx="3">
                  <c:v>3.6143999999999998</c:v>
                </c:pt>
                <c:pt idx="4">
                  <c:v>3.6770000000000005</c:v>
                </c:pt>
                <c:pt idx="5">
                  <c:v>3.9145000000000003</c:v>
                </c:pt>
                <c:pt idx="6">
                  <c:v>3.3395999999999999</c:v>
                </c:pt>
                <c:pt idx="7">
                  <c:v>3.3895</c:v>
                </c:pt>
                <c:pt idx="8">
                  <c:v>3.3272000000000004</c:v>
                </c:pt>
                <c:pt idx="9">
                  <c:v>3.3701999999999996</c:v>
                </c:pt>
                <c:pt idx="10">
                  <c:v>3.3369</c:v>
                </c:pt>
                <c:pt idx="11">
                  <c:v>3.3742000000000001</c:v>
                </c:pt>
                <c:pt idx="12">
                  <c:v>3.5167999999999999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2013-14'!$A$10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2013-14'!$B$10:$N$10</c:f>
              <c:numCache>
                <c:formatCode>"$"#,##0.00_);\("$"#,##0.00\)</c:formatCode>
                <c:ptCount val="13"/>
                <c:pt idx="0">
                  <c:v>2.7800856064110402</c:v>
                </c:pt>
                <c:pt idx="1">
                  <c:v>3.4540440792083</c:v>
                </c:pt>
                <c:pt idx="2">
                  <c:v>3.1876161555634601</c:v>
                </c:pt>
                <c:pt idx="3">
                  <c:v>1.9109764729943237</c:v>
                </c:pt>
                <c:pt idx="4">
                  <c:v>2.0607503649396444</c:v>
                </c:pt>
                <c:pt idx="5">
                  <c:v>1.7605439757226338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56384"/>
        <c:axId val="475462712"/>
      </c:lineChart>
      <c:catAx>
        <c:axId val="47225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75462712"/>
        <c:crosses val="autoZero"/>
        <c:auto val="1"/>
        <c:lblAlgn val="ctr"/>
        <c:lblOffset val="100"/>
        <c:noMultiLvlLbl val="0"/>
      </c:catAx>
      <c:valAx>
        <c:axId val="475462712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472256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2013-14'!$A$11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2013-14'!$B$11:$N$11</c:f>
              <c:numCache>
                <c:formatCode>"$"#,##0.00_);\("$"#,##0.00\)</c:formatCode>
                <c:ptCount val="13"/>
                <c:pt idx="0">
                  <c:v>0.86508677222961405</c:v>
                </c:pt>
                <c:pt idx="1">
                  <c:v>0.98017103319810395</c:v>
                </c:pt>
                <c:pt idx="2">
                  <c:v>0.99766447491792298</c:v>
                </c:pt>
                <c:pt idx="3">
                  <c:v>0.92847436019644525</c:v>
                </c:pt>
                <c:pt idx="4">
                  <c:v>0.98246968830434289</c:v>
                </c:pt>
                <c:pt idx="5">
                  <c:v>0.90898238183410318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2013-14'!$A$12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2013-14'!$B$12:$N$12</c:f>
              <c:numCache>
                <c:formatCode>"$"#,##0.00_);\("$"#,##0.00\)</c:formatCode>
                <c:ptCount val="13"/>
                <c:pt idx="0">
                  <c:v>1.4529330378220591</c:v>
                </c:pt>
                <c:pt idx="1">
                  <c:v>0.79431349782690841</c:v>
                </c:pt>
                <c:pt idx="2">
                  <c:v>0.60296290558547094</c:v>
                </c:pt>
                <c:pt idx="3">
                  <c:v>0.60895264158951812</c:v>
                </c:pt>
                <c:pt idx="4">
                  <c:v>0.60656225946654285</c:v>
                </c:pt>
                <c:pt idx="5">
                  <c:v>0.87532504655494603</c:v>
                </c:pt>
                <c:pt idx="6">
                  <c:v>1.1232232940560019</c:v>
                </c:pt>
                <c:pt idx="7">
                  <c:v>2.0020366178222502</c:v>
                </c:pt>
                <c:pt idx="8">
                  <c:v>2.9050208439006555</c:v>
                </c:pt>
                <c:pt idx="9">
                  <c:v>3.9176133126746118</c:v>
                </c:pt>
                <c:pt idx="10">
                  <c:v>3.8752231593583324</c:v>
                </c:pt>
                <c:pt idx="11">
                  <c:v>3.4387986026867114</c:v>
                </c:pt>
                <c:pt idx="12">
                  <c:v>1.4529330378220591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2013-14'!$B$13:$N$13</c:f>
              <c:numCache>
                <c:formatCode>"$"#,##0.00_);\("$"#,##0.00\)</c:formatCode>
                <c:ptCount val="13"/>
                <c:pt idx="0">
                  <c:v>1.02504522593617</c:v>
                </c:pt>
                <c:pt idx="1">
                  <c:v>0.65827334268652904</c:v>
                </c:pt>
                <c:pt idx="2">
                  <c:v>0.51365176254981604</c:v>
                </c:pt>
                <c:pt idx="3">
                  <c:v>0.50045120250443931</c:v>
                </c:pt>
                <c:pt idx="4">
                  <c:v>0.47829937322915161</c:v>
                </c:pt>
                <c:pt idx="5">
                  <c:v>0.60308315586841887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463496"/>
        <c:axId val="475463888"/>
      </c:lineChart>
      <c:catAx>
        <c:axId val="475463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75463888"/>
        <c:crosses val="autoZero"/>
        <c:auto val="1"/>
        <c:lblAlgn val="ctr"/>
        <c:lblOffset val="100"/>
        <c:noMultiLvlLbl val="0"/>
      </c:catAx>
      <c:valAx>
        <c:axId val="475463888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475463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2013-14'!$A$20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2013-14'!$B$20:$N$20</c:f>
              <c:numCache>
                <c:formatCode>"$"#,##0.00_);\("$"#,##0.00\)</c:formatCode>
                <c:ptCount val="13"/>
                <c:pt idx="0">
                  <c:v>1.0742522128918399</c:v>
                </c:pt>
                <c:pt idx="1">
                  <c:v>1.0741263842636799</c:v>
                </c:pt>
                <c:pt idx="2">
                  <c:v>1.0744</c:v>
                </c:pt>
                <c:pt idx="3">
                  <c:v>1.0496999999999999</c:v>
                </c:pt>
                <c:pt idx="4">
                  <c:v>1.1157640072436985</c:v>
                </c:pt>
                <c:pt idx="5">
                  <c:v>1.0518903962583694</c:v>
                </c:pt>
                <c:pt idx="6">
                  <c:v>1.0497000000000001</c:v>
                </c:pt>
                <c:pt idx="7">
                  <c:v>1.0496999999999999</c:v>
                </c:pt>
                <c:pt idx="8">
                  <c:v>1.0497000000000001</c:v>
                </c:pt>
                <c:pt idx="9">
                  <c:v>1.1330999999999998</c:v>
                </c:pt>
                <c:pt idx="10">
                  <c:v>1.1330999999999998</c:v>
                </c:pt>
                <c:pt idx="11">
                  <c:v>1.1331</c:v>
                </c:pt>
                <c:pt idx="12">
                  <c:v>1.1330999999999998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2013-14'!$A$21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2013-14'!$B$21:$N$21</c:f>
              <c:numCache>
                <c:formatCode>"$"#,##0.00_);\("$"#,##0.00\)</c:formatCode>
                <c:ptCount val="13"/>
                <c:pt idx="0">
                  <c:v>1.2942886206113142</c:v>
                </c:pt>
                <c:pt idx="1">
                  <c:v>0.74518730633512642</c:v>
                </c:pt>
                <c:pt idx="2">
                  <c:v>0.58083452630008092</c:v>
                </c:pt>
                <c:pt idx="3">
                  <c:v>0.60843027300764696</c:v>
                </c:pt>
                <c:pt idx="4">
                  <c:v>0.68505702536755764</c:v>
                </c:pt>
                <c:pt idx="5">
                  <c:v>0.81792088296424315</c:v>
                </c:pt>
                <c:pt idx="6">
                  <c:v>1.0438035301560928</c:v>
                </c:pt>
                <c:pt idx="7">
                  <c:v>1.8765356717896455</c:v>
                </c:pt>
                <c:pt idx="8">
                  <c:v>2.5204558648798452</c:v>
                </c:pt>
                <c:pt idx="9">
                  <c:v>3.0722913458699082</c:v>
                </c:pt>
                <c:pt idx="10">
                  <c:v>3.0936566161461703</c:v>
                </c:pt>
                <c:pt idx="11">
                  <c:v>2.484887676291045</c:v>
                </c:pt>
                <c:pt idx="12">
                  <c:v>1.1747692347018237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2013-14'!$A$22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'PGA Graphs 2013-14'!$B$15:$N$15</c:f>
              <c:numCache>
                <c:formatCode>#,##0.00_);\(#,##0.00\)</c:formatCode>
                <c:ptCount val="13"/>
              </c:numCache>
            </c:numRef>
          </c:cat>
          <c:val>
            <c:numRef>
              <c:f>'PGA Graphs 2013-14'!$B$22:$N$22</c:f>
              <c:numCache>
                <c:formatCode>"$"#,##0.00_);\("$"#,##0.00\)</c:formatCode>
                <c:ptCount val="13"/>
                <c:pt idx="0">
                  <c:v>1.2115295970631399</c:v>
                </c:pt>
                <c:pt idx="1">
                  <c:v>0.708429666562987</c:v>
                </c:pt>
                <c:pt idx="2">
                  <c:v>0.54697005486642902</c:v>
                </c:pt>
                <c:pt idx="3">
                  <c:v>0.60168243200814919</c:v>
                </c:pt>
                <c:pt idx="4">
                  <c:v>0.51321777211373421</c:v>
                </c:pt>
                <c:pt idx="5">
                  <c:v>0.67676667496835818</c:v>
                </c:pt>
                <c:pt idx="6">
                  <c:v>0.93274455310206039</c:v>
                </c:pt>
                <c:pt idx="7">
                  <c:v>2.4703962205892962</c:v>
                </c:pt>
                <c:pt idx="8">
                  <c:v>2.333215471348093</c:v>
                </c:pt>
                <c:pt idx="9">
                  <c:v>3.2134641912453965</c:v>
                </c:pt>
                <c:pt idx="10">
                  <c:v>2.6987053733376323</c:v>
                </c:pt>
                <c:pt idx="11">
                  <c:v>2.5919797704657084</c:v>
                </c:pt>
                <c:pt idx="12">
                  <c:v>0.98481662794712244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465064"/>
        <c:axId val="475465456"/>
      </c:lineChart>
      <c:catAx>
        <c:axId val="475465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75465456"/>
        <c:crosses val="autoZero"/>
        <c:auto val="1"/>
        <c:lblAlgn val="ctr"/>
        <c:lblOffset val="100"/>
        <c:noMultiLvlLbl val="0"/>
      </c:catAx>
      <c:valAx>
        <c:axId val="475465456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475465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</a:t>
            </a:r>
            <a:r>
              <a:rPr lang="en-US" baseline="0"/>
              <a:t> PGA Commodity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2013-14'!$A$17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2013-14'!$B$17:$N$17</c:f>
              <c:numCache>
                <c:formatCode>"$"#,##0.00_);\("$"#,##0.00\)</c:formatCode>
                <c:ptCount val="13"/>
                <c:pt idx="0">
                  <c:v>3.7138086914005299</c:v>
                </c:pt>
                <c:pt idx="1">
                  <c:v>3.71000032320786</c:v>
                </c:pt>
                <c:pt idx="2">
                  <c:v>3.7124000000000001</c:v>
                </c:pt>
                <c:pt idx="3">
                  <c:v>2.1724999999999999</c:v>
                </c:pt>
                <c:pt idx="4">
                  <c:v>1.4722145172786092</c:v>
                </c:pt>
                <c:pt idx="5">
                  <c:v>1.6266661960612308</c:v>
                </c:pt>
                <c:pt idx="6">
                  <c:v>1.6235999999999997</c:v>
                </c:pt>
                <c:pt idx="7">
                  <c:v>1.6236000000000004</c:v>
                </c:pt>
                <c:pt idx="8">
                  <c:v>1.6236000000000002</c:v>
                </c:pt>
                <c:pt idx="9">
                  <c:v>2.3895</c:v>
                </c:pt>
                <c:pt idx="10">
                  <c:v>2.3895000000000004</c:v>
                </c:pt>
                <c:pt idx="11">
                  <c:v>2.3894999999999995</c:v>
                </c:pt>
                <c:pt idx="12">
                  <c:v>2.3895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2013-14'!$A$18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2013-14'!$B$18:$N$18</c:f>
              <c:numCache>
                <c:formatCode>"$"#,##0.00_);\("$"#,##0.00\)</c:formatCode>
                <c:ptCount val="13"/>
                <c:pt idx="0">
                  <c:v>2.9957000000000003</c:v>
                </c:pt>
                <c:pt idx="1">
                  <c:v>3.9822000000000002</c:v>
                </c:pt>
                <c:pt idx="2">
                  <c:v>3.8203999999999998</c:v>
                </c:pt>
                <c:pt idx="3">
                  <c:v>3.7982</c:v>
                </c:pt>
                <c:pt idx="4">
                  <c:v>3.8423000000000003</c:v>
                </c:pt>
                <c:pt idx="5">
                  <c:v>4.0292000000000003</c:v>
                </c:pt>
                <c:pt idx="6">
                  <c:v>3.4569000000000001</c:v>
                </c:pt>
                <c:pt idx="7">
                  <c:v>3.5224000000000002</c:v>
                </c:pt>
                <c:pt idx="8">
                  <c:v>3.4592000000000001</c:v>
                </c:pt>
                <c:pt idx="9">
                  <c:v>3.4888000000000003</c:v>
                </c:pt>
                <c:pt idx="10">
                  <c:v>3.4600999999999997</c:v>
                </c:pt>
                <c:pt idx="11">
                  <c:v>3.4959000000000002</c:v>
                </c:pt>
                <c:pt idx="12">
                  <c:v>3.6281000000000003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2013-14'!$A$19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2013-14'!$B$19:$N$19</c:f>
              <c:numCache>
                <c:formatCode>"$"#,##0.00_);\("$"#,##0.00\)</c:formatCode>
                <c:ptCount val="13"/>
                <c:pt idx="0">
                  <c:v>2.76346512007138</c:v>
                </c:pt>
                <c:pt idx="1">
                  <c:v>3.4542924833702302</c:v>
                </c:pt>
                <c:pt idx="2">
                  <c:v>3.1868860970503601</c:v>
                </c:pt>
                <c:pt idx="3">
                  <c:v>1.9124975010616809</c:v>
                </c:pt>
                <c:pt idx="4">
                  <c:v>2.0592958211022916</c:v>
                </c:pt>
                <c:pt idx="5">
                  <c:v>1.7605908567523985</c:v>
                </c:pt>
                <c:pt idx="6">
                  <c:v>0.75256414460221688</c:v>
                </c:pt>
                <c:pt idx="7">
                  <c:v>-0.41598966812152832</c:v>
                </c:pt>
                <c:pt idx="8">
                  <c:v>-0.20363394226163323</c:v>
                </c:pt>
                <c:pt idx="9">
                  <c:v>-3.2934037840054495</c:v>
                </c:pt>
                <c:pt idx="10">
                  <c:v>-3.0441734094790673</c:v>
                </c:pt>
                <c:pt idx="11">
                  <c:v>-2.4130847903889947</c:v>
                </c:pt>
                <c:pt idx="12">
                  <c:v>8.7637639244904142E-2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466240"/>
        <c:axId val="475466632"/>
      </c:lineChart>
      <c:catAx>
        <c:axId val="47546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75466632"/>
        <c:crosses val="autoZero"/>
        <c:auto val="1"/>
        <c:lblAlgn val="ctr"/>
        <c:lblOffset val="100"/>
        <c:noMultiLvlLbl val="0"/>
      </c:catAx>
      <c:valAx>
        <c:axId val="475466632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47546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16</xdr:row>
      <xdr:rowOff>104774</xdr:rowOff>
    </xdr:from>
    <xdr:to>
      <xdr:col>10</xdr:col>
      <xdr:colOff>514349</xdr:colOff>
      <xdr:row>63</xdr:row>
      <xdr:rowOff>85724</xdr:rowOff>
    </xdr:to>
    <xdr:sp macro="" textlink="">
      <xdr:nvSpPr>
        <xdr:cNvPr id="2" name="Rounded Rectangle 1"/>
        <xdr:cNvSpPr/>
      </xdr:nvSpPr>
      <xdr:spPr bwMode="auto">
        <a:xfrm>
          <a:off x="1790699" y="2962274"/>
          <a:ext cx="5543550" cy="7553325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47625</xdr:colOff>
      <xdr:row>17</xdr:row>
      <xdr:rowOff>76200</xdr:rowOff>
    </xdr:from>
    <xdr:to>
      <xdr:col>10</xdr:col>
      <xdr:colOff>347943</xdr:colOff>
      <xdr:row>39</xdr:row>
      <xdr:rowOff>45384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40</xdr:row>
      <xdr:rowOff>47625</xdr:rowOff>
    </xdr:from>
    <xdr:to>
      <xdr:col>10</xdr:col>
      <xdr:colOff>376518</xdr:colOff>
      <xdr:row>62</xdr:row>
      <xdr:rowOff>54909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0.92496</cdr:x>
      <cdr:y>0.09979</cdr:y>
    </cdr:from>
    <cdr:to>
      <cdr:x>0.99637</cdr:x>
      <cdr:y>0.94992</cdr:y>
    </cdr:to>
    <cdr:grpSp>
      <cdr:nvGrpSpPr>
        <cdr:cNvPr id="2" name="Group 1"/>
        <cdr:cNvGrpSpPr/>
      </cdr:nvGrpSpPr>
      <cdr:grpSpPr>
        <a:xfrm xmlns:a="http://schemas.openxmlformats.org/drawingml/2006/main">
          <a:off x="5102495" y="340085"/>
          <a:ext cx="393929" cy="2897250"/>
          <a:chOff x="0" y="-22224"/>
          <a:chExt cx="216754" cy="1954945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099132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2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5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6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7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34697</xdr:colOff>
      <xdr:row>24</xdr:row>
      <xdr:rowOff>48745</xdr:rowOff>
    </xdr:from>
    <xdr:to>
      <xdr:col>14</xdr:col>
      <xdr:colOff>22412</xdr:colOff>
      <xdr:row>63</xdr:row>
      <xdr:rowOff>44825</xdr:rowOff>
    </xdr:to>
    <xdr:sp macro="" textlink="">
      <xdr:nvSpPr>
        <xdr:cNvPr id="2" name="Rounded Rectangle 1"/>
        <xdr:cNvSpPr/>
      </xdr:nvSpPr>
      <xdr:spPr bwMode="auto">
        <a:xfrm>
          <a:off x="34697" y="3455333"/>
          <a:ext cx="9243774" cy="6080874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78439</xdr:colOff>
      <xdr:row>25</xdr:row>
      <xdr:rowOff>78441</xdr:rowOff>
    </xdr:from>
    <xdr:to>
      <xdr:col>6</xdr:col>
      <xdr:colOff>324968</xdr:colOff>
      <xdr:row>43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67234</xdr:colOff>
      <xdr:row>43</xdr:row>
      <xdr:rowOff>156871</xdr:rowOff>
    </xdr:from>
    <xdr:to>
      <xdr:col>6</xdr:col>
      <xdr:colOff>313763</xdr:colOff>
      <xdr:row>61</xdr:row>
      <xdr:rowOff>112047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358587</xdr:colOff>
      <xdr:row>43</xdr:row>
      <xdr:rowOff>156872</xdr:rowOff>
    </xdr:from>
    <xdr:to>
      <xdr:col>13</xdr:col>
      <xdr:colOff>616323</xdr:colOff>
      <xdr:row>61</xdr:row>
      <xdr:rowOff>112048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369793</xdr:colOff>
      <xdr:row>25</xdr:row>
      <xdr:rowOff>78441</xdr:rowOff>
    </xdr:from>
    <xdr:to>
      <xdr:col>13</xdr:col>
      <xdr:colOff>627529</xdr:colOff>
      <xdr:row>43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1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1"/>
  <sheetViews>
    <sheetView workbookViewId="0">
      <selection sqref="A1:N64"/>
    </sheetView>
  </sheetViews>
  <sheetFormatPr defaultRowHeight="12.75"/>
  <cols>
    <col min="1" max="1" width="18.7109375" bestFit="1" customWidth="1"/>
    <col min="2" max="14" width="9.28515625" customWidth="1"/>
    <col min="16" max="16" width="2.42578125" customWidth="1"/>
    <col min="17" max="23" width="10.7109375" customWidth="1"/>
    <col min="24" max="24" width="5.7109375" customWidth="1"/>
  </cols>
  <sheetData>
    <row r="1" spans="1:34">
      <c r="C1" s="684" t="s">
        <v>191</v>
      </c>
      <c r="D1" s="684"/>
      <c r="E1" s="684"/>
      <c r="F1" s="684"/>
      <c r="G1" s="684"/>
      <c r="H1" s="684"/>
      <c r="I1" s="684"/>
      <c r="J1" s="684"/>
      <c r="K1" s="684"/>
      <c r="P1" s="686"/>
      <c r="Q1" s="686"/>
      <c r="R1" s="686"/>
      <c r="S1" s="686"/>
      <c r="T1" s="686"/>
      <c r="U1" s="686"/>
      <c r="V1" s="686"/>
      <c r="W1" s="686"/>
      <c r="X1" s="686"/>
    </row>
    <row r="2" spans="1:34" ht="23.25">
      <c r="C2" s="685" t="s">
        <v>246</v>
      </c>
      <c r="D2" s="685"/>
      <c r="E2" s="685"/>
      <c r="F2" s="685"/>
      <c r="G2" s="685"/>
      <c r="H2" s="685"/>
      <c r="I2" s="685"/>
      <c r="J2" s="685"/>
      <c r="K2" s="685"/>
      <c r="P2" s="684"/>
      <c r="Q2" s="684"/>
      <c r="R2" s="684"/>
      <c r="S2" s="684"/>
      <c r="T2" s="684"/>
      <c r="U2" s="684"/>
      <c r="V2" s="684"/>
      <c r="W2" s="684"/>
      <c r="X2" s="684"/>
      <c r="Z2" s="684"/>
      <c r="AA2" s="684"/>
      <c r="AB2" s="684"/>
      <c r="AC2" s="684"/>
      <c r="AD2" s="684"/>
      <c r="AE2" s="684"/>
      <c r="AF2" s="684"/>
      <c r="AG2" s="684"/>
      <c r="AH2" s="684"/>
    </row>
    <row r="3" spans="1:34" ht="23.25">
      <c r="C3" s="684" t="s">
        <v>193</v>
      </c>
      <c r="D3" s="684"/>
      <c r="E3" s="684"/>
      <c r="F3" s="684"/>
      <c r="G3" s="684"/>
      <c r="H3" s="684"/>
      <c r="I3" s="684"/>
      <c r="J3" s="684"/>
      <c r="K3" s="684"/>
      <c r="P3" s="685"/>
      <c r="Q3" s="685"/>
      <c r="R3" s="685"/>
      <c r="S3" s="685"/>
      <c r="T3" s="685"/>
      <c r="U3" s="685"/>
      <c r="V3" s="685"/>
      <c r="W3" s="685"/>
      <c r="X3" s="685"/>
      <c r="Z3" s="687"/>
      <c r="AA3" s="687"/>
      <c r="AB3" s="687"/>
      <c r="AC3" s="687"/>
      <c r="AD3" s="687"/>
      <c r="AE3" s="687"/>
      <c r="AF3" s="687"/>
      <c r="AG3" s="687"/>
      <c r="AH3" s="687"/>
    </row>
    <row r="4" spans="1:34">
      <c r="A4" t="s">
        <v>192</v>
      </c>
      <c r="B4" s="265">
        <v>41183</v>
      </c>
      <c r="C4" s="265">
        <v>41214</v>
      </c>
      <c r="D4" s="265">
        <v>41244</v>
      </c>
      <c r="E4" s="265">
        <v>41275</v>
      </c>
      <c r="F4" s="265">
        <v>41306</v>
      </c>
      <c r="G4" s="265">
        <v>41334</v>
      </c>
      <c r="H4" s="265">
        <v>41365</v>
      </c>
      <c r="I4" s="265">
        <v>41395</v>
      </c>
      <c r="J4" s="265">
        <v>41426</v>
      </c>
      <c r="K4" s="265">
        <v>41456</v>
      </c>
      <c r="L4" s="265">
        <v>41487</v>
      </c>
      <c r="M4" s="265">
        <v>41518</v>
      </c>
      <c r="N4" s="265">
        <v>41548</v>
      </c>
      <c r="P4" s="684"/>
      <c r="Q4" s="684"/>
      <c r="R4" s="684"/>
      <c r="S4" s="684"/>
      <c r="T4" s="684"/>
      <c r="U4" s="684"/>
      <c r="V4" s="684"/>
      <c r="W4" s="684"/>
      <c r="X4" s="684"/>
      <c r="Z4" s="684"/>
      <c r="AA4" s="684"/>
      <c r="AB4" s="684"/>
      <c r="AC4" s="684"/>
      <c r="AD4" s="684"/>
      <c r="AE4" s="684"/>
      <c r="AF4" s="684"/>
      <c r="AG4" s="684"/>
    </row>
    <row r="6" spans="1:34">
      <c r="A6" s="266" t="s">
        <v>194</v>
      </c>
    </row>
    <row r="7" spans="1:34">
      <c r="A7" s="267"/>
      <c r="B7" s="268" t="str">
        <f>TEXT(B4,"mmmmm-YY")</f>
        <v>O-12</v>
      </c>
      <c r="C7" s="268" t="str">
        <f>TEXT(C4,"mmmmm-YY")</f>
        <v>N-12</v>
      </c>
      <c r="D7" s="268" t="str">
        <f>TEXT(D4,"mmmmm")</f>
        <v>D</v>
      </c>
      <c r="E7" s="268" t="str">
        <f>TEXT(E4,"mmmmm-YY")</f>
        <v>J-13</v>
      </c>
      <c r="F7" s="268" t="str">
        <f>TEXT(F4,"mmmmm-YY")</f>
        <v>F-13</v>
      </c>
      <c r="G7" s="268" t="str">
        <f t="shared" ref="G7:N7" si="0">TEXT(G4,"mmmmm")</f>
        <v>M</v>
      </c>
      <c r="H7" s="268" t="str">
        <f t="shared" si="0"/>
        <v>A</v>
      </c>
      <c r="I7" s="268" t="str">
        <f t="shared" si="0"/>
        <v>M</v>
      </c>
      <c r="J7" s="268" t="str">
        <f t="shared" si="0"/>
        <v>J</v>
      </c>
      <c r="K7" s="268" t="str">
        <f t="shared" si="0"/>
        <v>J</v>
      </c>
      <c r="L7" s="268" t="str">
        <f t="shared" si="0"/>
        <v>A</v>
      </c>
      <c r="M7" s="268" t="str">
        <f t="shared" si="0"/>
        <v>S</v>
      </c>
      <c r="N7" s="268" t="str">
        <f t="shared" si="0"/>
        <v>O</v>
      </c>
    </row>
    <row r="8" spans="1:34">
      <c r="A8" t="s">
        <v>2</v>
      </c>
      <c r="B8" s="269">
        <f>'WA Def 191010'!D8/-1000000</f>
        <v>6.691252092754679</v>
      </c>
      <c r="C8" s="269">
        <f>'WA Def 191010'!D19/-1000000</f>
        <v>0.90240319623620857</v>
      </c>
      <c r="D8" s="269">
        <f>'WA Def 191010'!D27/-1000000</f>
        <v>-0.24153536134178891</v>
      </c>
      <c r="E8" s="269">
        <f>'WA Def 191010'!D35/-1000000</f>
        <v>1.612370665690211</v>
      </c>
      <c r="F8" s="269">
        <f>'WA Def 191010'!D43/-1000000</f>
        <v>0.64834278387021227</v>
      </c>
      <c r="G8" s="269">
        <f>'WA Def 191010'!D51/-1000000</f>
        <v>0.33671900480321282</v>
      </c>
      <c r="H8" s="269">
        <f>'WA Def 191010'!D59/-1000000</f>
        <v>0.63119416496921332</v>
      </c>
      <c r="I8" s="269">
        <f>'WA Def 191010'!D67/-1000000</f>
        <v>1.2090547576992148</v>
      </c>
      <c r="J8" s="269">
        <f>'WA Def 191010'!D75/-1000000</f>
        <v>1.3830479967132137</v>
      </c>
      <c r="K8" s="269">
        <f>'WA Def 191010'!D83/-1000000</f>
        <v>1.8775711130472124</v>
      </c>
      <c r="L8" s="269">
        <f>'WA Def 191010'!D91/-1000000</f>
        <v>2.5238373414722122</v>
      </c>
      <c r="M8" s="269">
        <f>'WA Def 191010'!D99/-1000000</f>
        <v>3.3385260271402131</v>
      </c>
      <c r="N8" s="269">
        <f>'WA Def 191010'!E99/-1000000</f>
        <v>-6.0831075290700021</v>
      </c>
    </row>
    <row r="9" spans="1:34">
      <c r="A9" t="s">
        <v>3</v>
      </c>
      <c r="B9" s="269">
        <f>'WA Def 191010'!E8/-1000000</f>
        <v>-0.80916936732299949</v>
      </c>
      <c r="C9" s="269">
        <f>'WA Def 191010'!E19/-1000000</f>
        <v>-3.8730244701439993</v>
      </c>
      <c r="D9" s="269">
        <f>'WA Def 191010'!E27/-1000000</f>
        <v>-3.0674777859969997</v>
      </c>
      <c r="E9" s="269">
        <f>'WA Def 191010'!E35/-1000000</f>
        <v>-1.6934499394870002</v>
      </c>
      <c r="F9" s="269">
        <f>'WA Def 191010'!E43/-1000000</f>
        <v>-0.95669013858100027</v>
      </c>
      <c r="G9" s="269">
        <f>'WA Def 191010'!E51/-1000000</f>
        <v>-0.56131225301100107</v>
      </c>
      <c r="H9" s="269">
        <f>'WA Def 191010'!E59/-1000000</f>
        <v>-0.69541010451100072</v>
      </c>
      <c r="I9" s="269">
        <f>'WA Def 191010'!E67/-1000000</f>
        <v>-1.5643559408390004</v>
      </c>
      <c r="J9" s="269">
        <f>'WA Def 191010'!E75/-1000000</f>
        <v>-2.5778206653800004</v>
      </c>
      <c r="K9" s="269">
        <f>'WA Def 191010'!E83/-1000000</f>
        <v>-3.8494386956210014</v>
      </c>
      <c r="L9" s="269">
        <f>'WA Def 191010'!E91/-1000000</f>
        <v>-5.0597053680260018</v>
      </c>
      <c r="M9" s="269">
        <f>'WA Def 191010'!E99/-1000000</f>
        <v>-6.0831075290700021</v>
      </c>
      <c r="N9" s="269">
        <f>'WA Def 191010'!F99/-1000000</f>
        <v>3.1801240000000015E-2</v>
      </c>
    </row>
    <row r="10" spans="1:34">
      <c r="A10" s="270" t="s">
        <v>21</v>
      </c>
      <c r="B10" s="271">
        <f>SUM(B8:B9)</f>
        <v>5.8820827254316796</v>
      </c>
      <c r="C10" s="271">
        <f>SUM(C8:C9)</f>
        <v>-2.9706212739077906</v>
      </c>
      <c r="D10" s="271">
        <f t="shared" ref="D10:N10" si="1">SUM(D8:D9)</f>
        <v>-3.3090131473387885</v>
      </c>
      <c r="E10" s="271">
        <f t="shared" si="1"/>
        <v>-8.1079273796789142E-2</v>
      </c>
      <c r="F10" s="271">
        <f t="shared" ref="F10" si="2">SUM(F8:F9)</f>
        <v>-0.308347354710788</v>
      </c>
      <c r="G10" s="271">
        <f t="shared" si="1"/>
        <v>-0.22459324820778825</v>
      </c>
      <c r="H10" s="271">
        <f t="shared" si="1"/>
        <v>-6.4215939541787392E-2</v>
      </c>
      <c r="I10" s="271">
        <f t="shared" si="1"/>
        <v>-0.35530118313978565</v>
      </c>
      <c r="J10" s="271">
        <f t="shared" si="1"/>
        <v>-1.1947726686667868</v>
      </c>
      <c r="K10" s="271">
        <f t="shared" ref="K10" si="3">SUM(K8:K9)</f>
        <v>-1.971867582573789</v>
      </c>
      <c r="L10" s="271">
        <f t="shared" si="1"/>
        <v>-2.5358680265537896</v>
      </c>
      <c r="M10" s="271">
        <f t="shared" ref="M10" si="4">SUM(M8:M9)</f>
        <v>-2.744581501929789</v>
      </c>
      <c r="N10" s="271">
        <f t="shared" si="1"/>
        <v>-6.051306289070002</v>
      </c>
    </row>
    <row r="12" spans="1:34">
      <c r="A12" s="266" t="s">
        <v>221</v>
      </c>
    </row>
    <row r="13" spans="1:34">
      <c r="A13" s="267"/>
      <c r="B13" s="268" t="str">
        <f>TEXT(B4,"mmmmm-YY")</f>
        <v>O-12</v>
      </c>
      <c r="C13" s="268" t="str">
        <f>TEXT(C4,"mmmmm")</f>
        <v>N</v>
      </c>
      <c r="D13" s="268" t="str">
        <f>TEXT(D4,"mmmmm")</f>
        <v>D</v>
      </c>
      <c r="E13" s="268" t="str">
        <f t="shared" ref="E13:F13" si="5">TEXT(E4,"mmmmm-YY")</f>
        <v>J-13</v>
      </c>
      <c r="F13" s="268" t="str">
        <f t="shared" si="5"/>
        <v>F-13</v>
      </c>
      <c r="G13" s="268" t="str">
        <f t="shared" ref="G13:L13" si="6">TEXT(G4,"mmmmm")</f>
        <v>M</v>
      </c>
      <c r="H13" s="268" t="str">
        <f t="shared" si="6"/>
        <v>A</v>
      </c>
      <c r="I13" s="268" t="str">
        <f t="shared" si="6"/>
        <v>M</v>
      </c>
      <c r="J13" s="268" t="str">
        <f t="shared" si="6"/>
        <v>J</v>
      </c>
      <c r="K13" s="268" t="str">
        <f t="shared" ref="K13" si="7">TEXT(K4,"mmmmm")</f>
        <v>J</v>
      </c>
      <c r="L13" s="268" t="str">
        <f t="shared" si="6"/>
        <v>A</v>
      </c>
      <c r="M13" s="268" t="str">
        <f t="shared" ref="M13" si="8">TEXT(M4,"mmmmm")</f>
        <v>S</v>
      </c>
      <c r="N13" s="268" t="s">
        <v>245</v>
      </c>
    </row>
    <row r="14" spans="1:34">
      <c r="A14" t="s">
        <v>2</v>
      </c>
      <c r="B14" s="269">
        <f>('ID Def 191010'!D20+'ID Holdback 191015'!D16)/-1000000</f>
        <v>2.1383911983473967</v>
      </c>
      <c r="C14" s="269">
        <f>('ID Def 191010'!D29+'ID Holdback 191015'!D23)/-1000000</f>
        <v>1.2444255776995812</v>
      </c>
      <c r="D14" s="269">
        <f>('ID Def 191010'!D47+'ID Holdback 191015'!D30)/-1000000</f>
        <v>0.87195540999758092</v>
      </c>
      <c r="E14" s="269">
        <f>('ID Def 191010'!D56+'ID Holdback 191015'!D37)/-1000000</f>
        <v>1.6660490220255828</v>
      </c>
      <c r="F14" s="269">
        <f>('ID Def 191010'!D65+'ID Holdback 191015'!D45)/-1000000</f>
        <v>1.2966995405455823</v>
      </c>
      <c r="G14" s="269">
        <f>('ID Def 191010'!D74+'ID Holdback 191015'!D53)/-1000000</f>
        <v>1.1561449650525837</v>
      </c>
      <c r="H14" s="269">
        <f>('ID Def 191010'!D83+'ID Holdback 191015'!D61)/-1000000</f>
        <v>1.2996516898465837</v>
      </c>
      <c r="I14" s="269">
        <f>('ID Def 191010'!D92+'ID Holdback 191015'!D69)/-1000000</f>
        <v>1.5610150065365844</v>
      </c>
      <c r="J14" s="269">
        <f>('ID Def 191010'!D101+'ID Holdback 191015'!D77)/-1000000</f>
        <v>1.6482739833225839</v>
      </c>
      <c r="K14" s="269">
        <f>('ID Def 191010'!D110+'ID Holdback 191015'!D85)/-1000000</f>
        <v>1.8954571715485831</v>
      </c>
      <c r="L14" s="269">
        <f>('ID Def 191010'!D119+'ID Holdback 191015'!D93)/-1000000</f>
        <v>2.2528616869035827</v>
      </c>
      <c r="M14" s="269">
        <f>('ID Def 191010'!D128+'ID Holdback 191015'!D101)/-1000000</f>
        <v>2.7080381318555831</v>
      </c>
      <c r="N14" s="269">
        <f>('ID Def 191010'!D137+'ID Holdback 191015'!D109)/-1000000</f>
        <v>0.56600077745999999</v>
      </c>
    </row>
    <row r="15" spans="1:34">
      <c r="A15" t="s">
        <v>3</v>
      </c>
      <c r="B15" s="269">
        <f>('ID Def 191010'!E20+'ID Holdback 191015'!E16)/-1000000</f>
        <v>-0.82418407251353221</v>
      </c>
      <c r="C15" s="269">
        <f>('ID Def 191010'!E29+'ID Holdback 191015'!E23)/-1000000</f>
        <v>-0.80322416033553246</v>
      </c>
      <c r="D15" s="269">
        <f>('ID Def 191010'!E47+'ID Holdback 191015'!E30)/-1000000</f>
        <v>-0.39310178017253256</v>
      </c>
      <c r="E15" s="269">
        <f>('ID Def 191010'!E56+'ID Holdback 191015'!E37)/-1000000</f>
        <v>0.17129077183746722</v>
      </c>
      <c r="F15" s="269">
        <f>('ID Def 191010'!E65+'ID Holdback 191015'!E45)/-1000000</f>
        <v>0.35307272873146694</v>
      </c>
      <c r="G15" s="269">
        <f>('ID Def 191010'!E74+'ID Holdback 191015'!E53)/-1000000</f>
        <v>0.56382016840146643</v>
      </c>
      <c r="H15" s="269">
        <f>('ID Def 191010'!E83+'ID Holdback 191015'!E61)/-1000000</f>
        <v>0.53955121001146655</v>
      </c>
      <c r="I15" s="269">
        <f>('ID Def 191010'!E92+'ID Holdback 191015'!E69)/-1000000</f>
        <v>0.18205832733946647</v>
      </c>
      <c r="J15" s="269">
        <f>('ID Def 191010'!E101+'ID Holdback 191015'!E77)/-1000000</f>
        <v>-0.22184721294953361</v>
      </c>
      <c r="K15" s="269">
        <f>('ID Def 191010'!E110+'ID Holdback 191015'!E85)/-1000000</f>
        <v>-0.73848372468853407</v>
      </c>
      <c r="L15" s="269">
        <f>('ID Def 191010'!E119+'ID Holdback 191015'!E93)/-1000000</f>
        <v>-1.2085874236835343</v>
      </c>
      <c r="M15" s="269">
        <f>('ID Def 191010'!E128+'ID Holdback 191015'!E101)/-1000000</f>
        <v>-1.5854874293295345</v>
      </c>
      <c r="N15" s="269">
        <f>('ID Def 191010'!E137+'ID Holdback 191015'!E109)/-1000000</f>
        <v>-8.1480250077000355E-2</v>
      </c>
    </row>
    <row r="16" spans="1:34">
      <c r="A16" s="270" t="s">
        <v>21</v>
      </c>
      <c r="B16" s="271">
        <f>SUM(B14:B15)</f>
        <v>1.3142071258338643</v>
      </c>
      <c r="C16" s="271">
        <f>SUM(C14:C15)</f>
        <v>0.44120141736404872</v>
      </c>
      <c r="D16" s="271">
        <f t="shared" ref="D16:L16" si="9">SUM(D14:D15)</f>
        <v>0.47885362982504837</v>
      </c>
      <c r="E16" s="271">
        <f t="shared" si="9"/>
        <v>1.83733979386305</v>
      </c>
      <c r="F16" s="271">
        <f t="shared" ref="F16" si="10">SUM(F14:F15)</f>
        <v>1.6497722692770493</v>
      </c>
      <c r="G16" s="271">
        <f t="shared" si="9"/>
        <v>1.7199651334540502</v>
      </c>
      <c r="H16" s="271">
        <f t="shared" si="9"/>
        <v>1.8392028998580503</v>
      </c>
      <c r="I16" s="271">
        <f t="shared" si="9"/>
        <v>1.7430733338760509</v>
      </c>
      <c r="J16" s="271">
        <f t="shared" si="9"/>
        <v>1.4264267703730502</v>
      </c>
      <c r="K16" s="271">
        <f t="shared" si="9"/>
        <v>1.156973446860049</v>
      </c>
      <c r="L16" s="271">
        <f t="shared" si="9"/>
        <v>1.0442742632200483</v>
      </c>
      <c r="M16" s="271">
        <f t="shared" ref="M16:N16" si="11">SUM(M14:M15)</f>
        <v>1.1225507025260486</v>
      </c>
      <c r="N16" s="271">
        <f t="shared" si="11"/>
        <v>0.48452052738299967</v>
      </c>
    </row>
    <row r="51" ht="9.75" customHeight="1"/>
  </sheetData>
  <mergeCells count="10">
    <mergeCell ref="C1:K1"/>
    <mergeCell ref="C2:K2"/>
    <mergeCell ref="C3:K3"/>
    <mergeCell ref="P4:X4"/>
    <mergeCell ref="Z4:AG4"/>
    <mergeCell ref="P1:X1"/>
    <mergeCell ref="P2:X2"/>
    <mergeCell ref="Z2:AH2"/>
    <mergeCell ref="P3:X3"/>
    <mergeCell ref="Z3:AH3"/>
  </mergeCells>
  <printOptions horizontalCentered="1"/>
  <pageMargins left="0.7" right="0.7" top="0.75" bottom="0.5" header="0.3" footer="0.3"/>
  <pageSetup scale="79" orientation="landscape" r:id="rId1"/>
  <headerFooter>
    <oddFooter>&amp;L&amp;F - &amp;A</oddFooter>
  </headerFooter>
  <customProperties>
    <customPr name="xxe4aP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9">
    <tabColor rgb="FF00CC66"/>
    <pageSetUpPr fitToPage="1"/>
  </sheetPr>
  <dimension ref="A1:U1485"/>
  <sheetViews>
    <sheetView showGridLines="0" topLeftCell="A19" zoomScale="70" zoomScaleNormal="70" workbookViewId="0">
      <selection activeCell="G37" sqref="G37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Mar!C1+1</f>
        <v>201804</v>
      </c>
      <c r="F1" s="528">
        <f>C1</f>
        <v>201804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f>3538040.09+1470.91</f>
        <v>3539511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16061.06</f>
        <v>16061.06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0.67259999999999998</v>
      </c>
      <c r="L5" s="444">
        <f>1-K5</f>
        <v>0.32740000000000002</v>
      </c>
      <c r="M5" s="384"/>
    </row>
    <row r="6" spans="1:13" ht="16.5" thickBot="1">
      <c r="A6" s="49" t="s">
        <v>30</v>
      </c>
      <c r="C6" s="568">
        <f>-1446530.02-412587-117882-132617.25-76033.89-94965.74</f>
        <v>-2280615.9000000004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1274956.1599999997</v>
      </c>
      <c r="D7" s="35"/>
      <c r="F7" s="166" t="s">
        <v>139</v>
      </c>
      <c r="G7" s="166"/>
      <c r="H7" s="125">
        <f>C34</f>
        <v>2127344.9299999997</v>
      </c>
      <c r="I7" s="167">
        <f>H7*I5</f>
        <v>1469144.4086579997</v>
      </c>
      <c r="J7" s="167">
        <f>H7*J5</f>
        <v>658200.52134199988</v>
      </c>
      <c r="K7" s="167"/>
      <c r="L7" s="167"/>
      <c r="M7" s="384"/>
    </row>
    <row r="8" spans="1:13" ht="15.75">
      <c r="A8" s="383" t="s">
        <v>89</v>
      </c>
      <c r="C8" s="567">
        <f>185334.94</f>
        <v>185334.94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f>6414.09+8938.67</f>
        <v>15352.76</v>
      </c>
      <c r="D9" s="36"/>
      <c r="F9" s="166" t="s">
        <v>119</v>
      </c>
      <c r="G9" s="384"/>
      <c r="H9" s="167">
        <f>C56</f>
        <v>1557712.2000000011</v>
      </c>
      <c r="I9" s="167"/>
      <c r="J9" s="167"/>
      <c r="K9" s="167">
        <f>H9*K5</f>
        <v>1047717.2257200007</v>
      </c>
      <c r="L9" s="167">
        <f>H9*L5</f>
        <v>509994.97428000043</v>
      </c>
      <c r="M9" s="384"/>
    </row>
    <row r="10" spans="1:13" ht="15.75">
      <c r="A10" s="49" t="s">
        <v>91</v>
      </c>
      <c r="C10" s="568">
        <v>-3308.2</v>
      </c>
      <c r="D10" s="36"/>
      <c r="F10" s="169" t="s">
        <v>44</v>
      </c>
      <c r="G10" s="384"/>
      <c r="H10" s="167">
        <f>C57</f>
        <v>47027.57</v>
      </c>
      <c r="I10" s="167"/>
      <c r="J10" s="167"/>
      <c r="K10" s="167">
        <f>H10</f>
        <v>47027.57</v>
      </c>
      <c r="L10" s="167"/>
      <c r="M10" s="384"/>
    </row>
    <row r="11" spans="1:13">
      <c r="A11" s="66" t="s">
        <v>145</v>
      </c>
      <c r="C11" s="100">
        <f>SUM(C8:C10)</f>
        <v>197379.5</v>
      </c>
      <c r="D11" s="36"/>
      <c r="F11" s="169" t="s">
        <v>45</v>
      </c>
      <c r="G11" s="384"/>
      <c r="H11" s="170">
        <f>C58</f>
        <v>21059.439999999999</v>
      </c>
      <c r="I11" s="167"/>
      <c r="J11" s="167"/>
      <c r="K11" s="170"/>
      <c r="L11" s="170">
        <f>H11</f>
        <v>21059.439999999999</v>
      </c>
      <c r="M11" s="384"/>
    </row>
    <row r="12" spans="1:13" ht="15.75">
      <c r="A12" s="383" t="s">
        <v>165</v>
      </c>
      <c r="C12" s="567">
        <f>585.95+192443.54</f>
        <v>193029.49000000002</v>
      </c>
      <c r="D12" s="36"/>
      <c r="F12" s="169" t="s">
        <v>138</v>
      </c>
      <c r="G12" s="384"/>
      <c r="H12" s="167">
        <f>H9+H10+H11</f>
        <v>1625799.2100000011</v>
      </c>
      <c r="I12" s="167"/>
      <c r="J12" s="167"/>
      <c r="K12" s="167">
        <f>SUM(K9:K11)</f>
        <v>1094744.7957200008</v>
      </c>
      <c r="L12" s="167">
        <f>SUM(L9:L11)</f>
        <v>531054.41428000038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193029.49000000002</v>
      </c>
      <c r="D14" s="37"/>
      <c r="F14" s="50" t="s">
        <v>69</v>
      </c>
      <c r="G14" s="175"/>
      <c r="H14" s="125">
        <f>H12+H7</f>
        <v>3753144.1400000006</v>
      </c>
      <c r="I14" s="176">
        <f>SUM(I7:I13)</f>
        <v>1469144.4086579997</v>
      </c>
      <c r="J14" s="176">
        <f>SUM(J7:J13)</f>
        <v>658200.52134199988</v>
      </c>
      <c r="K14" s="176">
        <f>K12</f>
        <v>1094744.7957200008</v>
      </c>
      <c r="L14" s="176">
        <f>L12</f>
        <v>531054.41428000038</v>
      </c>
      <c r="M14" s="384"/>
    </row>
    <row r="15" spans="1:13" ht="15.75">
      <c r="A15" s="383" t="s">
        <v>183</v>
      </c>
      <c r="C15" s="567">
        <f>1201.68+394658.14</f>
        <v>395859.82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395859.82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67">
        <f>259.47+10132.2+82836.48</f>
        <v>93228.15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3" ht="15.75">
      <c r="A19" s="46" t="s">
        <v>164</v>
      </c>
      <c r="C19" s="568">
        <f>713.84</f>
        <v>713.84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93941.989999999991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8">
        <f>1850+2455.63</f>
        <v>4305.63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4305.63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9759881</v>
      </c>
      <c r="H23" s="624">
        <v>0.10743999999999999</v>
      </c>
      <c r="I23" s="196">
        <f t="shared" ref="I23:I31" si="0">G23*H23</f>
        <v>1048601.61464</v>
      </c>
      <c r="J23" s="200" t="s">
        <v>37</v>
      </c>
      <c r="K23" s="562">
        <v>5025669</v>
      </c>
      <c r="L23" s="624">
        <v>0.10496999999999999</v>
      </c>
      <c r="M23" s="196">
        <f>K23*L23</f>
        <v>527544.47493000003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2">
        <v>11770</v>
      </c>
      <c r="H24" s="624">
        <v>0.10743999999999999</v>
      </c>
      <c r="I24" s="196">
        <f t="shared" si="0"/>
        <v>1264.5688</v>
      </c>
      <c r="J24" s="200" t="s">
        <v>38</v>
      </c>
      <c r="K24" s="562">
        <v>1996498</v>
      </c>
      <c r="L24" s="624">
        <v>0.10496999999999999</v>
      </c>
      <c r="M24" s="196">
        <f t="shared" ref="M24:M27" si="1">K24*L24</f>
        <v>209572.39505999998</v>
      </c>
    </row>
    <row r="25" spans="1:13" ht="15.75">
      <c r="A25" s="208" t="s">
        <v>189</v>
      </c>
      <c r="C25" s="557">
        <v>0</v>
      </c>
      <c r="D25" s="36"/>
      <c r="F25" s="200" t="s">
        <v>38</v>
      </c>
      <c r="G25" s="562">
        <v>4266905</v>
      </c>
      <c r="H25" s="624">
        <v>9.8650000000000002E-2</v>
      </c>
      <c r="I25" s="196">
        <f t="shared" si="0"/>
        <v>420930.17825</v>
      </c>
      <c r="J25" s="200" t="s">
        <v>39</v>
      </c>
      <c r="K25" s="562">
        <v>34433</v>
      </c>
      <c r="L25" s="624">
        <v>0.10496999999999999</v>
      </c>
      <c r="M25" s="196">
        <f t="shared" si="1"/>
        <v>3614.43201</v>
      </c>
    </row>
    <row r="26" spans="1:13" ht="15.75">
      <c r="A26" s="209" t="s">
        <v>188</v>
      </c>
      <c r="C26" s="558">
        <v>0</v>
      </c>
      <c r="D26" s="36"/>
      <c r="F26" s="200" t="s">
        <v>39</v>
      </c>
      <c r="G26" s="562">
        <v>9867</v>
      </c>
      <c r="H26" s="624">
        <v>9.8650000000000002E-2</v>
      </c>
      <c r="I26" s="196">
        <f t="shared" si="0"/>
        <v>973.37954999999999</v>
      </c>
      <c r="J26" s="200" t="s">
        <v>40</v>
      </c>
      <c r="K26" s="562">
        <v>0</v>
      </c>
      <c r="L26" s="624">
        <v>0.10496999999999999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305691</v>
      </c>
      <c r="H27" s="624">
        <v>0.10433000000000001</v>
      </c>
      <c r="I27" s="196">
        <f t="shared" si="0"/>
        <v>31892.742030000001</v>
      </c>
      <c r="J27" s="200" t="s">
        <v>41</v>
      </c>
      <c r="K27" s="562">
        <v>0</v>
      </c>
      <c r="L27" s="624">
        <v>0.10496999999999999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2">
        <v>46438</v>
      </c>
      <c r="H28" s="624">
        <v>0.10433000000000001</v>
      </c>
      <c r="I28" s="196">
        <f t="shared" si="0"/>
        <v>4844.8765400000002</v>
      </c>
      <c r="J28" s="199" t="s">
        <v>127</v>
      </c>
      <c r="K28" s="181">
        <f>SUM(K23:K27)</f>
        <v>7056600</v>
      </c>
      <c r="L28" s="182"/>
      <c r="M28" s="197">
        <f>SUM(M23:M27)</f>
        <v>740731.30200000003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2">
        <v>0</v>
      </c>
      <c r="H29" s="624">
        <v>6.2480000000000001E-2</v>
      </c>
      <c r="I29" s="196">
        <f t="shared" si="0"/>
        <v>0</v>
      </c>
      <c r="J29" s="199"/>
      <c r="K29" s="231">
        <v>7056600</v>
      </c>
      <c r="L29" s="187" t="s">
        <v>102</v>
      </c>
      <c r="M29" s="464">
        <f>M28/K28</f>
        <v>0.10497000000000001</v>
      </c>
    </row>
    <row r="30" spans="1:13" ht="16.5" thickBot="1">
      <c r="A30" s="2" t="s">
        <v>111</v>
      </c>
      <c r="C30" s="125">
        <f>C7+C11+C14+C17+C20+C22+C27+C28+C29</f>
        <v>2159472.59</v>
      </c>
      <c r="D30" s="37"/>
      <c r="F30" s="200" t="s">
        <v>43</v>
      </c>
      <c r="G30" s="562">
        <v>93219</v>
      </c>
      <c r="H30" s="624">
        <v>6.2480000000000001E-2</v>
      </c>
      <c r="I30" s="196">
        <f t="shared" si="0"/>
        <v>5824.32312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122">
        <v>0</v>
      </c>
      <c r="D31" s="39"/>
      <c r="F31" s="200" t="s">
        <v>74</v>
      </c>
      <c r="G31" s="562">
        <v>3031741</v>
      </c>
      <c r="H31" s="624">
        <v>5.4000000000000001E-4</v>
      </c>
      <c r="I31" s="196">
        <f t="shared" si="0"/>
        <v>1637.14014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2159472.59</v>
      </c>
      <c r="D32" s="40"/>
      <c r="F32" s="199" t="s">
        <v>127</v>
      </c>
      <c r="G32" s="181">
        <f>SUM(G23:G31)</f>
        <v>17525512</v>
      </c>
      <c r="H32" s="7"/>
      <c r="I32" s="197">
        <f>SUM(I23:I31)</f>
        <v>1515968.8230700004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310">
        <f>-C5-C9-C13-C16-C19</f>
        <v>-32127.66</v>
      </c>
      <c r="D33" s="36"/>
      <c r="F33" s="186"/>
      <c r="G33" s="231">
        <v>17525512</v>
      </c>
      <c r="H33" s="187" t="s">
        <v>102</v>
      </c>
      <c r="I33" s="216">
        <f>I32/G32</f>
        <v>8.6500686717169831E-2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2127344.9299999997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5">
        <f>K23</f>
        <v>5025669</v>
      </c>
      <c r="L36" s="624">
        <v>0.16236</v>
      </c>
      <c r="M36" s="196">
        <f t="shared" ref="M36:M42" si="2">K36*L36</f>
        <v>815967.61884000001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4780218.71</v>
      </c>
      <c r="D37" s="36"/>
      <c r="F37" s="200" t="s">
        <v>37</v>
      </c>
      <c r="G37" s="605">
        <f>G23</f>
        <v>9759881</v>
      </c>
      <c r="H37" s="624">
        <v>0.16436000000000001</v>
      </c>
      <c r="I37" s="196">
        <f t="shared" ref="I37:I44" si="3">G37*H37</f>
        <v>1604134.04116</v>
      </c>
      <c r="J37" s="200" t="s">
        <v>38</v>
      </c>
      <c r="K37" s="605">
        <f>K24</f>
        <v>1996498</v>
      </c>
      <c r="L37" s="624">
        <v>0.16236</v>
      </c>
      <c r="M37" s="196">
        <f t="shared" si="2"/>
        <v>324151.41528000002</v>
      </c>
      <c r="P37" s="272"/>
      <c r="Q37" s="272"/>
    </row>
    <row r="38" spans="1:17" ht="15.75">
      <c r="A38" s="144" t="s">
        <v>14</v>
      </c>
      <c r="B38" s="531" t="s">
        <v>115</v>
      </c>
      <c r="C38" s="559"/>
      <c r="D38" s="36"/>
      <c r="F38" s="200" t="s">
        <v>305</v>
      </c>
      <c r="G38" s="605">
        <f>G24</f>
        <v>11770</v>
      </c>
      <c r="H38" s="624">
        <v>0.16436000000000001</v>
      </c>
      <c r="I38" s="196">
        <f t="shared" si="3"/>
        <v>1934.5172</v>
      </c>
      <c r="J38" s="200" t="s">
        <v>39</v>
      </c>
      <c r="K38" s="605">
        <f>K25</f>
        <v>34433</v>
      </c>
      <c r="L38" s="624">
        <v>0.16236</v>
      </c>
      <c r="M38" s="196">
        <f t="shared" si="2"/>
        <v>5590.5418799999998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-72610.350000000006</v>
      </c>
      <c r="D39" s="36"/>
      <c r="F39" s="200" t="s">
        <v>38</v>
      </c>
      <c r="G39" s="605">
        <f t="shared" ref="G39:G44" si="4">G25</f>
        <v>4266905</v>
      </c>
      <c r="H39" s="624">
        <v>0.16436000000000001</v>
      </c>
      <c r="I39" s="196">
        <f t="shared" si="3"/>
        <v>701308.50580000004</v>
      </c>
      <c r="J39" s="200" t="s">
        <v>40</v>
      </c>
      <c r="K39" s="605">
        <f>K26</f>
        <v>0</v>
      </c>
      <c r="L39" s="624">
        <v>0.16236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705923.29</v>
      </c>
      <c r="D40" s="36"/>
      <c r="F40" s="200" t="s">
        <v>39</v>
      </c>
      <c r="G40" s="605">
        <f t="shared" si="4"/>
        <v>9867</v>
      </c>
      <c r="H40" s="624">
        <v>0.16436000000000001</v>
      </c>
      <c r="I40" s="196">
        <f t="shared" si="3"/>
        <v>1621.7401200000002</v>
      </c>
      <c r="J40" s="200" t="s">
        <v>41</v>
      </c>
      <c r="K40" s="605">
        <f>K27</f>
        <v>0</v>
      </c>
      <c r="L40" s="624">
        <v>0.16236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f>17615.42+9619.56</f>
        <v>27234.979999999996</v>
      </c>
      <c r="D41" s="36"/>
      <c r="F41" s="200" t="s">
        <v>40</v>
      </c>
      <c r="G41" s="605">
        <f t="shared" si="4"/>
        <v>305691</v>
      </c>
      <c r="H41" s="624">
        <v>0.16436000000000001</v>
      </c>
      <c r="I41" s="196">
        <f t="shared" si="3"/>
        <v>50243.372759999998</v>
      </c>
      <c r="J41" s="200" t="s">
        <v>42</v>
      </c>
      <c r="K41" s="562">
        <v>0</v>
      </c>
      <c r="L41" s="624">
        <v>0.16236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747786.54</v>
      </c>
      <c r="D42" s="37"/>
      <c r="F42" s="200" t="s">
        <v>41</v>
      </c>
      <c r="G42" s="605">
        <f t="shared" si="4"/>
        <v>46438</v>
      </c>
      <c r="H42" s="624">
        <v>0.16436000000000001</v>
      </c>
      <c r="I42" s="196">
        <f t="shared" si="3"/>
        <v>7632.5496800000001</v>
      </c>
      <c r="J42" s="200" t="s">
        <v>43</v>
      </c>
      <c r="K42" s="606">
        <v>0</v>
      </c>
      <c r="L42" s="624">
        <v>0.16236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6188553.1700000009</v>
      </c>
      <c r="D43" s="36"/>
      <c r="F43" s="200" t="s">
        <v>42</v>
      </c>
      <c r="G43" s="605">
        <f t="shared" si="4"/>
        <v>0</v>
      </c>
      <c r="H43" s="624">
        <v>0.16436000000000001</v>
      </c>
      <c r="I43" s="196">
        <f t="shared" si="3"/>
        <v>0</v>
      </c>
      <c r="J43" s="199" t="s">
        <v>133</v>
      </c>
      <c r="K43" s="181">
        <f>SUM(K36:K42)</f>
        <v>7056600</v>
      </c>
      <c r="L43" s="182"/>
      <c r="M43" s="197">
        <f>SUM(M36:M42)</f>
        <v>1145709.5759999999</v>
      </c>
    </row>
    <row r="44" spans="1:17" ht="16.5" thickBot="1">
      <c r="A44" s="83" t="s">
        <v>177</v>
      </c>
      <c r="B44" s="84" t="s">
        <v>120</v>
      </c>
      <c r="C44" s="559">
        <f>-879535.98+700112.94+0+766.2</f>
        <v>-178656.84000000003</v>
      </c>
      <c r="D44" s="37"/>
      <c r="F44" s="200" t="s">
        <v>43</v>
      </c>
      <c r="G44" s="605">
        <f t="shared" si="4"/>
        <v>93219</v>
      </c>
      <c r="H44" s="624">
        <v>0.16436000000000001</v>
      </c>
      <c r="I44" s="196">
        <f t="shared" si="3"/>
        <v>15321.474840000001</v>
      </c>
      <c r="J44" s="194"/>
      <c r="K44" s="232">
        <v>7056600</v>
      </c>
      <c r="L44" s="189" t="s">
        <v>102</v>
      </c>
      <c r="M44" s="217">
        <f>M43/K43</f>
        <v>0.16235999999999998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14493771</v>
      </c>
      <c r="H45" s="182"/>
      <c r="I45" s="197">
        <f>SUM(I37:I44)</f>
        <v>2382196.2015600004</v>
      </c>
      <c r="J45" s="85"/>
      <c r="K45" s="230">
        <f>K43-K44</f>
        <v>0</v>
      </c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14493771</v>
      </c>
      <c r="H46" s="189" t="s">
        <v>102</v>
      </c>
      <c r="I46" s="215">
        <f>I45/G45</f>
        <v>0.16436000000000003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559">
        <v>0</v>
      </c>
      <c r="D47" s="36"/>
      <c r="F47" s="384"/>
      <c r="G47" s="230">
        <f>G45-G46</f>
        <v>0</v>
      </c>
      <c r="H47" s="384"/>
      <c r="I47" s="384"/>
      <c r="J47" s="124"/>
      <c r="K47" s="230"/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20666.11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2760.85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1813.07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32127.66</v>
      </c>
      <c r="D52" s="33"/>
      <c r="F52" s="384" t="s">
        <v>136</v>
      </c>
      <c r="G52" s="384"/>
      <c r="H52" s="212">
        <f>K12</f>
        <v>1094744.7957200008</v>
      </c>
      <c r="I52" s="115">
        <f>I14</f>
        <v>1469144.4086579997</v>
      </c>
      <c r="J52" s="115">
        <f>L12</f>
        <v>531054.41428000038</v>
      </c>
      <c r="K52" s="115">
        <f>J14</f>
        <v>658200.52134199988</v>
      </c>
      <c r="L52" s="132">
        <f>SUM(H52:K52)</f>
        <v>3753144.1400000006</v>
      </c>
      <c r="M52" s="384"/>
    </row>
    <row r="53" spans="1:21" ht="16.5" thickBot="1">
      <c r="A53" s="384" t="s">
        <v>315</v>
      </c>
      <c r="B53" s="683" t="s">
        <v>316</v>
      </c>
      <c r="C53" s="559">
        <v>11016.01</v>
      </c>
      <c r="D53" s="36"/>
      <c r="F53" s="383" t="s">
        <v>109</v>
      </c>
      <c r="H53" s="212">
        <f>-I45</f>
        <v>-2382196.2015600004</v>
      </c>
      <c r="I53" s="115">
        <f>-I32</f>
        <v>-1515968.8230700004</v>
      </c>
      <c r="J53" s="115">
        <f>-M43</f>
        <v>-1145709.5759999999</v>
      </c>
      <c r="K53" s="115">
        <f>-M28</f>
        <v>-740731.30200000003</v>
      </c>
      <c r="L53" s="260">
        <f>SUM(H53:K53)</f>
        <v>-5784605.9026300004</v>
      </c>
    </row>
    <row r="54" spans="1:21" ht="16.5" thickBot="1">
      <c r="A54" s="381" t="s">
        <v>124</v>
      </c>
      <c r="B54" s="472" t="s">
        <v>296</v>
      </c>
      <c r="C54" s="559">
        <f>-1666226.86-524454.75-1961886.22</f>
        <v>-4152567.83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-2031461.7626299998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-1287451.4058399997</v>
      </c>
      <c r="I55" s="125">
        <f>I52+I53+I54</f>
        <v>-46824.414412000682</v>
      </c>
      <c r="J55" s="125">
        <f>IFERROR(J52+J53+J54,0)</f>
        <v>-614655.16171999951</v>
      </c>
      <c r="K55" s="125">
        <f>K52+K53+K54</f>
        <v>-82530.780658000149</v>
      </c>
      <c r="L55" s="47">
        <f>SUM(H55:K55)</f>
        <v>-2031461.76263</v>
      </c>
    </row>
    <row r="56" spans="1:21" ht="16.5" thickBot="1">
      <c r="A56" s="82" t="s">
        <v>119</v>
      </c>
      <c r="B56" s="84"/>
      <c r="C56" s="160">
        <f>SUM(C43:C55)</f>
        <v>1557712.2000000011</v>
      </c>
      <c r="D56" s="36"/>
      <c r="F56" s="239" t="s">
        <v>181</v>
      </c>
      <c r="H56" s="383" t="s">
        <v>173</v>
      </c>
      <c r="I56" s="5">
        <f>SUM(H55:I55)</f>
        <v>-1334275.8202520004</v>
      </c>
      <c r="J56" s="15" t="s">
        <v>174</v>
      </c>
      <c r="K56" s="383">
        <f>SUM(J55:K55)</f>
        <v>-697185.94237799966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47027.57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59">
        <v>21059.439999999999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1625799.2100000011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3753144.1400000006</v>
      </c>
      <c r="D61" s="37"/>
      <c r="H61" s="348" t="e">
        <f>SUM('WA - Def-Amtz (current)'!AN5:AN40)+SUM(#REF!)+SUM(#REF!)-0.01</f>
        <v>#REF!</v>
      </c>
      <c r="I61" s="448" t="e">
        <f>SUM('WA - Def-Amtz (current)'!AO5:AO40)+SUM(#REF!)+SUM(#REF!)-0.01</f>
        <v>#REF!</v>
      </c>
      <c r="J61" s="383">
        <f>H53+I53+J53+K53</f>
        <v>-5784605.9026300004</v>
      </c>
    </row>
    <row r="62" spans="1:21" ht="15.75">
      <c r="A62" s="2"/>
      <c r="B62" s="9" t="s">
        <v>160</v>
      </c>
      <c r="C62" s="607">
        <v>3753144.14</v>
      </c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50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61" priority="9" stopIfTrue="1" operator="equal">
      <formula>0</formula>
    </cfRule>
    <cfRule type="cellIs" dxfId="260" priority="10" stopIfTrue="1" operator="notEqual">
      <formula>0</formula>
    </cfRule>
  </conditionalFormatting>
  <conditionalFormatting sqref="G34 G47 K30 K47">
    <cfRule type="cellIs" dxfId="259" priority="8" operator="notEqual">
      <formula>0</formula>
    </cfRule>
  </conditionalFormatting>
  <conditionalFormatting sqref="C63">
    <cfRule type="cellIs" dxfId="258" priority="6" stopIfTrue="1" operator="equal">
      <formula>0</formula>
    </cfRule>
    <cfRule type="cellIs" dxfId="257" priority="7" stopIfTrue="1" operator="notEqual">
      <formula>0</formula>
    </cfRule>
  </conditionalFormatting>
  <conditionalFormatting sqref="K30">
    <cfRule type="cellIs" dxfId="256" priority="5" operator="notEqual">
      <formula>0</formula>
    </cfRule>
  </conditionalFormatting>
  <conditionalFormatting sqref="G59">
    <cfRule type="cellIs" dxfId="255" priority="4" operator="equal">
      <formula>"""ERROR"""</formula>
    </cfRule>
  </conditionalFormatting>
  <conditionalFormatting sqref="G59">
    <cfRule type="cellIs" dxfId="254" priority="3" operator="equal">
      <formula>"ERROR"</formula>
    </cfRule>
  </conditionalFormatting>
  <conditionalFormatting sqref="G59">
    <cfRule type="cellIs" dxfId="253" priority="2" operator="equal">
      <formula>"ERROR"</formula>
    </cfRule>
  </conditionalFormatting>
  <conditionalFormatting sqref="K45">
    <cfRule type="cellIs" dxfId="252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0">
    <tabColor rgb="FF00CC66"/>
    <pageSetUpPr fitToPage="1"/>
  </sheetPr>
  <dimension ref="A1:U1485"/>
  <sheetViews>
    <sheetView showGridLines="0" topLeftCell="A7" zoomScale="70" zoomScaleNormal="70" workbookViewId="0">
      <selection activeCell="L36" sqref="L36:L42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Apr!C1+1</f>
        <v>201805</v>
      </c>
      <c r="F1" s="528">
        <f>C1</f>
        <v>201805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f>1247.22+3655974.78</f>
        <v>3657222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20069.61</f>
        <v>20069.61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0.68330000000000002</v>
      </c>
      <c r="L5" s="444">
        <f>1-K5</f>
        <v>0.31669999999999998</v>
      </c>
      <c r="M5" s="384"/>
    </row>
    <row r="6" spans="1:13" ht="16.5" thickBot="1">
      <c r="A6" s="49" t="s">
        <v>30</v>
      </c>
      <c r="C6" s="568">
        <f>-1494747.7-426339.9-121811.4-137037.83-78568.35-98131.26</f>
        <v>-2356636.44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1320655.17</v>
      </c>
      <c r="D7" s="35"/>
      <c r="F7" s="166" t="s">
        <v>139</v>
      </c>
      <c r="G7" s="166"/>
      <c r="H7" s="125">
        <f>C34</f>
        <v>2169276.1599999997</v>
      </c>
      <c r="I7" s="167">
        <f>H7*I5</f>
        <v>1498102.1160959997</v>
      </c>
      <c r="J7" s="167">
        <f>H7*J5</f>
        <v>671174.04390399996</v>
      </c>
      <c r="K7" s="167"/>
      <c r="L7" s="167"/>
      <c r="M7" s="384"/>
    </row>
    <row r="8" spans="1:13" ht="15.75">
      <c r="A8" s="383" t="s">
        <v>89</v>
      </c>
      <c r="C8" s="567">
        <f>191512.75</f>
        <v>191512.75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f>4730.93+817.76</f>
        <v>5548.6900000000005</v>
      </c>
      <c r="D9" s="36"/>
      <c r="F9" s="166" t="s">
        <v>119</v>
      </c>
      <c r="G9" s="384"/>
      <c r="H9" s="167">
        <f>C56</f>
        <v>-386327.95000000019</v>
      </c>
      <c r="I9" s="167"/>
      <c r="J9" s="167"/>
      <c r="K9" s="167">
        <f>H9*K5</f>
        <v>-263977.88823500014</v>
      </c>
      <c r="L9" s="167">
        <f>H9*L5</f>
        <v>-122350.06176500005</v>
      </c>
      <c r="M9" s="384"/>
    </row>
    <row r="10" spans="1:13" ht="15.75">
      <c r="A10" s="49" t="s">
        <v>91</v>
      </c>
      <c r="C10" s="568">
        <v>-3418.47</v>
      </c>
      <c r="D10" s="36"/>
      <c r="F10" s="169" t="s">
        <v>44</v>
      </c>
      <c r="G10" s="384"/>
      <c r="H10" s="167">
        <f>C57</f>
        <v>19270.650000000001</v>
      </c>
      <c r="I10" s="167"/>
      <c r="J10" s="167"/>
      <c r="K10" s="167">
        <f>H10</f>
        <v>19270.650000000001</v>
      </c>
      <c r="L10" s="167"/>
      <c r="M10" s="384"/>
    </row>
    <row r="11" spans="1:13">
      <c r="A11" s="66" t="s">
        <v>145</v>
      </c>
      <c r="C11" s="100">
        <f>SUM(C8:C10)</f>
        <v>193642.97</v>
      </c>
      <c r="D11" s="36"/>
      <c r="F11" s="169" t="s">
        <v>45</v>
      </c>
      <c r="G11" s="384"/>
      <c r="H11" s="170">
        <f>C58</f>
        <v>9331.16</v>
      </c>
      <c r="I11" s="167"/>
      <c r="J11" s="167"/>
      <c r="K11" s="170"/>
      <c r="L11" s="170">
        <f>H11</f>
        <v>9331.16</v>
      </c>
      <c r="M11" s="384"/>
    </row>
    <row r="12" spans="1:13" ht="15.75">
      <c r="A12" s="383" t="s">
        <v>165</v>
      </c>
      <c r="C12" s="567">
        <f>190715.15+869.63</f>
        <v>191584.78</v>
      </c>
      <c r="D12" s="36"/>
      <c r="F12" s="169" t="s">
        <v>138</v>
      </c>
      <c r="G12" s="384"/>
      <c r="H12" s="167">
        <f>H9+H10+H11</f>
        <v>-357726.14000000019</v>
      </c>
      <c r="I12" s="167"/>
      <c r="J12" s="167"/>
      <c r="K12" s="167">
        <f>SUM(K9:K11)</f>
        <v>-244707.23823500014</v>
      </c>
      <c r="L12" s="167">
        <f>SUM(L9:L11)</f>
        <v>-113018.90176500005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191584.78</v>
      </c>
      <c r="D14" s="37"/>
      <c r="F14" s="50" t="s">
        <v>69</v>
      </c>
      <c r="G14" s="175"/>
      <c r="H14" s="125">
        <f>H12+H7</f>
        <v>1811550.0199999996</v>
      </c>
      <c r="I14" s="176">
        <f>SUM(I7:I13)</f>
        <v>1498102.1160959997</v>
      </c>
      <c r="J14" s="176">
        <f>SUM(J7:J13)</f>
        <v>671174.04390399996</v>
      </c>
      <c r="K14" s="176">
        <f>K12</f>
        <v>-244707.23823500014</v>
      </c>
      <c r="L14" s="176">
        <f>L12</f>
        <v>-113018.90176500005</v>
      </c>
      <c r="M14" s="384"/>
    </row>
    <row r="15" spans="1:13" ht="15.75">
      <c r="A15" s="383" t="s">
        <v>183</v>
      </c>
      <c r="C15" s="567">
        <f>1783.42+398635.04</f>
        <v>400418.45999999996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400418.45999999996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67">
        <f>82092.5+420.11+10041.2</f>
        <v>92553.81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3" ht="15.75">
      <c r="A19" s="46" t="s">
        <v>164</v>
      </c>
      <c r="C19" s="568">
        <f>-1072.08</f>
        <v>-1072.08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91481.73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8">
        <f>2458.15+1850</f>
        <v>4308.1499999999996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4308.1499999999996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3286813</v>
      </c>
      <c r="H23" s="624">
        <v>0.10743999999999999</v>
      </c>
      <c r="I23" s="196">
        <f t="shared" ref="I23:I31" si="0">G23*H23</f>
        <v>353135.18871999998</v>
      </c>
      <c r="J23" s="200" t="s">
        <v>37</v>
      </c>
      <c r="K23" s="562">
        <v>1559887</v>
      </c>
      <c r="L23" s="624">
        <v>0.10496999999999999</v>
      </c>
      <c r="M23" s="196">
        <f>K23*L23</f>
        <v>163741.33838999999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2">
        <v>4240</v>
      </c>
      <c r="H24" s="624">
        <v>0.10743999999999999</v>
      </c>
      <c r="I24" s="196">
        <f t="shared" si="0"/>
        <v>455.54559999999998</v>
      </c>
      <c r="J24" s="200" t="s">
        <v>38</v>
      </c>
      <c r="K24" s="562">
        <v>1126511</v>
      </c>
      <c r="L24" s="624">
        <v>0.10496999999999999</v>
      </c>
      <c r="M24" s="196">
        <f t="shared" ref="M24:M27" si="1">K24*L24</f>
        <v>118249.85966999999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2">
        <v>2210506</v>
      </c>
      <c r="H25" s="624">
        <v>9.8650000000000002E-2</v>
      </c>
      <c r="I25" s="196">
        <f t="shared" si="0"/>
        <v>218066.41690000001</v>
      </c>
      <c r="J25" s="200" t="s">
        <v>39</v>
      </c>
      <c r="K25" s="562">
        <v>30470</v>
      </c>
      <c r="L25" s="624">
        <v>0.10496999999999999</v>
      </c>
      <c r="M25" s="196">
        <f t="shared" si="1"/>
        <v>3198.4358999999999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2">
        <v>3523</v>
      </c>
      <c r="H26" s="624">
        <v>9.8650000000000002E-2</v>
      </c>
      <c r="I26" s="196">
        <f t="shared" si="0"/>
        <v>347.54395</v>
      </c>
      <c r="J26" s="200" t="s">
        <v>40</v>
      </c>
      <c r="K26" s="562">
        <v>0</v>
      </c>
      <c r="L26" s="624">
        <v>0.10496999999999999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234262</v>
      </c>
      <c r="H27" s="624">
        <v>0.10433000000000001</v>
      </c>
      <c r="I27" s="196">
        <f t="shared" si="0"/>
        <v>24440.554460000003</v>
      </c>
      <c r="J27" s="200" t="s">
        <v>41</v>
      </c>
      <c r="K27" s="562">
        <v>0</v>
      </c>
      <c r="L27" s="624">
        <v>0.10496999999999999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2">
        <v>49642</v>
      </c>
      <c r="H28" s="624">
        <v>0.10433000000000001</v>
      </c>
      <c r="I28" s="196">
        <f t="shared" si="0"/>
        <v>5179.1498600000004</v>
      </c>
      <c r="J28" s="199" t="s">
        <v>127</v>
      </c>
      <c r="K28" s="181">
        <f>SUM(K23:K27)</f>
        <v>2716868</v>
      </c>
      <c r="L28" s="182"/>
      <c r="M28" s="197">
        <f>SUM(M23:M27)</f>
        <v>285189.63395999995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2">
        <v>0</v>
      </c>
      <c r="H29" s="624">
        <v>6.2480000000000001E-2</v>
      </c>
      <c r="I29" s="196">
        <f t="shared" si="0"/>
        <v>0</v>
      </c>
      <c r="J29" s="199"/>
      <c r="K29" s="231">
        <v>2716868</v>
      </c>
      <c r="L29" s="187" t="s">
        <v>102</v>
      </c>
      <c r="M29" s="464">
        <f>M28/K28</f>
        <v>0.10496999999999998</v>
      </c>
    </row>
    <row r="30" spans="1:13" ht="16.5" thickBot="1">
      <c r="A30" s="2" t="s">
        <v>111</v>
      </c>
      <c r="C30" s="125">
        <f>C7+C11+C14+C17+C20+C22+C27+C28+C29</f>
        <v>2202091.2599999998</v>
      </c>
      <c r="D30" s="37"/>
      <c r="F30" s="200" t="s">
        <v>43</v>
      </c>
      <c r="G30" s="562">
        <v>72901</v>
      </c>
      <c r="H30" s="624">
        <v>6.2480000000000001E-2</v>
      </c>
      <c r="I30" s="196">
        <f t="shared" si="0"/>
        <v>4554.85448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67">
        <v>-8268.8799999999992</v>
      </c>
      <c r="D31" s="39"/>
      <c r="F31" s="200" t="s">
        <v>74</v>
      </c>
      <c r="G31" s="562">
        <v>2500964</v>
      </c>
      <c r="H31" s="624">
        <v>5.4000000000000001E-4</v>
      </c>
      <c r="I31" s="196">
        <f t="shared" si="0"/>
        <v>1350.5205599999999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2193822.38</v>
      </c>
      <c r="D32" s="40"/>
      <c r="F32" s="199" t="s">
        <v>127</v>
      </c>
      <c r="G32" s="181">
        <f>SUM(G23:G31)</f>
        <v>8362851</v>
      </c>
      <c r="H32" s="7"/>
      <c r="I32" s="197">
        <f>SUM(I23:I31)</f>
        <v>607529.77452999994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565">
        <f>-C5-C9-C13-C16-C19</f>
        <v>-24546.22</v>
      </c>
      <c r="D33" s="36"/>
      <c r="F33" s="186"/>
      <c r="G33" s="231">
        <v>8362851</v>
      </c>
      <c r="H33" s="187" t="s">
        <v>102</v>
      </c>
      <c r="I33" s="216">
        <f>I32/G32</f>
        <v>7.2646251204284279E-2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2169276.1599999997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5">
        <f>K23</f>
        <v>1559887</v>
      </c>
      <c r="L36" s="624">
        <v>0.16236</v>
      </c>
      <c r="M36" s="196">
        <f t="shared" ref="M36:M42" si="2">K36*L36</f>
        <v>253263.25332000002</v>
      </c>
      <c r="P36" s="272"/>
      <c r="Q36" s="272"/>
    </row>
    <row r="37" spans="1:17" ht="15.75">
      <c r="A37" s="7" t="s">
        <v>129</v>
      </c>
      <c r="B37" s="531" t="s">
        <v>115</v>
      </c>
      <c r="C37" s="567">
        <v>4202312.1100000003</v>
      </c>
      <c r="D37" s="36"/>
      <c r="F37" s="200" t="s">
        <v>37</v>
      </c>
      <c r="G37" s="605">
        <f>G23</f>
        <v>3286813</v>
      </c>
      <c r="H37" s="624">
        <v>0.16436000000000001</v>
      </c>
      <c r="I37" s="196">
        <f t="shared" ref="I37:I44" si="3">G37*H37</f>
        <v>540220.58467999997</v>
      </c>
      <c r="J37" s="200" t="s">
        <v>38</v>
      </c>
      <c r="K37" s="605">
        <f>K24</f>
        <v>1126511</v>
      </c>
      <c r="L37" s="624">
        <v>0.16236</v>
      </c>
      <c r="M37" s="196">
        <f t="shared" si="2"/>
        <v>182900.32596000002</v>
      </c>
      <c r="P37" s="272"/>
      <c r="Q37" s="272"/>
    </row>
    <row r="38" spans="1:17" ht="15.75">
      <c r="A38" s="144" t="s">
        <v>14</v>
      </c>
      <c r="B38" s="531" t="s">
        <v>115</v>
      </c>
      <c r="C38" s="122"/>
      <c r="D38" s="36"/>
      <c r="F38" s="200" t="s">
        <v>305</v>
      </c>
      <c r="G38" s="605">
        <f t="shared" ref="G38:G44" si="4">G24</f>
        <v>4240</v>
      </c>
      <c r="H38" s="624">
        <v>0.16436000000000001</v>
      </c>
      <c r="I38" s="196">
        <f t="shared" si="3"/>
        <v>696.88639999999998</v>
      </c>
      <c r="J38" s="200" t="s">
        <v>39</v>
      </c>
      <c r="K38" s="605">
        <f>K25</f>
        <v>30470</v>
      </c>
      <c r="L38" s="624">
        <v>0.16236</v>
      </c>
      <c r="M38" s="196">
        <f t="shared" si="2"/>
        <v>4947.1091999999999</v>
      </c>
      <c r="P38" s="272"/>
      <c r="Q38" s="272"/>
    </row>
    <row r="39" spans="1:17" ht="15.75">
      <c r="A39" s="7" t="s">
        <v>146</v>
      </c>
      <c r="B39" s="531" t="s">
        <v>147</v>
      </c>
      <c r="C39" s="567">
        <v>-68253.149999999994</v>
      </c>
      <c r="D39" s="36"/>
      <c r="F39" s="200" t="s">
        <v>38</v>
      </c>
      <c r="G39" s="605">
        <f t="shared" si="4"/>
        <v>2210506</v>
      </c>
      <c r="H39" s="624">
        <v>0.16436000000000001</v>
      </c>
      <c r="I39" s="196">
        <f t="shared" si="3"/>
        <v>363318.76616</v>
      </c>
      <c r="J39" s="200" t="s">
        <v>40</v>
      </c>
      <c r="K39" s="605">
        <f>K26</f>
        <v>0</v>
      </c>
      <c r="L39" s="624">
        <v>0.16236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67">
        <v>1266181.8799999999</v>
      </c>
      <c r="D40" s="36"/>
      <c r="F40" s="200" t="s">
        <v>39</v>
      </c>
      <c r="G40" s="605">
        <f t="shared" si="4"/>
        <v>3523</v>
      </c>
      <c r="H40" s="624">
        <v>0.16436000000000001</v>
      </c>
      <c r="I40" s="196">
        <f t="shared" si="3"/>
        <v>579.04028000000005</v>
      </c>
      <c r="J40" s="200" t="s">
        <v>41</v>
      </c>
      <c r="K40" s="605">
        <f>K27</f>
        <v>0</v>
      </c>
      <c r="L40" s="624">
        <v>0.16236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67">
        <v>-9372.5300000000007</v>
      </c>
      <c r="D41" s="36"/>
      <c r="F41" s="200" t="s">
        <v>40</v>
      </c>
      <c r="G41" s="605">
        <f t="shared" si="4"/>
        <v>234262</v>
      </c>
      <c r="H41" s="624">
        <v>0.16436000000000001</v>
      </c>
      <c r="I41" s="196">
        <f t="shared" si="3"/>
        <v>38503.302320000003</v>
      </c>
      <c r="J41" s="200" t="s">
        <v>42</v>
      </c>
      <c r="K41" s="562">
        <v>0</v>
      </c>
      <c r="L41" s="624">
        <v>0.16236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67">
        <v>420101.98</v>
      </c>
      <c r="D42" s="37"/>
      <c r="F42" s="200" t="s">
        <v>41</v>
      </c>
      <c r="G42" s="605">
        <f t="shared" si="4"/>
        <v>49642</v>
      </c>
      <c r="H42" s="624">
        <v>0.16436000000000001</v>
      </c>
      <c r="I42" s="196">
        <f t="shared" si="3"/>
        <v>8159.1591200000003</v>
      </c>
      <c r="J42" s="200" t="s">
        <v>43</v>
      </c>
      <c r="K42" s="606">
        <v>0</v>
      </c>
      <c r="L42" s="624">
        <v>0.16236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5810970.2899999991</v>
      </c>
      <c r="D43" s="36"/>
      <c r="F43" s="200" t="s">
        <v>42</v>
      </c>
      <c r="G43" s="605">
        <f t="shared" si="4"/>
        <v>0</v>
      </c>
      <c r="H43" s="624">
        <v>0.16436000000000001</v>
      </c>
      <c r="I43" s="196">
        <f t="shared" si="3"/>
        <v>0</v>
      </c>
      <c r="J43" s="199" t="s">
        <v>133</v>
      </c>
      <c r="K43" s="181">
        <f>SUM(K36:K42)</f>
        <v>2716868</v>
      </c>
      <c r="L43" s="182"/>
      <c r="M43" s="197">
        <f>SUM(M36:M42)</f>
        <v>441110.68848000007</v>
      </c>
    </row>
    <row r="44" spans="1:17" ht="16.5" thickBot="1">
      <c r="A44" s="83" t="s">
        <v>177</v>
      </c>
      <c r="B44" s="84" t="s">
        <v>120</v>
      </c>
      <c r="C44" s="567">
        <f>-2135208.27+376299.62+5893.87</f>
        <v>-1753014.7799999998</v>
      </c>
      <c r="D44" s="37"/>
      <c r="F44" s="200" t="s">
        <v>43</v>
      </c>
      <c r="G44" s="605">
        <f t="shared" si="4"/>
        <v>72901</v>
      </c>
      <c r="H44" s="624">
        <v>0.16436000000000001</v>
      </c>
      <c r="I44" s="196">
        <f t="shared" si="3"/>
        <v>11982.00836</v>
      </c>
      <c r="J44" s="194"/>
      <c r="K44" s="232">
        <v>2716868</v>
      </c>
      <c r="L44" s="189" t="s">
        <v>102</v>
      </c>
      <c r="M44" s="217">
        <f>M43/K43</f>
        <v>0.16236000000000003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5861887</v>
      </c>
      <c r="H45" s="182"/>
      <c r="I45" s="197">
        <f>SUM(I37:I44)</f>
        <v>963459.74731999985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5861887</v>
      </c>
      <c r="H46" s="189" t="s">
        <v>102</v>
      </c>
      <c r="I46" s="215">
        <f>I45/G45</f>
        <v>0.16435999999999998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122"/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304</v>
      </c>
      <c r="B48" s="6" t="s">
        <v>115</v>
      </c>
      <c r="C48" s="567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67">
        <v>14910.12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67">
        <v>3941.62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67">
        <v>4709.0600000000004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24546.22</v>
      </c>
      <c r="D52" s="33"/>
      <c r="F52" s="384" t="s">
        <v>136</v>
      </c>
      <c r="G52" s="384"/>
      <c r="H52" s="212">
        <f>K12</f>
        <v>-244707.23823500014</v>
      </c>
      <c r="I52" s="115">
        <f>I14</f>
        <v>1498102.1160959997</v>
      </c>
      <c r="J52" s="115">
        <f>L12</f>
        <v>-113018.90176500005</v>
      </c>
      <c r="K52" s="115">
        <f>J14</f>
        <v>671174.04390399996</v>
      </c>
      <c r="L52" s="132">
        <f>SUM(H52:K52)</f>
        <v>1811550.0199999996</v>
      </c>
      <c r="M52" s="384"/>
    </row>
    <row r="53" spans="1:21" ht="16.5" thickBot="1">
      <c r="A53" s="384" t="s">
        <v>315</v>
      </c>
      <c r="B53" s="599" t="s">
        <v>316</v>
      </c>
      <c r="C53" s="567">
        <f>10977.39-2603.29</f>
        <v>8374.0999999999985</v>
      </c>
      <c r="D53" s="33"/>
      <c r="F53" s="383" t="s">
        <v>109</v>
      </c>
      <c r="H53" s="212">
        <f>-I45</f>
        <v>-963459.74731999985</v>
      </c>
      <c r="I53" s="115">
        <f>-I32</f>
        <v>-607529.77452999994</v>
      </c>
      <c r="J53" s="115">
        <f>-M43</f>
        <v>-441110.68848000007</v>
      </c>
      <c r="K53" s="115">
        <f>-M28</f>
        <v>-285189.63395999995</v>
      </c>
      <c r="L53" s="260">
        <f>SUM(H53:K53)</f>
        <v>-2297289.8442899995</v>
      </c>
    </row>
    <row r="54" spans="1:21" ht="16.5" thickBot="1">
      <c r="A54" s="381" t="s">
        <v>124</v>
      </c>
      <c r="B54" s="472" t="s">
        <v>296</v>
      </c>
      <c r="C54" s="567">
        <f>-522958.75-2197174.21-1412631.62</f>
        <v>-4132764.58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-485739.8242899999</v>
      </c>
    </row>
    <row r="55" spans="1:21" ht="16.5" thickBot="1">
      <c r="A55" s="383" t="s">
        <v>312</v>
      </c>
      <c r="B55" s="6" t="s">
        <v>190</v>
      </c>
      <c r="C55" s="567">
        <v>-375000</v>
      </c>
      <c r="D55" s="36"/>
      <c r="F55" s="383" t="s">
        <v>71</v>
      </c>
      <c r="H55" s="125">
        <f>IFERROR(H52+H53+H54,0)</f>
        <v>-1208166.9855549999</v>
      </c>
      <c r="I55" s="125">
        <f>I52+I53+I54</f>
        <v>890572.34156599978</v>
      </c>
      <c r="J55" s="125">
        <f>IFERROR(J52+J53+J54,0)</f>
        <v>-554129.59024500009</v>
      </c>
      <c r="K55" s="125">
        <f>K52+K53+K54</f>
        <v>385984.40994400001</v>
      </c>
      <c r="L55" s="47">
        <f>SUM(H55:K55)</f>
        <v>-485739.82429000019</v>
      </c>
    </row>
    <row r="56" spans="1:21" ht="16.5" thickBot="1">
      <c r="A56" s="82" t="s">
        <v>119</v>
      </c>
      <c r="B56" s="84"/>
      <c r="C56" s="160">
        <f>SUM(C43:C55)</f>
        <v>-386327.95000000019</v>
      </c>
      <c r="D56" s="36"/>
      <c r="F56" s="239" t="s">
        <v>181</v>
      </c>
      <c r="H56" s="383" t="s">
        <v>173</v>
      </c>
      <c r="I56" s="5">
        <f>SUM(H55:I55)</f>
        <v>-317594.64398900012</v>
      </c>
      <c r="J56" s="15" t="s">
        <v>174</v>
      </c>
      <c r="K56" s="383">
        <f>SUM(J55:K55)</f>
        <v>-168145.18030100007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67">
        <v>19270.650000000001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67">
        <v>9331.16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-357726.14000000019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1811550.0199999996</v>
      </c>
      <c r="D61" s="36"/>
      <c r="H61" s="348" t="e">
        <f>SUM('WA - Def-Amtz (current)'!AN:AN)+SUM(#REF!)+SUM(#REF!)</f>
        <v>#REF!</v>
      </c>
      <c r="I61" s="448" t="e">
        <f>SUM('WA - Def-Amtz (current)'!AN:AN)+SUM(#REF!)+SUM(#REF!)</f>
        <v>#REF!</v>
      </c>
      <c r="J61" s="383">
        <f>H53+I53+J53+K53</f>
        <v>-2297289.8442899995</v>
      </c>
    </row>
    <row r="62" spans="1:21" ht="15.75">
      <c r="A62" s="2"/>
      <c r="B62" s="9" t="s">
        <v>160</v>
      </c>
      <c r="C62" s="349">
        <v>1811550.02</v>
      </c>
      <c r="D62" s="37"/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S63" s="6"/>
    </row>
    <row r="64" spans="1:21" ht="15.75">
      <c r="A64" s="44"/>
      <c r="C64" s="350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51" priority="7" stopIfTrue="1" operator="equal">
      <formula>0</formula>
    </cfRule>
    <cfRule type="cellIs" dxfId="250" priority="8" stopIfTrue="1" operator="notEqual">
      <formula>0</formula>
    </cfRule>
  </conditionalFormatting>
  <conditionalFormatting sqref="G34 G47 K30 K47">
    <cfRule type="cellIs" dxfId="249" priority="6" operator="notEqual">
      <formula>0</formula>
    </cfRule>
  </conditionalFormatting>
  <conditionalFormatting sqref="C63">
    <cfRule type="cellIs" dxfId="248" priority="4" stopIfTrue="1" operator="equal">
      <formula>0</formula>
    </cfRule>
    <cfRule type="cellIs" dxfId="247" priority="5" stopIfTrue="1" operator="notEqual">
      <formula>0</formula>
    </cfRule>
  </conditionalFormatting>
  <conditionalFormatting sqref="K30">
    <cfRule type="cellIs" dxfId="246" priority="3" operator="notEqual">
      <formula>0</formula>
    </cfRule>
  </conditionalFormatting>
  <conditionalFormatting sqref="G59">
    <cfRule type="cellIs" dxfId="245" priority="2" operator="equal">
      <formula>"ERROR"</formula>
    </cfRule>
  </conditionalFormatting>
  <conditionalFormatting sqref="G59">
    <cfRule type="cellIs" dxfId="244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1">
    <tabColor rgb="FF00CC66"/>
    <pageSetUpPr fitToPage="1"/>
  </sheetPr>
  <dimension ref="A1:U1485"/>
  <sheetViews>
    <sheetView showGridLines="0" topLeftCell="A31" zoomScale="70" zoomScaleNormal="70" workbookViewId="0">
      <selection activeCell="F59" sqref="F59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May!C1+1</f>
        <v>201806</v>
      </c>
      <c r="F1" s="528">
        <f>C1</f>
        <v>201806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59">
        <f>3538040.09-1262.08</f>
        <v>3536778.01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59">
        <f>23990.11</f>
        <v>23990.11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0.6401</v>
      </c>
      <c r="L5" s="444">
        <f>1-K5</f>
        <v>0.3599</v>
      </c>
      <c r="M5" s="384"/>
    </row>
    <row r="6" spans="1:13" ht="16.5" thickBot="1">
      <c r="A6" s="49" t="s">
        <v>30</v>
      </c>
      <c r="C6" s="560">
        <f>-1446530.02-412587-117882-132617.25-76033.89-94965.74</f>
        <v>-2280615.9000000004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1280152.2199999993</v>
      </c>
      <c r="D7" s="35"/>
      <c r="F7" s="166" t="s">
        <v>139</v>
      </c>
      <c r="G7" s="166"/>
      <c r="H7" s="125">
        <f>C34</f>
        <v>2103260.2699999991</v>
      </c>
      <c r="I7" s="167">
        <f>H7*I5</f>
        <v>1452511.5424619995</v>
      </c>
      <c r="J7" s="167">
        <f>H7*J5</f>
        <v>650748.72753799974</v>
      </c>
      <c r="K7" s="167"/>
      <c r="L7" s="167"/>
      <c r="M7" s="384"/>
    </row>
    <row r="8" spans="1:13" ht="15.75">
      <c r="A8" s="383" t="s">
        <v>89</v>
      </c>
      <c r="C8" s="559">
        <v>185334.94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59">
        <f>14381.14+5019.21</f>
        <v>19400.349999999999</v>
      </c>
      <c r="D9" s="36"/>
      <c r="F9" s="166" t="s">
        <v>119</v>
      </c>
      <c r="G9" s="384"/>
      <c r="H9" s="167">
        <f>C56</f>
        <v>-124858.45999999996</v>
      </c>
      <c r="I9" s="167"/>
      <c r="J9" s="167"/>
      <c r="K9" s="167">
        <f>H9*K5</f>
        <v>-79921.900245999976</v>
      </c>
      <c r="L9" s="167">
        <f>H9*L5</f>
        <v>-44936.559753999987</v>
      </c>
      <c r="M9" s="384"/>
    </row>
    <row r="10" spans="1:13" ht="15.75">
      <c r="A10" s="49" t="s">
        <v>91</v>
      </c>
      <c r="C10" s="560">
        <f>-3308.2</f>
        <v>-3308.2</v>
      </c>
      <c r="D10" s="36"/>
      <c r="F10" s="169" t="s">
        <v>44</v>
      </c>
      <c r="G10" s="384"/>
      <c r="H10" s="167">
        <f>C57</f>
        <v>-19480.580000000002</v>
      </c>
      <c r="I10" s="167"/>
      <c r="J10" s="167"/>
      <c r="K10" s="167">
        <f>H10</f>
        <v>-19480.580000000002</v>
      </c>
      <c r="L10" s="167"/>
      <c r="M10" s="384"/>
    </row>
    <row r="11" spans="1:13">
      <c r="A11" s="66" t="s">
        <v>145</v>
      </c>
      <c r="C11" s="100">
        <f>SUM(C8:C10)</f>
        <v>201427.09</v>
      </c>
      <c r="D11" s="36"/>
      <c r="F11" s="169" t="s">
        <v>45</v>
      </c>
      <c r="G11" s="384"/>
      <c r="H11" s="170">
        <f>C58</f>
        <v>-11858.25</v>
      </c>
      <c r="I11" s="167"/>
      <c r="J11" s="167"/>
      <c r="K11" s="170"/>
      <c r="L11" s="170">
        <f>H11</f>
        <v>-11858.25</v>
      </c>
      <c r="M11" s="384"/>
    </row>
    <row r="12" spans="1:13" ht="15.75">
      <c r="A12" s="383" t="s">
        <v>165</v>
      </c>
      <c r="C12" s="559">
        <f>187826.29-5091.08</f>
        <v>182735.21000000002</v>
      </c>
      <c r="D12" s="36"/>
      <c r="F12" s="169" t="s">
        <v>138</v>
      </c>
      <c r="G12" s="384"/>
      <c r="H12" s="167">
        <f>H9+H10+H11</f>
        <v>-156197.28999999998</v>
      </c>
      <c r="I12" s="167"/>
      <c r="J12" s="167"/>
      <c r="K12" s="167">
        <f>SUM(K9:K11)</f>
        <v>-99402.480245999977</v>
      </c>
      <c r="L12" s="167">
        <f>SUM(L9:L11)</f>
        <v>-56794.809753999987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182735.21000000002</v>
      </c>
      <c r="D14" s="37"/>
      <c r="F14" s="50" t="s">
        <v>69</v>
      </c>
      <c r="G14" s="175"/>
      <c r="H14" s="125">
        <f>H12+H7</f>
        <v>1947062.9799999991</v>
      </c>
      <c r="I14" s="176">
        <f>SUM(I7:I13)</f>
        <v>1452511.5424619995</v>
      </c>
      <c r="J14" s="176">
        <f>SUM(J7:J13)</f>
        <v>650748.72753799974</v>
      </c>
      <c r="K14" s="176">
        <f>K12</f>
        <v>-99402.480245999977</v>
      </c>
      <c r="L14" s="176">
        <f>L12</f>
        <v>-56794.809753999987</v>
      </c>
      <c r="M14" s="384"/>
    </row>
    <row r="15" spans="1:13" ht="15.75">
      <c r="A15" s="383" t="s">
        <v>183</v>
      </c>
      <c r="C15" s="559">
        <f>392596.66-10641.46</f>
        <v>381955.19999999995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381955.19999999995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59">
        <f>80079.73-2449.22+9889.1</f>
        <v>87519.61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3" ht="15.75">
      <c r="A19" s="46" t="s">
        <v>164</v>
      </c>
      <c r="C19" s="560">
        <f>-5833.31</f>
        <v>-5833.31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81686.3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0">
        <f>2475.54+1850</f>
        <v>4325.54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4325.54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1">
        <v>2630854</v>
      </c>
      <c r="H23" s="624">
        <v>0.10743999999999999</v>
      </c>
      <c r="I23" s="196">
        <f>G23*H23</f>
        <v>282658.95376</v>
      </c>
      <c r="J23" s="200" t="s">
        <v>37</v>
      </c>
      <c r="K23" s="561">
        <v>1425082</v>
      </c>
      <c r="L23" s="624">
        <v>0.10496999999999999</v>
      </c>
      <c r="M23" s="196">
        <f>K23*L23</f>
        <v>149590.85754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1">
        <v>2604</v>
      </c>
      <c r="H24" s="624">
        <v>0.10743999999999999</v>
      </c>
      <c r="I24" s="196">
        <f t="shared" ref="I24:I31" si="0">G24*H24</f>
        <v>279.77375999999998</v>
      </c>
      <c r="J24" s="200" t="s">
        <v>38</v>
      </c>
      <c r="K24" s="561">
        <v>1286771</v>
      </c>
      <c r="L24" s="624">
        <v>0.10496999999999999</v>
      </c>
      <c r="M24" s="196">
        <f t="shared" ref="M24:M27" si="1">K24*L24</f>
        <v>135072.35186999998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1">
        <v>1922676</v>
      </c>
      <c r="H25" s="624">
        <v>9.8650000000000002E-2</v>
      </c>
      <c r="I25" s="196">
        <f t="shared" si="0"/>
        <v>189671.98740000001</v>
      </c>
      <c r="J25" s="200" t="s">
        <v>39</v>
      </c>
      <c r="K25" s="561">
        <v>77211</v>
      </c>
      <c r="L25" s="624">
        <v>0.10496999999999999</v>
      </c>
      <c r="M25" s="196">
        <f t="shared" si="1"/>
        <v>8104.8386699999992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1">
        <v>6600</v>
      </c>
      <c r="H26" s="624">
        <v>9.8650000000000002E-2</v>
      </c>
      <c r="I26" s="196">
        <f t="shared" si="0"/>
        <v>651.09</v>
      </c>
      <c r="J26" s="200" t="s">
        <v>40</v>
      </c>
      <c r="K26" s="561">
        <v>0</v>
      </c>
      <c r="L26" s="624">
        <v>0.10496999999999999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1">
        <v>318982</v>
      </c>
      <c r="H27" s="624">
        <v>0.10433000000000001</v>
      </c>
      <c r="I27" s="196">
        <f t="shared" si="0"/>
        <v>33279.392059999998</v>
      </c>
      <c r="J27" s="200" t="s">
        <v>41</v>
      </c>
      <c r="K27" s="561">
        <v>0</v>
      </c>
      <c r="L27" s="624">
        <v>0.10496999999999999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1">
        <v>31254</v>
      </c>
      <c r="H28" s="624">
        <v>0.10433000000000001</v>
      </c>
      <c r="I28" s="196">
        <f t="shared" si="0"/>
        <v>3260.72982</v>
      </c>
      <c r="J28" s="199" t="s">
        <v>127</v>
      </c>
      <c r="K28" s="181">
        <f>SUM(K23:K27)</f>
        <v>2789064</v>
      </c>
      <c r="L28" s="182"/>
      <c r="M28" s="197">
        <f>SUM(M23:M27)</f>
        <v>292768.04808000004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1">
        <v>0</v>
      </c>
      <c r="H29" s="624">
        <v>6.2480000000000001E-2</v>
      </c>
      <c r="I29" s="196">
        <f t="shared" si="0"/>
        <v>0</v>
      </c>
      <c r="J29" s="199"/>
      <c r="K29" s="231">
        <v>2789064</v>
      </c>
      <c r="L29" s="187" t="s">
        <v>102</v>
      </c>
      <c r="M29" s="464">
        <f>M28/K28</f>
        <v>0.10497000000000001</v>
      </c>
    </row>
    <row r="30" spans="1:13" ht="16.5" thickBot="1">
      <c r="A30" s="2" t="s">
        <v>111</v>
      </c>
      <c r="C30" s="125">
        <f>C7+C11+C14+C17+C20+C22+C27+C28+C29</f>
        <v>2132281.5599999991</v>
      </c>
      <c r="D30" s="37"/>
      <c r="F30" s="200" t="s">
        <v>43</v>
      </c>
      <c r="G30" s="561">
        <v>47470</v>
      </c>
      <c r="H30" s="624">
        <v>6.2480000000000001E-2</v>
      </c>
      <c r="I30" s="196">
        <f t="shared" si="0"/>
        <v>2965.9256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v>8535.86</v>
      </c>
      <c r="D31" s="39"/>
      <c r="F31" s="200" t="s">
        <v>74</v>
      </c>
      <c r="G31" s="561">
        <v>2373589</v>
      </c>
      <c r="H31" s="624">
        <v>5.4000000000000001E-4</v>
      </c>
      <c r="I31" s="196">
        <f t="shared" si="0"/>
        <v>1281.7380599999999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2140817.419999999</v>
      </c>
      <c r="D32" s="40"/>
      <c r="F32" s="199" t="s">
        <v>127</v>
      </c>
      <c r="G32" s="181">
        <f>SUM(G23:G31)</f>
        <v>7334029</v>
      </c>
      <c r="H32" s="7"/>
      <c r="I32" s="197">
        <f>SUM(I23:I31)</f>
        <v>514049.59046000009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310">
        <f>-C5-C9-C13-C16-C19</f>
        <v>-37557.15</v>
      </c>
      <c r="D33" s="36"/>
      <c r="F33" s="186"/>
      <c r="G33" s="231">
        <v>7334029</v>
      </c>
      <c r="H33" s="187" t="s">
        <v>102</v>
      </c>
      <c r="I33" s="216">
        <f>I32/G32</f>
        <v>7.0091022337108302E-2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2103260.2699999991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0">
        <f>K23</f>
        <v>1425082</v>
      </c>
      <c r="L36" s="624">
        <v>0.16236</v>
      </c>
      <c r="M36" s="196">
        <f t="shared" ref="M36:M42" si="2">K36*L36</f>
        <v>231376.31352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5113166.41</v>
      </c>
      <c r="D37" s="36"/>
      <c r="F37" s="200" t="s">
        <v>37</v>
      </c>
      <c r="G37" s="580">
        <f>G23</f>
        <v>2630854</v>
      </c>
      <c r="H37" s="624">
        <v>0.16436000000000001</v>
      </c>
      <c r="I37" s="196">
        <f t="shared" ref="I37:I44" si="3">G37*H37</f>
        <v>432407.16344000003</v>
      </c>
      <c r="J37" s="200" t="s">
        <v>38</v>
      </c>
      <c r="K37" s="580">
        <f>K24</f>
        <v>1286771</v>
      </c>
      <c r="L37" s="624">
        <v>0.16236</v>
      </c>
      <c r="M37" s="196">
        <f t="shared" si="2"/>
        <v>208920.13956000001</v>
      </c>
      <c r="P37" s="272"/>
      <c r="Q37" s="272"/>
    </row>
    <row r="38" spans="1:17" ht="15.75">
      <c r="A38" s="144" t="s">
        <v>14</v>
      </c>
      <c r="B38" s="531" t="s">
        <v>115</v>
      </c>
      <c r="C38" s="122">
        <v>0</v>
      </c>
      <c r="D38" s="36"/>
      <c r="F38" s="200" t="s">
        <v>305</v>
      </c>
      <c r="G38" s="580">
        <f>G24</f>
        <v>2604</v>
      </c>
      <c r="H38" s="624">
        <v>0.16436000000000001</v>
      </c>
      <c r="I38" s="196">
        <f t="shared" si="3"/>
        <v>427.99344000000002</v>
      </c>
      <c r="J38" s="200" t="s">
        <v>39</v>
      </c>
      <c r="K38" s="580">
        <f>K25</f>
        <v>77211</v>
      </c>
      <c r="L38" s="624">
        <v>0.16236</v>
      </c>
      <c r="M38" s="196">
        <f t="shared" si="2"/>
        <v>12535.97796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-81263.929999999993</v>
      </c>
      <c r="D39" s="36"/>
      <c r="F39" s="200" t="s">
        <v>38</v>
      </c>
      <c r="G39" s="580">
        <f t="shared" ref="G39:G44" si="4">G25</f>
        <v>1922676</v>
      </c>
      <c r="H39" s="624">
        <v>0.16436000000000001</v>
      </c>
      <c r="I39" s="196">
        <f t="shared" si="3"/>
        <v>316011.02736000001</v>
      </c>
      <c r="J39" s="200" t="s">
        <v>40</v>
      </c>
      <c r="K39" s="580">
        <f>K26</f>
        <v>0</v>
      </c>
      <c r="L39" s="624">
        <v>0.16236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1484422.08</v>
      </c>
      <c r="D40" s="36"/>
      <c r="F40" s="200" t="s">
        <v>39</v>
      </c>
      <c r="G40" s="580">
        <f t="shared" si="4"/>
        <v>6600</v>
      </c>
      <c r="H40" s="624">
        <v>0.16436000000000001</v>
      </c>
      <c r="I40" s="196">
        <f t="shared" si="3"/>
        <v>1084.7760000000001</v>
      </c>
      <c r="J40" s="200" t="s">
        <v>41</v>
      </c>
      <c r="K40" s="580">
        <f>K27</f>
        <v>0</v>
      </c>
      <c r="L40" s="624">
        <v>0.16236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-4939.8</v>
      </c>
      <c r="D41" s="36"/>
      <c r="F41" s="200" t="s">
        <v>40</v>
      </c>
      <c r="G41" s="580">
        <f t="shared" si="4"/>
        <v>318982</v>
      </c>
      <c r="H41" s="624">
        <v>0.16436000000000001</v>
      </c>
      <c r="I41" s="196">
        <f t="shared" si="3"/>
        <v>52427.881520000003</v>
      </c>
      <c r="J41" s="200" t="s">
        <v>42</v>
      </c>
      <c r="K41" s="561">
        <v>0</v>
      </c>
      <c r="L41" s="624">
        <v>0.16236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545518.42000000004</v>
      </c>
      <c r="D42" s="37"/>
      <c r="F42" s="200" t="s">
        <v>41</v>
      </c>
      <c r="G42" s="580">
        <f t="shared" si="4"/>
        <v>31254</v>
      </c>
      <c r="H42" s="624">
        <v>0.16436000000000001</v>
      </c>
      <c r="I42" s="196">
        <f t="shared" si="3"/>
        <v>5136.90744</v>
      </c>
      <c r="J42" s="200" t="s">
        <v>43</v>
      </c>
      <c r="K42" s="581">
        <v>0</v>
      </c>
      <c r="L42" s="624">
        <v>0.16236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7056903.1800000006</v>
      </c>
      <c r="D43" s="36"/>
      <c r="F43" s="200" t="s">
        <v>42</v>
      </c>
      <c r="G43" s="580">
        <f t="shared" si="4"/>
        <v>0</v>
      </c>
      <c r="H43" s="624">
        <v>0.16436000000000001</v>
      </c>
      <c r="I43" s="196">
        <f t="shared" si="3"/>
        <v>0</v>
      </c>
      <c r="J43" s="199" t="s">
        <v>133</v>
      </c>
      <c r="K43" s="181">
        <f>SUM(K36:K42)</f>
        <v>2789064</v>
      </c>
      <c r="L43" s="182"/>
      <c r="M43" s="197">
        <f>SUM(M36:M42)</f>
        <v>452832.43104</v>
      </c>
    </row>
    <row r="44" spans="1:17" ht="16.5" thickBot="1">
      <c r="A44" s="83" t="s">
        <v>177</v>
      </c>
      <c r="B44" s="84" t="s">
        <v>120</v>
      </c>
      <c r="C44" s="559">
        <f>-3021098.32+3459.1+137916.56</f>
        <v>-2879722.6599999997</v>
      </c>
      <c r="D44" s="37"/>
      <c r="F44" s="200" t="s">
        <v>43</v>
      </c>
      <c r="G44" s="580">
        <f t="shared" si="4"/>
        <v>47470</v>
      </c>
      <c r="H44" s="624">
        <v>0.16436000000000001</v>
      </c>
      <c r="I44" s="196">
        <f t="shared" si="3"/>
        <v>7802.1692000000003</v>
      </c>
      <c r="J44" s="194"/>
      <c r="K44" s="232">
        <v>2789064</v>
      </c>
      <c r="L44" s="189" t="s">
        <v>102</v>
      </c>
      <c r="M44" s="217">
        <f>M43/K43</f>
        <v>0.16236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4960440</v>
      </c>
      <c r="H45" s="182"/>
      <c r="I45" s="197">
        <f>SUM(I37:I44)</f>
        <v>815297.91840000008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4960440</v>
      </c>
      <c r="H46" s="189" t="s">
        <v>102</v>
      </c>
      <c r="I46" s="215">
        <f>I45/G45</f>
        <v>0.16436000000000001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559">
        <v>-246.95</v>
      </c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15563.33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3456.35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3560.56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169" t="s">
        <v>118</v>
      </c>
      <c r="B52" s="601"/>
      <c r="C52" s="100">
        <f>-C33</f>
        <v>37557.15</v>
      </c>
      <c r="D52" s="33"/>
      <c r="F52" s="384" t="s">
        <v>136</v>
      </c>
      <c r="G52" s="384"/>
      <c r="H52" s="212">
        <f>K12</f>
        <v>-99402.480245999977</v>
      </c>
      <c r="I52" s="115">
        <f>I14</f>
        <v>1452511.5424619995</v>
      </c>
      <c r="J52" s="115">
        <f>L12</f>
        <v>-56794.809753999987</v>
      </c>
      <c r="K52" s="115">
        <f>J14</f>
        <v>650748.72753799974</v>
      </c>
      <c r="L52" s="132">
        <f>SUM(H52:K52)</f>
        <v>1947062.9799999991</v>
      </c>
      <c r="M52" s="384"/>
    </row>
    <row r="53" spans="1:21" ht="16.5" thickBot="1">
      <c r="A53" s="384" t="s">
        <v>315</v>
      </c>
      <c r="B53" s="600" t="s">
        <v>316</v>
      </c>
      <c r="C53" s="559">
        <v>11783.67</v>
      </c>
      <c r="D53" s="33"/>
      <c r="F53" s="383" t="s">
        <v>109</v>
      </c>
      <c r="H53" s="212">
        <f>-I45</f>
        <v>-815297.91840000008</v>
      </c>
      <c r="I53" s="115">
        <f>-I32</f>
        <v>-514049.59046000009</v>
      </c>
      <c r="J53" s="115">
        <f>-M43</f>
        <v>-452832.43104</v>
      </c>
      <c r="K53" s="115">
        <f>-M28</f>
        <v>-292768.04808000004</v>
      </c>
      <c r="L53" s="260">
        <f>SUM(H53:K53)</f>
        <v>-2074947.9879800002</v>
      </c>
    </row>
    <row r="54" spans="1:21" ht="16.5" thickBot="1">
      <c r="A54" s="381" t="s">
        <v>124</v>
      </c>
      <c r="B54" s="472" t="s">
        <v>296</v>
      </c>
      <c r="C54" s="559">
        <f>-758355.75-1731991.72-1515365.62</f>
        <v>-4005713.09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-127885.00798000116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-914700.39864600007</v>
      </c>
      <c r="I55" s="125">
        <f>I52+I53+I54</f>
        <v>938461.95200199937</v>
      </c>
      <c r="J55" s="125">
        <f>IFERROR(J52+J53+J54,0)</f>
        <v>-509627.24079399998</v>
      </c>
      <c r="K55" s="125">
        <f>K52+K53+K54</f>
        <v>357980.67945799971</v>
      </c>
      <c r="L55" s="47">
        <f>SUM(H55:K55)</f>
        <v>-127885.00798000098</v>
      </c>
    </row>
    <row r="56" spans="1:21" ht="16.5" thickBot="1">
      <c r="A56" s="82" t="s">
        <v>119</v>
      </c>
      <c r="B56" s="84"/>
      <c r="C56" s="160">
        <f>SUM(C43:C55)</f>
        <v>-124858.45999999996</v>
      </c>
      <c r="D56" s="36"/>
      <c r="F56" s="239" t="s">
        <v>181</v>
      </c>
      <c r="H56" s="383" t="s">
        <v>173</v>
      </c>
      <c r="I56" s="5">
        <f>SUM(H55:I55)</f>
        <v>23761.553355999291</v>
      </c>
      <c r="J56" s="15" t="s">
        <v>174</v>
      </c>
      <c r="K56" s="383">
        <f>SUM(J55:K55)</f>
        <v>-151646.56133600028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-19480.580000000002</v>
      </c>
      <c r="D57" s="36"/>
      <c r="F57" s="396"/>
      <c r="H57" s="96"/>
    </row>
    <row r="58" spans="1:21" ht="16.5" thickBot="1">
      <c r="A58" s="383" t="s">
        <v>122</v>
      </c>
      <c r="B58" s="6" t="s">
        <v>115</v>
      </c>
      <c r="C58" s="559">
        <v>-11858.25</v>
      </c>
      <c r="D58" s="36"/>
      <c r="F58" s="396"/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-156197.28999999998</v>
      </c>
      <c r="D59" s="36"/>
      <c r="F59" s="542"/>
      <c r="G59" s="543" t="str">
        <f>IF(OR(AND(I56&gt;0,K56&gt;0),AND(I56&lt;0,K56&lt;0)),"OK","ERROR")</f>
        <v>ERROR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1947062.9799999991</v>
      </c>
      <c r="D61" s="36"/>
      <c r="H61" s="348" t="e">
        <f>SUM('WA - Def-Amtz (current)'!AN5:AN41)+SUM(#REF!)+SUM(#REF!)</f>
        <v>#REF!</v>
      </c>
      <c r="I61" s="448" t="e">
        <f>SUM('WA - Def-Amtz (current)'!AO5:AO40)+SUM(#REF!)+SUM(#REF!)</f>
        <v>#REF!</v>
      </c>
      <c r="J61" s="383">
        <f>H53+I53+J53+K53</f>
        <v>-2074947.9879800002</v>
      </c>
    </row>
    <row r="62" spans="1:21" ht="15.75">
      <c r="A62" s="2"/>
      <c r="B62" s="9" t="s">
        <v>160</v>
      </c>
      <c r="C62" s="607">
        <v>1947062.98</v>
      </c>
      <c r="D62" s="37"/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S63" s="6"/>
    </row>
    <row r="64" spans="1:21" ht="15.75">
      <c r="A64" s="44"/>
      <c r="C64" s="350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43" priority="7" stopIfTrue="1" operator="equal">
      <formula>0</formula>
    </cfRule>
    <cfRule type="cellIs" dxfId="242" priority="8" stopIfTrue="1" operator="notEqual">
      <formula>0</formula>
    </cfRule>
  </conditionalFormatting>
  <conditionalFormatting sqref="G34 G47 K30 K47">
    <cfRule type="cellIs" dxfId="241" priority="6" operator="notEqual">
      <formula>0</formula>
    </cfRule>
  </conditionalFormatting>
  <conditionalFormatting sqref="C63">
    <cfRule type="cellIs" dxfId="240" priority="4" stopIfTrue="1" operator="equal">
      <formula>0</formula>
    </cfRule>
    <cfRule type="cellIs" dxfId="239" priority="5" stopIfTrue="1" operator="notEqual">
      <formula>0</formula>
    </cfRule>
  </conditionalFormatting>
  <conditionalFormatting sqref="K30">
    <cfRule type="cellIs" dxfId="238" priority="3" operator="notEqual">
      <formula>0</formula>
    </cfRule>
  </conditionalFormatting>
  <conditionalFormatting sqref="G59">
    <cfRule type="cellIs" dxfId="237" priority="2" operator="equal">
      <formula>"ERROR"</formula>
    </cfRule>
  </conditionalFormatting>
  <conditionalFormatting sqref="G59">
    <cfRule type="cellIs" dxfId="236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2">
    <tabColor rgb="FF00CC66"/>
    <pageSetUpPr fitToPage="1"/>
  </sheetPr>
  <dimension ref="A1:U1485"/>
  <sheetViews>
    <sheetView showGridLines="0" topLeftCell="A25" zoomScale="70" zoomScaleNormal="70" workbookViewId="0">
      <selection activeCell="C75" sqref="C75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Jun!C1+1</f>
        <v>201807</v>
      </c>
      <c r="F1" s="528">
        <f>C1</f>
        <v>201807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59">
        <f>4598122.63</f>
        <v>4598122.63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59">
        <f>44463.08-6.51</f>
        <v>44456.57</v>
      </c>
      <c r="D5" s="34"/>
      <c r="F5" s="384"/>
      <c r="G5" s="384"/>
      <c r="H5" s="11"/>
      <c r="I5" s="591">
        <v>0.70530000000000004</v>
      </c>
      <c r="J5" s="591">
        <v>0.29470000000000002</v>
      </c>
      <c r="K5" s="444">
        <f>ROUND(G45/(G45+K43),4)</f>
        <v>0.65149999999999997</v>
      </c>
      <c r="L5" s="444">
        <f>1-K5</f>
        <v>0.34850000000000003</v>
      </c>
      <c r="M5" s="384"/>
    </row>
    <row r="6" spans="1:13" ht="16.5" thickBot="1">
      <c r="A6" s="49" t="s">
        <v>30</v>
      </c>
      <c r="C6" s="560">
        <f>-2343063.08-444850-127100-142987.5-81979.5-102391.76</f>
        <v>-3242371.84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1400207.3600000003</v>
      </c>
      <c r="D7" s="35"/>
      <c r="F7" s="166" t="s">
        <v>139</v>
      </c>
      <c r="G7" s="166"/>
      <c r="H7" s="125">
        <f>C34</f>
        <v>2278810.6300000004</v>
      </c>
      <c r="I7" s="167">
        <f>H7*I5</f>
        <v>1607245.1373390004</v>
      </c>
      <c r="J7" s="167">
        <f>H7*J5</f>
        <v>671565.49266100011</v>
      </c>
      <c r="K7" s="167"/>
      <c r="L7" s="167"/>
      <c r="M7" s="384"/>
    </row>
    <row r="8" spans="1:13" ht="15.75">
      <c r="A8" s="383" t="s">
        <v>89</v>
      </c>
      <c r="C8" s="559">
        <f>191512.75</f>
        <v>191512.75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59">
        <f>6176.25</f>
        <v>6176.25</v>
      </c>
      <c r="D9" s="36"/>
      <c r="F9" s="166" t="s">
        <v>119</v>
      </c>
      <c r="G9" s="384"/>
      <c r="H9" s="167">
        <f>C56</f>
        <v>-1976290.3600000013</v>
      </c>
      <c r="I9" s="167"/>
      <c r="J9" s="167"/>
      <c r="K9" s="167">
        <f>H9*K5</f>
        <v>-1287553.1695400008</v>
      </c>
      <c r="L9" s="167">
        <f>H9*L5</f>
        <v>-688737.19046000054</v>
      </c>
      <c r="M9" s="384"/>
    </row>
    <row r="10" spans="1:13" ht="15.75">
      <c r="A10" s="49" t="s">
        <v>91</v>
      </c>
      <c r="C10" s="560">
        <f>-3418.47</f>
        <v>-3418.47</v>
      </c>
      <c r="D10" s="36"/>
      <c r="F10" s="169" t="s">
        <v>44</v>
      </c>
      <c r="G10" s="384"/>
      <c r="H10" s="167">
        <f>C57</f>
        <v>1710.99</v>
      </c>
      <c r="I10" s="167"/>
      <c r="J10" s="167"/>
      <c r="K10" s="167">
        <f>H10</f>
        <v>1710.99</v>
      </c>
      <c r="L10" s="167"/>
      <c r="M10" s="384"/>
    </row>
    <row r="11" spans="1:13">
      <c r="A11" s="66" t="s">
        <v>145</v>
      </c>
      <c r="C11" s="100">
        <f>SUM(C8:C10)</f>
        <v>194270.53</v>
      </c>
      <c r="D11" s="36"/>
      <c r="F11" s="169" t="s">
        <v>45</v>
      </c>
      <c r="G11" s="384"/>
      <c r="H11" s="170">
        <f>C58</f>
        <v>465.53</v>
      </c>
      <c r="I11" s="167"/>
      <c r="J11" s="167"/>
      <c r="K11" s="170"/>
      <c r="L11" s="170">
        <f>H11</f>
        <v>465.53</v>
      </c>
      <c r="M11" s="384"/>
    </row>
    <row r="12" spans="1:13" ht="15.75">
      <c r="A12" s="383" t="s">
        <v>165</v>
      </c>
      <c r="C12" s="559">
        <f>190672.32+5805.69</f>
        <v>196478.01</v>
      </c>
      <c r="D12" s="36"/>
      <c r="F12" s="169" t="s">
        <v>138</v>
      </c>
      <c r="G12" s="384"/>
      <c r="H12" s="167">
        <f>H9+H10+H11</f>
        <v>-1974113.8400000012</v>
      </c>
      <c r="I12" s="167"/>
      <c r="J12" s="167"/>
      <c r="K12" s="167">
        <f>SUM(K9:K11)</f>
        <v>-1285842.1795400009</v>
      </c>
      <c r="L12" s="167">
        <f>SUM(L9:L11)</f>
        <v>-688271.66046000051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196478.01</v>
      </c>
      <c r="D14" s="37"/>
      <c r="F14" s="50" t="s">
        <v>69</v>
      </c>
      <c r="G14" s="175"/>
      <c r="H14" s="125">
        <f>H12+H7</f>
        <v>304696.78999999911</v>
      </c>
      <c r="I14" s="176">
        <f>SUM(I7:I13)</f>
        <v>1607245.1373390004</v>
      </c>
      <c r="J14" s="176">
        <f>SUM(J7:J13)</f>
        <v>671565.49266100011</v>
      </c>
      <c r="K14" s="176">
        <f>K12</f>
        <v>-1285842.1795400009</v>
      </c>
      <c r="L14" s="176">
        <f>L12</f>
        <v>-688271.66046000051</v>
      </c>
      <c r="M14" s="384"/>
    </row>
    <row r="15" spans="1:13" ht="15.75">
      <c r="A15" s="383" t="s">
        <v>183</v>
      </c>
      <c r="C15" s="559">
        <f>445538.71+13565.99</f>
        <v>459104.7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459104.7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59">
        <f>2285.45+64812.3+10435.1</f>
        <v>77532.850000000006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3" ht="15.75">
      <c r="A19" s="46" t="s">
        <v>164</v>
      </c>
      <c r="C19" s="560">
        <f>-7861.34</f>
        <v>-7861.34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69671.510000000009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0">
        <f>1850</f>
        <v>1850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1850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1">
        <v>2070483</v>
      </c>
      <c r="H23" s="594">
        <v>0.12678</v>
      </c>
      <c r="I23" s="196">
        <f t="shared" ref="I23:I31" si="0">G23*H23</f>
        <v>262495.83474000002</v>
      </c>
      <c r="J23" s="200" t="s">
        <v>37</v>
      </c>
      <c r="K23" s="561">
        <v>1087844</v>
      </c>
      <c r="L23" s="594">
        <v>0.11330999999999999</v>
      </c>
      <c r="M23" s="196">
        <f>K23*L23</f>
        <v>123263.60363999999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1">
        <v>2296</v>
      </c>
      <c r="H24" s="594">
        <v>0.12678</v>
      </c>
      <c r="I24" s="196">
        <f t="shared" si="0"/>
        <v>291.08688000000001</v>
      </c>
      <c r="J24" s="200" t="s">
        <v>38</v>
      </c>
      <c r="K24" s="561">
        <v>931171</v>
      </c>
      <c r="L24" s="594">
        <v>0.11330999999999999</v>
      </c>
      <c r="M24" s="196">
        <f t="shared" ref="M24:M27" si="1">K24*L24</f>
        <v>105510.98600999999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1">
        <v>1446879</v>
      </c>
      <c r="H25" s="594">
        <v>0.11865000000000001</v>
      </c>
      <c r="I25" s="196">
        <f t="shared" si="0"/>
        <v>171672.19335000002</v>
      </c>
      <c r="J25" s="200" t="s">
        <v>39</v>
      </c>
      <c r="K25" s="561">
        <v>70834</v>
      </c>
      <c r="L25" s="594">
        <v>0.11330999999999999</v>
      </c>
      <c r="M25" s="196">
        <f t="shared" si="1"/>
        <v>8026.2005399999998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1">
        <v>0</v>
      </c>
      <c r="H26" s="594">
        <v>0.11865000000000001</v>
      </c>
      <c r="I26" s="196">
        <f t="shared" si="0"/>
        <v>0</v>
      </c>
      <c r="J26" s="200" t="s">
        <v>40</v>
      </c>
      <c r="K26" s="561">
        <v>0</v>
      </c>
      <c r="L26" s="594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1">
        <v>274504</v>
      </c>
      <c r="H27" s="594">
        <v>0.11541</v>
      </c>
      <c r="I27" s="196">
        <f t="shared" si="0"/>
        <v>31680.50664</v>
      </c>
      <c r="J27" s="200" t="s">
        <v>41</v>
      </c>
      <c r="K27" s="561">
        <v>0</v>
      </c>
      <c r="L27" s="594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1">
        <v>44343</v>
      </c>
      <c r="H28" s="594">
        <v>0.11541</v>
      </c>
      <c r="I28" s="196">
        <f t="shared" si="0"/>
        <v>5117.6256299999995</v>
      </c>
      <c r="J28" s="199" t="s">
        <v>127</v>
      </c>
      <c r="K28" s="181">
        <f>SUM(K23:K27)</f>
        <v>2089849</v>
      </c>
      <c r="L28" s="182"/>
      <c r="M28" s="197">
        <f>SUM(M23:M27)</f>
        <v>236800.79018999997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1">
        <v>0</v>
      </c>
      <c r="H29" s="594">
        <v>7.4310000000000001E-2</v>
      </c>
      <c r="I29" s="196">
        <f t="shared" si="0"/>
        <v>0</v>
      </c>
      <c r="J29" s="199"/>
      <c r="K29" s="231">
        <v>2089849</v>
      </c>
      <c r="L29" s="187" t="s">
        <v>102</v>
      </c>
      <c r="M29" s="464">
        <f>M28/K28</f>
        <v>0.11330999999999998</v>
      </c>
    </row>
    <row r="30" spans="1:13" ht="16.5" thickBot="1">
      <c r="A30" s="2" t="s">
        <v>111</v>
      </c>
      <c r="C30" s="125">
        <f>C7+C11+C14+C17+C20+C22+C27+C28+C29</f>
        <v>2321582.1100000003</v>
      </c>
      <c r="D30" s="37"/>
      <c r="F30" s="200" t="s">
        <v>43</v>
      </c>
      <c r="G30" s="561">
        <v>67673</v>
      </c>
      <c r="H30" s="594">
        <v>7.4310000000000001E-2</v>
      </c>
      <c r="I30" s="196">
        <f t="shared" si="0"/>
        <v>5028.7806300000002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v>0</v>
      </c>
      <c r="D31" s="39"/>
      <c r="F31" s="200" t="s">
        <v>74</v>
      </c>
      <c r="G31" s="561">
        <v>2144434</v>
      </c>
      <c r="H31" s="594">
        <v>5.4000000000000001E-4</v>
      </c>
      <c r="I31" s="196">
        <f t="shared" si="0"/>
        <v>1157.9943599999999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2321582.1100000003</v>
      </c>
      <c r="D32" s="40"/>
      <c r="F32" s="199" t="s">
        <v>127</v>
      </c>
      <c r="G32" s="181">
        <f>SUM(G23:G31)</f>
        <v>6050612</v>
      </c>
      <c r="H32" s="7"/>
      <c r="I32" s="197">
        <f>SUM(I23:I31)</f>
        <v>477444.02223000006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310">
        <f>-C5-C9-C13-C16-C19</f>
        <v>-42771.479999999996</v>
      </c>
      <c r="D33" s="36"/>
      <c r="F33" s="186"/>
      <c r="G33" s="231">
        <v>6050612</v>
      </c>
      <c r="H33" s="187" t="s">
        <v>102</v>
      </c>
      <c r="I33" s="216">
        <f>I32/G32</f>
        <v>7.8908385173268439E-2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2278810.6300000004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0">
        <f>K23</f>
        <v>1087844</v>
      </c>
      <c r="L36" s="594">
        <v>0.23895</v>
      </c>
      <c r="M36" s="196">
        <f t="shared" ref="M36:M42" si="2">K36*L36</f>
        <v>259940.32379999998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8310205.4500000002</v>
      </c>
      <c r="D37" s="36"/>
      <c r="F37" s="200" t="s">
        <v>37</v>
      </c>
      <c r="G37" s="580">
        <f>G23</f>
        <v>2070483</v>
      </c>
      <c r="H37" s="594">
        <v>0.23860000000000001</v>
      </c>
      <c r="I37" s="196">
        <f t="shared" ref="I37:I44" si="3">G37*H37</f>
        <v>494017.2438</v>
      </c>
      <c r="J37" s="200" t="s">
        <v>38</v>
      </c>
      <c r="K37" s="580">
        <f>K24</f>
        <v>931171</v>
      </c>
      <c r="L37" s="594">
        <v>0.23895</v>
      </c>
      <c r="M37" s="196">
        <f t="shared" si="2"/>
        <v>222503.31044999999</v>
      </c>
      <c r="P37" s="272"/>
      <c r="Q37" s="272"/>
    </row>
    <row r="38" spans="1:17" ht="15.75">
      <c r="A38" s="144" t="s">
        <v>14</v>
      </c>
      <c r="B38" s="531" t="s">
        <v>115</v>
      </c>
      <c r="C38" s="122">
        <v>0</v>
      </c>
      <c r="D38" s="36"/>
      <c r="F38" s="200" t="s">
        <v>305</v>
      </c>
      <c r="G38" s="580">
        <f>G24</f>
        <v>2296</v>
      </c>
      <c r="H38" s="594">
        <v>0.23860000000000001</v>
      </c>
      <c r="I38" s="196">
        <f t="shared" si="3"/>
        <v>547.82560000000001</v>
      </c>
      <c r="J38" s="200" t="s">
        <v>39</v>
      </c>
      <c r="K38" s="580">
        <f>K25</f>
        <v>70834</v>
      </c>
      <c r="L38" s="594">
        <v>0.23895</v>
      </c>
      <c r="M38" s="196">
        <f t="shared" si="2"/>
        <v>16925.784299999999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-1156.3399999999999</v>
      </c>
      <c r="D39" s="36"/>
      <c r="F39" s="200" t="s">
        <v>38</v>
      </c>
      <c r="G39" s="580">
        <f t="shared" ref="G39:G44" si="4">G25</f>
        <v>1446879</v>
      </c>
      <c r="H39" s="594">
        <v>0.23860000000000001</v>
      </c>
      <c r="I39" s="196">
        <f t="shared" si="3"/>
        <v>345225.32939999999</v>
      </c>
      <c r="J39" s="200" t="s">
        <v>40</v>
      </c>
      <c r="K39" s="580">
        <f>K26</f>
        <v>0</v>
      </c>
      <c r="L39" s="594">
        <v>0.23895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261096.29</v>
      </c>
      <c r="D40" s="36"/>
      <c r="F40" s="200" t="s">
        <v>39</v>
      </c>
      <c r="G40" s="580">
        <f t="shared" si="4"/>
        <v>0</v>
      </c>
      <c r="H40" s="594">
        <v>0.23860000000000001</v>
      </c>
      <c r="I40" s="196">
        <f t="shared" si="3"/>
        <v>0</v>
      </c>
      <c r="J40" s="200" t="s">
        <v>41</v>
      </c>
      <c r="K40" s="580">
        <f>K27</f>
        <v>0</v>
      </c>
      <c r="L40" s="594">
        <v>0.23895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21511.93</v>
      </c>
      <c r="D41" s="36"/>
      <c r="F41" s="200" t="s">
        <v>40</v>
      </c>
      <c r="G41" s="580">
        <f t="shared" si="4"/>
        <v>274504</v>
      </c>
      <c r="H41" s="594">
        <v>0.23860000000000001</v>
      </c>
      <c r="I41" s="196">
        <f t="shared" si="3"/>
        <v>65496.654399999999</v>
      </c>
      <c r="J41" s="200" t="s">
        <v>42</v>
      </c>
      <c r="K41" s="561">
        <v>0</v>
      </c>
      <c r="L41" s="594">
        <v>0.23895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371821.59</v>
      </c>
      <c r="D42" s="37"/>
      <c r="F42" s="200" t="s">
        <v>41</v>
      </c>
      <c r="G42" s="580">
        <f t="shared" si="4"/>
        <v>44343</v>
      </c>
      <c r="H42" s="594">
        <v>0.23860000000000001</v>
      </c>
      <c r="I42" s="196">
        <f t="shared" si="3"/>
        <v>10580.239800000001</v>
      </c>
      <c r="J42" s="200" t="s">
        <v>43</v>
      </c>
      <c r="K42" s="581">
        <v>0</v>
      </c>
      <c r="L42" s="594">
        <v>0.23895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8963478.9199999999</v>
      </c>
      <c r="D43" s="36"/>
      <c r="F43" s="200" t="s">
        <v>42</v>
      </c>
      <c r="G43" s="580">
        <f t="shared" si="4"/>
        <v>0</v>
      </c>
      <c r="H43" s="594">
        <v>0.23860000000000001</v>
      </c>
      <c r="I43" s="196">
        <f t="shared" si="3"/>
        <v>0</v>
      </c>
      <c r="J43" s="199" t="s">
        <v>133</v>
      </c>
      <c r="K43" s="181">
        <f>SUM(K36:K42)</f>
        <v>2089849</v>
      </c>
      <c r="L43" s="182"/>
      <c r="M43" s="197">
        <f>SUM(M36:M42)</f>
        <v>499369.41855</v>
      </c>
    </row>
    <row r="44" spans="1:17" ht="16.5" thickBot="1">
      <c r="A44" s="83" t="s">
        <v>177</v>
      </c>
      <c r="B44" s="84" t="s">
        <v>120</v>
      </c>
      <c r="C44" s="559">
        <f>-1579802.39+1125281.72-364.1+266.04</f>
        <v>-454618.72999999992</v>
      </c>
      <c r="D44" s="37"/>
      <c r="F44" s="200" t="s">
        <v>43</v>
      </c>
      <c r="G44" s="580">
        <f t="shared" si="4"/>
        <v>67673</v>
      </c>
      <c r="H44" s="594">
        <v>0.23860000000000001</v>
      </c>
      <c r="I44" s="196">
        <f t="shared" si="3"/>
        <v>16146.7778</v>
      </c>
      <c r="J44" s="194"/>
      <c r="K44" s="232">
        <v>2089849</v>
      </c>
      <c r="L44" s="189" t="s">
        <v>102</v>
      </c>
      <c r="M44" s="217">
        <f>M43/K43</f>
        <v>0.23895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3906178</v>
      </c>
      <c r="H45" s="182"/>
      <c r="I45" s="197">
        <f>SUM(I37:I44)</f>
        <v>932014.07079999999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3906178</v>
      </c>
      <c r="H46" s="189" t="s">
        <v>102</v>
      </c>
      <c r="I46" s="215">
        <f>I45/G45</f>
        <v>0.23860000000000001</v>
      </c>
      <c r="J46" s="85"/>
      <c r="K46" s="231"/>
      <c r="L46" s="187"/>
      <c r="M46" s="556"/>
    </row>
    <row r="47" spans="1:17" ht="19.149999999999999" customHeight="1">
      <c r="A47" s="383" t="s">
        <v>137</v>
      </c>
      <c r="B47" s="6" t="s">
        <v>115</v>
      </c>
      <c r="C47" s="559">
        <v>0</v>
      </c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27365.119999999999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700.49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4150.05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42771.479999999996</v>
      </c>
      <c r="D52" s="33"/>
      <c r="F52" s="384" t="s">
        <v>136</v>
      </c>
      <c r="G52" s="384"/>
      <c r="H52" s="212">
        <f>K12</f>
        <v>-1285842.1795400009</v>
      </c>
      <c r="I52" s="115">
        <f>I14</f>
        <v>1607245.1373390004</v>
      </c>
      <c r="J52" s="115">
        <f>L12</f>
        <v>-688271.66046000051</v>
      </c>
      <c r="K52" s="115">
        <f>J14</f>
        <v>671565.49266100011</v>
      </c>
      <c r="L52" s="132">
        <f>SUM(H52:K52)</f>
        <v>304696.78999999911</v>
      </c>
      <c r="M52" s="384"/>
    </row>
    <row r="53" spans="1:21" ht="16.5" thickBot="1">
      <c r="A53" s="384" t="s">
        <v>315</v>
      </c>
      <c r="B53" s="602" t="s">
        <v>316</v>
      </c>
      <c r="C53" s="559">
        <v>50484.03</v>
      </c>
      <c r="D53" s="36"/>
      <c r="F53" s="383" t="s">
        <v>109</v>
      </c>
      <c r="H53" s="212">
        <f>-I45</f>
        <v>-932014.07079999999</v>
      </c>
      <c r="I53" s="115">
        <f>-I32</f>
        <v>-477444.02223000006</v>
      </c>
      <c r="J53" s="115">
        <f>-M43</f>
        <v>-499369.41855</v>
      </c>
      <c r="K53" s="115">
        <f>-M28</f>
        <v>-236800.79018999997</v>
      </c>
      <c r="L53" s="260">
        <f>SUM(H53:K53)</f>
        <v>-2145628.3017700003</v>
      </c>
    </row>
    <row r="54" spans="1:21" ht="16.5" thickBot="1">
      <c r="A54" s="381" t="s">
        <v>124</v>
      </c>
      <c r="B54" s="472" t="s">
        <v>296</v>
      </c>
      <c r="C54" s="559">
        <v>-10242621.720000001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-1840931.5117700011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-2217856.2503400007</v>
      </c>
      <c r="I55" s="125">
        <f>I52+I53+I54</f>
        <v>1129801.1151090004</v>
      </c>
      <c r="J55" s="125">
        <f>IFERROR(J52+J53+J54,0)</f>
        <v>-1187641.0790100005</v>
      </c>
      <c r="K55" s="125">
        <f>K52+K53+K54</f>
        <v>434764.70247100014</v>
      </c>
      <c r="L55" s="47">
        <f>SUM(H55:K55)</f>
        <v>-1840931.5117700007</v>
      </c>
    </row>
    <row r="56" spans="1:21" ht="16.5" thickBot="1">
      <c r="A56" s="82" t="s">
        <v>119</v>
      </c>
      <c r="B56" s="84"/>
      <c r="C56" s="160">
        <f>SUM(C43:C55)</f>
        <v>-1976290.3600000013</v>
      </c>
      <c r="D56" s="36"/>
      <c r="F56" s="239" t="s">
        <v>181</v>
      </c>
      <c r="H56" s="383" t="s">
        <v>173</v>
      </c>
      <c r="I56" s="5">
        <f>SUM(H55:I55)</f>
        <v>-1088055.1352310004</v>
      </c>
      <c r="J56" s="15" t="s">
        <v>174</v>
      </c>
      <c r="K56" s="383">
        <f>SUM(J55:K55)</f>
        <v>-752876.37653900031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1710.99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59">
        <v>465.53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-1974113.8400000012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304696.78999999911</v>
      </c>
      <c r="D61" s="37"/>
      <c r="H61" s="348" t="e">
        <f>SUM(#REF!,#REF!,#REF!,#REF!,#REF!,#REF!)</f>
        <v>#REF!</v>
      </c>
      <c r="I61" s="448" t="e">
        <f>SUM(#REF!,#REF!,#REF!,#REF!,#REF!,#REF!)</f>
        <v>#REF!</v>
      </c>
      <c r="J61" s="383">
        <f>H53+I53+J53+K53</f>
        <v>-2145628.3017700003</v>
      </c>
    </row>
    <row r="62" spans="1:21" ht="15.75">
      <c r="A62" s="2"/>
      <c r="B62" s="9" t="s">
        <v>160</v>
      </c>
      <c r="C62" s="349">
        <v>304696.78999999998</v>
      </c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50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35" priority="7" stopIfTrue="1" operator="equal">
      <formula>0</formula>
    </cfRule>
    <cfRule type="cellIs" dxfId="234" priority="8" stopIfTrue="1" operator="notEqual">
      <formula>0</formula>
    </cfRule>
  </conditionalFormatting>
  <conditionalFormatting sqref="G34 G47 K30 K47">
    <cfRule type="cellIs" dxfId="233" priority="6" operator="notEqual">
      <formula>0</formula>
    </cfRule>
  </conditionalFormatting>
  <conditionalFormatting sqref="C63">
    <cfRule type="cellIs" dxfId="232" priority="4" stopIfTrue="1" operator="equal">
      <formula>0</formula>
    </cfRule>
    <cfRule type="cellIs" dxfId="231" priority="5" stopIfTrue="1" operator="notEqual">
      <formula>0</formula>
    </cfRule>
  </conditionalFormatting>
  <conditionalFormatting sqref="K30">
    <cfRule type="cellIs" dxfId="230" priority="3" operator="notEqual">
      <formula>0</formula>
    </cfRule>
  </conditionalFormatting>
  <conditionalFormatting sqref="G59">
    <cfRule type="cellIs" dxfId="229" priority="2" operator="equal">
      <formula>"ERROR"</formula>
    </cfRule>
  </conditionalFormatting>
  <conditionalFormatting sqref="G59">
    <cfRule type="cellIs" dxfId="228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CC66"/>
    <pageSetUpPr fitToPage="1"/>
  </sheetPr>
  <dimension ref="A1:U1485"/>
  <sheetViews>
    <sheetView showGridLines="0" topLeftCell="A29" zoomScale="70" zoomScaleNormal="70" workbookViewId="0">
      <selection activeCell="C75" sqref="C75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Jul!C1+1</f>
        <v>201808</v>
      </c>
      <c r="F1" s="528">
        <f>C1</f>
        <v>201808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f>4598122.63</f>
        <v>4598122.63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42848.39+117.92-158.87</f>
        <v>42807.439999999995</v>
      </c>
      <c r="D5" s="34"/>
      <c r="F5" s="384"/>
      <c r="G5" s="384"/>
      <c r="H5" s="11"/>
      <c r="I5" s="591">
        <v>0.70530000000000004</v>
      </c>
      <c r="J5" s="591">
        <v>0.29470000000000002</v>
      </c>
      <c r="K5" s="444">
        <f>ROUND(G45/(G45+K43),4)</f>
        <v>0.61480000000000001</v>
      </c>
      <c r="L5" s="444">
        <f>1-K5</f>
        <v>0.38519999999999999</v>
      </c>
      <c r="M5" s="384"/>
    </row>
    <row r="6" spans="1:13" ht="16.5" thickBot="1">
      <c r="A6" s="49" t="s">
        <v>30</v>
      </c>
      <c r="C6" s="568">
        <f>-2343063.08-444850-127100-142987.5-81979.5-102391.76</f>
        <v>-3242371.84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1398558.2300000004</v>
      </c>
      <c r="D7" s="35"/>
      <c r="F7" s="166" t="s">
        <v>139</v>
      </c>
      <c r="G7" s="166"/>
      <c r="H7" s="125">
        <f>C34</f>
        <v>2229985.0300000003</v>
      </c>
      <c r="I7" s="167">
        <f>H7*I5</f>
        <v>1572808.4416590002</v>
      </c>
      <c r="J7" s="167">
        <f>H7*J5</f>
        <v>657176.58834100014</v>
      </c>
      <c r="K7" s="167"/>
      <c r="L7" s="167"/>
      <c r="M7" s="384"/>
    </row>
    <row r="8" spans="1:13" ht="15.75">
      <c r="A8" s="383" t="s">
        <v>89</v>
      </c>
      <c r="C8" s="567">
        <v>191512.75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v>6446.71</v>
      </c>
      <c r="D9" s="36"/>
      <c r="F9" s="166" t="s">
        <v>119</v>
      </c>
      <c r="G9" s="384"/>
      <c r="H9" s="167">
        <f>C56</f>
        <v>-1823262.9799999995</v>
      </c>
      <c r="I9" s="167"/>
      <c r="J9" s="167"/>
      <c r="K9" s="167">
        <f>H9*K5</f>
        <v>-1120942.0801039997</v>
      </c>
      <c r="L9" s="167">
        <f>H9*L5</f>
        <v>-702320.89989599981</v>
      </c>
      <c r="M9" s="384"/>
    </row>
    <row r="10" spans="1:13" ht="15.75">
      <c r="A10" s="49" t="s">
        <v>91</v>
      </c>
      <c r="C10" s="568">
        <v>-3418.47</v>
      </c>
      <c r="D10" s="36"/>
      <c r="F10" s="169" t="s">
        <v>44</v>
      </c>
      <c r="G10" s="384"/>
      <c r="H10" s="167">
        <f>C57</f>
        <v>-60364.39</v>
      </c>
      <c r="I10" s="167"/>
      <c r="J10" s="167"/>
      <c r="K10" s="167">
        <f>H10</f>
        <v>-60364.39</v>
      </c>
      <c r="L10" s="167"/>
      <c r="M10" s="384"/>
    </row>
    <row r="11" spans="1:13">
      <c r="A11" s="66" t="s">
        <v>145</v>
      </c>
      <c r="C11" s="100">
        <f>SUM(C8:C10)</f>
        <v>194540.99</v>
      </c>
      <c r="D11" s="36"/>
      <c r="F11" s="169" t="s">
        <v>45</v>
      </c>
      <c r="G11" s="384"/>
      <c r="H11" s="170">
        <f>C58</f>
        <v>-38982.51</v>
      </c>
      <c r="I11" s="167"/>
      <c r="J11" s="167"/>
      <c r="K11" s="170"/>
      <c r="L11" s="170">
        <f>H11</f>
        <v>-38982.51</v>
      </c>
      <c r="M11" s="384"/>
    </row>
    <row r="12" spans="1:13" ht="15.75">
      <c r="A12" s="383" t="s">
        <v>165</v>
      </c>
      <c r="C12" s="567">
        <f>190268.51-1841.12</f>
        <v>188427.39</v>
      </c>
      <c r="D12" s="36"/>
      <c r="F12" s="169" t="s">
        <v>138</v>
      </c>
      <c r="G12" s="384"/>
      <c r="H12" s="167">
        <f>H9+H10+H11</f>
        <v>-1922609.8799999994</v>
      </c>
      <c r="I12" s="167" t="s">
        <v>317</v>
      </c>
      <c r="J12" s="167"/>
      <c r="K12" s="167">
        <f>SUM(K9:K11)</f>
        <v>-1181306.4701039996</v>
      </c>
      <c r="L12" s="167">
        <f>SUM(L9:L11)</f>
        <v>-741303.40989599982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188427.39</v>
      </c>
      <c r="D14" s="37"/>
      <c r="F14" s="50" t="s">
        <v>69</v>
      </c>
      <c r="G14" s="175"/>
      <c r="H14" s="125">
        <f>H12+H7</f>
        <v>307375.15000000084</v>
      </c>
      <c r="I14" s="176">
        <f>SUM(I7:I13)</f>
        <v>1572808.4416590002</v>
      </c>
      <c r="J14" s="176">
        <f>SUM(J7:J13)</f>
        <v>657176.58834100014</v>
      </c>
      <c r="K14" s="176">
        <f>K12</f>
        <v>-1181306.4701039996</v>
      </c>
      <c r="L14" s="176">
        <f>L12</f>
        <v>-741303.40989599982</v>
      </c>
      <c r="M14" s="384"/>
    </row>
    <row r="15" spans="1:13" ht="15.75">
      <c r="A15" s="383" t="s">
        <v>183</v>
      </c>
      <c r="C15" s="567">
        <f>444595.13-4302.9</f>
        <v>440292.23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440292.23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67">
        <f>-1586.97+10413+64675.04</f>
        <v>73501.070000000007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3" ht="15.75">
      <c r="A19" s="46" t="s">
        <v>164</v>
      </c>
      <c r="C19" s="568">
        <f>-4284.96</f>
        <v>-4284.96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69216.11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8">
        <f>1850-129.71</f>
        <v>1720.29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1720.29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2080707</v>
      </c>
      <c r="H23" s="594">
        <v>0.12678</v>
      </c>
      <c r="I23" s="196">
        <f t="shared" ref="I23:I31" si="0">G23*H23</f>
        <v>263792.03346000001</v>
      </c>
      <c r="J23" s="200" t="s">
        <v>37</v>
      </c>
      <c r="K23" s="562">
        <v>986275</v>
      </c>
      <c r="L23" s="594">
        <v>0.11330999999999999</v>
      </c>
      <c r="M23" s="196">
        <f>K23*L23</f>
        <v>111754.82024999999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2">
        <v>2393</v>
      </c>
      <c r="H24" s="594">
        <v>0.12678</v>
      </c>
      <c r="I24" s="196">
        <f t="shared" si="0"/>
        <v>303.38454000000002</v>
      </c>
      <c r="J24" s="200" t="s">
        <v>38</v>
      </c>
      <c r="K24" s="562">
        <v>1366641</v>
      </c>
      <c r="L24" s="594">
        <v>0.11330999999999999</v>
      </c>
      <c r="M24" s="196">
        <f t="shared" ref="M24:M27" si="1">K24*L24</f>
        <v>154854.09170999998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2">
        <v>1463939</v>
      </c>
      <c r="H25" s="594">
        <v>0.11865000000000001</v>
      </c>
      <c r="I25" s="196">
        <f t="shared" si="0"/>
        <v>173696.36235000001</v>
      </c>
      <c r="J25" s="200" t="s">
        <v>39</v>
      </c>
      <c r="K25" s="562">
        <v>82239</v>
      </c>
      <c r="L25" s="594">
        <v>0.11330999999999999</v>
      </c>
      <c r="M25" s="196">
        <f t="shared" si="1"/>
        <v>9318.5010899999997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2">
        <v>0</v>
      </c>
      <c r="H26" s="594">
        <v>0.11865000000000001</v>
      </c>
      <c r="I26" s="196">
        <f t="shared" si="0"/>
        <v>0</v>
      </c>
      <c r="J26" s="200" t="s">
        <v>40</v>
      </c>
      <c r="K26" s="562">
        <v>0</v>
      </c>
      <c r="L26" s="594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291721</v>
      </c>
      <c r="H27" s="594">
        <v>0.11541</v>
      </c>
      <c r="I27" s="196">
        <f t="shared" si="0"/>
        <v>33667.52061</v>
      </c>
      <c r="J27" s="200" t="s">
        <v>41</v>
      </c>
      <c r="K27" s="562">
        <v>0</v>
      </c>
      <c r="L27" s="594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2">
        <v>24662</v>
      </c>
      <c r="H28" s="594">
        <v>0.11541</v>
      </c>
      <c r="I28" s="196">
        <f t="shared" si="0"/>
        <v>2846.2414199999998</v>
      </c>
      <c r="J28" s="199" t="s">
        <v>127</v>
      </c>
      <c r="K28" s="181">
        <f>SUM(K23:K27)</f>
        <v>2435155</v>
      </c>
      <c r="L28" s="182"/>
      <c r="M28" s="197">
        <f>SUM(M23:M27)</f>
        <v>275927.41304999992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2">
        <v>0</v>
      </c>
      <c r="H29" s="594">
        <v>7.4310000000000001E-2</v>
      </c>
      <c r="I29" s="196">
        <f t="shared" si="0"/>
        <v>0</v>
      </c>
      <c r="J29" s="199"/>
      <c r="K29" s="231">
        <v>2435155</v>
      </c>
      <c r="L29" s="187" t="s">
        <v>102</v>
      </c>
      <c r="M29" s="464">
        <f>M28/K28</f>
        <v>0.11330999999999997</v>
      </c>
    </row>
    <row r="30" spans="1:13" ht="16.5" thickBot="1">
      <c r="A30" s="2" t="s">
        <v>111</v>
      </c>
      <c r="C30" s="125">
        <f>C7+C11+C14+C17+C20+C22+C27+C28+C29</f>
        <v>2292755.2400000002</v>
      </c>
      <c r="D30" s="37"/>
      <c r="F30" s="200" t="s">
        <v>43</v>
      </c>
      <c r="G30" s="562">
        <v>23786</v>
      </c>
      <c r="H30" s="594">
        <v>7.4310000000000001E-2</v>
      </c>
      <c r="I30" s="196">
        <f t="shared" si="0"/>
        <v>1767.53766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67">
        <v>-17801.02</v>
      </c>
      <c r="D31" s="39"/>
      <c r="F31" s="200" t="s">
        <v>74</v>
      </c>
      <c r="G31" s="562">
        <v>2338940</v>
      </c>
      <c r="H31" s="594">
        <v>5.4000000000000001E-4</v>
      </c>
      <c r="I31" s="196">
        <f t="shared" si="0"/>
        <v>1263.0276000000001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71">
        <f>C30+C31</f>
        <v>2274954.2200000002</v>
      </c>
      <c r="D32" s="40"/>
      <c r="F32" s="199" t="s">
        <v>127</v>
      </c>
      <c r="G32" s="181">
        <f>SUM(G23:G31)</f>
        <v>6226148</v>
      </c>
      <c r="H32" s="7"/>
      <c r="I32" s="197">
        <f>SUM(I23:I31)</f>
        <v>477336.10763999994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571">
        <f>-C5-C9-C13-C16-C19</f>
        <v>-44969.189999999995</v>
      </c>
      <c r="D33" s="36"/>
      <c r="F33" s="186"/>
      <c r="G33" s="231">
        <v>6226148</v>
      </c>
      <c r="H33" s="187" t="s">
        <v>102</v>
      </c>
      <c r="I33" s="216">
        <f>I32/G32</f>
        <v>7.6666360587637802E-2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2229985.0300000003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5">
        <f>K23</f>
        <v>986275</v>
      </c>
      <c r="L36" s="594">
        <v>0.23895</v>
      </c>
      <c r="M36" s="196">
        <f t="shared" ref="M36:M42" si="2">K36*L36</f>
        <v>235670.41125</v>
      </c>
      <c r="P36" s="272"/>
      <c r="Q36" s="272"/>
    </row>
    <row r="37" spans="1:17" ht="15.75">
      <c r="A37" s="7" t="s">
        <v>129</v>
      </c>
      <c r="B37" s="531" t="s">
        <v>115</v>
      </c>
      <c r="C37" s="567">
        <v>7642183.6399999997</v>
      </c>
      <c r="D37" s="36"/>
      <c r="F37" s="200" t="s">
        <v>37</v>
      </c>
      <c r="G37" s="605">
        <f>G23</f>
        <v>2080707</v>
      </c>
      <c r="H37" s="594">
        <v>0.23860000000000001</v>
      </c>
      <c r="I37" s="196">
        <f t="shared" ref="I37:I44" si="3">G37*H37</f>
        <v>496456.69020000001</v>
      </c>
      <c r="J37" s="200" t="s">
        <v>38</v>
      </c>
      <c r="K37" s="605">
        <f>K24</f>
        <v>1366641</v>
      </c>
      <c r="L37" s="594">
        <v>0.23895</v>
      </c>
      <c r="M37" s="196">
        <f t="shared" si="2"/>
        <v>326558.86695</v>
      </c>
      <c r="P37" s="272"/>
      <c r="Q37" s="272"/>
    </row>
    <row r="38" spans="1:17" ht="15.75">
      <c r="A38" s="144" t="s">
        <v>14</v>
      </c>
      <c r="B38" s="531" t="s">
        <v>115</v>
      </c>
      <c r="C38" s="567">
        <v>0</v>
      </c>
      <c r="D38" s="36"/>
      <c r="F38" s="200" t="s">
        <v>305</v>
      </c>
      <c r="G38" s="605">
        <f>G24</f>
        <v>2393</v>
      </c>
      <c r="H38" s="594">
        <v>0.23860000000000001</v>
      </c>
      <c r="I38" s="196">
        <f t="shared" si="3"/>
        <v>570.96979999999996</v>
      </c>
      <c r="J38" s="200" t="s">
        <v>39</v>
      </c>
      <c r="K38" s="605">
        <f>K25</f>
        <v>82239</v>
      </c>
      <c r="L38" s="594">
        <v>0.23895</v>
      </c>
      <c r="M38" s="196">
        <f t="shared" si="2"/>
        <v>19651.009050000001</v>
      </c>
      <c r="P38" s="272"/>
      <c r="Q38" s="272"/>
    </row>
    <row r="39" spans="1:17" ht="15.75">
      <c r="A39" s="7" t="s">
        <v>146</v>
      </c>
      <c r="B39" s="531" t="s">
        <v>147</v>
      </c>
      <c r="C39" s="567">
        <v>-54851.29</v>
      </c>
      <c r="D39" s="36"/>
      <c r="F39" s="200" t="s">
        <v>38</v>
      </c>
      <c r="G39" s="605">
        <f t="shared" ref="G39:G44" si="4">G25</f>
        <v>1463939</v>
      </c>
      <c r="H39" s="594">
        <v>0.23860000000000001</v>
      </c>
      <c r="I39" s="196">
        <f t="shared" si="3"/>
        <v>349295.84539999999</v>
      </c>
      <c r="J39" s="200" t="s">
        <v>40</v>
      </c>
      <c r="K39" s="605">
        <f>K26</f>
        <v>0</v>
      </c>
      <c r="L39" s="594">
        <v>0.23895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67">
        <v>306159.90999999997</v>
      </c>
      <c r="D40" s="36"/>
      <c r="F40" s="200" t="s">
        <v>39</v>
      </c>
      <c r="G40" s="605">
        <f t="shared" si="4"/>
        <v>0</v>
      </c>
      <c r="H40" s="594">
        <v>0.23860000000000001</v>
      </c>
      <c r="I40" s="196">
        <f t="shared" si="3"/>
        <v>0</v>
      </c>
      <c r="J40" s="200" t="s">
        <v>41</v>
      </c>
      <c r="K40" s="605">
        <f>K27</f>
        <v>0</v>
      </c>
      <c r="L40" s="594">
        <v>0.23895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67">
        <v>54490.6</v>
      </c>
      <c r="D41" s="36"/>
      <c r="F41" s="200" t="s">
        <v>40</v>
      </c>
      <c r="G41" s="605">
        <f t="shared" si="4"/>
        <v>291721</v>
      </c>
      <c r="H41" s="594">
        <v>0.23860000000000001</v>
      </c>
      <c r="I41" s="196">
        <f t="shared" si="3"/>
        <v>69604.630600000004</v>
      </c>
      <c r="J41" s="200" t="s">
        <v>42</v>
      </c>
      <c r="K41" s="562">
        <v>0</v>
      </c>
      <c r="L41" s="594">
        <v>0.23895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67">
        <v>350599.55</v>
      </c>
      <c r="D42" s="37"/>
      <c r="F42" s="200" t="s">
        <v>41</v>
      </c>
      <c r="G42" s="605">
        <f t="shared" si="4"/>
        <v>24662</v>
      </c>
      <c r="H42" s="594">
        <v>0.23860000000000001</v>
      </c>
      <c r="I42" s="196">
        <f t="shared" si="3"/>
        <v>5884.3532000000005</v>
      </c>
      <c r="J42" s="200" t="s">
        <v>43</v>
      </c>
      <c r="K42" s="606">
        <v>0</v>
      </c>
      <c r="L42" s="594">
        <v>0.23895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8298582.4099999992</v>
      </c>
      <c r="D43" s="36"/>
      <c r="F43" s="200" t="s">
        <v>42</v>
      </c>
      <c r="G43" s="605">
        <f t="shared" si="4"/>
        <v>0</v>
      </c>
      <c r="H43" s="594">
        <v>0.23860000000000001</v>
      </c>
      <c r="I43" s="196">
        <f t="shared" si="3"/>
        <v>0</v>
      </c>
      <c r="J43" s="199" t="s">
        <v>133</v>
      </c>
      <c r="K43" s="181">
        <f>SUM(K36:K42)</f>
        <v>2435155</v>
      </c>
      <c r="L43" s="182"/>
      <c r="M43" s="197">
        <f>SUM(M36:M42)</f>
        <v>581880.28725000005</v>
      </c>
    </row>
    <row r="44" spans="1:17" ht="16.5" thickBot="1">
      <c r="A44" s="83" t="s">
        <v>177</v>
      </c>
      <c r="B44" s="84" t="s">
        <v>120</v>
      </c>
      <c r="C44" s="567">
        <f>-2108794.83+422385.48</f>
        <v>-1686409.35</v>
      </c>
      <c r="D44" s="37"/>
      <c r="F44" s="200" t="s">
        <v>43</v>
      </c>
      <c r="G44" s="605">
        <f t="shared" si="4"/>
        <v>23786</v>
      </c>
      <c r="H44" s="594">
        <v>0.23860000000000001</v>
      </c>
      <c r="I44" s="196">
        <f t="shared" si="3"/>
        <v>5675.3396000000002</v>
      </c>
      <c r="J44" s="194"/>
      <c r="K44" s="232">
        <v>2435155</v>
      </c>
      <c r="L44" s="189" t="s">
        <v>102</v>
      </c>
      <c r="M44" s="217">
        <f>M43/K43</f>
        <v>0.23895000000000002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3887208</v>
      </c>
      <c r="H45" s="182"/>
      <c r="I45" s="197">
        <f>SUM(I37:I44)</f>
        <v>927487.82880000002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3887208</v>
      </c>
      <c r="H46" s="189" t="s">
        <v>102</v>
      </c>
      <c r="I46" s="215">
        <f>I45/G45</f>
        <v>0.23860000000000001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567">
        <v>0</v>
      </c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304</v>
      </c>
      <c r="B48" s="6" t="s">
        <v>115</v>
      </c>
      <c r="C48" s="567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67">
        <v>17272.150000000001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67">
        <v>1011.96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67">
        <v>4806.32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598">
        <f>-C33</f>
        <v>44969.189999999995</v>
      </c>
      <c r="D52" s="33"/>
      <c r="F52" s="384" t="s">
        <v>136</v>
      </c>
      <c r="G52" s="384"/>
      <c r="H52" s="212">
        <f>K12</f>
        <v>-1181306.4701039996</v>
      </c>
      <c r="I52" s="115">
        <f>I14</f>
        <v>1572808.4416590002</v>
      </c>
      <c r="J52" s="115">
        <f>L12</f>
        <v>-741303.40989599982</v>
      </c>
      <c r="K52" s="115">
        <f>J14</f>
        <v>657176.58834100014</v>
      </c>
      <c r="L52" s="132">
        <f>SUM(H52:K52)</f>
        <v>307375.15000000095</v>
      </c>
      <c r="M52" s="384"/>
    </row>
    <row r="53" spans="1:21" ht="16.5" thickBot="1">
      <c r="A53" s="384" t="s">
        <v>315</v>
      </c>
      <c r="B53" s="603" t="s">
        <v>316</v>
      </c>
      <c r="C53" s="567">
        <f>10285.55+0.05+34210.61</f>
        <v>44496.21</v>
      </c>
      <c r="D53" s="33"/>
      <c r="F53" s="383" t="s">
        <v>109</v>
      </c>
      <c r="H53" s="212">
        <f>-I45</f>
        <v>-927487.82880000002</v>
      </c>
      <c r="I53" s="115">
        <f>-I32</f>
        <v>-477336.10763999994</v>
      </c>
      <c r="J53" s="115">
        <f>-M43</f>
        <v>-581880.28725000005</v>
      </c>
      <c r="K53" s="115">
        <f>-M28</f>
        <v>-275927.41304999992</v>
      </c>
      <c r="L53" s="260">
        <f>SUM(H53:K53)</f>
        <v>-2262631.63674</v>
      </c>
    </row>
    <row r="54" spans="1:21" ht="16.5" thickBot="1">
      <c r="A54" s="381" t="s">
        <v>124</v>
      </c>
      <c r="B54" s="472" t="s">
        <v>296</v>
      </c>
      <c r="C54" s="567">
        <f>-268611.14-3188020.17-4723360.56</f>
        <v>-8179991.8699999992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-1955256.4867399991</v>
      </c>
    </row>
    <row r="55" spans="1:21" ht="16.5" thickBot="1">
      <c r="A55" s="383" t="s">
        <v>312</v>
      </c>
      <c r="B55" s="6" t="s">
        <v>190</v>
      </c>
      <c r="C55" s="567">
        <v>-375000</v>
      </c>
      <c r="D55" s="36"/>
      <c r="F55" s="383" t="s">
        <v>71</v>
      </c>
      <c r="H55" s="125">
        <f>IFERROR(H52+H53+H54,0)</f>
        <v>-2108794.2989039999</v>
      </c>
      <c r="I55" s="125">
        <f>I52+I53+I54</f>
        <v>1095472.3340190002</v>
      </c>
      <c r="J55" s="125">
        <f>IFERROR(J52+J53+J54,0)</f>
        <v>-1323183.6971459999</v>
      </c>
      <c r="K55" s="125">
        <f>K52+K53+K54</f>
        <v>381249.17529100023</v>
      </c>
      <c r="L55" s="47">
        <f>SUM(H55:K55)</f>
        <v>-1955256.4867399994</v>
      </c>
    </row>
    <row r="56" spans="1:21" ht="16.5" thickBot="1">
      <c r="A56" s="82" t="s">
        <v>119</v>
      </c>
      <c r="B56" s="84"/>
      <c r="C56" s="160">
        <f>SUM(C43:C55)</f>
        <v>-1823262.9799999995</v>
      </c>
      <c r="D56" s="36"/>
      <c r="F56" s="239" t="s">
        <v>181</v>
      </c>
      <c r="H56" s="383" t="s">
        <v>173</v>
      </c>
      <c r="I56" s="5">
        <f>SUM(H55:I55)</f>
        <v>-1013321.9648849997</v>
      </c>
      <c r="J56" s="15" t="s">
        <v>174</v>
      </c>
      <c r="K56" s="383">
        <f>SUM(J55:K55)</f>
        <v>-941934.52185499971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67">
        <v>-60364.39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67">
        <v>-38982.51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-1922609.8799999994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307375.15000000084</v>
      </c>
      <c r="D61" s="36"/>
      <c r="H61" s="348" t="e">
        <f>SUM(#REF!,#REF!,#REF!,#REF!,#REF!,#REF!)</f>
        <v>#REF!</v>
      </c>
      <c r="I61" s="448" t="e">
        <f>SUM(#REF!,#REF!,#REF!,#REF!,#REF!,#REF!)</f>
        <v>#REF!</v>
      </c>
      <c r="J61" s="383">
        <f>H53+I53+J53+K53</f>
        <v>-2262631.63674</v>
      </c>
    </row>
    <row r="62" spans="1:21" ht="15.75">
      <c r="A62" s="2"/>
      <c r="B62" s="9" t="s">
        <v>160</v>
      </c>
      <c r="C62" s="604">
        <v>307375.15000000002</v>
      </c>
      <c r="D62" s="37"/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S63" s="6"/>
    </row>
    <row r="64" spans="1:21" ht="15.75">
      <c r="A64" s="44"/>
      <c r="C64" s="350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27" priority="7" stopIfTrue="1" operator="equal">
      <formula>0</formula>
    </cfRule>
    <cfRule type="cellIs" dxfId="226" priority="8" stopIfTrue="1" operator="notEqual">
      <formula>0</formula>
    </cfRule>
  </conditionalFormatting>
  <conditionalFormatting sqref="G34 G47 K30 K47">
    <cfRule type="cellIs" dxfId="225" priority="6" operator="notEqual">
      <formula>0</formula>
    </cfRule>
  </conditionalFormatting>
  <conditionalFormatting sqref="C63">
    <cfRule type="cellIs" dxfId="224" priority="4" stopIfTrue="1" operator="equal">
      <formula>0</formula>
    </cfRule>
    <cfRule type="cellIs" dxfId="223" priority="5" stopIfTrue="1" operator="notEqual">
      <formula>0</formula>
    </cfRule>
  </conditionalFormatting>
  <conditionalFormatting sqref="K30">
    <cfRule type="cellIs" dxfId="222" priority="3" operator="notEqual">
      <formula>0</formula>
    </cfRule>
  </conditionalFormatting>
  <conditionalFormatting sqref="G59">
    <cfRule type="cellIs" dxfId="221" priority="2" operator="equal">
      <formula>"ERROR"</formula>
    </cfRule>
  </conditionalFormatting>
  <conditionalFormatting sqref="G59">
    <cfRule type="cellIs" dxfId="220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4">
    <tabColor rgb="FF00CC66"/>
    <pageSetUpPr fitToPage="1"/>
  </sheetPr>
  <dimension ref="A1:U1485"/>
  <sheetViews>
    <sheetView showGridLines="0" zoomScale="70" zoomScaleNormal="70" workbookViewId="0">
      <selection activeCell="C75" sqref="C75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18.5703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Aug!C1+1</f>
        <v>201809</v>
      </c>
      <c r="F1" s="528">
        <f>C1</f>
        <v>201809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59">
        <v>4449796.09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59">
        <f>-158.87+52291.14-3.67</f>
        <v>52128.6</v>
      </c>
      <c r="D5" s="34"/>
      <c r="F5" s="384"/>
      <c r="G5" s="384"/>
      <c r="H5" s="11"/>
      <c r="I5" s="591">
        <v>0.70530000000000004</v>
      </c>
      <c r="J5" s="591">
        <v>0.29470000000000002</v>
      </c>
      <c r="K5" s="444">
        <f>ROUND(G45/(G45+K43),4)</f>
        <v>0.69520000000000004</v>
      </c>
      <c r="L5" s="444">
        <f>1-K5</f>
        <v>0.30479999999999996</v>
      </c>
      <c r="M5" s="384"/>
    </row>
    <row r="6" spans="1:13" ht="16.5" thickBot="1">
      <c r="A6" s="49" t="s">
        <v>30</v>
      </c>
      <c r="C6" s="560">
        <f>-2267480.4-430500-123000-138375-79335-99088.8</f>
        <v>-3137779.1999999997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1364145.4899999998</v>
      </c>
      <c r="D7" s="35"/>
      <c r="F7" s="166" t="s">
        <v>139</v>
      </c>
      <c r="G7" s="166"/>
      <c r="H7" s="125">
        <f>C34</f>
        <v>2206853.9699999997</v>
      </c>
      <c r="I7" s="167">
        <f>H7*I5</f>
        <v>1556494.1050409998</v>
      </c>
      <c r="J7" s="167">
        <f>H7*J5</f>
        <v>650359.86495899991</v>
      </c>
      <c r="K7" s="167"/>
      <c r="L7" s="167"/>
      <c r="M7" s="384"/>
    </row>
    <row r="8" spans="1:13" ht="15.75">
      <c r="A8" s="383" t="s">
        <v>89</v>
      </c>
      <c r="C8" s="559">
        <v>185334.94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59">
        <f>6179.64</f>
        <v>6179.64</v>
      </c>
      <c r="D9" s="36"/>
      <c r="F9" s="166" t="s">
        <v>119</v>
      </c>
      <c r="G9" s="384"/>
      <c r="H9" s="167">
        <f>C56</f>
        <v>-2101836.6999999993</v>
      </c>
      <c r="I9" s="167"/>
      <c r="J9" s="167"/>
      <c r="K9" s="167">
        <f>H9*K5</f>
        <v>-1461196.8738399995</v>
      </c>
      <c r="L9" s="167">
        <f>H9*L5</f>
        <v>-640639.82615999971</v>
      </c>
      <c r="M9" s="384"/>
    </row>
    <row r="10" spans="1:13" ht="15.75">
      <c r="A10" s="49" t="s">
        <v>91</v>
      </c>
      <c r="C10" s="560">
        <v>-3308.2</v>
      </c>
      <c r="D10" s="36"/>
      <c r="F10" s="169" t="s">
        <v>44</v>
      </c>
      <c r="G10" s="384"/>
      <c r="H10" s="167">
        <f>C57</f>
        <v>47628.89</v>
      </c>
      <c r="I10" s="167"/>
      <c r="J10" s="167"/>
      <c r="K10" s="167">
        <f>H10</f>
        <v>47628.89</v>
      </c>
      <c r="L10" s="167"/>
      <c r="M10" s="384"/>
    </row>
    <row r="11" spans="1:13">
      <c r="A11" s="66" t="s">
        <v>145</v>
      </c>
      <c r="C11" s="100">
        <f>SUM(C8:C10)</f>
        <v>188206.38</v>
      </c>
      <c r="D11" s="36"/>
      <c r="F11" s="169" t="s">
        <v>45</v>
      </c>
      <c r="G11" s="384"/>
      <c r="H11" s="170">
        <f>C58</f>
        <v>35166.93</v>
      </c>
      <c r="I11" s="167"/>
      <c r="J11" s="167"/>
      <c r="K11" s="170"/>
      <c r="L11" s="170">
        <f>H11</f>
        <v>35166.93</v>
      </c>
      <c r="M11" s="384"/>
    </row>
    <row r="12" spans="1:13" ht="15.75">
      <c r="A12" s="383" t="s">
        <v>165</v>
      </c>
      <c r="C12" s="559">
        <f>2422.9+190529.81</f>
        <v>192952.71</v>
      </c>
      <c r="D12" s="36"/>
      <c r="F12" s="169" t="s">
        <v>138</v>
      </c>
      <c r="G12" s="384"/>
      <c r="H12" s="167">
        <f>H9+H10+H11</f>
        <v>-2019040.8799999994</v>
      </c>
      <c r="I12" s="167"/>
      <c r="J12" s="167"/>
      <c r="K12" s="167">
        <f>SUM(K9:K11)</f>
        <v>-1413567.9838399997</v>
      </c>
      <c r="L12" s="167">
        <f>SUM(L9:L11)</f>
        <v>-605472.89615999965</v>
      </c>
      <c r="M12" s="384"/>
    </row>
    <row r="13" spans="1:13" ht="16.5" thickBot="1">
      <c r="A13" s="49" t="s">
        <v>166</v>
      </c>
      <c r="C13" s="312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192952.71</v>
      </c>
      <c r="D14" s="37"/>
      <c r="F14" s="50" t="s">
        <v>69</v>
      </c>
      <c r="G14" s="175"/>
      <c r="H14" s="125">
        <f>H12+H7</f>
        <v>187813.09000000032</v>
      </c>
      <c r="I14" s="176">
        <f>SUM(I7:I13)</f>
        <v>1556494.1050409998</v>
      </c>
      <c r="J14" s="176">
        <f>SUM(J7:J13)</f>
        <v>650359.86495899991</v>
      </c>
      <c r="K14" s="176">
        <f>K12</f>
        <v>-1413567.9838399997</v>
      </c>
      <c r="L14" s="176">
        <f>L12</f>
        <v>-605472.89615999965</v>
      </c>
      <c r="M14" s="384"/>
    </row>
    <row r="15" spans="1:13" ht="15.75">
      <c r="A15" s="383" t="s">
        <v>183</v>
      </c>
      <c r="C15" s="559">
        <f>445205.68+5661.51</f>
        <v>450867.19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312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450867.19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59">
        <f>10427.3+965.36+64763.86</f>
        <v>76156.52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3" ht="15.75">
      <c r="A19" s="46" t="s">
        <v>164</v>
      </c>
      <c r="C19" s="560">
        <v>-4871.8100000000004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71284.710000000006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0">
        <f>-118.03+1850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3147236</v>
      </c>
      <c r="H23" s="594">
        <v>0.12678</v>
      </c>
      <c r="I23" s="196">
        <f t="shared" ref="I23:I31" si="0">G23*H23</f>
        <v>399006.58007999999</v>
      </c>
      <c r="J23" s="200" t="s">
        <v>37</v>
      </c>
      <c r="K23" s="562">
        <v>1445438</v>
      </c>
      <c r="L23" s="594">
        <v>0.11330999999999999</v>
      </c>
      <c r="M23" s="196">
        <f>K23*L23</f>
        <v>163782.57978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2">
        <v>3920</v>
      </c>
      <c r="H24" s="594">
        <v>0.12678</v>
      </c>
      <c r="I24" s="196">
        <f t="shared" si="0"/>
        <v>496.9776</v>
      </c>
      <c r="J24" s="200" t="s">
        <v>38</v>
      </c>
      <c r="K24" s="562">
        <v>991953</v>
      </c>
      <c r="L24" s="594">
        <v>0.11330999999999999</v>
      </c>
      <c r="M24" s="196">
        <f t="shared" ref="M24:M27" si="1">K24*L24</f>
        <v>112398.19442999999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2">
        <v>2165313</v>
      </c>
      <c r="H25" s="594">
        <v>0.11865000000000001</v>
      </c>
      <c r="I25" s="196">
        <f t="shared" si="0"/>
        <v>256914.38745000001</v>
      </c>
      <c r="J25" s="200" t="s">
        <v>39</v>
      </c>
      <c r="K25" s="562">
        <v>71733</v>
      </c>
      <c r="L25" s="594">
        <v>0.11330999999999999</v>
      </c>
      <c r="M25" s="196">
        <f t="shared" si="1"/>
        <v>8128.0662299999995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2">
        <v>0</v>
      </c>
      <c r="H26" s="594">
        <v>0.11865000000000001</v>
      </c>
      <c r="I26" s="196">
        <f t="shared" si="0"/>
        <v>0</v>
      </c>
      <c r="J26" s="200" t="s">
        <v>40</v>
      </c>
      <c r="K26" s="562">
        <v>0</v>
      </c>
      <c r="L26" s="594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348558</v>
      </c>
      <c r="H27" s="594">
        <v>0.11541</v>
      </c>
      <c r="I27" s="196">
        <f t="shared" si="0"/>
        <v>40227.078779999996</v>
      </c>
      <c r="J27" s="200" t="s">
        <v>41</v>
      </c>
      <c r="K27" s="562">
        <v>0</v>
      </c>
      <c r="L27" s="594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2">
        <v>26763</v>
      </c>
      <c r="H28" s="594">
        <v>0.11541</v>
      </c>
      <c r="I28" s="196">
        <f t="shared" si="0"/>
        <v>3088.71783</v>
      </c>
      <c r="J28" s="199" t="s">
        <v>127</v>
      </c>
      <c r="K28" s="181">
        <f>SUM(K23:K27)</f>
        <v>2509124</v>
      </c>
      <c r="L28" s="182"/>
      <c r="M28" s="197">
        <f>SUM(M23:M27)</f>
        <v>284308.84044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2">
        <v>0</v>
      </c>
      <c r="H29" s="594">
        <v>7.4310000000000001E-2</v>
      </c>
      <c r="I29" s="196">
        <f t="shared" si="0"/>
        <v>0</v>
      </c>
      <c r="J29" s="199"/>
      <c r="K29" s="231">
        <v>2509124</v>
      </c>
      <c r="L29" s="187" t="s">
        <v>102</v>
      </c>
      <c r="M29" s="464">
        <f>M28/K28</f>
        <v>0.11330999999999999</v>
      </c>
    </row>
    <row r="30" spans="1:13" ht="16.5" thickBot="1">
      <c r="A30" s="2" t="s">
        <v>111</v>
      </c>
      <c r="C30" s="125">
        <f>C7+C11+C14+C17+C20+C22+C27+C28+C29</f>
        <v>2269188.4499999997</v>
      </c>
      <c r="D30" s="37"/>
      <c r="F30" s="200" t="s">
        <v>43</v>
      </c>
      <c r="G30" s="562">
        <v>31578</v>
      </c>
      <c r="H30" s="594">
        <v>7.4310000000000001E-2</v>
      </c>
      <c r="I30" s="196">
        <f t="shared" si="0"/>
        <v>2346.5611800000001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v>-8898.0499999999993</v>
      </c>
      <c r="D31" s="39"/>
      <c r="F31" s="200" t="s">
        <v>74</v>
      </c>
      <c r="G31" s="562">
        <v>2209861</v>
      </c>
      <c r="H31" s="594">
        <v>5.4000000000000001E-4</v>
      </c>
      <c r="I31" s="196">
        <f t="shared" si="0"/>
        <v>1193.32494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2260290.4</v>
      </c>
      <c r="D32" s="40"/>
      <c r="F32" s="199" t="s">
        <v>127</v>
      </c>
      <c r="G32" s="181">
        <f>SUM(G23:G31)</f>
        <v>7933229</v>
      </c>
      <c r="H32" s="7"/>
      <c r="I32" s="197">
        <f>SUM(I23:I31)</f>
        <v>703273.62785999989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565">
        <f>-C5-C9-C13-C16-C19</f>
        <v>-53436.43</v>
      </c>
      <c r="D33" s="36"/>
      <c r="F33" s="186"/>
      <c r="G33" s="231">
        <v>7933229</v>
      </c>
      <c r="H33" s="187" t="s">
        <v>102</v>
      </c>
      <c r="I33" s="216">
        <f>I32/G32</f>
        <v>8.8649102132309546E-2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2206853.9699999997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262">
        <f>K23</f>
        <v>1445438</v>
      </c>
      <c r="L36" s="594">
        <v>0.23895</v>
      </c>
      <c r="M36" s="196">
        <f t="shared" ref="M36:M42" si="2">K36*L36</f>
        <v>345387.41009999998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6729629.6500000004</v>
      </c>
      <c r="D37" s="36"/>
      <c r="F37" s="200" t="s">
        <v>37</v>
      </c>
      <c r="G37" s="262">
        <f>G23</f>
        <v>3147236</v>
      </c>
      <c r="H37" s="594">
        <v>0.23860000000000001</v>
      </c>
      <c r="I37" s="196">
        <f t="shared" ref="I37:I44" si="3">G37*H37</f>
        <v>750930.50959999999</v>
      </c>
      <c r="J37" s="200" t="s">
        <v>38</v>
      </c>
      <c r="K37" s="262">
        <f>K24</f>
        <v>991953</v>
      </c>
      <c r="L37" s="594">
        <v>0.23895</v>
      </c>
      <c r="M37" s="196">
        <f t="shared" si="2"/>
        <v>237027.16934999998</v>
      </c>
      <c r="P37" s="272"/>
      <c r="Q37" s="272"/>
    </row>
    <row r="38" spans="1:17" ht="15.75">
      <c r="A38" s="144" t="s">
        <v>14</v>
      </c>
      <c r="B38" s="531" t="s">
        <v>115</v>
      </c>
      <c r="C38" s="559">
        <v>0</v>
      </c>
      <c r="D38" s="36"/>
      <c r="F38" s="200" t="s">
        <v>305</v>
      </c>
      <c r="G38" s="262">
        <f>G24</f>
        <v>3920</v>
      </c>
      <c r="H38" s="594">
        <v>0.23860000000000001</v>
      </c>
      <c r="I38" s="196">
        <f t="shared" si="3"/>
        <v>935.31200000000001</v>
      </c>
      <c r="J38" s="200" t="s">
        <v>39</v>
      </c>
      <c r="K38" s="262">
        <f>K25</f>
        <v>71733</v>
      </c>
      <c r="L38" s="594">
        <v>0.23895</v>
      </c>
      <c r="M38" s="196">
        <f t="shared" si="2"/>
        <v>17140.600350000001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-66478.23</v>
      </c>
      <c r="D39" s="36"/>
      <c r="F39" s="200" t="s">
        <v>38</v>
      </c>
      <c r="G39" s="262">
        <f t="shared" ref="G39:G44" si="4">G25</f>
        <v>2165313</v>
      </c>
      <c r="H39" s="594">
        <v>0.23860000000000001</v>
      </c>
      <c r="I39" s="196">
        <f t="shared" si="3"/>
        <v>516643.68180000002</v>
      </c>
      <c r="J39" s="200" t="s">
        <v>40</v>
      </c>
      <c r="K39" s="262">
        <f>K26</f>
        <v>0</v>
      </c>
      <c r="L39" s="594">
        <v>0.23895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501077.48</v>
      </c>
      <c r="D40" s="36"/>
      <c r="F40" s="200" t="s">
        <v>39</v>
      </c>
      <c r="G40" s="262">
        <f t="shared" si="4"/>
        <v>0</v>
      </c>
      <c r="H40" s="594">
        <v>0.23860000000000001</v>
      </c>
      <c r="I40" s="196">
        <f t="shared" si="3"/>
        <v>0</v>
      </c>
      <c r="J40" s="200" t="s">
        <v>41</v>
      </c>
      <c r="K40" s="262">
        <f>K27</f>
        <v>0</v>
      </c>
      <c r="L40" s="594">
        <v>0.23895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70508.509999999995</v>
      </c>
      <c r="D41" s="36"/>
      <c r="F41" s="200" t="s">
        <v>40</v>
      </c>
      <c r="G41" s="262">
        <f t="shared" si="4"/>
        <v>348558</v>
      </c>
      <c r="H41" s="594">
        <v>0.23860000000000001</v>
      </c>
      <c r="I41" s="196">
        <f t="shared" si="3"/>
        <v>83165.938800000004</v>
      </c>
      <c r="J41" s="200" t="s">
        <v>42</v>
      </c>
      <c r="K41" s="262">
        <v>0</v>
      </c>
      <c r="L41" s="594">
        <v>0.23895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223276.34</v>
      </c>
      <c r="D42" s="37"/>
      <c r="F42" s="200" t="s">
        <v>41</v>
      </c>
      <c r="G42" s="262">
        <f t="shared" si="4"/>
        <v>26763</v>
      </c>
      <c r="H42" s="594">
        <v>0.23860000000000001</v>
      </c>
      <c r="I42" s="196">
        <f t="shared" si="3"/>
        <v>6385.6518000000005</v>
      </c>
      <c r="J42" s="200" t="s">
        <v>43</v>
      </c>
      <c r="K42" s="572">
        <v>0</v>
      </c>
      <c r="L42" s="594">
        <v>0.23895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7458013.75</v>
      </c>
      <c r="D43" s="36"/>
      <c r="F43" s="200" t="s">
        <v>42</v>
      </c>
      <c r="G43" s="262">
        <f t="shared" si="4"/>
        <v>0</v>
      </c>
      <c r="H43" s="594">
        <v>0.23860000000000001</v>
      </c>
      <c r="I43" s="196">
        <f t="shared" si="3"/>
        <v>0</v>
      </c>
      <c r="J43" s="199" t="s">
        <v>133</v>
      </c>
      <c r="K43" s="181">
        <f>SUM(K36:K42)</f>
        <v>2509124</v>
      </c>
      <c r="L43" s="182"/>
      <c r="M43" s="197">
        <f>SUM(M36:M42)</f>
        <v>599555.17979999993</v>
      </c>
    </row>
    <row r="44" spans="1:17" ht="16.5" thickBot="1">
      <c r="A44" s="83" t="s">
        <v>177</v>
      </c>
      <c r="B44" s="84" t="s">
        <v>120</v>
      </c>
      <c r="C44" s="559">
        <v>-2859927.24</v>
      </c>
      <c r="D44" s="37"/>
      <c r="F44" s="200" t="s">
        <v>43</v>
      </c>
      <c r="G44" s="262">
        <f t="shared" si="4"/>
        <v>31578</v>
      </c>
      <c r="H44" s="594">
        <v>0.23860000000000001</v>
      </c>
      <c r="I44" s="196">
        <f t="shared" si="3"/>
        <v>7534.5108</v>
      </c>
      <c r="J44" s="194"/>
      <c r="K44" s="232">
        <v>2509124</v>
      </c>
      <c r="L44" s="189" t="s">
        <v>102</v>
      </c>
      <c r="M44" s="217">
        <f>M43/K43</f>
        <v>0.23894999999999997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5723368</v>
      </c>
      <c r="H45" s="182"/>
      <c r="I45" s="197">
        <f>SUM(I37:I44)</f>
        <v>1365595.6048000001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5723368</v>
      </c>
      <c r="H46" s="189" t="s">
        <v>102</v>
      </c>
      <c r="I46" s="215">
        <f>I45/G45</f>
        <v>0.23860000000000001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559">
        <v>0</v>
      </c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22597.94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623.04</v>
      </c>
      <c r="D50" s="36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66" t="s">
        <v>152</v>
      </c>
      <c r="C51" s="559">
        <v>9312.73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53436.43</v>
      </c>
      <c r="D52" s="33"/>
      <c r="F52" s="384" t="s">
        <v>136</v>
      </c>
      <c r="G52" s="384"/>
      <c r="H52" s="212">
        <f>K12</f>
        <v>-1413567.9838399997</v>
      </c>
      <c r="I52" s="115">
        <f>I14</f>
        <v>1556494.1050409998</v>
      </c>
      <c r="J52" s="115">
        <f>L12</f>
        <v>-605472.89615999965</v>
      </c>
      <c r="K52" s="115">
        <f>J14</f>
        <v>650359.86495899991</v>
      </c>
      <c r="L52" s="132">
        <f>SUM(H52:K52)</f>
        <v>187813.09000000043</v>
      </c>
      <c r="M52" s="384"/>
    </row>
    <row r="53" spans="1:21" ht="16.5" thickBot="1">
      <c r="A53" s="384" t="s">
        <v>315</v>
      </c>
      <c r="B53" s="608" t="s">
        <v>316</v>
      </c>
      <c r="C53" s="559">
        <v>34777.67</v>
      </c>
      <c r="D53" s="33"/>
      <c r="F53" s="383" t="s">
        <v>109</v>
      </c>
      <c r="H53" s="212">
        <f>-I45</f>
        <v>-1365595.6048000001</v>
      </c>
      <c r="I53" s="115">
        <f>-I32</f>
        <v>-703273.62785999989</v>
      </c>
      <c r="J53" s="115">
        <f>-M43</f>
        <v>-599555.17979999993</v>
      </c>
      <c r="K53" s="115">
        <f>-M28</f>
        <v>-284308.84044</v>
      </c>
      <c r="L53" s="260">
        <f>SUM(H53:K53)</f>
        <v>-2952733.2528999997</v>
      </c>
    </row>
    <row r="54" spans="1:21" ht="16.5" thickBot="1">
      <c r="A54" s="381" t="s">
        <v>124</v>
      </c>
      <c r="B54" s="472" t="s">
        <v>296</v>
      </c>
      <c r="C54" s="559">
        <v>-6452671.0199999996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-2764920.1628999994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-2779163.5886399997</v>
      </c>
      <c r="I55" s="125">
        <f>I52+I53+I54</f>
        <v>853220.47718099994</v>
      </c>
      <c r="J55" s="125">
        <f>IFERROR(J52+J53+J54,0)</f>
        <v>-1205028.0759599996</v>
      </c>
      <c r="K55" s="125">
        <f>K52+K53+K54</f>
        <v>366051.02451899991</v>
      </c>
      <c r="L55" s="47">
        <f>SUM(H55:K55)</f>
        <v>-2764920.1628999994</v>
      </c>
    </row>
    <row r="56" spans="1:21" ht="16.5" thickBot="1">
      <c r="A56" s="82" t="s">
        <v>119</v>
      </c>
      <c r="B56" s="84"/>
      <c r="C56" s="160">
        <f>SUM(C43:C55)</f>
        <v>-2101836.6999999993</v>
      </c>
      <c r="D56" s="36"/>
      <c r="F56" s="239" t="s">
        <v>181</v>
      </c>
      <c r="H56" s="383" t="s">
        <v>173</v>
      </c>
      <c r="I56" s="5">
        <f>SUM(H55:I55)</f>
        <v>-1925943.1114589998</v>
      </c>
      <c r="J56" s="15" t="s">
        <v>174</v>
      </c>
      <c r="K56" s="383">
        <f>SUM(J55:K55)</f>
        <v>-838977.05144099961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609">
        <v>47628.89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609">
        <v>35166.93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-2019040.8799999994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187813.09000000032</v>
      </c>
      <c r="D61" s="36"/>
      <c r="H61" s="348" t="e">
        <f>SUM(#REF!,#REF!,#REF!,#REF!,#REF!,#REF!)</f>
        <v>#REF!</v>
      </c>
      <c r="I61" s="448" t="e">
        <f>SUM(#REF!,#REF!,#REF!,#REF!,#REF!,#REF!)</f>
        <v>#REF!</v>
      </c>
      <c r="J61" s="383">
        <f>H53+I53+J53+K53</f>
        <v>-2952733.2528999997</v>
      </c>
    </row>
    <row r="62" spans="1:21" ht="15.75">
      <c r="A62" s="2"/>
      <c r="B62" s="9" t="s">
        <v>160</v>
      </c>
      <c r="C62" s="349">
        <v>187813.09</v>
      </c>
      <c r="D62" s="37"/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S63" s="6"/>
    </row>
    <row r="64" spans="1:21" ht="15.75">
      <c r="A64" s="44"/>
      <c r="C64" s="350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19" priority="7" stopIfTrue="1" operator="equal">
      <formula>0</formula>
    </cfRule>
    <cfRule type="cellIs" dxfId="218" priority="8" stopIfTrue="1" operator="notEqual">
      <formula>0</formula>
    </cfRule>
  </conditionalFormatting>
  <conditionalFormatting sqref="G34 G47 K30 K47">
    <cfRule type="cellIs" dxfId="217" priority="6" operator="notEqual">
      <formula>0</formula>
    </cfRule>
  </conditionalFormatting>
  <conditionalFormatting sqref="C63">
    <cfRule type="cellIs" dxfId="216" priority="4" stopIfTrue="1" operator="equal">
      <formula>0</formula>
    </cfRule>
    <cfRule type="cellIs" dxfId="215" priority="5" stopIfTrue="1" operator="notEqual">
      <formula>0</formula>
    </cfRule>
  </conditionalFormatting>
  <conditionalFormatting sqref="K30">
    <cfRule type="cellIs" dxfId="214" priority="3" operator="notEqual">
      <formula>0</formula>
    </cfRule>
  </conditionalFormatting>
  <conditionalFormatting sqref="G59">
    <cfRule type="cellIs" dxfId="213" priority="2" operator="equal">
      <formula>"ERROR"</formula>
    </cfRule>
  </conditionalFormatting>
  <conditionalFormatting sqref="G59">
    <cfRule type="cellIs" dxfId="212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5">
    <tabColor rgb="FF00CC66"/>
    <pageSetUpPr fitToPage="1"/>
  </sheetPr>
  <dimension ref="A1:U1485"/>
  <sheetViews>
    <sheetView showGridLines="0" topLeftCell="A16" zoomScale="70" zoomScaleNormal="70" workbookViewId="0">
      <selection activeCell="C75" sqref="C75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Sep!C1+1</f>
        <v>201810</v>
      </c>
      <c r="F1" s="528">
        <f>C1</f>
        <v>201810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v>4598122.63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44271.01-335.72</f>
        <v>43935.29</v>
      </c>
      <c r="D5" s="34"/>
      <c r="F5" s="384"/>
      <c r="G5" s="384"/>
      <c r="H5" s="11"/>
      <c r="I5" s="591">
        <v>0.70530000000000004</v>
      </c>
      <c r="J5" s="591">
        <v>0.29470000000000002</v>
      </c>
      <c r="K5" s="444">
        <f>ROUND(G45/(G45+K43),4)</f>
        <v>0.65280000000000005</v>
      </c>
      <c r="L5" s="444">
        <f>1-K5</f>
        <v>0.34719999999999995</v>
      </c>
      <c r="M5" s="384"/>
    </row>
    <row r="6" spans="1:13" ht="16.5" thickBot="1">
      <c r="A6" s="49" t="s">
        <v>30</v>
      </c>
      <c r="C6" s="568">
        <f>-2343063.08-444850-127100-142987.5-81979.5-102391.76</f>
        <v>-3242371.84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1399686.08</v>
      </c>
      <c r="D7" s="35"/>
      <c r="F7" s="166" t="s">
        <v>139</v>
      </c>
      <c r="G7" s="166"/>
      <c r="H7" s="125">
        <f>C34</f>
        <v>2275593.7600000007</v>
      </c>
      <c r="I7" s="167">
        <f>H7*I5</f>
        <v>1604976.2789280005</v>
      </c>
      <c r="J7" s="167">
        <f>H7*J5</f>
        <v>670617.48107200023</v>
      </c>
      <c r="K7" s="167"/>
      <c r="L7" s="167"/>
      <c r="M7" s="384"/>
    </row>
    <row r="8" spans="1:13" ht="15.75">
      <c r="A8" s="383" t="s">
        <v>89</v>
      </c>
      <c r="C8" s="567">
        <v>252729.32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f>7767.77</f>
        <v>7767.77</v>
      </c>
      <c r="D9" s="36"/>
      <c r="F9" s="166" t="s">
        <v>119</v>
      </c>
      <c r="G9" s="384"/>
      <c r="H9" s="167">
        <f>C56</f>
        <v>21894.780000001192</v>
      </c>
      <c r="I9" s="167"/>
      <c r="J9" s="167"/>
      <c r="K9" s="167">
        <f>H9*K5</f>
        <v>14292.91238400078</v>
      </c>
      <c r="L9" s="167">
        <f>H9*L5</f>
        <v>7601.8676160004125</v>
      </c>
      <c r="M9" s="384"/>
    </row>
    <row r="10" spans="1:13" ht="15.75">
      <c r="A10" s="49" t="s">
        <v>91</v>
      </c>
      <c r="C10" s="568">
        <v>-3418.47</v>
      </c>
      <c r="D10" s="36"/>
      <c r="F10" s="169" t="s">
        <v>44</v>
      </c>
      <c r="G10" s="384"/>
      <c r="H10" s="167">
        <f>C57</f>
        <v>104499.94</v>
      </c>
      <c r="I10" s="167"/>
      <c r="J10" s="167"/>
      <c r="K10" s="167">
        <f>H10</f>
        <v>104499.94</v>
      </c>
      <c r="L10" s="167"/>
      <c r="M10" s="384"/>
    </row>
    <row r="11" spans="1:13">
      <c r="A11" s="66" t="s">
        <v>145</v>
      </c>
      <c r="C11" s="100">
        <f>SUM(C8:C10)</f>
        <v>257078.62</v>
      </c>
      <c r="D11" s="36"/>
      <c r="F11" s="169" t="s">
        <v>45</v>
      </c>
      <c r="G11" s="384"/>
      <c r="H11" s="170">
        <f>C58</f>
        <v>52075.57</v>
      </c>
      <c r="I11" s="167"/>
      <c r="J11" s="167"/>
      <c r="K11" s="170"/>
      <c r="L11" s="170">
        <f>H11</f>
        <v>52075.57</v>
      </c>
      <c r="M11" s="384"/>
    </row>
    <row r="12" spans="1:13" ht="15.75">
      <c r="A12" s="383" t="s">
        <v>165</v>
      </c>
      <c r="C12" s="567">
        <f>184258.8-2631.9</f>
        <v>181626.9</v>
      </c>
      <c r="D12" s="36"/>
      <c r="F12" s="169" t="s">
        <v>138</v>
      </c>
      <c r="G12" s="384"/>
      <c r="H12" s="167">
        <f>H9+H10+H11</f>
        <v>178470.2900000012</v>
      </c>
      <c r="I12" s="167"/>
      <c r="J12" s="167"/>
      <c r="K12" s="167">
        <f>SUM(K9:K11)</f>
        <v>118792.85238400078</v>
      </c>
      <c r="L12" s="167">
        <f>SUM(L9:L11)</f>
        <v>59677.43761600041</v>
      </c>
      <c r="M12" s="384"/>
    </row>
    <row r="13" spans="1:13" ht="16.5" thickBot="1">
      <c r="A13" s="49" t="s">
        <v>166</v>
      </c>
      <c r="C13" s="312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181626.9</v>
      </c>
      <c r="D14" s="37"/>
      <c r="F14" s="50" t="s">
        <v>69</v>
      </c>
      <c r="G14" s="175"/>
      <c r="H14" s="125">
        <f>H12+H7</f>
        <v>2454064.0500000017</v>
      </c>
      <c r="I14" s="176">
        <f>SUM(I7:I13)</f>
        <v>1604976.2789280005</v>
      </c>
      <c r="J14" s="176">
        <f>SUM(J7:J13)</f>
        <v>670617.48107200023</v>
      </c>
      <c r="K14" s="176">
        <f>K12</f>
        <v>118792.85238400078</v>
      </c>
      <c r="L14" s="176">
        <f>L12</f>
        <v>59677.43761600041</v>
      </c>
      <c r="M14" s="384"/>
    </row>
    <row r="15" spans="1:13" ht="15.75">
      <c r="A15" s="383" t="s">
        <v>183</v>
      </c>
      <c r="C15" s="567">
        <f>430552.37-6149.4</f>
        <v>424402.97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312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424402.97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67">
        <f>10084.1+62632.24-1041.77</f>
        <v>71674.569999999992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3" ht="15.75">
      <c r="A19" s="46" t="s">
        <v>164</v>
      </c>
      <c r="C19" s="568">
        <v>-7230.95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64443.619999999995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8">
        <f>1850-118.03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8835836</v>
      </c>
      <c r="H23" s="594">
        <v>0.12678</v>
      </c>
      <c r="I23" s="196">
        <f t="shared" ref="I23:I31" si="0">G23*H23</f>
        <v>1120207.2880800001</v>
      </c>
      <c r="J23" s="200" t="s">
        <v>37</v>
      </c>
      <c r="K23" s="562">
        <v>4795103</v>
      </c>
      <c r="L23" s="594">
        <v>0.11330999999999999</v>
      </c>
      <c r="M23" s="196">
        <f>K23*L23</f>
        <v>543333.12092999998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2">
        <v>13952</v>
      </c>
      <c r="H24" s="594">
        <v>0.12678</v>
      </c>
      <c r="I24" s="196">
        <f t="shared" si="0"/>
        <v>1768.83456</v>
      </c>
      <c r="J24" s="200" t="s">
        <v>38</v>
      </c>
      <c r="K24" s="562">
        <v>1966749</v>
      </c>
      <c r="L24" s="594">
        <v>0.11330999999999999</v>
      </c>
      <c r="M24" s="196">
        <f t="shared" ref="M24:M27" si="1">K24*L24</f>
        <v>222852.32918999999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2">
        <v>3629858</v>
      </c>
      <c r="H25" s="594">
        <v>0.11865000000000001</v>
      </c>
      <c r="I25" s="196">
        <f t="shared" si="0"/>
        <v>430682.65170000005</v>
      </c>
      <c r="J25" s="200" t="s">
        <v>39</v>
      </c>
      <c r="K25" s="562">
        <v>47715</v>
      </c>
      <c r="L25" s="594">
        <v>0.11330999999999999</v>
      </c>
      <c r="M25" s="196">
        <f t="shared" si="1"/>
        <v>5406.5866499999993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2">
        <v>0</v>
      </c>
      <c r="H26" s="594">
        <v>0.11865000000000001</v>
      </c>
      <c r="I26" s="196">
        <f t="shared" si="0"/>
        <v>0</v>
      </c>
      <c r="J26" s="200" t="s">
        <v>40</v>
      </c>
      <c r="K26" s="562">
        <v>0</v>
      </c>
      <c r="L26" s="594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248414</v>
      </c>
      <c r="H27" s="594">
        <v>0.11541</v>
      </c>
      <c r="I27" s="196">
        <f t="shared" si="0"/>
        <v>28669.459739999998</v>
      </c>
      <c r="J27" s="200" t="s">
        <v>41</v>
      </c>
      <c r="K27" s="562">
        <v>0</v>
      </c>
      <c r="L27" s="594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2">
        <v>34226</v>
      </c>
      <c r="H28" s="594">
        <v>0.11541</v>
      </c>
      <c r="I28" s="196">
        <f t="shared" si="0"/>
        <v>3950.0226600000001</v>
      </c>
      <c r="J28" s="199" t="s">
        <v>127</v>
      </c>
      <c r="K28" s="181">
        <f>SUM(K23:K27)</f>
        <v>6809567</v>
      </c>
      <c r="L28" s="182"/>
      <c r="M28" s="197">
        <f>SUM(M23:M27)</f>
        <v>771592.03676999989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2">
        <v>0</v>
      </c>
      <c r="H29" s="594">
        <v>7.4310000000000001E-2</v>
      </c>
      <c r="I29" s="196">
        <f t="shared" si="0"/>
        <v>0</v>
      </c>
      <c r="J29" s="199"/>
      <c r="K29" s="231">
        <v>6809567</v>
      </c>
      <c r="L29" s="187" t="s">
        <v>102</v>
      </c>
      <c r="M29" s="464">
        <f>M28/K28</f>
        <v>0.11330999999999998</v>
      </c>
    </row>
    <row r="30" spans="1:13" ht="16.5" thickBot="1">
      <c r="A30" s="2" t="s">
        <v>111</v>
      </c>
      <c r="C30" s="125">
        <f>C7+C11+C14+C17+C20+C22+C27+C28+C29</f>
        <v>2328970.1600000006</v>
      </c>
      <c r="D30" s="37"/>
      <c r="F30" s="200" t="s">
        <v>43</v>
      </c>
      <c r="G30" s="562">
        <v>40231</v>
      </c>
      <c r="H30" s="594">
        <v>7.4310000000000001E-2</v>
      </c>
      <c r="I30" s="196">
        <f t="shared" si="0"/>
        <v>2989.5656100000001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67">
        <v>-8904.2900000000009</v>
      </c>
      <c r="D31" s="39"/>
      <c r="F31" s="200" t="s">
        <v>74</v>
      </c>
      <c r="G31" s="562">
        <v>3085921</v>
      </c>
      <c r="H31" s="594">
        <v>5.4000000000000001E-4</v>
      </c>
      <c r="I31" s="196">
        <f t="shared" si="0"/>
        <v>1666.39734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2320065.8700000006</v>
      </c>
      <c r="D32" s="40"/>
      <c r="F32" s="199" t="s">
        <v>127</v>
      </c>
      <c r="G32" s="181">
        <f>SUM(G23:G31)</f>
        <v>15888438</v>
      </c>
      <c r="H32" s="7"/>
      <c r="I32" s="197">
        <f>SUM(I23:I31)</f>
        <v>1589934.2196900002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310">
        <f>-C5-C9-C13-C16-C19</f>
        <v>-44472.11</v>
      </c>
      <c r="D33" s="36"/>
      <c r="F33" s="186"/>
      <c r="G33" s="231">
        <v>15888438</v>
      </c>
      <c r="H33" s="187" t="s">
        <v>102</v>
      </c>
      <c r="I33" s="216">
        <f>I32/G32</f>
        <v>0.10006862976020678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2275593.7600000007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5">
        <f>K23</f>
        <v>4795103</v>
      </c>
      <c r="L36" s="594">
        <v>0.23895</v>
      </c>
      <c r="M36" s="196">
        <f t="shared" ref="M36:M42" si="2">K36*L36</f>
        <v>1145789.86185</v>
      </c>
      <c r="P36" s="272"/>
      <c r="Q36" s="272"/>
    </row>
    <row r="37" spans="1:17" ht="15.75">
      <c r="A37" s="7" t="s">
        <v>129</v>
      </c>
      <c r="B37" s="531" t="s">
        <v>115</v>
      </c>
      <c r="C37" s="567">
        <v>3301870.41</v>
      </c>
      <c r="D37" s="36"/>
      <c r="F37" s="200" t="s">
        <v>37</v>
      </c>
      <c r="G37" s="605">
        <f>G23</f>
        <v>8835836</v>
      </c>
      <c r="H37" s="594">
        <v>0.23860000000000001</v>
      </c>
      <c r="I37" s="196">
        <f>G37*H37</f>
        <v>2108230.4696</v>
      </c>
      <c r="J37" s="200" t="s">
        <v>38</v>
      </c>
      <c r="K37" s="605">
        <f>K24</f>
        <v>1966749</v>
      </c>
      <c r="L37" s="594">
        <v>0.23895</v>
      </c>
      <c r="M37" s="196">
        <f t="shared" si="2"/>
        <v>469954.67355000001</v>
      </c>
      <c r="P37" s="272"/>
      <c r="Q37" s="272"/>
    </row>
    <row r="38" spans="1:17" ht="15.75">
      <c r="A38" s="144" t="s">
        <v>14</v>
      </c>
      <c r="B38" s="531" t="s">
        <v>115</v>
      </c>
      <c r="C38" s="567">
        <v>0</v>
      </c>
      <c r="D38" s="36"/>
      <c r="F38" s="200" t="s">
        <v>305</v>
      </c>
      <c r="G38" s="605">
        <f>G24</f>
        <v>13952</v>
      </c>
      <c r="H38" s="594">
        <v>0.23860000000000001</v>
      </c>
      <c r="I38" s="196">
        <f t="shared" ref="I38:I44" si="3">G38*H38</f>
        <v>3328.9472000000001</v>
      </c>
      <c r="J38" s="200" t="s">
        <v>39</v>
      </c>
      <c r="K38" s="605">
        <f>K25</f>
        <v>47715</v>
      </c>
      <c r="L38" s="594">
        <v>0.23895</v>
      </c>
      <c r="M38" s="196">
        <f t="shared" si="2"/>
        <v>11401.499249999999</v>
      </c>
      <c r="P38" s="272"/>
      <c r="Q38" s="272"/>
    </row>
    <row r="39" spans="1:17" ht="15.75">
      <c r="A39" s="7" t="s">
        <v>146</v>
      </c>
      <c r="B39" s="531" t="s">
        <v>147</v>
      </c>
      <c r="C39" s="567">
        <v>-81142.62</v>
      </c>
      <c r="D39" s="36"/>
      <c r="F39" s="200" t="s">
        <v>38</v>
      </c>
      <c r="G39" s="605">
        <f t="shared" ref="G39:G44" si="4">G25</f>
        <v>3629858</v>
      </c>
      <c r="H39" s="594">
        <v>0.23860000000000001</v>
      </c>
      <c r="I39" s="196">
        <f t="shared" si="3"/>
        <v>866084.11880000005</v>
      </c>
      <c r="J39" s="200" t="s">
        <v>40</v>
      </c>
      <c r="K39" s="605">
        <f>K26</f>
        <v>0</v>
      </c>
      <c r="L39" s="594">
        <v>0.23895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67">
        <v>1084919.76</v>
      </c>
      <c r="D40" s="36"/>
      <c r="F40" s="200" t="s">
        <v>39</v>
      </c>
      <c r="G40" s="605">
        <f t="shared" si="4"/>
        <v>0</v>
      </c>
      <c r="H40" s="594">
        <v>0.23860000000000001</v>
      </c>
      <c r="I40" s="196">
        <f t="shared" si="3"/>
        <v>0</v>
      </c>
      <c r="J40" s="200" t="s">
        <v>41</v>
      </c>
      <c r="K40" s="605">
        <f>K27</f>
        <v>0</v>
      </c>
      <c r="L40" s="594">
        <v>0.23895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67">
        <v>-9731.43</v>
      </c>
      <c r="D41" s="36"/>
      <c r="F41" s="200" t="s">
        <v>40</v>
      </c>
      <c r="G41" s="605">
        <f t="shared" si="4"/>
        <v>248414</v>
      </c>
      <c r="H41" s="594">
        <v>0.23860000000000001</v>
      </c>
      <c r="I41" s="196">
        <f t="shared" si="3"/>
        <v>59271.580399999999</v>
      </c>
      <c r="J41" s="200" t="s">
        <v>42</v>
      </c>
      <c r="K41" s="562">
        <v>0</v>
      </c>
      <c r="L41" s="594">
        <v>0.23895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67">
        <v>143152.29</v>
      </c>
      <c r="D42" s="37"/>
      <c r="F42" s="200" t="s">
        <v>41</v>
      </c>
      <c r="G42" s="605">
        <f t="shared" si="4"/>
        <v>34226</v>
      </c>
      <c r="H42" s="594">
        <v>0.23860000000000001</v>
      </c>
      <c r="I42" s="196">
        <f t="shared" si="3"/>
        <v>8166.3236000000006</v>
      </c>
      <c r="J42" s="200" t="s">
        <v>43</v>
      </c>
      <c r="K42" s="606">
        <v>0</v>
      </c>
      <c r="L42" s="594">
        <v>0.23895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4439068.41</v>
      </c>
      <c r="D43" s="36"/>
      <c r="F43" s="200" t="s">
        <v>42</v>
      </c>
      <c r="G43" s="605">
        <f t="shared" si="4"/>
        <v>0</v>
      </c>
      <c r="H43" s="594">
        <v>0.23860000000000001</v>
      </c>
      <c r="I43" s="196">
        <f t="shared" si="3"/>
        <v>0</v>
      </c>
      <c r="J43" s="199" t="s">
        <v>133</v>
      </c>
      <c r="K43" s="181">
        <f>SUM(K36:K42)</f>
        <v>6809567</v>
      </c>
      <c r="L43" s="182"/>
      <c r="M43" s="197">
        <f>SUM(M36:M42)</f>
        <v>1627146.03465</v>
      </c>
    </row>
    <row r="44" spans="1:17" ht="16.5" thickBot="1">
      <c r="A44" s="83" t="s">
        <v>177</v>
      </c>
      <c r="B44" s="84" t="s">
        <v>120</v>
      </c>
      <c r="C44" s="567">
        <f>-138770.47+1042908.8</f>
        <v>904138.33000000007</v>
      </c>
      <c r="D44" s="37"/>
      <c r="F44" s="200" t="s">
        <v>43</v>
      </c>
      <c r="G44" s="605">
        <f t="shared" si="4"/>
        <v>40231</v>
      </c>
      <c r="H44" s="594">
        <v>0.23860000000000001</v>
      </c>
      <c r="I44" s="196">
        <f t="shared" si="3"/>
        <v>9599.1165999999994</v>
      </c>
      <c r="J44" s="194"/>
      <c r="K44" s="232">
        <v>6809567</v>
      </c>
      <c r="L44" s="189" t="s">
        <v>102</v>
      </c>
      <c r="M44" s="217">
        <f>M43/K43</f>
        <v>0.23895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12802517</v>
      </c>
      <c r="H45" s="182"/>
      <c r="I45" s="197">
        <f>SUM(I37:I44)</f>
        <v>3054680.5561999995</v>
      </c>
      <c r="J45" s="124"/>
      <c r="K45" s="230">
        <f>K43-K44</f>
        <v>0</v>
      </c>
      <c r="L45" s="384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12802517</v>
      </c>
      <c r="H46" s="189" t="s">
        <v>102</v>
      </c>
      <c r="I46" s="215">
        <f>I45/G45</f>
        <v>0.23859999999999995</v>
      </c>
      <c r="J46" s="124"/>
      <c r="K46" s="114"/>
      <c r="L46" s="384"/>
      <c r="M46" s="68"/>
    </row>
    <row r="47" spans="1:17" ht="19.5" customHeight="1">
      <c r="A47" s="383" t="s">
        <v>137</v>
      </c>
      <c r="B47" s="6" t="s">
        <v>115</v>
      </c>
      <c r="C47" s="567">
        <v>0</v>
      </c>
      <c r="D47" s="36"/>
      <c r="F47" s="384"/>
      <c r="G47" s="230">
        <f>G45-G46</f>
        <v>0</v>
      </c>
      <c r="H47" s="384"/>
      <c r="I47" s="384"/>
      <c r="J47" s="124"/>
      <c r="K47" s="114"/>
      <c r="L47" s="384"/>
      <c r="M47" s="68"/>
    </row>
    <row r="48" spans="1:17" ht="16.5" thickBot="1">
      <c r="A48" s="144" t="s">
        <v>304</v>
      </c>
      <c r="B48" s="6" t="s">
        <v>115</v>
      </c>
      <c r="C48" s="567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67">
        <v>18045.689999999999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67">
        <v>1352.29</v>
      </c>
      <c r="D50" s="36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73" t="s">
        <v>152</v>
      </c>
      <c r="C51" s="567">
        <v>6694.18</v>
      </c>
      <c r="D51" s="33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598">
        <f>-C33</f>
        <v>44472.11</v>
      </c>
      <c r="D52" s="36"/>
      <c r="F52" s="384" t="s">
        <v>136</v>
      </c>
      <c r="G52" s="384"/>
      <c r="H52" s="212">
        <f>K12</f>
        <v>118792.85238400078</v>
      </c>
      <c r="I52" s="115">
        <f>I14</f>
        <v>1604976.2789280005</v>
      </c>
      <c r="J52" s="115">
        <f>L12</f>
        <v>59677.43761600041</v>
      </c>
      <c r="K52" s="115">
        <f>J14</f>
        <v>670617.48107200023</v>
      </c>
      <c r="L52" s="132">
        <f>SUM(H52:K52)</f>
        <v>2454064.0500000017</v>
      </c>
      <c r="M52" s="384"/>
    </row>
    <row r="53" spans="1:21" ht="16.5" thickBot="1">
      <c r="A53" s="384" t="s">
        <v>315</v>
      </c>
      <c r="B53" s="610" t="s">
        <v>316</v>
      </c>
      <c r="C53" s="567">
        <v>7278.33</v>
      </c>
      <c r="D53" s="36"/>
      <c r="F53" s="383" t="s">
        <v>109</v>
      </c>
      <c r="H53" s="212">
        <f>-I45</f>
        <v>-3054680.5561999995</v>
      </c>
      <c r="I53" s="115">
        <f>-I32</f>
        <v>-1589934.2196900002</v>
      </c>
      <c r="J53" s="115">
        <f>-M43</f>
        <v>-1627146.03465</v>
      </c>
      <c r="K53" s="115">
        <f>-M28</f>
        <v>-771592.03676999989</v>
      </c>
      <c r="L53" s="260">
        <f>SUM(H53:K53)</f>
        <v>-7043352.8473100001</v>
      </c>
    </row>
    <row r="54" spans="1:21" ht="16.5" thickBot="1">
      <c r="A54" s="381" t="s">
        <v>124</v>
      </c>
      <c r="B54" s="472" t="s">
        <v>296</v>
      </c>
      <c r="C54" s="567">
        <v>-5031154.5599999996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-4589288.7973099984</v>
      </c>
    </row>
    <row r="55" spans="1:21" ht="16.5" thickBot="1">
      <c r="A55" s="383" t="s">
        <v>312</v>
      </c>
      <c r="B55" s="6" t="s">
        <v>190</v>
      </c>
      <c r="C55" s="567">
        <v>-375000</v>
      </c>
      <c r="D55" s="36"/>
      <c r="F55" s="383" t="s">
        <v>71</v>
      </c>
      <c r="H55" s="125">
        <f>IFERROR(H52+H53+H54,0)</f>
        <v>-2935887.7038159985</v>
      </c>
      <c r="I55" s="125">
        <f>I52+I53+I54</f>
        <v>15042.059238000307</v>
      </c>
      <c r="J55" s="125">
        <f>IFERROR(J52+J53+J54,0)</f>
        <v>-1567468.5970339996</v>
      </c>
      <c r="K55" s="125">
        <f>K52+K53+K54</f>
        <v>-100974.55569799966</v>
      </c>
      <c r="L55" s="47">
        <f>SUM(H55:K55)</f>
        <v>-4589288.7973099975</v>
      </c>
    </row>
    <row r="56" spans="1:21" ht="16.5" thickBot="1">
      <c r="A56" s="82" t="s">
        <v>119</v>
      </c>
      <c r="B56" s="84"/>
      <c r="C56" s="160">
        <f>SUM(C43:C55)</f>
        <v>21894.780000001192</v>
      </c>
      <c r="D56" s="36"/>
      <c r="F56" s="239" t="s">
        <v>181</v>
      </c>
      <c r="H56" s="383" t="s">
        <v>173</v>
      </c>
      <c r="I56" s="5">
        <f>SUM(H55:I55)</f>
        <v>-2920845.6445779982</v>
      </c>
      <c r="J56" s="15" t="s">
        <v>174</v>
      </c>
      <c r="K56" s="383">
        <f>SUM(J55:K55)</f>
        <v>-1668443.1527319993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67">
        <v>104499.94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67">
        <v>52075.57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178470.2900000012</v>
      </c>
      <c r="D59" s="36"/>
      <c r="F59" s="542" t="s">
        <v>303</v>
      </c>
      <c r="G59" s="544"/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2454064.0500000017</v>
      </c>
      <c r="D61" s="37"/>
      <c r="H61" s="348" t="e">
        <f>SUM('WA - Def-Amtz (current)'!AN5:AN10,'WA - Def-Amtz (current)'!AN35:AN40,'WA - Def-Amtz (current)'!AN70:AN73,#REF!,#REF!,#REF!)</f>
        <v>#REF!</v>
      </c>
      <c r="I61" s="448" t="e">
        <f>SUM('WA - Def-Amtz (current)'!AO5:AO10,'WA - Def-Amtz (current)'!AO35:AO40,'WA - Def-Amtz (current)'!AO70:AO73,#REF!,#REF!,#REF!)</f>
        <v>#REF!</v>
      </c>
    </row>
    <row r="62" spans="1:21" ht="15.75">
      <c r="A62" s="2"/>
      <c r="B62" s="9" t="s">
        <v>160</v>
      </c>
      <c r="C62" s="349">
        <v>2454064.0499999998</v>
      </c>
      <c r="G62" s="5"/>
      <c r="I62" s="337" t="e">
        <f>H61-I61</f>
        <v>#REF!</v>
      </c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N63" s="5"/>
      <c r="O63" s="5"/>
      <c r="S63" s="6"/>
    </row>
    <row r="64" spans="1:21" ht="15.75">
      <c r="A64" s="44"/>
      <c r="C64" s="350"/>
      <c r="D64" s="43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I66" s="96"/>
      <c r="N66" s="22"/>
      <c r="S66" s="24"/>
    </row>
    <row r="67" spans="1:21">
      <c r="C67" s="100"/>
      <c r="D67" s="36"/>
      <c r="I67" s="9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  <c r="N71" s="22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11" priority="7" stopIfTrue="1" operator="equal">
      <formula>0</formula>
    </cfRule>
    <cfRule type="cellIs" dxfId="210" priority="8" stopIfTrue="1" operator="notEqual">
      <formula>0</formula>
    </cfRule>
  </conditionalFormatting>
  <conditionalFormatting sqref="G34 G47 K30 K45">
    <cfRule type="cellIs" dxfId="209" priority="6" operator="notEqual">
      <formula>0</formula>
    </cfRule>
  </conditionalFormatting>
  <conditionalFormatting sqref="C63">
    <cfRule type="cellIs" dxfId="208" priority="4" stopIfTrue="1" operator="equal">
      <formula>0</formula>
    </cfRule>
    <cfRule type="cellIs" dxfId="207" priority="5" stopIfTrue="1" operator="notEqual">
      <formula>0</formula>
    </cfRule>
  </conditionalFormatting>
  <conditionalFormatting sqref="K30">
    <cfRule type="cellIs" dxfId="206" priority="3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6">
    <tabColor rgb="FF00CC66"/>
    <pageSetUpPr fitToPage="1"/>
  </sheetPr>
  <dimension ref="A1:U1485"/>
  <sheetViews>
    <sheetView showGridLines="0" topLeftCell="A18" zoomScale="70" zoomScaleNormal="70" workbookViewId="0">
      <selection activeCell="C75" sqref="C75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Oct!C1+1</f>
        <v>201811</v>
      </c>
      <c r="F1" s="528">
        <f>C1</f>
        <v>201811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f>3691648.69</f>
        <v>3691648.69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-189.1+68263.39</f>
        <v>68074.289999999994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0.67859999999999998</v>
      </c>
      <c r="L5" s="444">
        <f>1-K5</f>
        <v>0.32140000000000002</v>
      </c>
      <c r="M5" s="384"/>
    </row>
    <row r="6" spans="1:13" ht="16.5" thickBot="1">
      <c r="A6" s="49" t="s">
        <v>30</v>
      </c>
      <c r="C6" s="568">
        <f>-79335-99088.8-1509333-430500-123000-138375</f>
        <v>-2379631.7999999998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1380091.1800000002</v>
      </c>
      <c r="D7" s="35"/>
      <c r="F7" s="166" t="s">
        <v>139</v>
      </c>
      <c r="G7" s="166"/>
      <c r="H7" s="125">
        <f>C34</f>
        <v>2243835.91</v>
      </c>
      <c r="I7" s="167">
        <f>H7*I5</f>
        <v>1549593.079446</v>
      </c>
      <c r="J7" s="167">
        <f>H7*J5</f>
        <v>694242.8305540001</v>
      </c>
      <c r="K7" s="167"/>
      <c r="L7" s="167"/>
      <c r="M7" s="384"/>
    </row>
    <row r="8" spans="1:13" ht="15.75">
      <c r="A8" s="383" t="s">
        <v>89</v>
      </c>
      <c r="C8" s="567">
        <v>244576.79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f>8418.02</f>
        <v>8418.02</v>
      </c>
      <c r="D9" s="36"/>
      <c r="F9" s="166" t="s">
        <v>119</v>
      </c>
      <c r="G9" s="384"/>
      <c r="H9" s="167">
        <f>C56</f>
        <v>6394422.21</v>
      </c>
      <c r="I9" s="167"/>
      <c r="J9" s="167"/>
      <c r="K9" s="167">
        <f>H9*K5</f>
        <v>4339254.9117059996</v>
      </c>
      <c r="L9" s="167">
        <f>H9*L5</f>
        <v>2055167.2982940001</v>
      </c>
      <c r="M9" s="384"/>
    </row>
    <row r="10" spans="1:13" ht="15.75">
      <c r="A10" s="49" t="s">
        <v>91</v>
      </c>
      <c r="C10" s="568">
        <v>-3308.2</v>
      </c>
      <c r="D10" s="36"/>
      <c r="F10" s="169" t="s">
        <v>44</v>
      </c>
      <c r="G10" s="384"/>
      <c r="H10" s="167">
        <f>C57</f>
        <v>-108566.91</v>
      </c>
      <c r="I10" s="167"/>
      <c r="J10" s="167"/>
      <c r="K10" s="167">
        <f>H10</f>
        <v>-108566.91</v>
      </c>
      <c r="L10" s="167"/>
      <c r="M10" s="384"/>
    </row>
    <row r="11" spans="1:13">
      <c r="A11" s="66" t="s">
        <v>145</v>
      </c>
      <c r="C11" s="100">
        <f>SUM(C8:C10)</f>
        <v>249686.61</v>
      </c>
      <c r="D11" s="36"/>
      <c r="F11" s="169" t="s">
        <v>45</v>
      </c>
      <c r="G11" s="384"/>
      <c r="H11" s="170">
        <f>C58</f>
        <v>-54352.7</v>
      </c>
      <c r="I11" s="167"/>
      <c r="J11" s="167"/>
      <c r="K11" s="170"/>
      <c r="L11" s="170">
        <f>H11</f>
        <v>-54352.7</v>
      </c>
      <c r="M11" s="384"/>
    </row>
    <row r="12" spans="1:13" ht="15.75">
      <c r="A12" s="383" t="s">
        <v>165</v>
      </c>
      <c r="C12" s="567">
        <f>2747.14+184211.28</f>
        <v>186958.42</v>
      </c>
      <c r="D12" s="36"/>
      <c r="F12" s="169" t="s">
        <v>138</v>
      </c>
      <c r="G12" s="384"/>
      <c r="H12" s="167">
        <f>H9+H10+H11</f>
        <v>6231502.5999999996</v>
      </c>
      <c r="I12" s="167"/>
      <c r="J12" s="167"/>
      <c r="K12" s="167">
        <f>SUM(K9:K11)</f>
        <v>4230688.0017059995</v>
      </c>
      <c r="L12" s="167">
        <f>SUM(L9:L11)</f>
        <v>2000814.5982940001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186958.42</v>
      </c>
      <c r="D14" s="37"/>
      <c r="F14" s="50" t="s">
        <v>69</v>
      </c>
      <c r="G14" s="175"/>
      <c r="H14" s="125">
        <f>H12+H7</f>
        <v>8475338.5099999998</v>
      </c>
      <c r="I14" s="176">
        <f>SUM(I7:I13)</f>
        <v>1549593.079446</v>
      </c>
      <c r="J14" s="176">
        <f>SUM(J7:J13)</f>
        <v>694242.8305540001</v>
      </c>
      <c r="K14" s="176">
        <f>K12</f>
        <v>4230688.0017059995</v>
      </c>
      <c r="L14" s="176">
        <f>L12</f>
        <v>2000814.5982940001</v>
      </c>
      <c r="M14" s="384"/>
    </row>
    <row r="15" spans="1:13" ht="15.75">
      <c r="A15" s="383" t="s">
        <v>183</v>
      </c>
      <c r="C15" s="567">
        <f>430441.35+6419.15</f>
        <v>436860.5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4" ht="15.75" thickBot="1">
      <c r="A17" s="66" t="s">
        <v>185</v>
      </c>
      <c r="C17" s="100">
        <f>SUM(C15:C16)</f>
        <v>436860.5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4" ht="16.5" thickBot="1">
      <c r="A18" s="383" t="s">
        <v>163</v>
      </c>
      <c r="C18" s="567">
        <f>62616.1+10081.5+1226.07</f>
        <v>73923.670000000013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4" ht="15.75">
      <c r="A19" s="46" t="s">
        <v>164</v>
      </c>
      <c r="C19" s="568">
        <f>-1101.09</f>
        <v>-1101.0899999999999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4" ht="16.5" thickBot="1">
      <c r="A20" s="67" t="s">
        <v>93</v>
      </c>
      <c r="C20" s="100">
        <f>SUM(C18:C19)</f>
        <v>72822.580000000016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4" ht="15.75">
      <c r="A21" s="46" t="s">
        <v>149</v>
      </c>
      <c r="C21" s="568">
        <f>-118.03+1850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4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4" ht="15.75">
      <c r="A23" s="208" t="s">
        <v>180</v>
      </c>
      <c r="C23" s="100">
        <v>0</v>
      </c>
      <c r="D23" s="36"/>
      <c r="F23" s="200" t="s">
        <v>37</v>
      </c>
      <c r="G23" s="561">
        <v>14838696</v>
      </c>
      <c r="H23" s="388" t="s">
        <v>306</v>
      </c>
      <c r="I23" s="582">
        <v>1571425</v>
      </c>
      <c r="J23" s="200" t="s">
        <v>37</v>
      </c>
      <c r="K23" s="561">
        <v>7458719</v>
      </c>
      <c r="L23" s="388" t="s">
        <v>306</v>
      </c>
      <c r="M23" s="582">
        <v>789761</v>
      </c>
    </row>
    <row r="24" spans="1:14" ht="15.75">
      <c r="A24" s="208" t="s">
        <v>186</v>
      </c>
      <c r="C24" s="122">
        <v>0</v>
      </c>
      <c r="D24" s="36"/>
      <c r="F24" s="200" t="s">
        <v>305</v>
      </c>
      <c r="G24" s="561">
        <v>20740</v>
      </c>
      <c r="H24" s="388" t="s">
        <v>306</v>
      </c>
      <c r="I24" s="582">
        <v>2193</v>
      </c>
      <c r="J24" s="200" t="s">
        <v>38</v>
      </c>
      <c r="K24" s="561">
        <v>2362350</v>
      </c>
      <c r="L24" s="388" t="s">
        <v>306</v>
      </c>
      <c r="M24" s="582">
        <v>248894</v>
      </c>
    </row>
    <row r="25" spans="1:14" ht="15.75">
      <c r="A25" s="208" t="s">
        <v>189</v>
      </c>
      <c r="C25" s="557">
        <v>0</v>
      </c>
      <c r="D25" s="36"/>
      <c r="F25" s="200" t="s">
        <v>38</v>
      </c>
      <c r="G25" s="561">
        <v>5325716</v>
      </c>
      <c r="H25" s="388" t="s">
        <v>306</v>
      </c>
      <c r="I25" s="582">
        <v>506311</v>
      </c>
      <c r="J25" s="200" t="s">
        <v>39</v>
      </c>
      <c r="K25" s="561">
        <v>35223</v>
      </c>
      <c r="L25" s="388" t="s">
        <v>306</v>
      </c>
      <c r="M25" s="582">
        <v>3853</v>
      </c>
    </row>
    <row r="26" spans="1:14" ht="15.75">
      <c r="A26" s="209" t="s">
        <v>188</v>
      </c>
      <c r="C26" s="558">
        <v>0</v>
      </c>
      <c r="D26" s="36"/>
      <c r="F26" s="200" t="s">
        <v>39</v>
      </c>
      <c r="G26" s="561">
        <v>153941</v>
      </c>
      <c r="H26" s="388" t="s">
        <v>306</v>
      </c>
      <c r="I26" s="582">
        <v>16784</v>
      </c>
      <c r="J26" s="200" t="s">
        <v>40</v>
      </c>
      <c r="K26" s="561">
        <v>0</v>
      </c>
      <c r="L26" s="388" t="s">
        <v>306</v>
      </c>
      <c r="M26" s="582">
        <v>0</v>
      </c>
    </row>
    <row r="27" spans="1:14" ht="15.75">
      <c r="A27" s="65" t="s">
        <v>96</v>
      </c>
      <c r="C27" s="100">
        <f>SUM(C23:C26)</f>
        <v>0</v>
      </c>
      <c r="D27" s="36"/>
      <c r="F27" s="200" t="s">
        <v>40</v>
      </c>
      <c r="G27" s="561">
        <v>458380</v>
      </c>
      <c r="H27" s="388" t="s">
        <v>306</v>
      </c>
      <c r="I27" s="582">
        <v>46985</v>
      </c>
      <c r="J27" s="200" t="s">
        <v>41</v>
      </c>
      <c r="K27" s="561">
        <v>0</v>
      </c>
      <c r="L27" s="388" t="s">
        <v>306</v>
      </c>
      <c r="M27" s="582">
        <f t="shared" ref="M27" si="0">K27*L27</f>
        <v>0</v>
      </c>
    </row>
    <row r="28" spans="1:14" ht="16.5" thickBot="1">
      <c r="A28" s="210" t="s">
        <v>150</v>
      </c>
      <c r="C28" s="311">
        <v>0</v>
      </c>
      <c r="D28" s="37"/>
      <c r="F28" s="200" t="s">
        <v>41</v>
      </c>
      <c r="G28" s="561">
        <v>-87780</v>
      </c>
      <c r="H28" s="388" t="s">
        <v>306</v>
      </c>
      <c r="I28" s="582">
        <v>-9655</v>
      </c>
      <c r="J28" s="199" t="s">
        <v>127</v>
      </c>
      <c r="K28" s="181">
        <f>SUM(K23:K27)</f>
        <v>9856292</v>
      </c>
      <c r="L28" s="182"/>
      <c r="M28" s="197">
        <f>SUM(M23:M27)</f>
        <v>1042508</v>
      </c>
      <c r="N28" s="383">
        <f>M28/(M28+I32)</f>
        <v>0.32733511385522762</v>
      </c>
    </row>
    <row r="29" spans="1:14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1">
        <v>0</v>
      </c>
      <c r="H29" s="388" t="s">
        <v>306</v>
      </c>
      <c r="I29" s="582">
        <v>0</v>
      </c>
      <c r="J29" s="199"/>
      <c r="K29" s="231">
        <v>9856292</v>
      </c>
      <c r="L29" s="187" t="s">
        <v>102</v>
      </c>
      <c r="M29" s="196">
        <f>M28/K28</f>
        <v>0.10577081117320794</v>
      </c>
    </row>
    <row r="30" spans="1:14" ht="16.5" thickBot="1">
      <c r="A30" s="2" t="s">
        <v>111</v>
      </c>
      <c r="C30" s="125">
        <f>C7+C11+C14+C17+C20+C22+C27+C28+C29</f>
        <v>2328151.2600000002</v>
      </c>
      <c r="D30" s="37"/>
      <c r="F30" s="200" t="s">
        <v>43</v>
      </c>
      <c r="G30" s="561">
        <v>98095</v>
      </c>
      <c r="H30" s="388" t="s">
        <v>306</v>
      </c>
      <c r="I30" s="582">
        <v>6459</v>
      </c>
      <c r="J30" s="200"/>
      <c r="K30" s="230">
        <f>K28-K29</f>
        <v>0</v>
      </c>
      <c r="L30" s="182"/>
      <c r="M30" s="198"/>
    </row>
    <row r="31" spans="1:14" ht="15.75">
      <c r="A31" s="383" t="s">
        <v>112</v>
      </c>
      <c r="C31" s="567">
        <v>-8924.1299999999992</v>
      </c>
      <c r="D31" s="39"/>
      <c r="F31" s="200" t="s">
        <v>74</v>
      </c>
      <c r="G31" s="561">
        <v>3418526</v>
      </c>
      <c r="H31" s="388" t="s">
        <v>306</v>
      </c>
      <c r="I31" s="582">
        <v>1824</v>
      </c>
      <c r="J31" s="153"/>
      <c r="K31" s="7"/>
      <c r="L31" s="182"/>
      <c r="M31" s="198"/>
    </row>
    <row r="32" spans="1:14" ht="16.5" thickBot="1">
      <c r="A32" s="2" t="s">
        <v>116</v>
      </c>
      <c r="B32" s="2" t="s">
        <v>117</v>
      </c>
      <c r="C32" s="565">
        <f>C30+C31</f>
        <v>2319227.1300000004</v>
      </c>
      <c r="D32" s="40"/>
      <c r="F32" s="199" t="s">
        <v>127</v>
      </c>
      <c r="G32" s="181">
        <f>SUM(G23:G31)</f>
        <v>24226314</v>
      </c>
      <c r="H32" s="7"/>
      <c r="I32" s="197">
        <f>SUM(I23:I31)</f>
        <v>2142326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565">
        <f>-C5-C9-C13-C16-C19</f>
        <v>-75391.22</v>
      </c>
      <c r="D33" s="36"/>
      <c r="F33" s="186"/>
      <c r="G33" s="231">
        <v>24226314</v>
      </c>
      <c r="H33" s="187" t="s">
        <v>102</v>
      </c>
      <c r="I33" s="216">
        <f>I32/G32</f>
        <v>8.8429713244862596E-2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2243835.91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0">
        <f>K23</f>
        <v>7458719</v>
      </c>
      <c r="L36" s="388" t="s">
        <v>306</v>
      </c>
      <c r="M36" s="582">
        <v>1621007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10529095.66</v>
      </c>
      <c r="D37" s="36"/>
      <c r="F37" s="200" t="s">
        <v>37</v>
      </c>
      <c r="G37" s="605">
        <f>G23</f>
        <v>14838696</v>
      </c>
      <c r="H37" s="388" t="s">
        <v>306</v>
      </c>
      <c r="I37" s="582">
        <v>3296806</v>
      </c>
      <c r="J37" s="200" t="s">
        <v>38</v>
      </c>
      <c r="K37" s="580">
        <f>K24</f>
        <v>2362350</v>
      </c>
      <c r="L37" s="388" t="s">
        <v>306</v>
      </c>
      <c r="M37" s="582">
        <v>509054</v>
      </c>
      <c r="P37" s="272"/>
      <c r="Q37" s="272"/>
    </row>
    <row r="38" spans="1:17" ht="15.75">
      <c r="A38" s="144" t="s">
        <v>14</v>
      </c>
      <c r="B38" s="531" t="s">
        <v>115</v>
      </c>
      <c r="C38" s="122">
        <v>0</v>
      </c>
      <c r="D38" s="36"/>
      <c r="F38" s="200" t="s">
        <v>305</v>
      </c>
      <c r="G38" s="605">
        <f>G24</f>
        <v>20740</v>
      </c>
      <c r="H38" s="388" t="s">
        <v>306</v>
      </c>
      <c r="I38" s="582">
        <v>4612</v>
      </c>
      <c r="J38" s="200" t="s">
        <v>39</v>
      </c>
      <c r="K38" s="580">
        <f>K25</f>
        <v>35223</v>
      </c>
      <c r="L38" s="388" t="s">
        <v>306</v>
      </c>
      <c r="M38" s="582">
        <v>7973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-95896.08</v>
      </c>
      <c r="D39" s="36"/>
      <c r="F39" s="200" t="s">
        <v>38</v>
      </c>
      <c r="G39" s="605">
        <f t="shared" ref="G39:G44" si="1">G25</f>
        <v>5325716</v>
      </c>
      <c r="H39" s="388" t="s">
        <v>306</v>
      </c>
      <c r="I39" s="582">
        <v>1178508</v>
      </c>
      <c r="J39" s="200" t="s">
        <v>40</v>
      </c>
      <c r="K39" s="580">
        <f>K26</f>
        <v>0</v>
      </c>
      <c r="L39" s="388" t="s">
        <v>306</v>
      </c>
      <c r="M39" s="582"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1748289.38</v>
      </c>
      <c r="D40" s="36"/>
      <c r="F40" s="200" t="s">
        <v>39</v>
      </c>
      <c r="G40" s="605">
        <f t="shared" si="1"/>
        <v>153941</v>
      </c>
      <c r="H40" s="388" t="s">
        <v>306</v>
      </c>
      <c r="I40" s="582">
        <v>37115</v>
      </c>
      <c r="J40" s="200" t="s">
        <v>41</v>
      </c>
      <c r="K40" s="580">
        <f>K27</f>
        <v>0</v>
      </c>
      <c r="L40" s="388" t="s">
        <v>306</v>
      </c>
      <c r="M40" s="582"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f>39040.01-26739.64</f>
        <v>12300.370000000003</v>
      </c>
      <c r="D41" s="36"/>
      <c r="F41" s="200" t="s">
        <v>40</v>
      </c>
      <c r="G41" s="605">
        <f t="shared" si="1"/>
        <v>458380</v>
      </c>
      <c r="H41" s="388" t="s">
        <v>306</v>
      </c>
      <c r="I41" s="582">
        <v>98901</v>
      </c>
      <c r="J41" s="200" t="s">
        <v>42</v>
      </c>
      <c r="K41" s="561">
        <v>0</v>
      </c>
      <c r="L41" s="388" t="s">
        <v>306</v>
      </c>
      <c r="M41" s="582"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509848.88</v>
      </c>
      <c r="D42" s="37"/>
      <c r="F42" s="200" t="s">
        <v>41</v>
      </c>
      <c r="G42" s="605">
        <f t="shared" si="1"/>
        <v>-87780</v>
      </c>
      <c r="H42" s="388" t="s">
        <v>306</v>
      </c>
      <c r="I42" s="582">
        <v>-21349</v>
      </c>
      <c r="J42" s="200" t="s">
        <v>43</v>
      </c>
      <c r="K42" s="581">
        <v>0</v>
      </c>
      <c r="L42" s="388" t="s">
        <v>306</v>
      </c>
      <c r="M42" s="582"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12703638.210000001</v>
      </c>
      <c r="D43" s="36"/>
      <c r="F43" s="200" t="s">
        <v>42</v>
      </c>
      <c r="G43" s="605">
        <f t="shared" si="1"/>
        <v>0</v>
      </c>
      <c r="H43" s="388" t="s">
        <v>306</v>
      </c>
      <c r="I43" s="582">
        <v>0</v>
      </c>
      <c r="J43" s="199" t="s">
        <v>133</v>
      </c>
      <c r="K43" s="181">
        <f>SUM(K36:K42)</f>
        <v>9856292</v>
      </c>
      <c r="L43" s="182"/>
      <c r="M43" s="197">
        <f>SUM(M36:M42)</f>
        <v>2138034</v>
      </c>
      <c r="N43" s="383">
        <f>M43/(M43+I45)</f>
        <v>0.31650260999475072</v>
      </c>
    </row>
    <row r="44" spans="1:17" ht="16.5" thickBot="1">
      <c r="A44" s="83" t="s">
        <v>177</v>
      </c>
      <c r="B44" s="84" t="s">
        <v>120</v>
      </c>
      <c r="C44" s="559">
        <f>-467703.91+428730.4</f>
        <v>-38973.509999999951</v>
      </c>
      <c r="D44" s="37"/>
      <c r="F44" s="200" t="s">
        <v>43</v>
      </c>
      <c r="G44" s="605">
        <f t="shared" si="1"/>
        <v>98095</v>
      </c>
      <c r="H44" s="388" t="s">
        <v>306</v>
      </c>
      <c r="I44" s="582">
        <v>22559</v>
      </c>
      <c r="J44" s="194"/>
      <c r="K44" s="232">
        <v>9856292</v>
      </c>
      <c r="L44" s="189" t="s">
        <v>102</v>
      </c>
      <c r="M44" s="217">
        <f>M43/K43</f>
        <v>0.2169207243454232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20807788</v>
      </c>
      <c r="H45" s="182"/>
      <c r="I45" s="197">
        <f>SUM(I37:I44)</f>
        <v>4617152</v>
      </c>
      <c r="J45" s="124"/>
      <c r="K45" s="230">
        <f>K43-K44</f>
        <v>0</v>
      </c>
      <c r="L45" s="384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20807788</v>
      </c>
      <c r="H46" s="189" t="s">
        <v>102</v>
      </c>
      <c r="I46" s="215">
        <f>I45/G45</f>
        <v>0.22189537878798074</v>
      </c>
      <c r="J46" s="124"/>
      <c r="K46" s="230"/>
      <c r="L46" s="384"/>
      <c r="M46" s="124"/>
    </row>
    <row r="47" spans="1:17" ht="19.5" customHeight="1">
      <c r="A47" s="383" t="s">
        <v>137</v>
      </c>
      <c r="B47" s="6" t="s">
        <v>115</v>
      </c>
      <c r="C47" s="122">
        <v>0</v>
      </c>
      <c r="D47" s="36"/>
      <c r="F47" s="384"/>
      <c r="G47" s="230">
        <f>G45-G46</f>
        <v>0</v>
      </c>
      <c r="H47" s="384"/>
      <c r="I47" s="384"/>
      <c r="J47" s="124"/>
      <c r="K47" s="230"/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18885.439999999999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2712.28</v>
      </c>
      <c r="D50" s="36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77" t="s">
        <v>152</v>
      </c>
      <c r="C51" s="559">
        <v>5061.87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75391.22</v>
      </c>
      <c r="D52" s="33"/>
      <c r="F52" s="384"/>
      <c r="G52" s="384"/>
      <c r="H52" s="212">
        <f>K12</f>
        <v>4230688.0017059995</v>
      </c>
      <c r="I52" s="115">
        <f>I14</f>
        <v>1549593.079446</v>
      </c>
      <c r="J52" s="115">
        <f>L12</f>
        <v>2000814.5982940001</v>
      </c>
      <c r="K52" s="115">
        <f>J14</f>
        <v>694242.8305540001</v>
      </c>
      <c r="L52" s="132">
        <f>SUM(H52:K52)</f>
        <v>8475338.5099999998</v>
      </c>
      <c r="M52" s="384"/>
    </row>
    <row r="53" spans="1:21" ht="16.5" thickBot="1">
      <c r="A53" s="384" t="s">
        <v>315</v>
      </c>
      <c r="B53" s="617" t="s">
        <v>316</v>
      </c>
      <c r="C53" s="559">
        <v>10479.66</v>
      </c>
      <c r="D53" s="33"/>
      <c r="F53" s="384" t="s">
        <v>136</v>
      </c>
      <c r="G53" s="384"/>
      <c r="H53" s="212">
        <f>-I45</f>
        <v>-4617152</v>
      </c>
      <c r="I53" s="115">
        <f>-I32</f>
        <v>-2142326</v>
      </c>
      <c r="J53" s="115">
        <f>-M43</f>
        <v>-2138034</v>
      </c>
      <c r="K53" s="115">
        <f>-M28</f>
        <v>-1042508</v>
      </c>
      <c r="L53" s="260">
        <f>SUM(H53:K53)</f>
        <v>-9940020</v>
      </c>
    </row>
    <row r="54" spans="1:21" ht="16.5" thickBot="1">
      <c r="A54" s="381" t="s">
        <v>124</v>
      </c>
      <c r="B54" s="472" t="s">
        <v>296</v>
      </c>
      <c r="C54" s="559">
        <f>-472597.5-1501696.56-4040478.9</f>
        <v>-6014772.96</v>
      </c>
      <c r="D54" s="36"/>
      <c r="F54" s="383" t="s">
        <v>109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-1464681.4900000002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86</v>
      </c>
      <c r="H55" s="125">
        <f>IFERROR(H52+H53+H54,0)</f>
        <v>-386463.99829400051</v>
      </c>
      <c r="I55" s="125">
        <f>I52+I53+I54</f>
        <v>-592732.92055399995</v>
      </c>
      <c r="J55" s="125">
        <f>IFERROR(J52+J53+J54,0)</f>
        <v>-137219.40170599986</v>
      </c>
      <c r="K55" s="125">
        <f>K52+K53+K54</f>
        <v>-348265.1694459999</v>
      </c>
      <c r="L55" s="47">
        <f>SUM(H55:K55)</f>
        <v>-1464681.4900000002</v>
      </c>
    </row>
    <row r="56" spans="1:21" ht="16.5" thickBot="1">
      <c r="A56" s="82" t="s">
        <v>119</v>
      </c>
      <c r="B56" s="84"/>
      <c r="C56" s="160">
        <f>SUM(C43:C55)</f>
        <v>6394422.21</v>
      </c>
      <c r="D56" s="36"/>
      <c r="F56" s="383" t="s">
        <v>71</v>
      </c>
      <c r="H56" s="383" t="s">
        <v>173</v>
      </c>
      <c r="I56" s="5">
        <f>SUM(H55:I55)</f>
        <v>-979196.91884800047</v>
      </c>
      <c r="J56" s="15" t="s">
        <v>174</v>
      </c>
      <c r="K56" s="383">
        <f>SUM(J55:K55)</f>
        <v>-485484.57115199976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-108566.91</v>
      </c>
      <c r="D57" s="36"/>
      <c r="F57" s="239" t="s">
        <v>181</v>
      </c>
      <c r="H57" s="96"/>
    </row>
    <row r="58" spans="1:21" ht="16.5" thickBot="1">
      <c r="A58" s="383" t="s">
        <v>122</v>
      </c>
      <c r="B58" s="6" t="s">
        <v>115</v>
      </c>
      <c r="C58" s="559">
        <v>-54352.7</v>
      </c>
      <c r="D58" s="36"/>
      <c r="F58" s="396" t="s">
        <v>181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6231502.5999999996</v>
      </c>
      <c r="D59" s="36"/>
      <c r="F59" s="396" t="s">
        <v>182</v>
      </c>
      <c r="H59" s="385" t="s">
        <v>294</v>
      </c>
      <c r="I59" s="386"/>
    </row>
    <row r="60" spans="1:21" ht="17.25" thickTop="1" thickBot="1">
      <c r="A60" s="2"/>
      <c r="C60" s="101"/>
      <c r="D60" s="36"/>
      <c r="F60" s="542" t="s">
        <v>303</v>
      </c>
      <c r="G60" s="544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8475338.5099999998</v>
      </c>
      <c r="D61" s="36"/>
      <c r="H61" s="348" t="e">
        <f>SUM('WA - Def-Amtz (current)'!AN5:AN10,'WA - Def-Amtz (current)'!AN35:AN40,'WA - Def-Amtz (current)'!AN70:AN73,#REF!,#REF!,#REF!)</f>
        <v>#REF!</v>
      </c>
      <c r="I61" s="448" t="e">
        <f>SUM('WA - Def-Amtz (current)'!AO5:AO10,'WA - Def-Amtz (current)'!AO35:AO40,'WA - Def-Amtz (current)'!AO70:AO73,#REF!,#REF!,#REF!)</f>
        <v>#REF!</v>
      </c>
      <c r="J61" s="383">
        <f>H53+I53+J53+K53</f>
        <v>-9940020</v>
      </c>
    </row>
    <row r="62" spans="1:21" ht="15.75">
      <c r="A62" s="2"/>
      <c r="B62" s="9" t="s">
        <v>160</v>
      </c>
      <c r="C62" s="607">
        <v>8475338.5099999998</v>
      </c>
      <c r="D62" s="37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G63" s="5"/>
      <c r="S63" s="6"/>
    </row>
    <row r="64" spans="1:21" ht="15.75">
      <c r="A64" s="44"/>
      <c r="C64" s="350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8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L56 I62 C63">
    <cfRule type="cellIs" dxfId="205" priority="7" stopIfTrue="1" operator="equal">
      <formula>0</formula>
    </cfRule>
    <cfRule type="cellIs" dxfId="204" priority="8" stopIfTrue="1" operator="notEqual">
      <formula>0</formula>
    </cfRule>
  </conditionalFormatting>
  <conditionalFormatting sqref="G34 G47 K30 K45:K47">
    <cfRule type="cellIs" dxfId="203" priority="6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7">
    <tabColor rgb="FF00CC66"/>
    <pageSetUpPr fitToPage="1"/>
  </sheetPr>
  <dimension ref="A1:U1485"/>
  <sheetViews>
    <sheetView showGridLines="0" zoomScale="70" zoomScaleNormal="70" workbookViewId="0">
      <selection activeCell="C75" sqref="C75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Nov!C1+1</f>
        <v>201812</v>
      </c>
      <c r="F1" s="528">
        <f>C1</f>
        <v>201812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59">
        <v>3814703.65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59">
        <f>144686.25-264085.8</f>
        <v>-119399.54999999999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0.68379999999999996</v>
      </c>
      <c r="L5" s="444">
        <f>1-K5</f>
        <v>0.31620000000000004</v>
      </c>
      <c r="M5" s="384"/>
    </row>
    <row r="6" spans="1:13" ht="16.5" thickBot="1">
      <c r="A6" s="49" t="s">
        <v>30</v>
      </c>
      <c r="C6" s="560">
        <f>-81979.5-102391.76-1559644.1-444850-127100-142987.5</f>
        <v>-2458952.8600000003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1236351.2399999998</v>
      </c>
      <c r="D7" s="35"/>
      <c r="F7" s="166" t="s">
        <v>139</v>
      </c>
      <c r="G7" s="166"/>
      <c r="H7" s="125">
        <f>C34</f>
        <v>2311258.1400000006</v>
      </c>
      <c r="I7" s="167">
        <f>H7*I5</f>
        <v>1596154.8714840005</v>
      </c>
      <c r="J7" s="167">
        <f>H7*J5</f>
        <v>715103.26851600024</v>
      </c>
      <c r="K7" s="167"/>
      <c r="L7" s="167"/>
      <c r="M7" s="384"/>
    </row>
    <row r="8" spans="1:13" ht="15.75">
      <c r="A8" s="383" t="s">
        <v>89</v>
      </c>
      <c r="C8" s="559">
        <f>252729.32</f>
        <v>252729.32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59">
        <f>8921.71</f>
        <v>8921.7099999999991</v>
      </c>
      <c r="D9" s="36"/>
      <c r="F9" s="166" t="s">
        <v>119</v>
      </c>
      <c r="G9" s="384"/>
      <c r="H9" s="167">
        <f>C56</f>
        <v>8170179.8899999931</v>
      </c>
      <c r="I9" s="167"/>
      <c r="J9" s="167"/>
      <c r="K9" s="167">
        <f>H9*K5</f>
        <v>5586769.0087819947</v>
      </c>
      <c r="L9" s="167">
        <f>H9*L5</f>
        <v>2583410.881217998</v>
      </c>
      <c r="M9" s="384"/>
    </row>
    <row r="10" spans="1:13" ht="15.75">
      <c r="A10" s="49" t="s">
        <v>91</v>
      </c>
      <c r="C10" s="560">
        <v>-3418.47</v>
      </c>
      <c r="D10" s="36"/>
      <c r="F10" s="169" t="s">
        <v>44</v>
      </c>
      <c r="G10" s="384"/>
      <c r="H10" s="167">
        <f>C57</f>
        <v>5267.34</v>
      </c>
      <c r="I10" s="167"/>
      <c r="J10" s="167"/>
      <c r="K10" s="167">
        <f>H10</f>
        <v>5267.34</v>
      </c>
      <c r="L10" s="167"/>
      <c r="M10" s="384"/>
    </row>
    <row r="11" spans="1:13">
      <c r="A11" s="66" t="s">
        <v>145</v>
      </c>
      <c r="C11" s="100">
        <f>SUM(C8:C10)</f>
        <v>258232.56</v>
      </c>
      <c r="D11" s="36"/>
      <c r="F11" s="169" t="s">
        <v>45</v>
      </c>
      <c r="G11" s="384"/>
      <c r="H11" s="170">
        <f>C58</f>
        <v>3644.06</v>
      </c>
      <c r="I11" s="167"/>
      <c r="J11" s="167"/>
      <c r="K11" s="170"/>
      <c r="L11" s="170">
        <f>H11</f>
        <v>3644.06</v>
      </c>
      <c r="M11" s="384"/>
    </row>
    <row r="12" spans="1:13" ht="15.75">
      <c r="A12" s="383" t="s">
        <v>165</v>
      </c>
      <c r="C12" s="559">
        <f>189318.35+1797.22</f>
        <v>191115.57</v>
      </c>
      <c r="D12" s="36"/>
      <c r="F12" s="169" t="s">
        <v>138</v>
      </c>
      <c r="G12" s="384"/>
      <c r="H12" s="167">
        <f>H9+H10+H11</f>
        <v>8179091.2899999926</v>
      </c>
      <c r="I12" s="167"/>
      <c r="J12" s="167"/>
      <c r="K12" s="167">
        <f>SUM(K9:K11)</f>
        <v>5592036.3487819945</v>
      </c>
      <c r="L12" s="167">
        <f>SUM(L9:L11)</f>
        <v>2587054.941217998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191115.57</v>
      </c>
      <c r="D14" s="37"/>
      <c r="F14" s="50" t="s">
        <v>69</v>
      </c>
      <c r="G14" s="175"/>
      <c r="H14" s="125">
        <f>H12+H7</f>
        <v>10490349.429999992</v>
      </c>
      <c r="I14" s="176">
        <f>SUM(I7:I13)</f>
        <v>1596154.8714840005</v>
      </c>
      <c r="J14" s="176">
        <f>SUM(J7:J13)</f>
        <v>715103.26851600024</v>
      </c>
      <c r="K14" s="176">
        <f>K12</f>
        <v>5592036.3487819945</v>
      </c>
      <c r="L14" s="176">
        <f>L12</f>
        <v>2587054.941217998</v>
      </c>
      <c r="M14" s="384"/>
    </row>
    <row r="15" spans="1:13" ht="15.75">
      <c r="A15" s="383" t="s">
        <v>183</v>
      </c>
      <c r="C15" s="559">
        <f>4199.51+442374.93</f>
        <v>446574.44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446574.44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59">
        <f>709.25+64352.07+10361</f>
        <v>75422.320000000007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3" ht="15.75">
      <c r="A19" s="46" t="s">
        <v>164</v>
      </c>
      <c r="C19" s="560">
        <v>-362.14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75060.180000000008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0">
        <f>1850-118.03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1">
        <v>22763596</v>
      </c>
      <c r="H23" s="388" t="s">
        <v>306</v>
      </c>
      <c r="I23" s="582">
        <v>2442861</v>
      </c>
      <c r="J23" s="200" t="s">
        <v>37</v>
      </c>
      <c r="K23" s="561">
        <v>10866998</v>
      </c>
      <c r="L23" s="388" t="s">
        <v>306</v>
      </c>
      <c r="M23" s="582">
        <v>1142014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1">
        <v>25043</v>
      </c>
      <c r="H24" s="388" t="s">
        <v>306</v>
      </c>
      <c r="I24" s="582">
        <v>2685</v>
      </c>
      <c r="J24" s="200" t="s">
        <v>38</v>
      </c>
      <c r="K24" s="561">
        <v>3547299</v>
      </c>
      <c r="L24" s="388" t="s">
        <v>306</v>
      </c>
      <c r="M24" s="582">
        <v>372958</v>
      </c>
    </row>
    <row r="25" spans="1:13" ht="15.75">
      <c r="A25" s="208" t="s">
        <v>189</v>
      </c>
      <c r="C25" s="557">
        <v>0</v>
      </c>
      <c r="D25" s="36"/>
      <c r="F25" s="200" t="s">
        <v>38</v>
      </c>
      <c r="G25" s="561">
        <v>7830439</v>
      </c>
      <c r="H25" s="388" t="s">
        <v>306</v>
      </c>
      <c r="I25" s="582">
        <v>768458</v>
      </c>
      <c r="J25" s="200" t="s">
        <v>39</v>
      </c>
      <c r="K25" s="561">
        <v>2676</v>
      </c>
      <c r="L25" s="388" t="s">
        <v>306</v>
      </c>
      <c r="M25" s="582">
        <v>281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1">
        <v>22211</v>
      </c>
      <c r="H26" s="388" t="s">
        <v>306</v>
      </c>
      <c r="I26" s="582">
        <v>2187</v>
      </c>
      <c r="J26" s="200" t="s">
        <v>40</v>
      </c>
      <c r="K26" s="561">
        <v>0</v>
      </c>
      <c r="L26" s="388" t="s">
        <v>306</v>
      </c>
      <c r="M26" s="582"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1">
        <v>377693</v>
      </c>
      <c r="H27" s="388" t="s">
        <v>306</v>
      </c>
      <c r="I27" s="582">
        <v>44396</v>
      </c>
      <c r="J27" s="200" t="s">
        <v>41</v>
      </c>
      <c r="K27" s="561">
        <v>0</v>
      </c>
      <c r="L27" s="388" t="s">
        <v>306</v>
      </c>
      <c r="M27" s="582">
        <f t="shared" ref="M27" si="0">K27*L27</f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1">
        <v>47834</v>
      </c>
      <c r="H28" s="388" t="s">
        <v>306</v>
      </c>
      <c r="I28" s="582">
        <v>4793</v>
      </c>
      <c r="J28" s="199" t="s">
        <v>127</v>
      </c>
      <c r="K28" s="181">
        <f>SUM(K23:K27)</f>
        <v>14416973</v>
      </c>
      <c r="L28" s="182"/>
      <c r="M28" s="197">
        <f>SUM(M23:M27)</f>
        <v>1515253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1">
        <v>0</v>
      </c>
      <c r="H29" s="388" t="s">
        <v>306</v>
      </c>
      <c r="I29" s="582">
        <v>0</v>
      </c>
      <c r="J29" s="199"/>
      <c r="K29" s="231">
        <v>14416973</v>
      </c>
      <c r="L29" s="187" t="s">
        <v>102</v>
      </c>
      <c r="M29" s="196">
        <f>M28/K28</f>
        <v>0.10510202106919393</v>
      </c>
    </row>
    <row r="30" spans="1:13" ht="16.5" thickBot="1">
      <c r="A30" s="2" t="s">
        <v>111</v>
      </c>
      <c r="C30" s="125">
        <f>C7+C11+C14+C17+C20+C22+C27+C28+C29</f>
        <v>2209065.9600000004</v>
      </c>
      <c r="D30" s="37"/>
      <c r="F30" s="200" t="s">
        <v>43</v>
      </c>
      <c r="G30" s="561">
        <v>113048</v>
      </c>
      <c r="H30" s="388" t="s">
        <v>306</v>
      </c>
      <c r="I30" s="582">
        <v>7046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v>-8647.7999999999993</v>
      </c>
      <c r="D31" s="39"/>
      <c r="F31" s="200" t="s">
        <v>74</v>
      </c>
      <c r="G31" s="561">
        <v>3967685</v>
      </c>
      <c r="H31" s="388" t="s">
        <v>306</v>
      </c>
      <c r="I31" s="582">
        <v>2120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2200418.1600000006</v>
      </c>
      <c r="D32" s="40"/>
      <c r="F32" s="199" t="s">
        <v>127</v>
      </c>
      <c r="G32" s="181">
        <f>SUM(G23:G31)</f>
        <v>35147549</v>
      </c>
      <c r="H32" s="7"/>
      <c r="I32" s="197">
        <f>SUM(I23:I31)</f>
        <v>3274546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310">
        <f>-C5-C9-C13-C16-C19</f>
        <v>110839.98</v>
      </c>
      <c r="D33" s="36"/>
      <c r="F33" s="186"/>
      <c r="G33" s="231">
        <v>35147549</v>
      </c>
      <c r="H33" s="187" t="s">
        <v>102</v>
      </c>
      <c r="I33" s="216">
        <f>I32/G32</f>
        <v>9.3165699833009694E-2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2311258.1400000006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0">
        <f>K23</f>
        <v>10866998</v>
      </c>
      <c r="L36" s="388" t="s">
        <v>306</v>
      </c>
      <c r="M36" s="582">
        <v>2363305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9681385.6999999993</v>
      </c>
      <c r="D37" s="36"/>
      <c r="F37" s="200" t="s">
        <v>37</v>
      </c>
      <c r="G37" s="580">
        <f>G23</f>
        <v>22763596</v>
      </c>
      <c r="H37" s="388" t="s">
        <v>306</v>
      </c>
      <c r="I37" s="582">
        <v>4959905</v>
      </c>
      <c r="J37" s="200" t="s">
        <v>38</v>
      </c>
      <c r="K37" s="580">
        <f>K24</f>
        <v>3547299</v>
      </c>
      <c r="L37" s="388" t="s">
        <v>306</v>
      </c>
      <c r="M37" s="582">
        <v>771804</v>
      </c>
      <c r="P37" s="272"/>
      <c r="Q37" s="272"/>
    </row>
    <row r="38" spans="1:17" ht="15.75">
      <c r="A38" s="144" t="s">
        <v>14</v>
      </c>
      <c r="B38" s="531" t="s">
        <v>115</v>
      </c>
      <c r="C38" s="559">
        <v>0</v>
      </c>
      <c r="D38" s="36"/>
      <c r="F38" s="200" t="s">
        <v>305</v>
      </c>
      <c r="G38" s="580">
        <f>G24</f>
        <v>25043</v>
      </c>
      <c r="H38" s="388" t="s">
        <v>306</v>
      </c>
      <c r="I38" s="582">
        <v>5452</v>
      </c>
      <c r="J38" s="200" t="s">
        <v>39</v>
      </c>
      <c r="K38" s="580">
        <f>K25</f>
        <v>2676</v>
      </c>
      <c r="L38" s="388" t="s">
        <v>306</v>
      </c>
      <c r="M38" s="582">
        <v>582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-80988.460000000006</v>
      </c>
      <c r="D39" s="36"/>
      <c r="F39" s="200" t="s">
        <v>38</v>
      </c>
      <c r="G39" s="580">
        <f t="shared" ref="G39:G44" si="1">G25</f>
        <v>7830439</v>
      </c>
      <c r="H39" s="388" t="s">
        <v>306</v>
      </c>
      <c r="I39" s="582">
        <v>1699326</v>
      </c>
      <c r="J39" s="200" t="s">
        <v>40</v>
      </c>
      <c r="K39" s="580">
        <f>K26</f>
        <v>0</v>
      </c>
      <c r="L39" s="388" t="s">
        <v>306</v>
      </c>
      <c r="M39" s="582"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1903258.61</v>
      </c>
      <c r="D40" s="36"/>
      <c r="F40" s="200" t="s">
        <v>39</v>
      </c>
      <c r="G40" s="580">
        <f t="shared" si="1"/>
        <v>22211</v>
      </c>
      <c r="H40" s="388" t="s">
        <v>306</v>
      </c>
      <c r="I40" s="582">
        <v>4835</v>
      </c>
      <c r="J40" s="200" t="s">
        <v>41</v>
      </c>
      <c r="K40" s="580">
        <f>K27</f>
        <v>0</v>
      </c>
      <c r="L40" s="388" t="s">
        <v>306</v>
      </c>
      <c r="M40" s="582"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-65900.42</v>
      </c>
      <c r="D41" s="36"/>
      <c r="F41" s="200" t="s">
        <v>40</v>
      </c>
      <c r="G41" s="580">
        <f t="shared" si="1"/>
        <v>377693</v>
      </c>
      <c r="H41" s="388" t="s">
        <v>306</v>
      </c>
      <c r="I41" s="582">
        <v>92839</v>
      </c>
      <c r="J41" s="200" t="s">
        <v>42</v>
      </c>
      <c r="K41" s="561">
        <v>0</v>
      </c>
      <c r="L41" s="388" t="s">
        <v>306</v>
      </c>
      <c r="M41" s="582"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545907.52</v>
      </c>
      <c r="D42" s="37"/>
      <c r="F42" s="200" t="s">
        <v>41</v>
      </c>
      <c r="G42" s="580">
        <f t="shared" si="1"/>
        <v>47834</v>
      </c>
      <c r="H42" s="388" t="s">
        <v>306</v>
      </c>
      <c r="I42" s="582">
        <v>10598</v>
      </c>
      <c r="J42" s="200" t="s">
        <v>43</v>
      </c>
      <c r="K42" s="581">
        <v>0</v>
      </c>
      <c r="L42" s="388" t="s">
        <v>306</v>
      </c>
      <c r="M42" s="582"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11983662.949999997</v>
      </c>
      <c r="D43" s="36"/>
      <c r="F43" s="200" t="s">
        <v>42</v>
      </c>
      <c r="G43" s="580">
        <f t="shared" si="1"/>
        <v>0</v>
      </c>
      <c r="H43" s="388" t="s">
        <v>306</v>
      </c>
      <c r="I43" s="582">
        <v>0</v>
      </c>
      <c r="J43" s="199" t="s">
        <v>133</v>
      </c>
      <c r="K43" s="181">
        <f>SUM(K36:K42)</f>
        <v>14416973</v>
      </c>
      <c r="L43" s="182"/>
      <c r="M43" s="197">
        <f>SUM(M36:M42)</f>
        <v>3135691</v>
      </c>
    </row>
    <row r="44" spans="1:17" ht="16.5" thickBot="1">
      <c r="A44" s="83" t="s">
        <v>177</v>
      </c>
      <c r="B44" s="84" t="s">
        <v>120</v>
      </c>
      <c r="C44" s="559">
        <f>-12758.63+6121088.52-68133.37+5988.15</f>
        <v>6046184.6699999999</v>
      </c>
      <c r="D44" s="37"/>
      <c r="F44" s="200" t="s">
        <v>43</v>
      </c>
      <c r="G44" s="580">
        <f t="shared" si="1"/>
        <v>113048</v>
      </c>
      <c r="H44" s="388" t="s">
        <v>306</v>
      </c>
      <c r="I44" s="582">
        <v>24607</v>
      </c>
      <c r="J44" s="194"/>
      <c r="K44" s="232">
        <v>14416973</v>
      </c>
      <c r="L44" s="189" t="s">
        <v>102</v>
      </c>
      <c r="M44" s="217">
        <f>M43/K43</f>
        <v>0.2174999564749133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31179864</v>
      </c>
      <c r="H45" s="182"/>
      <c r="I45" s="197">
        <f>SUM(I37:I44)</f>
        <v>6797562</v>
      </c>
      <c r="J45" s="124"/>
      <c r="K45" s="230">
        <f>K43-K44</f>
        <v>0</v>
      </c>
      <c r="L45" s="384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31179864</v>
      </c>
      <c r="H46" s="189" t="s">
        <v>102</v>
      </c>
      <c r="I46" s="215">
        <f>I45/G45</f>
        <v>0.21801127804790937</v>
      </c>
      <c r="J46" s="124"/>
      <c r="K46" s="114"/>
      <c r="L46" s="384"/>
      <c r="M46" s="68"/>
    </row>
    <row r="47" spans="1:17" ht="15.75">
      <c r="A47" s="383" t="s">
        <v>137</v>
      </c>
      <c r="B47" s="6" t="s">
        <v>115</v>
      </c>
      <c r="C47" s="559">
        <v>-118762.51</v>
      </c>
      <c r="D47" s="36"/>
      <c r="F47" s="384"/>
      <c r="G47" s="230">
        <f>G45-G46</f>
        <v>0</v>
      </c>
      <c r="H47" s="384"/>
      <c r="I47" s="384"/>
      <c r="J47" s="124"/>
      <c r="K47" s="114"/>
      <c r="L47" s="384"/>
      <c r="M47" s="68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384"/>
    </row>
    <row r="49" spans="1:21" ht="15.75">
      <c r="A49" s="7" t="s">
        <v>130</v>
      </c>
      <c r="B49" s="531" t="s">
        <v>152</v>
      </c>
      <c r="C49" s="559">
        <v>22876.54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4085.49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8192.9599999999991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-110839.98</v>
      </c>
      <c r="D52" s="33"/>
      <c r="F52" s="384" t="s">
        <v>136</v>
      </c>
      <c r="G52" s="384"/>
      <c r="H52" s="212">
        <f>K12</f>
        <v>5592036.3487819945</v>
      </c>
      <c r="I52" s="115">
        <f>I14</f>
        <v>1596154.8714840005</v>
      </c>
      <c r="J52" s="115">
        <f>L12</f>
        <v>2587054.941217998</v>
      </c>
      <c r="K52" s="115">
        <f>J14</f>
        <v>715103.26851600024</v>
      </c>
      <c r="L52" s="132">
        <f>SUM(H52:K52)</f>
        <v>10490349.429999992</v>
      </c>
    </row>
    <row r="53" spans="1:21" ht="16.5" thickBot="1">
      <c r="A53" s="384" t="s">
        <v>315</v>
      </c>
      <c r="B53" s="618" t="s">
        <v>316</v>
      </c>
      <c r="C53" s="559">
        <v>6406.34</v>
      </c>
      <c r="D53" s="36"/>
      <c r="F53" s="383" t="s">
        <v>109</v>
      </c>
      <c r="H53" s="212">
        <f>-I45</f>
        <v>-6797562</v>
      </c>
      <c r="I53" s="115">
        <f>-I32</f>
        <v>-3274546</v>
      </c>
      <c r="J53" s="115">
        <f>-M43</f>
        <v>-3135691</v>
      </c>
      <c r="K53" s="115">
        <f>-M28</f>
        <v>-1515253</v>
      </c>
      <c r="L53" s="260">
        <f>SUM(H53:K53)</f>
        <v>-14723052</v>
      </c>
    </row>
    <row r="54" spans="1:21" ht="16.5" thickBot="1">
      <c r="A54" s="381" t="s">
        <v>124</v>
      </c>
      <c r="B54" s="472" t="s">
        <v>296</v>
      </c>
      <c r="C54" s="559">
        <f>-249251.63-5848184.37-3206190.57</f>
        <v>-9303626.5700000003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-4232702.5700000077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-1205525.6512180055</v>
      </c>
      <c r="I55" s="125">
        <f>I52+I53+I54</f>
        <v>-1678391.1285159995</v>
      </c>
      <c r="J55" s="125">
        <f>IFERROR(J52+J53+J54,0)</f>
        <v>-548636.05878200196</v>
      </c>
      <c r="K55" s="125">
        <f>K52+K53+K54</f>
        <v>-800149.73148399976</v>
      </c>
      <c r="L55" s="47">
        <f>SUM(H55:K55)</f>
        <v>-4232702.5700000068</v>
      </c>
    </row>
    <row r="56" spans="1:21" ht="16.5" thickBot="1">
      <c r="A56" s="82" t="s">
        <v>119</v>
      </c>
      <c r="B56" s="84"/>
      <c r="C56" s="160">
        <f>SUM(C43:C55)</f>
        <v>8170179.8899999931</v>
      </c>
      <c r="D56" s="36"/>
      <c r="F56" s="239" t="s">
        <v>181</v>
      </c>
      <c r="H56" s="383" t="s">
        <v>173</v>
      </c>
      <c r="I56" s="5">
        <f>SUM(H55:I55)</f>
        <v>-2883916.7797340052</v>
      </c>
      <c r="J56" s="15" t="s">
        <v>174</v>
      </c>
      <c r="K56" s="383">
        <f>SUM(J55:K55)</f>
        <v>-1348785.7902660016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5267.34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59">
        <v>3644.06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8179091.2899999926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10490349.429999992</v>
      </c>
      <c r="D61" s="37"/>
      <c r="H61" s="348" t="e">
        <f>SUM('WA - Def-Amtz (current)'!AN5:AN10,'WA - Def-Amtz (current)'!AN35:AN40,'WA - Def-Amtz (current)'!AN70:AN73,#REF!,#REF!,#REF!)</f>
        <v>#REF!</v>
      </c>
      <c r="I61" s="448" t="e">
        <f>SUM('WA - Def-Amtz (current)'!AO5:AO10,'WA - Def-Amtz (current)'!AO35:AO40,'WA - Def-Amtz (current)'!AO70:AO73,#REF!,#REF!,#REF!)</f>
        <v>#REF!</v>
      </c>
      <c r="J61" s="383">
        <f>H53+I53+J53+K53</f>
        <v>-14723052</v>
      </c>
    </row>
    <row r="62" spans="1:21" ht="15.75">
      <c r="A62" s="2"/>
      <c r="B62" s="9" t="s">
        <v>160</v>
      </c>
      <c r="C62" s="349">
        <v>10490349.43</v>
      </c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50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02" priority="6" stopIfTrue="1" operator="equal">
      <formula>0</formula>
    </cfRule>
    <cfRule type="cellIs" dxfId="201" priority="7" stopIfTrue="1" operator="notEqual">
      <formula>0</formula>
    </cfRule>
  </conditionalFormatting>
  <conditionalFormatting sqref="G34 G47 K30 K45">
    <cfRule type="cellIs" dxfId="200" priority="5" operator="notEqual">
      <formula>0</formula>
    </cfRule>
  </conditionalFormatting>
  <conditionalFormatting sqref="C63">
    <cfRule type="cellIs" dxfId="199" priority="3" stopIfTrue="1" operator="equal">
      <formula>0</formula>
    </cfRule>
    <cfRule type="cellIs" dxfId="198" priority="4" stopIfTrue="1" operator="notEqual">
      <formula>0</formula>
    </cfRule>
  </conditionalFormatting>
  <conditionalFormatting sqref="K30">
    <cfRule type="cellIs" dxfId="197" priority="2" operator="notEqual">
      <formula>0</formula>
    </cfRule>
  </conditionalFormatting>
  <conditionalFormatting sqref="G59">
    <cfRule type="cellIs" dxfId="196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00CC66"/>
    <pageSetUpPr fitToPage="1"/>
  </sheetPr>
  <dimension ref="A1:BC79"/>
  <sheetViews>
    <sheetView showGridLines="0" tabSelected="1" zoomScale="70" zoomScaleNormal="70" zoomScaleSheetLayoutView="85" workbookViewId="0">
      <pane xSplit="2" ySplit="3" topLeftCell="C4" activePane="bottomRight" state="frozen"/>
      <selection activeCell="BD49" activeCellId="1" sqref="BD13 BD49"/>
      <selection pane="topRight" activeCell="BD49" activeCellId="1" sqref="BD13 BD49"/>
      <selection pane="bottomLeft" activeCell="BD49" activeCellId="1" sqref="BD13 BD49"/>
      <selection pane="bottomRight" activeCell="Z27" sqref="Z27"/>
    </sheetView>
  </sheetViews>
  <sheetFormatPr defaultColWidth="9.140625" defaultRowHeight="15.75" outlineLevelRow="1" outlineLevelCol="1"/>
  <cols>
    <col min="1" max="1" width="17.28515625" style="479" customWidth="1"/>
    <col min="2" max="2" width="18.7109375" style="478" customWidth="1"/>
    <col min="3" max="3" width="17.5703125" style="479" customWidth="1"/>
    <col min="4" max="4" width="17.85546875" style="479" customWidth="1"/>
    <col min="5" max="6" width="16.28515625" style="479" hidden="1" customWidth="1" outlineLevel="1"/>
    <col min="7" max="7" width="17.42578125" style="479" hidden="1" customWidth="1" outlineLevel="1"/>
    <col min="8" max="8" width="15.5703125" style="479" hidden="1" customWidth="1" outlineLevel="1"/>
    <col min="9" max="13" width="17.42578125" style="479" hidden="1" customWidth="1" outlineLevel="1"/>
    <col min="14" max="14" width="17.5703125" style="479" hidden="1" customWidth="1" outlineLevel="1"/>
    <col min="15" max="15" width="18.140625" style="479" hidden="1" customWidth="1" outlineLevel="1"/>
    <col min="16" max="16" width="17.7109375" style="479" hidden="1" customWidth="1" outlineLevel="1"/>
    <col min="17" max="17" width="18.7109375" style="479" hidden="1" customWidth="1" outlineLevel="1"/>
    <col min="18" max="18" width="19.140625" style="479" hidden="1" customWidth="1" outlineLevel="1"/>
    <col min="19" max="19" width="17.42578125" style="479" hidden="1" customWidth="1" outlineLevel="1"/>
    <col min="20" max="20" width="16.7109375" style="479" hidden="1" customWidth="1" outlineLevel="1"/>
    <col min="21" max="22" width="17.42578125" style="479" hidden="1" customWidth="1" outlineLevel="1"/>
    <col min="23" max="23" width="17.42578125" style="479" hidden="1" customWidth="1" collapsed="1"/>
    <col min="24" max="25" width="17.42578125" style="479" hidden="1" customWidth="1"/>
    <col min="26" max="26" width="18.5703125" style="479" customWidth="1"/>
    <col min="27" max="27" width="18.140625" style="479" customWidth="1"/>
    <col min="28" max="34" width="17.7109375" style="479" customWidth="1"/>
    <col min="35" max="35" width="3.42578125" style="549" customWidth="1"/>
    <col min="36" max="36" width="34.42578125" style="479" customWidth="1"/>
    <col min="37" max="37" width="14.42578125" style="519" bestFit="1" customWidth="1"/>
    <col min="38" max="38" width="4.7109375" style="479" bestFit="1" customWidth="1"/>
    <col min="39" max="39" width="5" style="479" bestFit="1" customWidth="1"/>
    <col min="40" max="40" width="18.28515625" style="479" customWidth="1"/>
    <col min="41" max="41" width="17.140625" style="479" bestFit="1" customWidth="1"/>
    <col min="42" max="42" width="0.42578125" style="479" customWidth="1"/>
    <col min="43" max="43" width="9.140625" style="479"/>
    <col min="44" max="44" width="10.5703125" style="479" bestFit="1" customWidth="1"/>
    <col min="45" max="45" width="11.28515625" style="479" bestFit="1" customWidth="1"/>
    <col min="46" max="48" width="9.140625" style="479"/>
    <col min="49" max="49" width="23.85546875" style="479" bestFit="1" customWidth="1"/>
    <col min="50" max="50" width="11.7109375" style="479" bestFit="1" customWidth="1"/>
    <col min="51" max="51" width="4.28515625" style="479" bestFit="1" customWidth="1"/>
    <col min="52" max="52" width="4.5703125" style="479" bestFit="1" customWidth="1"/>
    <col min="53" max="55" width="11.7109375" style="479" bestFit="1" customWidth="1"/>
    <col min="56" max="16384" width="9.140625" style="479"/>
  </cols>
  <sheetData>
    <row r="1" spans="1:43">
      <c r="A1" s="477" t="s">
        <v>261</v>
      </c>
      <c r="AJ1" s="477" t="s">
        <v>295</v>
      </c>
      <c r="AM1" s="480" t="s">
        <v>314</v>
      </c>
      <c r="AN1" s="480"/>
    </row>
    <row r="2" spans="1:43">
      <c r="A2" s="480" t="s">
        <v>262</v>
      </c>
    </row>
    <row r="3" spans="1:43" s="480" customFormat="1" ht="32.25" thickBot="1">
      <c r="A3" s="481">
        <v>191010</v>
      </c>
      <c r="B3" s="482" t="s">
        <v>252</v>
      </c>
      <c r="C3" s="483" t="s">
        <v>248</v>
      </c>
      <c r="D3" s="484" t="s">
        <v>257</v>
      </c>
      <c r="E3" s="481">
        <v>201601</v>
      </c>
      <c r="F3" s="481">
        <f>E3+1</f>
        <v>201602</v>
      </c>
      <c r="G3" s="481">
        <f t="shared" ref="G3:O3" si="0">F3+1</f>
        <v>201603</v>
      </c>
      <c r="H3" s="481">
        <f t="shared" si="0"/>
        <v>201604</v>
      </c>
      <c r="I3" s="481">
        <f t="shared" si="0"/>
        <v>201605</v>
      </c>
      <c r="J3" s="481">
        <f t="shared" si="0"/>
        <v>201606</v>
      </c>
      <c r="K3" s="481">
        <f>J3+1</f>
        <v>201607</v>
      </c>
      <c r="L3" s="481">
        <f t="shared" si="0"/>
        <v>201608</v>
      </c>
      <c r="M3" s="481">
        <f t="shared" si="0"/>
        <v>201609</v>
      </c>
      <c r="N3" s="481">
        <f t="shared" si="0"/>
        <v>201610</v>
      </c>
      <c r="O3" s="481">
        <f t="shared" si="0"/>
        <v>201611</v>
      </c>
      <c r="P3" s="481">
        <f>O3+1</f>
        <v>201612</v>
      </c>
      <c r="Q3" s="481">
        <v>201701</v>
      </c>
      <c r="R3" s="481">
        <f>Q3+1</f>
        <v>201702</v>
      </c>
      <c r="S3" s="481">
        <f t="shared" ref="S3" si="1">R3+1</f>
        <v>201703</v>
      </c>
      <c r="T3" s="481">
        <f t="shared" ref="T3" si="2">S3+1</f>
        <v>201704</v>
      </c>
      <c r="U3" s="481">
        <f t="shared" ref="U3" si="3">T3+1</f>
        <v>201705</v>
      </c>
      <c r="V3" s="481">
        <f t="shared" ref="V3" si="4">U3+1</f>
        <v>201706</v>
      </c>
      <c r="W3" s="481">
        <f>V3+1</f>
        <v>201707</v>
      </c>
      <c r="X3" s="481">
        <f t="shared" ref="X3" si="5">W3+1</f>
        <v>201708</v>
      </c>
      <c r="Y3" s="481">
        <f t="shared" ref="Y3" si="6">X3+1</f>
        <v>201709</v>
      </c>
      <c r="Z3" s="481">
        <f t="shared" ref="Z3" si="7">Y3+1</f>
        <v>201710</v>
      </c>
      <c r="AA3" s="481">
        <f t="shared" ref="AA3" si="8">Z3+1</f>
        <v>201711</v>
      </c>
      <c r="AB3" s="481">
        <f>AA3+1</f>
        <v>201712</v>
      </c>
      <c r="AC3" s="481">
        <v>201801</v>
      </c>
      <c r="AD3" s="481">
        <v>201802</v>
      </c>
      <c r="AE3" s="481">
        <v>201803</v>
      </c>
      <c r="AF3" s="481">
        <v>201804</v>
      </c>
      <c r="AG3" s="481">
        <v>201805</v>
      </c>
      <c r="AH3" s="481">
        <v>201806</v>
      </c>
      <c r="AI3" s="563"/>
      <c r="AK3" s="481"/>
    </row>
    <row r="4" spans="1:43" s="480" customFormat="1" ht="16.5" thickBot="1">
      <c r="B4" s="482" t="s">
        <v>253</v>
      </c>
      <c r="C4" s="479"/>
      <c r="E4" s="485">
        <v>3.2500000000000001E-2</v>
      </c>
      <c r="F4" s="485">
        <v>3.2500000000000001E-2</v>
      </c>
      <c r="G4" s="485">
        <v>3.2500000000000001E-2</v>
      </c>
      <c r="H4" s="485">
        <v>3.4599999999999999E-2</v>
      </c>
      <c r="I4" s="485">
        <v>3.4599999999999999E-2</v>
      </c>
      <c r="J4" s="485">
        <v>3.4599999999999999E-2</v>
      </c>
      <c r="K4" s="485">
        <v>3.5000000000000003E-2</v>
      </c>
      <c r="L4" s="569">
        <v>3.5000000000000003E-2</v>
      </c>
      <c r="M4" s="485">
        <v>3.5000000000000003E-2</v>
      </c>
      <c r="N4" s="485">
        <v>3.5000000000000003E-2</v>
      </c>
      <c r="O4" s="485">
        <v>3.5000000000000003E-2</v>
      </c>
      <c r="P4" s="485">
        <v>3.5000000000000003E-2</v>
      </c>
      <c r="Q4" s="593">
        <v>3.5000000000000003E-2</v>
      </c>
      <c r="R4" s="593">
        <v>3.5000000000000003E-2</v>
      </c>
      <c r="S4" s="593">
        <v>3.5000000000000003E-2</v>
      </c>
      <c r="T4" s="593">
        <v>3.7100000000000001E-2</v>
      </c>
      <c r="U4" s="593">
        <v>3.7100000000000001E-2</v>
      </c>
      <c r="V4" s="593">
        <v>3.7100000000000001E-2</v>
      </c>
      <c r="W4" s="593">
        <v>3.9600000000000003E-2</v>
      </c>
      <c r="X4" s="593">
        <v>3.9600000000000003E-2</v>
      </c>
      <c r="Y4" s="593">
        <v>3.9600000000000003E-2</v>
      </c>
      <c r="Z4" s="593">
        <v>4.2099999999999999E-2</v>
      </c>
      <c r="AA4" s="593">
        <v>4.2099999999999999E-2</v>
      </c>
      <c r="AB4" s="593">
        <v>4.2099999999999999E-2</v>
      </c>
      <c r="AC4" s="593">
        <v>4.2500000000000003E-2</v>
      </c>
      <c r="AD4" s="593">
        <v>4.2500000000000003E-2</v>
      </c>
      <c r="AE4" s="593">
        <v>4.2500000000000003E-2</v>
      </c>
      <c r="AF4" s="593">
        <v>4.4699999999999997E-2</v>
      </c>
      <c r="AG4" s="593">
        <v>4.4699999999999997E-2</v>
      </c>
      <c r="AH4" s="593">
        <v>4.4699999999999997E-2</v>
      </c>
      <c r="AI4" s="563"/>
      <c r="AJ4" s="535">
        <v>201806</v>
      </c>
      <c r="AK4" s="520"/>
      <c r="AL4" s="508"/>
      <c r="AM4" s="508"/>
      <c r="AN4" s="508"/>
      <c r="AO4" s="509"/>
    </row>
    <row r="5" spans="1:43">
      <c r="B5" s="478" t="s">
        <v>250</v>
      </c>
      <c r="D5" s="479">
        <f>E5</f>
        <v>-6508323.8685397729</v>
      </c>
      <c r="E5" s="479">
        <v>-6508323.8685397729</v>
      </c>
      <c r="F5" s="479">
        <f t="shared" ref="F5:P5" si="9">E13</f>
        <v>-8439847.1132167727</v>
      </c>
      <c r="G5" s="479">
        <f t="shared" si="9"/>
        <v>-9264796.9494047705</v>
      </c>
      <c r="H5" s="479">
        <f t="shared" si="9"/>
        <v>-10398819.535470769</v>
      </c>
      <c r="I5" s="479">
        <f t="shared" si="9"/>
        <v>-12153304.785960769</v>
      </c>
      <c r="J5" s="479">
        <f t="shared" si="9"/>
        <v>-12778894.072104771</v>
      </c>
      <c r="K5" s="479">
        <f>J13</f>
        <v>-14182183.944992768</v>
      </c>
      <c r="L5" s="479">
        <f t="shared" si="9"/>
        <v>-15130761.40771677</v>
      </c>
      <c r="M5" s="479">
        <f>L13</f>
        <v>-15660034.00335677</v>
      </c>
      <c r="N5" s="479">
        <f t="shared" si="9"/>
        <v>-16306032.832939774</v>
      </c>
      <c r="O5" s="479">
        <f>N13</f>
        <v>-16534597.329101773</v>
      </c>
      <c r="P5" s="479">
        <f t="shared" si="9"/>
        <v>-3075004.5709557864</v>
      </c>
      <c r="Q5" s="479">
        <f>P13</f>
        <v>-6818269.0378097855</v>
      </c>
      <c r="R5" s="479">
        <f>Q13</f>
        <v>-10248016.525328787</v>
      </c>
      <c r="S5" s="479">
        <f>R13</f>
        <v>-12338677.191237787</v>
      </c>
      <c r="T5" s="479">
        <f t="shared" ref="T5" si="10">S13</f>
        <v>-13990367.081666788</v>
      </c>
      <c r="U5" s="548">
        <f t="shared" ref="U5" si="11">T13</f>
        <v>-15173451.409781789</v>
      </c>
      <c r="V5" s="479">
        <f t="shared" ref="V5" si="12">U13</f>
        <v>-15098116.96234579</v>
      </c>
      <c r="W5" s="479">
        <f>V13</f>
        <v>-14771177.38731979</v>
      </c>
      <c r="X5" s="548">
        <f t="shared" ref="X5" si="13">W13</f>
        <v>-15909772.702550791</v>
      </c>
      <c r="Y5" s="479">
        <f>X13</f>
        <v>-16977268.897435792</v>
      </c>
      <c r="Z5" s="479">
        <f t="shared" ref="Z5" si="14">Y13</f>
        <v>-18962414.798894793</v>
      </c>
      <c r="AA5" s="479">
        <f>Z13</f>
        <v>-21954910.563472789</v>
      </c>
      <c r="AB5" s="479">
        <f t="shared" ref="AB5" si="15">AA13</f>
        <v>-8189815.5396147836</v>
      </c>
      <c r="AC5" s="479">
        <f t="shared" ref="AC5:AH5" si="16">AB13</f>
        <v>-11107523.78934879</v>
      </c>
      <c r="AD5" s="548">
        <f t="shared" si="16"/>
        <v>-13225129.045603791</v>
      </c>
      <c r="AE5" s="548">
        <f t="shared" si="16"/>
        <v>-13264083.729049791</v>
      </c>
      <c r="AF5" s="548">
        <f t="shared" si="16"/>
        <v>-13822513.408797791</v>
      </c>
      <c r="AG5" s="548">
        <f t="shared" si="16"/>
        <v>-15210763.179049792</v>
      </c>
      <c r="AH5" s="548">
        <f t="shared" si="16"/>
        <v>-15585609.433038792</v>
      </c>
      <c r="AJ5" s="492" t="s">
        <v>284</v>
      </c>
      <c r="AK5" s="521">
        <v>419600</v>
      </c>
      <c r="AL5" s="493" t="s">
        <v>280</v>
      </c>
      <c r="AM5" s="493" t="s">
        <v>281</v>
      </c>
      <c r="AN5" s="513">
        <v>0</v>
      </c>
      <c r="AO5" s="514">
        <f>IF(SUMIF(E3:AH3,AJ4,E8:AH8)&gt;0,SUMIF(E3:AH3,AJ4,E8:AH8),0)</f>
        <v>0</v>
      </c>
      <c r="AQ5" s="479" t="str">
        <f>_xll.GLW_Segment_Description(AK5,2,2)</f>
        <v>INTEREST ON ENERGY DEFERRALS</v>
      </c>
    </row>
    <row r="6" spans="1:43">
      <c r="B6" s="478" t="s">
        <v>309</v>
      </c>
      <c r="C6" s="479">
        <f>SUM(Q6:AB6)</f>
        <v>-14998507.255011011</v>
      </c>
      <c r="D6" s="479">
        <f t="shared" ref="D6:D12" si="17">SUM(E6:AB6)</f>
        <v>-28170584.433512013</v>
      </c>
      <c r="E6" s="574">
        <v>-173856.58066100068</v>
      </c>
      <c r="F6" s="574">
        <v>105835.91384800058</v>
      </c>
      <c r="G6" s="574">
        <v>-604740.2805199977</v>
      </c>
      <c r="H6" s="574">
        <v>-2253526.4287800011</v>
      </c>
      <c r="I6" s="574">
        <v>-1368171.1781060011</v>
      </c>
      <c r="J6" s="574">
        <v>-2304890.4720699973</v>
      </c>
      <c r="K6" s="611">
        <v>-1924994.8295020012</v>
      </c>
      <c r="L6" s="611">
        <v>-1510253.5672820001</v>
      </c>
      <c r="M6" s="611">
        <v>-1421303.766953001</v>
      </c>
      <c r="N6" s="611">
        <v>-389419.70859999908</v>
      </c>
      <c r="O6" s="611">
        <v>-192874.3790970007</v>
      </c>
      <c r="P6" s="611">
        <v>-1133881.9007779993</v>
      </c>
      <c r="Q6" s="611">
        <v>-491376.17008000147</v>
      </c>
      <c r="R6" s="611">
        <v>-201411.09328799881</v>
      </c>
      <c r="S6" s="611">
        <v>-696753.01067200163</v>
      </c>
      <c r="T6" s="611">
        <v>-912928.80422000168</v>
      </c>
      <c r="U6" s="611">
        <v>-482101.19766700035</v>
      </c>
      <c r="V6" s="611">
        <v>-580245.48787200102</v>
      </c>
      <c r="W6" s="548">
        <v>-2217856.2503400007</v>
      </c>
      <c r="X6" s="548">
        <v>-2108794.2989039999</v>
      </c>
      <c r="Y6" s="548">
        <v>-2779163.5886399997</v>
      </c>
      <c r="Z6" s="548">
        <v>-2935887.7038159985</v>
      </c>
      <c r="AA6" s="548">
        <v>-386463.99829400051</v>
      </c>
      <c r="AB6" s="479">
        <v>-1205525.6512180055</v>
      </c>
      <c r="AC6" s="479">
        <v>-743591.89883300196</v>
      </c>
      <c r="AD6" s="548">
        <f>Feb!$H$55</f>
        <v>1500599.2415440008</v>
      </c>
      <c r="AE6" s="548">
        <f>Mar!H55</f>
        <v>262271.11627200013</v>
      </c>
      <c r="AF6" s="548">
        <f>Apr!H55</f>
        <v>-1287451.4058399997</v>
      </c>
      <c r="AG6" s="548">
        <f>May!H55</f>
        <v>-1208166.9855549999</v>
      </c>
      <c r="AH6" s="548">
        <f>Jun!H55</f>
        <v>-914700.39864600007</v>
      </c>
      <c r="AJ6" s="494" t="s">
        <v>285</v>
      </c>
      <c r="AK6" s="522">
        <v>431600</v>
      </c>
      <c r="AL6" s="355" t="s">
        <v>280</v>
      </c>
      <c r="AM6" s="355" t="s">
        <v>281</v>
      </c>
      <c r="AN6" s="378">
        <f>IF(SUMIF(E3:AH3,AJ4,E8:AH8)&lt;0,-SUMIF(E3:AH3,AJ4,E8:AH8),0)</f>
        <v>58012.14</v>
      </c>
      <c r="AO6" s="495">
        <v>0</v>
      </c>
      <c r="AQ6" s="479" t="str">
        <f>_xll.GLW_Segment_Description(AK6,2,2)</f>
        <v>INTEREST EXPENSE ENERGY DEFERRALS</v>
      </c>
    </row>
    <row r="7" spans="1:43">
      <c r="B7" s="478" t="s">
        <v>251</v>
      </c>
      <c r="C7" s="479">
        <f t="shared" ref="C7:C11" si="18">SUM(Q7:AB7)</f>
        <v>-3531759.9092339999</v>
      </c>
      <c r="D7" s="479">
        <f t="shared" si="17"/>
        <v>-4469685.620381997</v>
      </c>
      <c r="E7" s="575">
        <v>-1737451.7240159996</v>
      </c>
      <c r="F7" s="575">
        <v>-906843.13003599993</v>
      </c>
      <c r="G7" s="575">
        <v>-502690.50554600032</v>
      </c>
      <c r="H7" s="575">
        <v>531507.01829000015</v>
      </c>
      <c r="I7" s="575">
        <v>778474.07196199952</v>
      </c>
      <c r="J7" s="575">
        <v>940413.5291820009</v>
      </c>
      <c r="K7" s="574">
        <v>1019103.1667780007</v>
      </c>
      <c r="L7" s="574">
        <v>1025818.8216420002</v>
      </c>
      <c r="M7" s="574">
        <v>821854.23736999987</v>
      </c>
      <c r="N7" s="574">
        <v>208678.05243800068</v>
      </c>
      <c r="O7" s="574">
        <v>-521813.363136</v>
      </c>
      <c r="P7" s="574">
        <v>-2594975.8860759991</v>
      </c>
      <c r="Q7" s="574">
        <v>-2913519.2274390003</v>
      </c>
      <c r="R7" s="574">
        <v>-1856358.6126210007</v>
      </c>
      <c r="S7" s="574">
        <v>-916596.2697570005</v>
      </c>
      <c r="T7" s="574">
        <v>-225142.70389499958</v>
      </c>
      <c r="U7" s="574">
        <v>604158.21510300005</v>
      </c>
      <c r="V7" s="574">
        <v>953286.75289800053</v>
      </c>
      <c r="W7" s="548">
        <v>1129801.1151090004</v>
      </c>
      <c r="X7" s="548">
        <v>1095472.3340190002</v>
      </c>
      <c r="Y7" s="548">
        <v>853220.47718099994</v>
      </c>
      <c r="Z7" s="548">
        <v>15042.059238000307</v>
      </c>
      <c r="AA7" s="548">
        <v>-592732.92055399995</v>
      </c>
      <c r="AB7" s="479">
        <v>-1678391.1285159995</v>
      </c>
      <c r="AC7" s="622">
        <f>Jan!I55</f>
        <v>-1331000.4574219999</v>
      </c>
      <c r="AD7" s="548">
        <f>Feb!$I$55</f>
        <v>-1492728.8649899999</v>
      </c>
      <c r="AE7" s="548">
        <f>Mar!I55</f>
        <v>-772819.73601999972</v>
      </c>
      <c r="AF7" s="548">
        <f>Apr!I55</f>
        <v>-46824.414412000682</v>
      </c>
      <c r="AG7" s="548">
        <f>May!I55</f>
        <v>890572.34156599978</v>
      </c>
      <c r="AH7" s="548">
        <f>Jun!I55</f>
        <v>938461.95200199937</v>
      </c>
      <c r="AJ7" s="494" t="s">
        <v>286</v>
      </c>
      <c r="AK7" s="522">
        <v>191010</v>
      </c>
      <c r="AL7" s="355" t="s">
        <v>280</v>
      </c>
      <c r="AM7" s="355" t="s">
        <v>281</v>
      </c>
      <c r="AN7" s="378">
        <f>IF((SUMIF(E3:AH3,AJ4,E6:AH6)+SUMIF(E3:AH3,AJ4,E7:AH7)+SUMIF(E3:AH3,AJ4,E8:AH8))&gt;0,(SUMIF(E3:AH3,AJ4,E6:AH6)+SUMIF(E3:AH3,AJ4,E7:AH7)+SUMIF(E3:AH3,AJ4,E8:AH8)),0)</f>
        <v>0</v>
      </c>
      <c r="AO7" s="495">
        <f>IF((SUMIF(E3:AH3,AJ4,E6:AH6)+SUMIF(E3:AH3,AJ4,E7:AH7)+SUMIF(E3:AH3,AJ4,E8:AH8))&lt;0,-(SUMIF(E3:AH3,AJ4,E6:AH6)+SUMIF(E3:AH3,AJ4,E7:AH7)++SUMIF(E3:AH3,AJ4,E8:AH8)),0)</f>
        <v>34250.586644000708</v>
      </c>
      <c r="AQ7" s="479" t="str">
        <f>_xll.GLW_Segment_Description(AK7,2,2)</f>
        <v>CURR UNRECOV PGA DEFERRED</v>
      </c>
    </row>
    <row r="8" spans="1:43">
      <c r="B8" s="478" t="s">
        <v>254</v>
      </c>
      <c r="C8" s="479">
        <f t="shared" si="18"/>
        <v>-530200.14</v>
      </c>
      <c r="D8" s="479">
        <f t="shared" si="17"/>
        <v>-912326.38</v>
      </c>
      <c r="E8" s="576">
        <v>-20214.939999999999</v>
      </c>
      <c r="F8" s="576">
        <v>-23942.62</v>
      </c>
      <c r="G8" s="576">
        <v>-26591.8</v>
      </c>
      <c r="H8" s="576">
        <v>-32465.84</v>
      </c>
      <c r="I8" s="576">
        <v>-35892.18</v>
      </c>
      <c r="J8" s="576">
        <v>-38812.93</v>
      </c>
      <c r="K8" s="615">
        <v>-42685.8</v>
      </c>
      <c r="L8" s="615">
        <v>-44837.85</v>
      </c>
      <c r="M8" s="615">
        <v>-46549.3</v>
      </c>
      <c r="N8" s="615">
        <v>-47822.84</v>
      </c>
      <c r="O8" s="615">
        <f>ROUND(((O5+O9+O10+O11)*(O4/12))+((SUM(O6:O7)/2)*(O4/12)),2)</f>
        <v>-7903.46</v>
      </c>
      <c r="P8" s="615">
        <v>-14406.68</v>
      </c>
      <c r="Q8" s="615">
        <f t="shared" ref="Q8:U8" si="19">ROUND(((Q5)*(Q4/12))+((SUM(Q6:Q7)/2)*(Q4/12)),2)</f>
        <v>-24852.09</v>
      </c>
      <c r="R8" s="615">
        <f t="shared" si="19"/>
        <v>-32890.959999999999</v>
      </c>
      <c r="S8" s="615">
        <f t="shared" si="19"/>
        <v>-38340.61</v>
      </c>
      <c r="T8" s="615">
        <f t="shared" si="19"/>
        <v>-45012.82</v>
      </c>
      <c r="U8" s="615">
        <f t="shared" si="19"/>
        <v>-46722.57</v>
      </c>
      <c r="V8" s="615">
        <f>ROUND(((V5)*(V4/12))+((SUM(V6:V7)/2)*(V4/12)),2)</f>
        <v>-46101.69</v>
      </c>
      <c r="W8" s="545">
        <f t="shared" ref="W8:Y8" si="20">ROUND(((W5)*(W4/12))+((SUM(W6:W7)/2)*(W4/12)),2)</f>
        <v>-50540.18</v>
      </c>
      <c r="X8" s="545">
        <f>ROUND(((X5)*(X4/12))+((SUM(X6:X7)/2)*(X4/12)),2)</f>
        <v>-54174.23</v>
      </c>
      <c r="Y8" s="545">
        <f t="shared" si="20"/>
        <v>-59202.79</v>
      </c>
      <c r="Z8" s="545">
        <f>ROUND(((Z5)*(Z4/12))+((SUM(Z6:Z7)/2)*(Z4/12)),2)</f>
        <v>-71650.12</v>
      </c>
      <c r="AA8" s="545">
        <f>ROUND(((AA5+AA9+AA10+AA11)*(AA4/12))+((SUM(AA6:AA7)/2)*(AA4/12)),2)</f>
        <v>-26920.61</v>
      </c>
      <c r="AB8" s="486">
        <f t="shared" ref="AB8:AF8" si="21">ROUND(((AB5)*(AB4/12))+((SUM(AB6:AB7)/2)*(AB4/12)),2)</f>
        <v>-33791.47</v>
      </c>
      <c r="AC8" s="486">
        <f t="shared" si="21"/>
        <v>-43012.9</v>
      </c>
      <c r="AD8" s="545">
        <f t="shared" si="21"/>
        <v>-46825.06</v>
      </c>
      <c r="AE8" s="545">
        <f t="shared" si="21"/>
        <v>-47881.06</v>
      </c>
      <c r="AF8" s="545">
        <f t="shared" si="21"/>
        <v>-53973.95</v>
      </c>
      <c r="AG8" s="545">
        <f>ROUND(((AG5)*(AG4/12))+((SUM(AG6:AG7)/2)*(AG4/12)),2)</f>
        <v>-57251.61</v>
      </c>
      <c r="AH8" s="545">
        <f>ROUND(((AH5)*(AH4/12))+((SUM(AH6:AH7)/2)*(AH4/12)),2)</f>
        <v>-58012.14</v>
      </c>
      <c r="AJ8" s="494" t="s">
        <v>287</v>
      </c>
      <c r="AK8" s="522">
        <v>805120</v>
      </c>
      <c r="AL8" s="355" t="s">
        <v>280</v>
      </c>
      <c r="AM8" s="355" t="s">
        <v>281</v>
      </c>
      <c r="AN8" s="378">
        <f>IF((SUMIF(E3:AH3,AJ4,E6:AH6)+SUMIF(E3:AH3,AJ4,E7:AH7))&lt;0,-(SUMIF(E3:AH3,AJ4,E6:AH6)+SUMIF(E3:AH3,AJ4,E7:AH7)),0)</f>
        <v>0</v>
      </c>
      <c r="AO8" s="495">
        <f>IF((SUMIF(E3:AH3,AJ4,E6:AH6)+SUMIF(E3:AH3,AJ4,E7:AH7))&gt;0,(SUMIF(E3:AH3,AJ4,E6:AH6)+SUMIF(E3:AH3,AJ4,E7:AH7)),0)</f>
        <v>23761.553355999291</v>
      </c>
      <c r="AQ8" s="479" t="str">
        <f>_xll.GLW_Segment_Description(AK8,2,2)</f>
        <v>DEFER CURRENT UNRECOVERED GAS COSTS</v>
      </c>
    </row>
    <row r="9" spans="1:43">
      <c r="B9" s="478" t="s">
        <v>258</v>
      </c>
      <c r="C9" s="479">
        <f t="shared" si="18"/>
        <v>9937543.9160110056</v>
      </c>
      <c r="D9" s="479">
        <f t="shared" si="17"/>
        <v>24087163.011451997</v>
      </c>
      <c r="E9" s="479">
        <v>0</v>
      </c>
      <c r="F9" s="479">
        <v>0</v>
      </c>
      <c r="G9" s="479">
        <v>0</v>
      </c>
      <c r="H9" s="479">
        <v>0</v>
      </c>
      <c r="I9" s="479">
        <v>0</v>
      </c>
      <c r="J9" s="479">
        <v>0</v>
      </c>
      <c r="K9" s="479">
        <v>0</v>
      </c>
      <c r="L9" s="479">
        <v>0</v>
      </c>
      <c r="M9" s="479">
        <v>0</v>
      </c>
      <c r="N9" s="479">
        <v>0</v>
      </c>
      <c r="O9" s="585">
        <v>14149619.095440991</v>
      </c>
      <c r="P9" s="479">
        <v>0</v>
      </c>
      <c r="Q9" s="548">
        <v>0</v>
      </c>
      <c r="R9" s="548">
        <v>0</v>
      </c>
      <c r="S9" s="548">
        <v>0</v>
      </c>
      <c r="T9" s="548">
        <v>0</v>
      </c>
      <c r="U9" s="548">
        <v>0</v>
      </c>
      <c r="V9" s="548">
        <v>0</v>
      </c>
      <c r="W9" s="548">
        <v>0</v>
      </c>
      <c r="X9" s="548">
        <v>0</v>
      </c>
      <c r="Y9" s="548">
        <v>0</v>
      </c>
      <c r="Z9" s="548">
        <v>0</v>
      </c>
      <c r="AA9" s="612">
        <f>-SUM(K6:V6)</f>
        <v>9937543.9160110056</v>
      </c>
      <c r="AB9" s="479">
        <v>0</v>
      </c>
      <c r="AC9" s="479">
        <v>0</v>
      </c>
      <c r="AD9" s="548">
        <v>0</v>
      </c>
      <c r="AE9" s="548">
        <v>0</v>
      </c>
      <c r="AF9" s="548">
        <v>0</v>
      </c>
      <c r="AG9" s="548">
        <v>0</v>
      </c>
      <c r="AH9" s="548">
        <v>0</v>
      </c>
      <c r="AJ9" s="494" t="s">
        <v>11</v>
      </c>
      <c r="AK9" s="522">
        <v>191010</v>
      </c>
      <c r="AL9" s="355" t="s">
        <v>280</v>
      </c>
      <c r="AM9" s="355" t="s">
        <v>281</v>
      </c>
      <c r="AN9" s="378">
        <f>IF((SUMIF(E3:AH3,AJ4,E9:AH9)+SUMIF(E3:AH3,AJ4,E10:AH10)+SUMIF(E3:AH3,AJ4,E11:AH11)+SUMIF(E3:AH3,AJ4,E12:AH12))&gt;0,(SUMIF(E3:AH3,AJ4,E9:AH9)+SUMIF(E3:AH3,AJ4,E10:AH10)+SUMIF(E3:AH3,AJ4,E11:AH11)+SUMIF(E3:AH3,AJ4,E12:AH12)),0)</f>
        <v>0</v>
      </c>
      <c r="AO9" s="495">
        <v>0</v>
      </c>
      <c r="AQ9" s="479" t="str">
        <f>_xll.GLW_Segment_Description(AK9,2,2)</f>
        <v>CURR UNRECOV PGA DEFERRED</v>
      </c>
    </row>
    <row r="10" spans="1:43" ht="16.5" thickBot="1">
      <c r="B10" s="478" t="s">
        <v>259</v>
      </c>
      <c r="C10" s="479">
        <f t="shared" si="18"/>
        <v>4395506.8166949991</v>
      </c>
      <c r="D10" s="479">
        <f t="shared" si="17"/>
        <v>4181620.6216329979</v>
      </c>
      <c r="E10" s="479">
        <v>0</v>
      </c>
      <c r="F10" s="479">
        <v>0</v>
      </c>
      <c r="G10" s="479">
        <v>0</v>
      </c>
      <c r="H10" s="479">
        <v>0</v>
      </c>
      <c r="I10" s="479">
        <v>0</v>
      </c>
      <c r="J10" s="479">
        <v>0</v>
      </c>
      <c r="K10" s="479">
        <v>0</v>
      </c>
      <c r="L10" s="479">
        <v>0</v>
      </c>
      <c r="M10" s="479">
        <v>0</v>
      </c>
      <c r="N10" s="479">
        <v>0</v>
      </c>
      <c r="O10" s="586">
        <v>-213886.19506200103</v>
      </c>
      <c r="P10" s="479">
        <v>0</v>
      </c>
      <c r="Q10" s="548">
        <v>0</v>
      </c>
      <c r="R10" s="548">
        <v>0</v>
      </c>
      <c r="S10" s="548">
        <v>0</v>
      </c>
      <c r="T10" s="548">
        <v>0</v>
      </c>
      <c r="U10" s="548">
        <v>0</v>
      </c>
      <c r="V10" s="548">
        <v>0</v>
      </c>
      <c r="W10" s="548">
        <v>0</v>
      </c>
      <c r="X10" s="548">
        <v>0</v>
      </c>
      <c r="Y10" s="548">
        <v>0</v>
      </c>
      <c r="Z10" s="548">
        <v>0</v>
      </c>
      <c r="AA10" s="614">
        <f>-SUM(K7:V7)</f>
        <v>4395506.8166949991</v>
      </c>
      <c r="AB10" s="479">
        <v>0</v>
      </c>
      <c r="AC10" s="479">
        <v>0</v>
      </c>
      <c r="AD10" s="548">
        <v>0</v>
      </c>
      <c r="AE10" s="548">
        <v>0</v>
      </c>
      <c r="AF10" s="548">
        <v>0</v>
      </c>
      <c r="AG10" s="548">
        <v>0</v>
      </c>
      <c r="AH10" s="548">
        <v>0</v>
      </c>
      <c r="AJ10" s="496" t="str">
        <f>AJ9</f>
        <v>Tracker Transfer</v>
      </c>
      <c r="AK10" s="523">
        <f>AK37</f>
        <v>191000</v>
      </c>
      <c r="AL10" s="523" t="str">
        <f>AL37</f>
        <v>GD</v>
      </c>
      <c r="AM10" s="523" t="str">
        <f>AM37</f>
        <v>WA</v>
      </c>
      <c r="AN10" s="497">
        <v>0</v>
      </c>
      <c r="AO10" s="515">
        <f>AN9</f>
        <v>0</v>
      </c>
      <c r="AQ10" s="479" t="str">
        <f>_xll.GLW_Segment_Description(AK10,2,2)</f>
        <v>RECOVERABLE GAS COSTS AMORTIZED</v>
      </c>
    </row>
    <row r="11" spans="1:43" ht="16.5" thickBot="1">
      <c r="B11" s="478" t="s">
        <v>260</v>
      </c>
      <c r="C11" s="479">
        <f t="shared" si="18"/>
        <v>438126.67</v>
      </c>
      <c r="D11" s="479">
        <f t="shared" si="17"/>
        <v>684577.32</v>
      </c>
      <c r="E11" s="479">
        <v>0</v>
      </c>
      <c r="F11" s="479">
        <v>0</v>
      </c>
      <c r="G11" s="479">
        <v>0</v>
      </c>
      <c r="H11" s="479">
        <v>0</v>
      </c>
      <c r="I11" s="479">
        <v>0</v>
      </c>
      <c r="J11" s="479">
        <v>0</v>
      </c>
      <c r="K11" s="479">
        <v>0</v>
      </c>
      <c r="L11" s="479">
        <v>0</v>
      </c>
      <c r="M11" s="479">
        <v>0</v>
      </c>
      <c r="N11" s="479">
        <v>0</v>
      </c>
      <c r="O11" s="587">
        <v>246450.64999999997</v>
      </c>
      <c r="P11" s="479">
        <v>0</v>
      </c>
      <c r="Q11" s="548">
        <v>0</v>
      </c>
      <c r="R11" s="548">
        <v>0</v>
      </c>
      <c r="S11" s="548">
        <v>0</v>
      </c>
      <c r="T11" s="548">
        <v>0</v>
      </c>
      <c r="U11" s="548">
        <v>0</v>
      </c>
      <c r="V11" s="548">
        <v>0</v>
      </c>
      <c r="W11" s="548">
        <v>0</v>
      </c>
      <c r="X11" s="548">
        <v>0</v>
      </c>
      <c r="Y11" s="548">
        <v>0</v>
      </c>
      <c r="Z11" s="548">
        <v>0</v>
      </c>
      <c r="AA11" s="616">
        <f>-SUM(K8:V8)</f>
        <v>438126.67</v>
      </c>
      <c r="AB11" s="479">
        <v>0</v>
      </c>
      <c r="AC11" s="479">
        <v>0</v>
      </c>
      <c r="AD11" s="548">
        <v>0</v>
      </c>
      <c r="AE11" s="548">
        <v>0</v>
      </c>
      <c r="AF11" s="548">
        <v>0</v>
      </c>
      <c r="AG11" s="548">
        <v>0</v>
      </c>
      <c r="AH11" s="548">
        <v>0</v>
      </c>
      <c r="AJ11" s="510"/>
      <c r="AK11" s="524"/>
      <c r="AL11" s="511"/>
      <c r="AM11" s="511"/>
      <c r="AN11" s="511" t="s">
        <v>159</v>
      </c>
      <c r="AO11" s="512">
        <f>SUM(AN5:AN10)-SUM(AO5:AO10)</f>
        <v>0</v>
      </c>
    </row>
    <row r="12" spans="1:43">
      <c r="B12" s="478" t="s">
        <v>148</v>
      </c>
      <c r="C12" s="479">
        <f>SUM(Q12:AB12)</f>
        <v>35.15</v>
      </c>
      <c r="D12" s="479">
        <f t="shared" si="17"/>
        <v>35.559999999999995</v>
      </c>
      <c r="E12" s="479">
        <v>0</v>
      </c>
      <c r="F12" s="479">
        <v>0</v>
      </c>
      <c r="G12" s="479">
        <v>0</v>
      </c>
      <c r="H12" s="479">
        <v>0</v>
      </c>
      <c r="I12" s="479">
        <v>0</v>
      </c>
      <c r="J12" s="479">
        <v>0</v>
      </c>
      <c r="K12" s="479">
        <v>0</v>
      </c>
      <c r="L12" s="479">
        <v>0</v>
      </c>
      <c r="M12" s="479">
        <v>0</v>
      </c>
      <c r="N12" s="479">
        <v>0</v>
      </c>
      <c r="O12" s="588">
        <v>0.41</v>
      </c>
      <c r="P12" s="479">
        <v>0</v>
      </c>
      <c r="Q12" s="548">
        <v>0</v>
      </c>
      <c r="R12" s="548">
        <v>0</v>
      </c>
      <c r="S12" s="548">
        <v>0</v>
      </c>
      <c r="T12" s="548">
        <v>0</v>
      </c>
      <c r="U12" s="548">
        <v>0</v>
      </c>
      <c r="V12" s="548">
        <v>0</v>
      </c>
      <c r="W12" s="548">
        <v>0</v>
      </c>
      <c r="X12" s="548">
        <v>0</v>
      </c>
      <c r="Y12" s="548">
        <v>0</v>
      </c>
      <c r="Z12" s="548">
        <v>0</v>
      </c>
      <c r="AA12" s="588">
        <v>35.15</v>
      </c>
      <c r="AB12" s="479">
        <v>0</v>
      </c>
      <c r="AC12" s="479">
        <v>0</v>
      </c>
      <c r="AD12" s="548">
        <v>0</v>
      </c>
      <c r="AE12" s="548">
        <v>0</v>
      </c>
      <c r="AF12" s="548">
        <v>0</v>
      </c>
      <c r="AG12" s="548">
        <v>0</v>
      </c>
      <c r="AH12" s="548">
        <v>0</v>
      </c>
    </row>
    <row r="13" spans="1:43" ht="16.5" thickBot="1">
      <c r="B13" s="478" t="s">
        <v>56</v>
      </c>
      <c r="C13" s="532">
        <f>SUM(C5:C12)</f>
        <v>-4289254.751539005</v>
      </c>
      <c r="D13" s="532">
        <f>SUM(D5:D12)</f>
        <v>-11107523.789348787</v>
      </c>
      <c r="E13" s="532">
        <v>-8439847.1132167727</v>
      </c>
      <c r="F13" s="532">
        <f>SUM(F5:F12)</f>
        <v>-9264796.9494047705</v>
      </c>
      <c r="G13" s="532">
        <f t="shared" ref="G13:N13" si="22">SUM(G5:G12)</f>
        <v>-10398819.535470769</v>
      </c>
      <c r="H13" s="532">
        <f t="shared" si="22"/>
        <v>-12153304.785960769</v>
      </c>
      <c r="I13" s="532">
        <f t="shared" si="22"/>
        <v>-12778894.072104771</v>
      </c>
      <c r="J13" s="532">
        <f>SUM(J5:J12)</f>
        <v>-14182183.944992768</v>
      </c>
      <c r="K13" s="532">
        <f>SUM(K5:K12)</f>
        <v>-15130761.40771677</v>
      </c>
      <c r="L13" s="532">
        <f t="shared" si="22"/>
        <v>-15660034.00335677</v>
      </c>
      <c r="M13" s="532">
        <f>SUM(M5:M12)</f>
        <v>-16306032.832939774</v>
      </c>
      <c r="N13" s="532">
        <f t="shared" si="22"/>
        <v>-16534597.329101773</v>
      </c>
      <c r="O13" s="584">
        <f>SUM(O5:O12)</f>
        <v>-3075004.5709557864</v>
      </c>
      <c r="P13" s="532">
        <f>SUM(P5:P12)</f>
        <v>-6818269.0378097855</v>
      </c>
      <c r="Q13" s="532">
        <f>SUM(Q5:Q12)</f>
        <v>-10248016.525328787</v>
      </c>
      <c r="R13" s="532">
        <f>SUM(R5:R12)</f>
        <v>-12338677.191237787</v>
      </c>
      <c r="S13" s="532">
        <f>SUM(S5:S12)</f>
        <v>-13990367.081666788</v>
      </c>
      <c r="T13" s="532">
        <f t="shared" ref="T13:U13" si="23">SUM(T5:T12)</f>
        <v>-15173451.409781789</v>
      </c>
      <c r="U13" s="532">
        <f t="shared" si="23"/>
        <v>-15098116.96234579</v>
      </c>
      <c r="V13" s="532">
        <f>SUM(V5:V12)</f>
        <v>-14771177.38731979</v>
      </c>
      <c r="W13" s="532">
        <f t="shared" ref="W13:X13" si="24">SUM(W5:W12)</f>
        <v>-15909772.702550791</v>
      </c>
      <c r="X13" s="532">
        <f t="shared" si="24"/>
        <v>-16977268.897435792</v>
      </c>
      <c r="Y13" s="532">
        <f>SUM(Y5:Y12)</f>
        <v>-18962414.798894793</v>
      </c>
      <c r="Z13" s="532">
        <f t="shared" ref="Z13" si="25">SUM(Z5:Z12)</f>
        <v>-21954910.563472789</v>
      </c>
      <c r="AA13" s="584">
        <f t="shared" ref="AA13:AE13" si="26">SUM(AA5:AA12)</f>
        <v>-8189815.5396147836</v>
      </c>
      <c r="AB13" s="532">
        <f t="shared" si="26"/>
        <v>-11107523.78934879</v>
      </c>
      <c r="AC13" s="532">
        <f t="shared" si="26"/>
        <v>-13225129.045603791</v>
      </c>
      <c r="AD13" s="590">
        <f t="shared" si="26"/>
        <v>-13264083.729049791</v>
      </c>
      <c r="AE13" s="590">
        <f t="shared" si="26"/>
        <v>-13822513.408797791</v>
      </c>
      <c r="AF13" s="590">
        <f>SUM(AF5:AF12)</f>
        <v>-15210763.179049792</v>
      </c>
      <c r="AG13" s="590">
        <f t="shared" ref="AG13" si="27">SUM(AG5:AG12)</f>
        <v>-15585609.433038792</v>
      </c>
      <c r="AH13" s="590">
        <f>SUM(AH5:AH12)</f>
        <v>-15619860.019682793</v>
      </c>
    </row>
    <row r="14" spans="1:43" ht="16.5" thickTop="1">
      <c r="B14" s="478" t="s">
        <v>256</v>
      </c>
      <c r="D14" s="479">
        <f>_xll.Get_Balance(AB3,"YTD","USD","Total","A","","001",$A$3,"GD","WA","DL")</f>
        <v>-11107523.800000001</v>
      </c>
      <c r="E14" s="479">
        <v>-8432290.1199999992</v>
      </c>
      <c r="F14" s="479">
        <f>_xll.Get_Balance(F3,"YTD","USD","Total","A","","001",$A$3,"GD","WA","DL")</f>
        <v>-9264796.9499999993</v>
      </c>
      <c r="G14" s="479">
        <f>_xll.Get_Balance(G3,"YTD","USD","Total","A","","001",$A$3,"GD","WA","DL")</f>
        <v>-10398819.539999999</v>
      </c>
      <c r="H14" s="479">
        <f>_xll.Get_Balance(H3,"YTD","USD","Total","A","","001",$A$3,"GD","WA","DL")</f>
        <v>-12153304.789999999</v>
      </c>
      <c r="I14" s="479">
        <f>_xll.Get_Balance(I3,"YTD","USD","Total","A","","001",$A$3,"GD","WA","DL")</f>
        <v>-12778894.08</v>
      </c>
      <c r="J14" s="583">
        <f>_xll.Get_Balance(J3,"YTD","USD","Total","A","","001",$A$3,"GD","WA","DL")</f>
        <v>-14182183.949999999</v>
      </c>
      <c r="K14" s="479">
        <f>_xll.Get_Balance(K3,"YTD","USD","Total","A","","001",$A$3,"GD","WA","DL")</f>
        <v>-15130761.41</v>
      </c>
      <c r="L14" s="479">
        <f>_xll.Get_Balance(L3,"YTD","USD","Total","A","","001",$A$3,"GD","WA","DL")</f>
        <v>-15660034.01</v>
      </c>
      <c r="M14" s="479">
        <f>_xll.Get_Balance(M3,"YTD","USD","Total","A","","001",$A$3,"GD","WA","DL")</f>
        <v>-16306032.84</v>
      </c>
      <c r="N14" s="479">
        <f>_xll.Get_Balance(N3,"YTD","USD","Total","A","","001",$A$3,"GD","WA","DL")</f>
        <v>-16534597.34</v>
      </c>
      <c r="O14" s="479">
        <f>_xll.Get_Balance(O3,"YTD","USD","Total","A","","001",$A$3,"GD","WA","DL")</f>
        <v>-3075004.58</v>
      </c>
      <c r="P14" s="479">
        <f>_xll.Get_Balance(P3,"YTD","USD","Total","A","","001",$A$3,"GD","WA","DL")</f>
        <v>-6818269.0499999998</v>
      </c>
      <c r="Q14" s="479">
        <f>_xll.Get_Balance(Q3,"YTD","USD","Total","A","","001",$A$3,"GD","WA","DL")</f>
        <v>-10248016.539999999</v>
      </c>
      <c r="R14" s="479">
        <f>_xll.Get_Balance(R3,"YTD","USD","Total","A","","001",$A$3,"GD","WA","DL")</f>
        <v>-12338677.210000001</v>
      </c>
      <c r="S14" s="479">
        <f>_xll.Get_Balance(S3,"YTD","USD","Total","A","","001",$A$3,"GD","WA","DL")</f>
        <v>-13990367.1</v>
      </c>
      <c r="T14" s="479">
        <f>_xll.Get_Balance(T3,"YTD","USD","Total","A","","001",$A$3,"GD","WA","DL")</f>
        <v>-15173451.43</v>
      </c>
      <c r="U14" s="479">
        <f>_xll.Get_Balance(U3,"YTD","USD","Total","A","","001",$A$3,"GD","WA","DL")</f>
        <v>-15098116.98</v>
      </c>
      <c r="V14" s="613">
        <f>_xll.Get_Balance(V3,"YTD","USD","Total","A","","001",$A$3,"GD","WA","DL")</f>
        <v>-14771177.4</v>
      </c>
      <c r="W14" s="479">
        <f>_xll.Get_Balance(W3,"YTD","USD","Total","A","","001",$A$3,"GD","WA","DL")</f>
        <v>-15909772.720000001</v>
      </c>
      <c r="X14" s="479">
        <f>_xll.Get_Balance(X3,"YTD","USD","Total","A","","001",$A$3,"GD","WA","DL")</f>
        <v>-16977268.91</v>
      </c>
      <c r="Y14" s="479">
        <f>_xll.Get_Balance(Y3,"YTD","USD","Total","A","","001",$A$3,"GD","WA","DL")</f>
        <v>-18962414.809999999</v>
      </c>
      <c r="Z14" s="479">
        <f>_xll.Get_Balance(Z3,"YTD","USD","Total","A","","001",$A$3,"GD","WA","DL")</f>
        <v>-21954910.57</v>
      </c>
      <c r="AA14" s="479">
        <f>_xll.Get_Balance(AA3,"YTD","USD","Total","A","","001",$A$3,"GD","WA","DL")</f>
        <v>-8189815.5499999998</v>
      </c>
      <c r="AB14" s="479">
        <f>_xll.Get_Balance(AB3,"YTD","USD","Total","A","","001",$A$3,"GD","WA","DL")</f>
        <v>-11107523.800000001</v>
      </c>
      <c r="AC14" s="479">
        <f>_xll.Get_Balance(AC3,"YTD","USD","Total","A","","001",$A$3,"GD","WA","DL")</f>
        <v>-13242800.26</v>
      </c>
      <c r="AD14" s="548">
        <f>_xll.Get_Balance(AD3,"YTD","USD","Total","A","","001",$A$3,"GD","WA","DL")</f>
        <v>-13281817.529999999</v>
      </c>
      <c r="AE14" s="548">
        <f>_xll.Get_Balance(AE3,"YTD","USD","Total","A","","001",$A$3,"GD","WA","DL")</f>
        <v>-13840310.02</v>
      </c>
      <c r="AF14" s="548">
        <f>_xll.Get_Balance(AF3,"YTD","USD","Total","A","","001",$A$3,"GD","WA","DL")</f>
        <v>-15210763.189999999</v>
      </c>
      <c r="AG14" s="548">
        <f>_xll.Get_Balance(AG3,"YTD","USD","Total","A","","001",$A$3,"GD","WA","DL")</f>
        <v>-15585609.439999999</v>
      </c>
      <c r="AH14" s="548">
        <f>_xll.Get_Balance(AH3,"YTD","USD","Total","A","","001",$A$3,"GD","WA","DL")</f>
        <v>-15585609.439999999</v>
      </c>
    </row>
    <row r="15" spans="1:43">
      <c r="B15" s="478" t="s">
        <v>243</v>
      </c>
      <c r="E15" s="479">
        <v>-7556.9932167734951</v>
      </c>
      <c r="F15" s="479">
        <f t="shared" ref="F15:I15" si="28">F13-F14</f>
        <v>5.9522874653339386E-4</v>
      </c>
      <c r="G15" s="479">
        <f t="shared" si="28"/>
        <v>4.5292302966117859E-3</v>
      </c>
      <c r="H15" s="479">
        <f t="shared" si="28"/>
        <v>4.0392298251390457E-3</v>
      </c>
      <c r="I15" s="479">
        <f t="shared" si="28"/>
        <v>7.895229384303093E-3</v>
      </c>
      <c r="J15" s="479">
        <f t="shared" ref="J15:N15" si="29">J13-J14</f>
        <v>5.0072316080331802E-3</v>
      </c>
      <c r="K15" s="479">
        <f>K13-K14</f>
        <v>2.2832304239273071E-3</v>
      </c>
      <c r="L15" s="479">
        <f t="shared" si="29"/>
        <v>6.6432300955057144E-3</v>
      </c>
      <c r="M15" s="479">
        <f t="shared" si="29"/>
        <v>7.0602260529994965E-3</v>
      </c>
      <c r="N15" s="479">
        <f t="shared" si="29"/>
        <v>1.0898226872086525E-2</v>
      </c>
      <c r="O15" s="479">
        <f>O13-O14</f>
        <v>9.0442136861383915E-3</v>
      </c>
      <c r="P15" s="479">
        <f>P13-P14</f>
        <v>1.2190214358270168E-2</v>
      </c>
      <c r="Q15" s="479">
        <f>Q13-Q14</f>
        <v>1.4671212062239647E-2</v>
      </c>
      <c r="R15" s="479">
        <f t="shared" ref="R15:Z15" si="30">R13-R14</f>
        <v>1.8762214109301567E-2</v>
      </c>
      <c r="S15" s="479">
        <f t="shared" si="30"/>
        <v>1.8333211541175842E-2</v>
      </c>
      <c r="T15" s="479">
        <f t="shared" si="30"/>
        <v>2.021821029484272E-2</v>
      </c>
      <c r="U15" s="479">
        <f t="shared" si="30"/>
        <v>1.7654210329055786E-2</v>
      </c>
      <c r="V15" s="479">
        <f t="shared" si="30"/>
        <v>1.2680210173130035E-2</v>
      </c>
      <c r="W15" s="479">
        <f t="shared" si="30"/>
        <v>1.7449209466576576E-2</v>
      </c>
      <c r="X15" s="479">
        <f t="shared" si="30"/>
        <v>1.256420835852623E-2</v>
      </c>
      <c r="Y15" s="479">
        <f t="shared" si="30"/>
        <v>1.1105205863714218E-2</v>
      </c>
      <c r="Z15" s="479">
        <f t="shared" si="30"/>
        <v>6.5272115170955658E-3</v>
      </c>
      <c r="AA15" s="479">
        <f t="shared" ref="AA15:AE15" si="31">AA13-AA14</f>
        <v>1.038521621376276E-2</v>
      </c>
      <c r="AB15" s="479">
        <f t="shared" si="31"/>
        <v>1.0651210322976112E-2</v>
      </c>
      <c r="AC15" s="479">
        <f t="shared" si="31"/>
        <v>17671.214396208525</v>
      </c>
      <c r="AD15" s="548">
        <f t="shared" si="31"/>
        <v>17733.800950208679</v>
      </c>
      <c r="AE15" s="548">
        <f t="shared" si="31"/>
        <v>17796.611202208325</v>
      </c>
      <c r="AF15" s="548">
        <f>AF13-AF14</f>
        <v>1.0950207710266113E-2</v>
      </c>
      <c r="AG15" s="548">
        <f t="shared" ref="AG15:AH15" si="32">AG13-AG14</f>
        <v>6.9612078368663788E-3</v>
      </c>
      <c r="AH15" s="548">
        <f t="shared" si="32"/>
        <v>-34250.579682793468</v>
      </c>
    </row>
    <row r="16" spans="1:43">
      <c r="A16" s="480" t="s">
        <v>263</v>
      </c>
      <c r="AD16" s="548"/>
      <c r="AE16" s="548"/>
      <c r="AF16" s="548"/>
      <c r="AG16" s="548"/>
      <c r="AH16" s="548"/>
    </row>
    <row r="17" spans="1:43">
      <c r="A17" s="480" t="s">
        <v>310</v>
      </c>
      <c r="E17" s="529"/>
      <c r="F17" s="529"/>
      <c r="G17" s="529"/>
      <c r="H17" s="529"/>
      <c r="I17" s="529"/>
      <c r="J17" s="529"/>
      <c r="K17" s="529"/>
      <c r="L17" s="529"/>
      <c r="M17" s="529"/>
      <c r="N17" s="529"/>
      <c r="O17" s="529"/>
      <c r="P17" s="529"/>
      <c r="Q17" s="529"/>
      <c r="R17" s="529"/>
      <c r="S17" s="529"/>
      <c r="T17" s="529"/>
      <c r="U17" s="529"/>
      <c r="V17" s="529"/>
      <c r="W17" s="529"/>
      <c r="X17" s="529"/>
      <c r="Y17" s="529"/>
      <c r="Z17" s="529"/>
      <c r="AA17" s="529"/>
      <c r="AB17" s="529"/>
      <c r="AC17" s="529"/>
      <c r="AD17" s="621"/>
      <c r="AE17" s="621"/>
      <c r="AF17" s="621"/>
      <c r="AG17" s="621"/>
      <c r="AH17" s="621"/>
    </row>
    <row r="18" spans="1:43">
      <c r="A18" s="481">
        <v>191000</v>
      </c>
      <c r="B18" s="482" t="s">
        <v>252</v>
      </c>
      <c r="C18" s="483" t="s">
        <v>248</v>
      </c>
      <c r="D18" s="483" t="s">
        <v>249</v>
      </c>
      <c r="E18" s="481">
        <v>201601</v>
      </c>
      <c r="F18" s="481">
        <f>E18+1</f>
        <v>201602</v>
      </c>
      <c r="G18" s="481">
        <f t="shared" ref="G18:P18" si="33">F18+1</f>
        <v>201603</v>
      </c>
      <c r="H18" s="481">
        <f t="shared" si="33"/>
        <v>201604</v>
      </c>
      <c r="I18" s="481">
        <f t="shared" si="33"/>
        <v>201605</v>
      </c>
      <c r="J18" s="481">
        <f t="shared" si="33"/>
        <v>201606</v>
      </c>
      <c r="K18" s="481">
        <f t="shared" si="33"/>
        <v>201607</v>
      </c>
      <c r="L18" s="481">
        <f t="shared" si="33"/>
        <v>201608</v>
      </c>
      <c r="M18" s="481">
        <f t="shared" si="33"/>
        <v>201609</v>
      </c>
      <c r="N18" s="481">
        <f t="shared" si="33"/>
        <v>201610</v>
      </c>
      <c r="O18" s="481">
        <f t="shared" si="33"/>
        <v>201611</v>
      </c>
      <c r="P18" s="481">
        <f t="shared" si="33"/>
        <v>201612</v>
      </c>
      <c r="Q18" s="481">
        <f>Q3</f>
        <v>201701</v>
      </c>
      <c r="R18" s="481">
        <f>Q18+1</f>
        <v>201702</v>
      </c>
      <c r="S18" s="481">
        <f t="shared" ref="S18" si="34">R18+1</f>
        <v>201703</v>
      </c>
      <c r="T18" s="481">
        <f t="shared" ref="T18" si="35">S18+1</f>
        <v>201704</v>
      </c>
      <c r="U18" s="481">
        <f t="shared" ref="U18" si="36">T18+1</f>
        <v>201705</v>
      </c>
      <c r="V18" s="481">
        <f t="shared" ref="V18" si="37">U18+1</f>
        <v>201706</v>
      </c>
      <c r="W18" s="481">
        <f t="shared" ref="W18" si="38">V18+1</f>
        <v>201707</v>
      </c>
      <c r="X18" s="481">
        <f t="shared" ref="X18" si="39">W18+1</f>
        <v>201708</v>
      </c>
      <c r="Y18" s="481">
        <f t="shared" ref="Y18" si="40">X18+1</f>
        <v>201709</v>
      </c>
      <c r="Z18" s="481">
        <f t="shared" ref="Z18" si="41">Y18+1</f>
        <v>201710</v>
      </c>
      <c r="AA18" s="481">
        <f t="shared" ref="AA18" si="42">Z18+1</f>
        <v>201711</v>
      </c>
      <c r="AB18" s="481">
        <f t="shared" ref="AB18" si="43">AA18+1</f>
        <v>201712</v>
      </c>
      <c r="AC18" s="481">
        <f t="shared" ref="AC18:AH18" si="44">AC3</f>
        <v>201801</v>
      </c>
      <c r="AD18" s="570">
        <f t="shared" si="44"/>
        <v>201802</v>
      </c>
      <c r="AE18" s="570">
        <f t="shared" si="44"/>
        <v>201803</v>
      </c>
      <c r="AF18" s="570">
        <f t="shared" si="44"/>
        <v>201804</v>
      </c>
      <c r="AG18" s="570">
        <f t="shared" si="44"/>
        <v>201805</v>
      </c>
      <c r="AH18" s="570">
        <f t="shared" si="44"/>
        <v>201806</v>
      </c>
    </row>
    <row r="19" spans="1:43">
      <c r="A19" s="480"/>
      <c r="B19" s="478" t="s">
        <v>37</v>
      </c>
      <c r="C19" s="479">
        <f>SUM(Q19:AB19)</f>
        <v>131594728</v>
      </c>
      <c r="D19" s="487">
        <f t="shared" ref="D19:D24" si="45">SUM(E19:AB19)</f>
        <v>240238598</v>
      </c>
      <c r="E19" s="534">
        <v>20140968</v>
      </c>
      <c r="F19" s="534">
        <v>14297044</v>
      </c>
      <c r="G19" s="534">
        <v>12238194</v>
      </c>
      <c r="H19" s="534">
        <v>5348802</v>
      </c>
      <c r="I19" s="534">
        <v>3384728</v>
      </c>
      <c r="J19" s="534">
        <v>2765049</v>
      </c>
      <c r="K19" s="534">
        <v>2292583</v>
      </c>
      <c r="L19" s="534">
        <v>2354714</v>
      </c>
      <c r="M19" s="534">
        <v>3123052</v>
      </c>
      <c r="N19" s="534">
        <v>7137333</v>
      </c>
      <c r="O19" s="534">
        <v>11352396</v>
      </c>
      <c r="P19" s="534">
        <v>24209007</v>
      </c>
      <c r="Q19" s="595">
        <v>27259641</v>
      </c>
      <c r="R19" s="595">
        <v>19157522</v>
      </c>
      <c r="S19" s="595">
        <v>14316138</v>
      </c>
      <c r="T19" s="595">
        <v>9641125</v>
      </c>
      <c r="U19" s="595">
        <v>4941679</v>
      </c>
      <c r="V19" s="595">
        <v>2542069</v>
      </c>
      <c r="W19" s="595">
        <v>2070483</v>
      </c>
      <c r="X19" s="595">
        <v>2080707</v>
      </c>
      <c r="Y19" s="595">
        <v>3147236</v>
      </c>
      <c r="Z19" s="595">
        <v>8835836</v>
      </c>
      <c r="AA19" s="595">
        <v>14838696</v>
      </c>
      <c r="AB19" s="595">
        <v>22763596</v>
      </c>
      <c r="AC19" s="595">
        <f>Jan!G23</f>
        <v>20257484</v>
      </c>
      <c r="AD19" s="595">
        <f>Feb!G23</f>
        <v>18179866</v>
      </c>
      <c r="AE19" s="595">
        <f>Mar!G23</f>
        <v>15771469</v>
      </c>
      <c r="AF19" s="595">
        <f>Apr!G23</f>
        <v>9759881</v>
      </c>
      <c r="AG19" s="595">
        <f>May!G23</f>
        <v>3286813</v>
      </c>
      <c r="AH19" s="595">
        <f>Jun!G23</f>
        <v>2630854</v>
      </c>
    </row>
    <row r="20" spans="1:43">
      <c r="A20" s="480"/>
      <c r="B20" s="554" t="s">
        <v>305</v>
      </c>
      <c r="C20" s="479">
        <f t="shared" ref="C20:C24" si="46">SUM(Q20:AB20)</f>
        <v>188194</v>
      </c>
      <c r="D20" s="487">
        <f t="shared" si="45"/>
        <v>340511</v>
      </c>
      <c r="E20" s="534">
        <v>17893</v>
      </c>
      <c r="F20" s="534">
        <v>14593</v>
      </c>
      <c r="G20" s="534">
        <v>18603</v>
      </c>
      <c r="H20" s="534">
        <v>12171</v>
      </c>
      <c r="I20" s="534">
        <v>5734</v>
      </c>
      <c r="J20" s="534">
        <v>4482</v>
      </c>
      <c r="K20" s="534">
        <v>3610</v>
      </c>
      <c r="L20" s="534">
        <v>2820</v>
      </c>
      <c r="M20" s="534">
        <v>4729</v>
      </c>
      <c r="N20" s="534">
        <v>12809</v>
      </c>
      <c r="O20" s="534">
        <v>19581</v>
      </c>
      <c r="P20" s="534">
        <v>35292</v>
      </c>
      <c r="Q20" s="595">
        <v>40615</v>
      </c>
      <c r="R20" s="595">
        <v>29103</v>
      </c>
      <c r="S20" s="595">
        <v>22738</v>
      </c>
      <c r="T20" s="595">
        <v>15697</v>
      </c>
      <c r="U20" s="595">
        <v>8078</v>
      </c>
      <c r="V20" s="595">
        <v>3619</v>
      </c>
      <c r="W20" s="595">
        <v>2296</v>
      </c>
      <c r="X20" s="595">
        <v>2393</v>
      </c>
      <c r="Y20" s="595">
        <v>3920</v>
      </c>
      <c r="Z20" s="595">
        <v>13952</v>
      </c>
      <c r="AA20" s="595">
        <v>20740</v>
      </c>
      <c r="AB20" s="595">
        <v>25043</v>
      </c>
      <c r="AC20" s="595">
        <f>Jan!G24</f>
        <v>22671</v>
      </c>
      <c r="AD20" s="595">
        <f>Feb!G24</f>
        <v>21014</v>
      </c>
      <c r="AE20" s="595">
        <f>Mar!G24</f>
        <v>19043</v>
      </c>
      <c r="AF20" s="595">
        <f>Apr!G24</f>
        <v>11770</v>
      </c>
      <c r="AG20" s="595">
        <f>May!G24</f>
        <v>4240</v>
      </c>
      <c r="AH20" s="595">
        <f>Jun!G24</f>
        <v>2604</v>
      </c>
    </row>
    <row r="21" spans="1:43">
      <c r="A21" s="480"/>
      <c r="B21" s="478" t="s">
        <v>38</v>
      </c>
      <c r="C21" s="479">
        <f t="shared" si="46"/>
        <v>51787474</v>
      </c>
      <c r="D21" s="487">
        <f t="shared" si="45"/>
        <v>96346775</v>
      </c>
      <c r="E21" s="534">
        <v>6568112</v>
      </c>
      <c r="F21" s="534">
        <v>5200734</v>
      </c>
      <c r="G21" s="534">
        <v>4795258</v>
      </c>
      <c r="H21" s="534">
        <v>2668983</v>
      </c>
      <c r="I21" s="534">
        <v>2221542</v>
      </c>
      <c r="J21" s="534">
        <v>1675034</v>
      </c>
      <c r="K21" s="534">
        <v>1510014</v>
      </c>
      <c r="L21" s="534">
        <v>1583471</v>
      </c>
      <c r="M21" s="534">
        <v>2056535</v>
      </c>
      <c r="N21" s="534">
        <v>3586972</v>
      </c>
      <c r="O21" s="534">
        <v>4116109</v>
      </c>
      <c r="P21" s="534">
        <v>8576537</v>
      </c>
      <c r="Q21" s="595">
        <v>8738107</v>
      </c>
      <c r="R21" s="595">
        <v>7258148</v>
      </c>
      <c r="S21" s="595">
        <v>5603968</v>
      </c>
      <c r="T21" s="595">
        <v>4021494</v>
      </c>
      <c r="U21" s="595">
        <v>2425238</v>
      </c>
      <c r="V21" s="595">
        <v>1878375</v>
      </c>
      <c r="W21" s="595">
        <v>1446879</v>
      </c>
      <c r="X21" s="595">
        <v>1463939</v>
      </c>
      <c r="Y21" s="595">
        <v>2165313</v>
      </c>
      <c r="Z21" s="595">
        <v>3629858</v>
      </c>
      <c r="AA21" s="595">
        <v>5325716</v>
      </c>
      <c r="AB21" s="595">
        <v>7830439</v>
      </c>
      <c r="AC21" s="595">
        <f>Jan!G25</f>
        <v>6608892</v>
      </c>
      <c r="AD21" s="595">
        <f>Feb!G25</f>
        <v>7202971</v>
      </c>
      <c r="AE21" s="595">
        <f>Mar!G25</f>
        <v>5606266</v>
      </c>
      <c r="AF21" s="595">
        <f>Apr!G25</f>
        <v>4266905</v>
      </c>
      <c r="AG21" s="595">
        <f>May!G25</f>
        <v>2210506</v>
      </c>
      <c r="AH21" s="595">
        <f>Jun!G25</f>
        <v>1922676</v>
      </c>
    </row>
    <row r="22" spans="1:43">
      <c r="A22" s="480"/>
      <c r="B22" s="478" t="s">
        <v>40</v>
      </c>
      <c r="C22" s="479">
        <f t="shared" si="46"/>
        <v>3896834</v>
      </c>
      <c r="D22" s="487">
        <f t="shared" si="45"/>
        <v>7546429</v>
      </c>
      <c r="E22" s="534">
        <v>345863</v>
      </c>
      <c r="F22" s="534">
        <v>408568</v>
      </c>
      <c r="G22" s="534">
        <v>361566</v>
      </c>
      <c r="H22" s="534">
        <v>227877</v>
      </c>
      <c r="I22" s="534">
        <v>311290</v>
      </c>
      <c r="J22" s="534">
        <v>225272</v>
      </c>
      <c r="K22" s="534">
        <v>266816</v>
      </c>
      <c r="L22" s="534">
        <v>259403</v>
      </c>
      <c r="M22" s="534">
        <v>291879</v>
      </c>
      <c r="N22" s="534">
        <v>401880</v>
      </c>
      <c r="O22" s="534">
        <v>314956</v>
      </c>
      <c r="P22" s="534">
        <v>234225</v>
      </c>
      <c r="Q22" s="595">
        <v>284721</v>
      </c>
      <c r="R22" s="595">
        <v>399264</v>
      </c>
      <c r="S22" s="595">
        <v>334116</v>
      </c>
      <c r="T22" s="595">
        <v>288026</v>
      </c>
      <c r="U22" s="595">
        <v>302382</v>
      </c>
      <c r="V22" s="595">
        <v>289055</v>
      </c>
      <c r="W22" s="595">
        <v>274504</v>
      </c>
      <c r="X22" s="595">
        <v>291721</v>
      </c>
      <c r="Y22" s="595">
        <v>348558</v>
      </c>
      <c r="Z22" s="595">
        <v>248414</v>
      </c>
      <c r="AA22" s="595">
        <v>458380</v>
      </c>
      <c r="AB22" s="595">
        <v>377693</v>
      </c>
      <c r="AC22" s="595">
        <f>Jan!G27</f>
        <v>362835</v>
      </c>
      <c r="AD22" s="595">
        <f>Feb!G27</f>
        <v>448875</v>
      </c>
      <c r="AE22" s="595">
        <f>Mar!G27</f>
        <v>345298</v>
      </c>
      <c r="AF22" s="595">
        <f>Apr!G27</f>
        <v>305691</v>
      </c>
      <c r="AG22" s="595">
        <f>May!G27</f>
        <v>234262</v>
      </c>
      <c r="AH22" s="595">
        <f>Jun!G27</f>
        <v>318982</v>
      </c>
    </row>
    <row r="23" spans="1:43">
      <c r="A23" s="480"/>
      <c r="B23" s="554" t="s">
        <v>42</v>
      </c>
      <c r="C23" s="479">
        <f t="shared" si="46"/>
        <v>0</v>
      </c>
      <c r="D23" s="487">
        <f t="shared" si="45"/>
        <v>0</v>
      </c>
      <c r="E23" s="534">
        <v>0</v>
      </c>
      <c r="F23" s="534">
        <v>0</v>
      </c>
      <c r="G23" s="534">
        <v>0</v>
      </c>
      <c r="H23" s="534">
        <v>0</v>
      </c>
      <c r="I23" s="534">
        <v>0</v>
      </c>
      <c r="J23" s="534">
        <v>0</v>
      </c>
      <c r="K23" s="534">
        <v>0</v>
      </c>
      <c r="L23" s="534">
        <v>0</v>
      </c>
      <c r="M23" s="534">
        <v>0</v>
      </c>
      <c r="N23" s="534">
        <v>0</v>
      </c>
      <c r="O23" s="534">
        <v>0</v>
      </c>
      <c r="P23" s="534">
        <v>0</v>
      </c>
      <c r="Q23" s="595">
        <v>0</v>
      </c>
      <c r="R23" s="595">
        <v>0</v>
      </c>
      <c r="S23" s="595">
        <v>0</v>
      </c>
      <c r="T23" s="595">
        <v>0</v>
      </c>
      <c r="U23" s="595">
        <v>0</v>
      </c>
      <c r="V23" s="595">
        <v>0</v>
      </c>
      <c r="W23" s="595">
        <v>0</v>
      </c>
      <c r="X23" s="595">
        <v>0</v>
      </c>
      <c r="Y23" s="595">
        <v>0</v>
      </c>
      <c r="Z23" s="595">
        <v>0</v>
      </c>
      <c r="AA23" s="595">
        <v>0</v>
      </c>
      <c r="AB23" s="595">
        <v>0</v>
      </c>
      <c r="AC23" s="595">
        <f>Jan!G29</f>
        <v>0</v>
      </c>
      <c r="AD23" s="595">
        <f>Feb!G29</f>
        <v>0</v>
      </c>
      <c r="AE23" s="595">
        <f>Mar!G29</f>
        <v>0</v>
      </c>
      <c r="AF23" s="595">
        <f>Apr!G29</f>
        <v>0</v>
      </c>
      <c r="AG23" s="595">
        <f>May!G29</f>
        <v>0</v>
      </c>
      <c r="AH23" s="595">
        <f>Jun!G29</f>
        <v>0</v>
      </c>
    </row>
    <row r="24" spans="1:43">
      <c r="A24" s="480"/>
      <c r="B24" s="478" t="s">
        <v>74</v>
      </c>
      <c r="C24" s="479">
        <f t="shared" si="46"/>
        <v>36224919</v>
      </c>
      <c r="D24" s="487">
        <f t="shared" si="45"/>
        <v>67139519</v>
      </c>
      <c r="E24" s="534">
        <v>3346687</v>
      </c>
      <c r="F24" s="534">
        <v>2956295</v>
      </c>
      <c r="G24" s="534">
        <v>2822744</v>
      </c>
      <c r="H24" s="534">
        <v>2379815</v>
      </c>
      <c r="I24" s="534">
        <v>2359261</v>
      </c>
      <c r="J24" s="534">
        <v>2149880</v>
      </c>
      <c r="K24" s="534">
        <v>1956378</v>
      </c>
      <c r="L24" s="534">
        <v>1966117</v>
      </c>
      <c r="M24" s="534">
        <v>1915306</v>
      </c>
      <c r="N24" s="534">
        <v>2505633</v>
      </c>
      <c r="O24" s="534">
        <v>2750386</v>
      </c>
      <c r="P24" s="534">
        <v>3806098</v>
      </c>
      <c r="Q24" s="595">
        <v>4261630</v>
      </c>
      <c r="R24" s="595">
        <v>3513623</v>
      </c>
      <c r="S24" s="595">
        <v>3381923</v>
      </c>
      <c r="T24" s="595">
        <v>2868630</v>
      </c>
      <c r="U24" s="595">
        <v>2501903</v>
      </c>
      <c r="V24" s="595">
        <v>2531843</v>
      </c>
      <c r="W24" s="595">
        <v>2144434</v>
      </c>
      <c r="X24" s="595">
        <v>2338940</v>
      </c>
      <c r="Y24" s="595">
        <v>2209861</v>
      </c>
      <c r="Z24" s="595">
        <v>3085921</v>
      </c>
      <c r="AA24" s="595">
        <v>3418526</v>
      </c>
      <c r="AB24" s="595">
        <v>3967685</v>
      </c>
      <c r="AC24" s="595">
        <f>Jan!G31</f>
        <v>3629622</v>
      </c>
      <c r="AD24" s="595">
        <f>Feb!G31</f>
        <v>3567188</v>
      </c>
      <c r="AE24" s="595">
        <f>Mar!G31</f>
        <v>3349134</v>
      </c>
      <c r="AF24" s="595">
        <f>Apr!G31</f>
        <v>3031741</v>
      </c>
      <c r="AG24" s="595">
        <f>May!G31</f>
        <v>2500964</v>
      </c>
      <c r="AH24" s="595">
        <f>Jun!G31</f>
        <v>2373589</v>
      </c>
    </row>
    <row r="25" spans="1:43" ht="16.5" thickBot="1">
      <c r="A25" s="480"/>
      <c r="B25" s="478" t="s">
        <v>21</v>
      </c>
      <c r="C25" s="533">
        <f>SUM(C19:C24)</f>
        <v>223692149</v>
      </c>
      <c r="D25" s="533">
        <f>SUM(D19:D24)</f>
        <v>411611832</v>
      </c>
      <c r="E25" s="533">
        <v>30419523</v>
      </c>
      <c r="F25" s="533">
        <f t="shared" ref="F25:AD25" si="47">SUM(F19:F24)</f>
        <v>22877234</v>
      </c>
      <c r="G25" s="533">
        <f t="shared" si="47"/>
        <v>20236365</v>
      </c>
      <c r="H25" s="533">
        <f t="shared" si="47"/>
        <v>10637648</v>
      </c>
      <c r="I25" s="533">
        <f t="shared" si="47"/>
        <v>8282555</v>
      </c>
      <c r="J25" s="533">
        <f t="shared" si="47"/>
        <v>6819717</v>
      </c>
      <c r="K25" s="533">
        <f t="shared" si="47"/>
        <v>6029401</v>
      </c>
      <c r="L25" s="533">
        <f t="shared" si="47"/>
        <v>6166525</v>
      </c>
      <c r="M25" s="533">
        <f t="shared" si="47"/>
        <v>7391501</v>
      </c>
      <c r="N25" s="533">
        <f t="shared" si="47"/>
        <v>13644627</v>
      </c>
      <c r="O25" s="533">
        <f t="shared" si="47"/>
        <v>18553428</v>
      </c>
      <c r="P25" s="533">
        <f t="shared" si="47"/>
        <v>36861159</v>
      </c>
      <c r="Q25" s="533">
        <f t="shared" si="47"/>
        <v>40584714</v>
      </c>
      <c r="R25" s="533">
        <f t="shared" si="47"/>
        <v>30357660</v>
      </c>
      <c r="S25" s="533">
        <f t="shared" si="47"/>
        <v>23658883</v>
      </c>
      <c r="T25" s="533">
        <f t="shared" si="47"/>
        <v>16834972</v>
      </c>
      <c r="U25" s="533">
        <f t="shared" si="47"/>
        <v>10179280</v>
      </c>
      <c r="V25" s="533">
        <f t="shared" si="47"/>
        <v>7244961</v>
      </c>
      <c r="W25" s="533">
        <f t="shared" si="47"/>
        <v>5938596</v>
      </c>
      <c r="X25" s="533">
        <f t="shared" si="47"/>
        <v>6177700</v>
      </c>
      <c r="Y25" s="533">
        <f t="shared" si="47"/>
        <v>7874888</v>
      </c>
      <c r="Z25" s="533">
        <f t="shared" si="47"/>
        <v>15813981</v>
      </c>
      <c r="AA25" s="533">
        <f t="shared" si="47"/>
        <v>24062058</v>
      </c>
      <c r="AB25" s="533">
        <f t="shared" si="47"/>
        <v>34964456</v>
      </c>
      <c r="AC25" s="620">
        <f t="shared" si="47"/>
        <v>30881504</v>
      </c>
      <c r="AD25" s="620">
        <f t="shared" si="47"/>
        <v>29419914</v>
      </c>
      <c r="AE25" s="620">
        <f t="shared" ref="AE25" si="48">SUM(AE19:AE24)</f>
        <v>25091210</v>
      </c>
      <c r="AF25" s="620">
        <f>SUM(AF19:AF24)</f>
        <v>17375988</v>
      </c>
      <c r="AG25" s="620">
        <f>SUM(AG19:AG24)</f>
        <v>8236785</v>
      </c>
      <c r="AH25" s="620">
        <f>SUM(AH19:AH24)</f>
        <v>7248705</v>
      </c>
    </row>
    <row r="26" spans="1:43" ht="16.5" thickTop="1">
      <c r="A26" s="480"/>
      <c r="B26" s="478" t="s">
        <v>264</v>
      </c>
      <c r="C26" s="487">
        <f>SUM(Q26:AB26)</f>
        <v>223692149</v>
      </c>
      <c r="D26" s="487">
        <f>SUM(E26:AB26)</f>
        <v>411611832</v>
      </c>
      <c r="E26" s="487">
        <v>30419523</v>
      </c>
      <c r="F26" s="487">
        <v>22877234</v>
      </c>
      <c r="G26" s="487">
        <v>20236365</v>
      </c>
      <c r="H26" s="487">
        <v>10637648</v>
      </c>
      <c r="I26" s="487">
        <v>8282555</v>
      </c>
      <c r="J26" s="487">
        <v>6819717</v>
      </c>
      <c r="K26" s="487">
        <v>6029401</v>
      </c>
      <c r="L26" s="552">
        <v>6166525</v>
      </c>
      <c r="M26" s="487">
        <v>7391501</v>
      </c>
      <c r="N26" s="487">
        <v>13644627</v>
      </c>
      <c r="O26" s="487">
        <v>18553428</v>
      </c>
      <c r="P26" s="487">
        <v>36861159</v>
      </c>
      <c r="Q26" s="487">
        <v>40584714</v>
      </c>
      <c r="R26" s="487">
        <v>30357660</v>
      </c>
      <c r="S26" s="487">
        <v>23658883</v>
      </c>
      <c r="T26" s="487">
        <v>16834972</v>
      </c>
      <c r="U26" s="487">
        <v>10179280</v>
      </c>
      <c r="V26" s="487">
        <v>7244961</v>
      </c>
      <c r="W26" s="487">
        <v>5938596</v>
      </c>
      <c r="X26" s="552">
        <v>6177700</v>
      </c>
      <c r="Y26" s="552">
        <v>7874888</v>
      </c>
      <c r="Z26" s="552">
        <v>15813981</v>
      </c>
      <c r="AA26" s="552">
        <v>24062058</v>
      </c>
      <c r="AB26" s="487">
        <v>34964456</v>
      </c>
      <c r="AC26" s="552">
        <v>30881504</v>
      </c>
      <c r="AD26" s="552">
        <v>29419914</v>
      </c>
      <c r="AE26" s="552">
        <v>25091210</v>
      </c>
      <c r="AF26" s="552">
        <v>17375988</v>
      </c>
      <c r="AG26" s="552">
        <v>8236785</v>
      </c>
      <c r="AH26" s="552">
        <v>7248705</v>
      </c>
      <c r="AI26" s="564"/>
    </row>
    <row r="27" spans="1:43">
      <c r="A27" s="480" t="s">
        <v>22</v>
      </c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29"/>
      <c r="U27" s="529"/>
      <c r="V27" s="529"/>
      <c r="W27" s="529"/>
      <c r="X27" s="529"/>
      <c r="Y27" s="529"/>
      <c r="Z27" s="529"/>
      <c r="AA27" s="529"/>
      <c r="AB27" s="529"/>
      <c r="AC27" s="621"/>
      <c r="AD27" s="621"/>
      <c r="AE27" s="621"/>
      <c r="AF27" s="621"/>
      <c r="AG27" s="621"/>
      <c r="AH27" s="621"/>
      <c r="AP27" s="549"/>
      <c r="AQ27" s="549"/>
    </row>
    <row r="28" spans="1:43">
      <c r="A28" s="481">
        <v>191000</v>
      </c>
      <c r="B28" s="482" t="s">
        <v>252</v>
      </c>
      <c r="E28" s="481">
        <v>201601</v>
      </c>
      <c r="F28" s="481">
        <f>E28+1</f>
        <v>201602</v>
      </c>
      <c r="G28" s="481">
        <f t="shared" ref="G28:P28" si="49">F28+1</f>
        <v>201603</v>
      </c>
      <c r="H28" s="481">
        <f t="shared" si="49"/>
        <v>201604</v>
      </c>
      <c r="I28" s="481">
        <f t="shared" si="49"/>
        <v>201605</v>
      </c>
      <c r="J28" s="481">
        <f t="shared" si="49"/>
        <v>201606</v>
      </c>
      <c r="K28" s="481">
        <f t="shared" si="49"/>
        <v>201607</v>
      </c>
      <c r="L28" s="481">
        <f t="shared" si="49"/>
        <v>201608</v>
      </c>
      <c r="M28" s="481">
        <f t="shared" si="49"/>
        <v>201609</v>
      </c>
      <c r="N28" s="481">
        <f t="shared" si="49"/>
        <v>201610</v>
      </c>
      <c r="O28" s="481">
        <f t="shared" si="49"/>
        <v>201611</v>
      </c>
      <c r="P28" s="481">
        <f t="shared" si="49"/>
        <v>201612</v>
      </c>
      <c r="Q28" s="481">
        <f>Q3</f>
        <v>201701</v>
      </c>
      <c r="R28" s="481">
        <f>Q28+1</f>
        <v>201702</v>
      </c>
      <c r="S28" s="481">
        <f t="shared" ref="S28" si="50">R28+1</f>
        <v>201703</v>
      </c>
      <c r="T28" s="481">
        <f t="shared" ref="T28" si="51">S28+1</f>
        <v>201704</v>
      </c>
      <c r="U28" s="481">
        <f t="shared" ref="U28" si="52">T28+1</f>
        <v>201705</v>
      </c>
      <c r="V28" s="481">
        <f t="shared" ref="V28" si="53">U28+1</f>
        <v>201706</v>
      </c>
      <c r="W28" s="481">
        <f t="shared" ref="W28" si="54">V28+1</f>
        <v>201707</v>
      </c>
      <c r="X28" s="481">
        <f t="shared" ref="X28" si="55">W28+1</f>
        <v>201708</v>
      </c>
      <c r="Y28" s="481">
        <f t="shared" ref="Y28" si="56">X28+1</f>
        <v>201709</v>
      </c>
      <c r="Z28" s="481">
        <f t="shared" ref="Z28" si="57">Y28+1</f>
        <v>201710</v>
      </c>
      <c r="AA28" s="481">
        <f t="shared" ref="AA28" si="58">Z28+1</f>
        <v>201711</v>
      </c>
      <c r="AB28" s="481">
        <f t="shared" ref="AB28" si="59">AA28+1</f>
        <v>201712</v>
      </c>
      <c r="AC28" s="570">
        <f t="shared" ref="AC28:AH28" si="60">AC3</f>
        <v>201801</v>
      </c>
      <c r="AD28" s="570">
        <f t="shared" si="60"/>
        <v>201802</v>
      </c>
      <c r="AE28" s="570">
        <f t="shared" si="60"/>
        <v>201803</v>
      </c>
      <c r="AF28" s="570">
        <f t="shared" si="60"/>
        <v>201804</v>
      </c>
      <c r="AG28" s="570">
        <f t="shared" si="60"/>
        <v>201805</v>
      </c>
      <c r="AH28" s="570">
        <f t="shared" si="60"/>
        <v>201806</v>
      </c>
      <c r="AP28" s="549"/>
      <c r="AQ28" s="549"/>
    </row>
    <row r="29" spans="1:43">
      <c r="A29" s="480"/>
      <c r="B29" s="478" t="s">
        <v>37</v>
      </c>
      <c r="E29" s="491">
        <v>2.571E-2</v>
      </c>
      <c r="F29" s="491">
        <v>2.571E-2</v>
      </c>
      <c r="G29" s="491">
        <v>2.571E-2</v>
      </c>
      <c r="H29" s="491">
        <v>2.571E-2</v>
      </c>
      <c r="I29" s="491">
        <v>2.571E-2</v>
      </c>
      <c r="J29" s="491">
        <v>2.571E-2</v>
      </c>
      <c r="K29" s="491">
        <v>2.571E-2</v>
      </c>
      <c r="L29" s="491">
        <v>2.571E-2</v>
      </c>
      <c r="M29" s="491">
        <v>2.571E-2</v>
      </c>
      <c r="N29" s="491">
        <v>2.571E-2</v>
      </c>
      <c r="O29" s="491" t="s">
        <v>307</v>
      </c>
      <c r="P29" s="491" t="s">
        <v>307</v>
      </c>
      <c r="Q29" s="592">
        <v>9.1740000000000002E-2</v>
      </c>
      <c r="R29" s="592">
        <v>9.1740000000000002E-2</v>
      </c>
      <c r="S29" s="592">
        <v>9.1740000000000002E-2</v>
      </c>
      <c r="T29" s="592">
        <v>9.1740000000000002E-2</v>
      </c>
      <c r="U29" s="592">
        <v>9.1740000000000002E-2</v>
      </c>
      <c r="V29" s="592">
        <v>9.1740000000000002E-2</v>
      </c>
      <c r="W29" s="592">
        <v>9.1740000000000002E-2</v>
      </c>
      <c r="X29" s="592">
        <v>9.1740000000000002E-2</v>
      </c>
      <c r="Y29" s="592">
        <v>9.1740000000000002E-2</v>
      </c>
      <c r="Z29" s="592">
        <v>9.1740000000000002E-2</v>
      </c>
      <c r="AA29" s="625" t="s">
        <v>307</v>
      </c>
      <c r="AB29" s="625" t="s">
        <v>307</v>
      </c>
      <c r="AC29" s="625">
        <v>9.0670000000000001E-2</v>
      </c>
      <c r="AD29" s="625">
        <v>9.0670000000000001E-2</v>
      </c>
      <c r="AE29" s="625">
        <v>9.0670000000000001E-2</v>
      </c>
      <c r="AF29" s="625">
        <v>9.0670000000000001E-2</v>
      </c>
      <c r="AG29" s="625">
        <v>9.0670000000000001E-2</v>
      </c>
      <c r="AH29" s="625">
        <v>9.0670000000000001E-2</v>
      </c>
    </row>
    <row r="30" spans="1:43">
      <c r="A30" s="480"/>
      <c r="B30" s="478" t="s">
        <v>305</v>
      </c>
      <c r="E30" s="491">
        <v>2.571E-2</v>
      </c>
      <c r="F30" s="491">
        <v>2.571E-2</v>
      </c>
      <c r="G30" s="491">
        <v>2.571E-2</v>
      </c>
      <c r="H30" s="491">
        <v>2.571E-2</v>
      </c>
      <c r="I30" s="491">
        <v>2.571E-2</v>
      </c>
      <c r="J30" s="491">
        <v>2.571E-2</v>
      </c>
      <c r="K30" s="491">
        <v>2.571E-2</v>
      </c>
      <c r="L30" s="491">
        <v>2.571E-2</v>
      </c>
      <c r="M30" s="491">
        <v>2.571E-2</v>
      </c>
      <c r="N30" s="491">
        <v>2.571E-2</v>
      </c>
      <c r="O30" s="491" t="s">
        <v>307</v>
      </c>
      <c r="P30" s="491" t="s">
        <v>307</v>
      </c>
      <c r="Q30" s="592">
        <v>9.1740000000000002E-2</v>
      </c>
      <c r="R30" s="592">
        <v>9.1740000000000002E-2</v>
      </c>
      <c r="S30" s="592">
        <v>9.1740000000000002E-2</v>
      </c>
      <c r="T30" s="592">
        <v>9.1740000000000002E-2</v>
      </c>
      <c r="U30" s="592">
        <v>9.1740000000000002E-2</v>
      </c>
      <c r="V30" s="592">
        <v>9.1740000000000002E-2</v>
      </c>
      <c r="W30" s="592">
        <v>9.1740000000000002E-2</v>
      </c>
      <c r="X30" s="592">
        <v>9.1740000000000002E-2</v>
      </c>
      <c r="Y30" s="592">
        <v>9.1740000000000002E-2</v>
      </c>
      <c r="Z30" s="592">
        <v>9.1740000000000002E-2</v>
      </c>
      <c r="AA30" s="625" t="s">
        <v>307</v>
      </c>
      <c r="AB30" s="625" t="s">
        <v>307</v>
      </c>
      <c r="AC30" s="625">
        <v>9.0670000000000001E-2</v>
      </c>
      <c r="AD30" s="625">
        <v>9.0670000000000001E-2</v>
      </c>
      <c r="AE30" s="625">
        <v>9.0670000000000001E-2</v>
      </c>
      <c r="AF30" s="625">
        <v>9.0670000000000001E-2</v>
      </c>
      <c r="AG30" s="625">
        <v>9.0670000000000001E-2</v>
      </c>
      <c r="AH30" s="625">
        <v>9.0670000000000001E-2</v>
      </c>
      <c r="AJ30" s="549"/>
      <c r="AK30" s="550"/>
      <c r="AL30" s="549"/>
      <c r="AM30" s="549"/>
      <c r="AN30" s="549"/>
      <c r="AO30" s="549"/>
    </row>
    <row r="31" spans="1:43">
      <c r="A31" s="480"/>
      <c r="B31" s="478" t="s">
        <v>38</v>
      </c>
      <c r="E31" s="491">
        <v>1.372E-2</v>
      </c>
      <c r="F31" s="491">
        <v>1.372E-2</v>
      </c>
      <c r="G31" s="491">
        <v>1.372E-2</v>
      </c>
      <c r="H31" s="491">
        <v>1.372E-2</v>
      </c>
      <c r="I31" s="491">
        <v>1.372E-2</v>
      </c>
      <c r="J31" s="491">
        <v>1.372E-2</v>
      </c>
      <c r="K31" s="491">
        <v>1.372E-2</v>
      </c>
      <c r="L31" s="491">
        <v>1.372E-2</v>
      </c>
      <c r="M31" s="491">
        <v>1.372E-2</v>
      </c>
      <c r="N31" s="491">
        <v>1.372E-2</v>
      </c>
      <c r="O31" s="491" t="s">
        <v>307</v>
      </c>
      <c r="P31" s="491" t="s">
        <v>307</v>
      </c>
      <c r="Q31" s="592">
        <v>7.2489999999999999E-2</v>
      </c>
      <c r="R31" s="592">
        <v>7.2489999999999999E-2</v>
      </c>
      <c r="S31" s="592">
        <v>7.2489999999999999E-2</v>
      </c>
      <c r="T31" s="592">
        <v>7.2489999999999999E-2</v>
      </c>
      <c r="U31" s="592">
        <v>7.2489999999999999E-2</v>
      </c>
      <c r="V31" s="592">
        <v>7.2489999999999999E-2</v>
      </c>
      <c r="W31" s="592">
        <v>7.2489999999999999E-2</v>
      </c>
      <c r="X31" s="592">
        <v>7.2489999999999999E-2</v>
      </c>
      <c r="Y31" s="592">
        <v>7.2489999999999999E-2</v>
      </c>
      <c r="Z31" s="592">
        <v>7.2489999999999999E-2</v>
      </c>
      <c r="AA31" s="625" t="s">
        <v>307</v>
      </c>
      <c r="AB31" s="625" t="s">
        <v>307</v>
      </c>
      <c r="AC31" s="625">
        <v>7.4749999999999997E-2</v>
      </c>
      <c r="AD31" s="625">
        <v>7.4749999999999997E-2</v>
      </c>
      <c r="AE31" s="625">
        <v>7.4749999999999997E-2</v>
      </c>
      <c r="AF31" s="625">
        <v>7.4749999999999997E-2</v>
      </c>
      <c r="AG31" s="625">
        <v>7.4749999999999997E-2</v>
      </c>
      <c r="AH31" s="625">
        <v>7.4749999999999997E-2</v>
      </c>
    </row>
    <row r="32" spans="1:43">
      <c r="A32" s="480"/>
      <c r="B32" s="478" t="s">
        <v>40</v>
      </c>
      <c r="E32" s="491">
        <v>-5.2900000000000004E-3</v>
      </c>
      <c r="F32" s="491">
        <v>-5.2900000000000004E-3</v>
      </c>
      <c r="G32" s="491">
        <v>-5.2900000000000004E-3</v>
      </c>
      <c r="H32" s="491">
        <v>-5.2900000000000004E-3</v>
      </c>
      <c r="I32" s="491">
        <v>-5.2900000000000004E-3</v>
      </c>
      <c r="J32" s="491">
        <v>-5.2900000000000004E-3</v>
      </c>
      <c r="K32" s="491">
        <v>-5.2900000000000004E-3</v>
      </c>
      <c r="L32" s="491">
        <v>-5.2900000000000004E-3</v>
      </c>
      <c r="M32" s="491">
        <v>-5.2900000000000004E-3</v>
      </c>
      <c r="N32" s="491">
        <v>-5.2900000000000004E-3</v>
      </c>
      <c r="O32" s="491" t="s">
        <v>307</v>
      </c>
      <c r="P32" s="491" t="s">
        <v>307</v>
      </c>
      <c r="Q32" s="592">
        <v>4.4479999999999999E-2</v>
      </c>
      <c r="R32" s="592">
        <v>4.4479999999999999E-2</v>
      </c>
      <c r="S32" s="592">
        <v>4.4479999999999999E-2</v>
      </c>
      <c r="T32" s="592">
        <v>4.4479999999999999E-2</v>
      </c>
      <c r="U32" s="592">
        <v>4.4479999999999999E-2</v>
      </c>
      <c r="V32" s="592">
        <v>4.4479999999999999E-2</v>
      </c>
      <c r="W32" s="592">
        <v>4.4479999999999999E-2</v>
      </c>
      <c r="X32" s="592">
        <v>4.4479999999999999E-2</v>
      </c>
      <c r="Y32" s="592">
        <v>4.4479999999999999E-2</v>
      </c>
      <c r="Z32" s="592">
        <v>4.4479999999999999E-2</v>
      </c>
      <c r="AA32" s="625" t="s">
        <v>307</v>
      </c>
      <c r="AB32" s="625" t="s">
        <v>307</v>
      </c>
      <c r="AC32" s="625">
        <v>4.7449999999999999E-2</v>
      </c>
      <c r="AD32" s="625">
        <v>4.7449999999999999E-2</v>
      </c>
      <c r="AE32" s="625">
        <v>4.7449999999999999E-2</v>
      </c>
      <c r="AF32" s="625">
        <v>4.7449999999999999E-2</v>
      </c>
      <c r="AG32" s="625">
        <v>4.7449999999999999E-2</v>
      </c>
      <c r="AH32" s="625">
        <v>4.7449999999999999E-2</v>
      </c>
    </row>
    <row r="33" spans="1:55" ht="16.5" thickBot="1">
      <c r="A33" s="480"/>
      <c r="B33" s="478" t="s">
        <v>42</v>
      </c>
      <c r="E33" s="491">
        <v>1.635E-2</v>
      </c>
      <c r="F33" s="491">
        <v>1.635E-2</v>
      </c>
      <c r="G33" s="491">
        <v>1.635E-2</v>
      </c>
      <c r="H33" s="491">
        <v>1.635E-2</v>
      </c>
      <c r="I33" s="491">
        <v>1.635E-2</v>
      </c>
      <c r="J33" s="491">
        <v>1.635E-2</v>
      </c>
      <c r="K33" s="491">
        <v>1.635E-2</v>
      </c>
      <c r="L33" s="491">
        <v>1.635E-2</v>
      </c>
      <c r="M33" s="491">
        <v>1.635E-2</v>
      </c>
      <c r="N33" s="491">
        <v>1.635E-2</v>
      </c>
      <c r="O33" s="491" t="s">
        <v>307</v>
      </c>
      <c r="P33" s="491" t="s">
        <v>307</v>
      </c>
      <c r="Q33" s="592">
        <v>8.8340000000000002E-2</v>
      </c>
      <c r="R33" s="592">
        <v>8.8340000000000002E-2</v>
      </c>
      <c r="S33" s="592">
        <v>8.8340000000000002E-2</v>
      </c>
      <c r="T33" s="592">
        <v>8.8340000000000002E-2</v>
      </c>
      <c r="U33" s="592">
        <v>8.8340000000000002E-2</v>
      </c>
      <c r="V33" s="592">
        <v>8.8340000000000002E-2</v>
      </c>
      <c r="W33" s="592">
        <v>8.8340000000000002E-2</v>
      </c>
      <c r="X33" s="592">
        <v>8.8340000000000002E-2</v>
      </c>
      <c r="Y33" s="592">
        <v>8.8340000000000002E-2</v>
      </c>
      <c r="Z33" s="592">
        <v>8.8340000000000002E-2</v>
      </c>
      <c r="AA33" s="625" t="s">
        <v>307</v>
      </c>
      <c r="AB33" s="625" t="s">
        <v>307</v>
      </c>
      <c r="AC33" s="625" t="s">
        <v>320</v>
      </c>
      <c r="AD33" s="625" t="s">
        <v>320</v>
      </c>
      <c r="AE33" s="625" t="s">
        <v>320</v>
      </c>
      <c r="AF33" s="625" t="s">
        <v>320</v>
      </c>
      <c r="AG33" s="625" t="s">
        <v>320</v>
      </c>
      <c r="AH33" s="625" t="s">
        <v>320</v>
      </c>
    </row>
    <row r="34" spans="1:55" ht="16.5" thickBot="1">
      <c r="A34" s="480"/>
      <c r="B34" s="478" t="s">
        <v>74</v>
      </c>
      <c r="E34" s="491">
        <v>0</v>
      </c>
      <c r="F34" s="491">
        <v>0</v>
      </c>
      <c r="G34" s="491">
        <v>0</v>
      </c>
      <c r="H34" s="491">
        <v>0</v>
      </c>
      <c r="I34" s="491">
        <v>0</v>
      </c>
      <c r="J34" s="491">
        <v>0</v>
      </c>
      <c r="K34" s="491">
        <v>0</v>
      </c>
      <c r="L34" s="491">
        <v>0</v>
      </c>
      <c r="M34" s="491">
        <v>0</v>
      </c>
      <c r="N34" s="491">
        <v>0</v>
      </c>
      <c r="O34" s="491" t="s">
        <v>307</v>
      </c>
      <c r="P34" s="491" t="s">
        <v>307</v>
      </c>
      <c r="Q34" s="592">
        <v>0</v>
      </c>
      <c r="R34" s="592">
        <v>0</v>
      </c>
      <c r="S34" s="592">
        <v>0</v>
      </c>
      <c r="T34" s="592">
        <v>0</v>
      </c>
      <c r="U34" s="592">
        <v>0</v>
      </c>
      <c r="V34" s="592">
        <v>0</v>
      </c>
      <c r="W34" s="592">
        <v>0</v>
      </c>
      <c r="X34" s="592">
        <v>0</v>
      </c>
      <c r="Y34" s="592">
        <v>0</v>
      </c>
      <c r="Z34" s="592">
        <v>0</v>
      </c>
      <c r="AA34" s="625" t="s">
        <v>307</v>
      </c>
      <c r="AB34" s="625" t="s">
        <v>307</v>
      </c>
      <c r="AC34" s="625" t="s">
        <v>320</v>
      </c>
      <c r="AD34" s="625" t="s">
        <v>320</v>
      </c>
      <c r="AE34" s="625" t="s">
        <v>320</v>
      </c>
      <c r="AF34" s="625" t="s">
        <v>320</v>
      </c>
      <c r="AG34" s="625" t="s">
        <v>320</v>
      </c>
      <c r="AH34" s="625" t="s">
        <v>320</v>
      </c>
      <c r="AJ34" s="507">
        <f>AJ4</f>
        <v>201806</v>
      </c>
      <c r="AK34" s="520"/>
      <c r="AL34" s="508"/>
      <c r="AM34" s="508"/>
      <c r="AN34" s="508"/>
      <c r="AO34" s="509"/>
    </row>
    <row r="35" spans="1:55">
      <c r="A35" s="480" t="s">
        <v>283</v>
      </c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488"/>
      <c r="U35" s="488"/>
      <c r="V35" s="488"/>
      <c r="W35" s="488"/>
      <c r="X35" s="488"/>
      <c r="Y35" s="488"/>
      <c r="Z35" s="488"/>
      <c r="AA35" s="488"/>
      <c r="AB35" s="488"/>
      <c r="AC35" s="553"/>
      <c r="AD35" s="553"/>
      <c r="AE35" s="553"/>
      <c r="AF35" s="553"/>
      <c r="AG35" s="553"/>
      <c r="AH35" s="553"/>
      <c r="AJ35" s="492" t="s">
        <v>288</v>
      </c>
      <c r="AK35" s="521">
        <v>419600</v>
      </c>
      <c r="AL35" s="493" t="s">
        <v>280</v>
      </c>
      <c r="AM35" s="493" t="s">
        <v>281</v>
      </c>
      <c r="AN35" s="513">
        <v>0</v>
      </c>
      <c r="AO35" s="514">
        <f>IF(SUMIF(E3:AE3,AJ4,E40:AE40)&gt;0,SUMIF(E3:AE3,AJ4,E40:AE40),0)</f>
        <v>0</v>
      </c>
      <c r="AQ35" s="479" t="str">
        <f>_xll.GLW_Segment_Description(AK35,2,2)</f>
        <v>INTEREST ON ENERGY DEFERRALS</v>
      </c>
    </row>
    <row r="36" spans="1:55" s="480" customFormat="1">
      <c r="A36" s="481">
        <v>191000</v>
      </c>
      <c r="B36" s="482" t="s">
        <v>252</v>
      </c>
      <c r="C36" s="483" t="s">
        <v>248</v>
      </c>
      <c r="D36" s="484" t="s">
        <v>249</v>
      </c>
      <c r="E36" s="481">
        <v>201601</v>
      </c>
      <c r="F36" s="481">
        <f>E36+1</f>
        <v>201602</v>
      </c>
      <c r="G36" s="481">
        <f t="shared" ref="G36:P36" si="61">F36+1</f>
        <v>201603</v>
      </c>
      <c r="H36" s="481">
        <f t="shared" si="61"/>
        <v>201604</v>
      </c>
      <c r="I36" s="481">
        <f t="shared" si="61"/>
        <v>201605</v>
      </c>
      <c r="J36" s="481">
        <f t="shared" si="61"/>
        <v>201606</v>
      </c>
      <c r="K36" s="481">
        <f t="shared" si="61"/>
        <v>201607</v>
      </c>
      <c r="L36" s="481">
        <f t="shared" si="61"/>
        <v>201608</v>
      </c>
      <c r="M36" s="481">
        <f t="shared" si="61"/>
        <v>201609</v>
      </c>
      <c r="N36" s="481">
        <f t="shared" si="61"/>
        <v>201610</v>
      </c>
      <c r="O36" s="481">
        <f t="shared" si="61"/>
        <v>201611</v>
      </c>
      <c r="P36" s="481">
        <f t="shared" si="61"/>
        <v>201612</v>
      </c>
      <c r="Q36" s="481">
        <f>Q3</f>
        <v>201701</v>
      </c>
      <c r="R36" s="481">
        <f>Q36+1</f>
        <v>201702</v>
      </c>
      <c r="S36" s="481">
        <f t="shared" ref="S36" si="62">R36+1</f>
        <v>201703</v>
      </c>
      <c r="T36" s="481">
        <f t="shared" ref="T36" si="63">S36+1</f>
        <v>201704</v>
      </c>
      <c r="U36" s="481">
        <f t="shared" ref="U36" si="64">T36+1</f>
        <v>201705</v>
      </c>
      <c r="V36" s="481">
        <f t="shared" ref="V36" si="65">U36+1</f>
        <v>201706</v>
      </c>
      <c r="W36" s="481">
        <f t="shared" ref="W36" si="66">V36+1</f>
        <v>201707</v>
      </c>
      <c r="X36" s="481">
        <f t="shared" ref="X36" si="67">W36+1</f>
        <v>201708</v>
      </c>
      <c r="Y36" s="481">
        <f t="shared" ref="Y36" si="68">X36+1</f>
        <v>201709</v>
      </c>
      <c r="Z36" s="481">
        <f t="shared" ref="Z36" si="69">Y36+1</f>
        <v>201710</v>
      </c>
      <c r="AA36" s="481">
        <f t="shared" ref="AA36" si="70">Z36+1</f>
        <v>201711</v>
      </c>
      <c r="AB36" s="481">
        <f t="shared" ref="AB36" si="71">AA36+1</f>
        <v>201712</v>
      </c>
      <c r="AC36" s="570">
        <f t="shared" ref="AC36:AE37" si="72">AC3</f>
        <v>201801</v>
      </c>
      <c r="AD36" s="570">
        <f t="shared" si="72"/>
        <v>201802</v>
      </c>
      <c r="AE36" s="570">
        <f t="shared" si="72"/>
        <v>201803</v>
      </c>
      <c r="AF36" s="570">
        <f>AF3</f>
        <v>201804</v>
      </c>
      <c r="AG36" s="570">
        <f t="shared" ref="AG36:AH36" si="73">AG3</f>
        <v>201805</v>
      </c>
      <c r="AH36" s="570">
        <f t="shared" si="73"/>
        <v>201806</v>
      </c>
      <c r="AI36" s="563"/>
      <c r="AJ36" s="494" t="s">
        <v>289</v>
      </c>
      <c r="AK36" s="522">
        <v>431600</v>
      </c>
      <c r="AL36" s="355" t="s">
        <v>280</v>
      </c>
      <c r="AM36" s="355" t="s">
        <v>281</v>
      </c>
      <c r="AN36" s="378">
        <f>IF(SUMIF(E36:AH36,AJ34,E40:AH40)&lt;0,-SUMIF(E36:AH36,AJ34,E40:AH40),0)</f>
        <v>1940.4921395230947</v>
      </c>
      <c r="AO36" s="495">
        <v>0</v>
      </c>
      <c r="AQ36" s="479" t="str">
        <f>_xll.GLW_Segment_Description(AK36,2,2)</f>
        <v>INTEREST EXPENSE ENERGY DEFERRALS</v>
      </c>
    </row>
    <row r="37" spans="1:55" s="480" customFormat="1">
      <c r="B37" s="482" t="s">
        <v>253</v>
      </c>
      <c r="C37" s="479"/>
      <c r="E37" s="485">
        <v>3.2500000000000001E-2</v>
      </c>
      <c r="F37" s="485">
        <v>3.2500000000000001E-2</v>
      </c>
      <c r="G37" s="485">
        <v>3.2500000000000001E-2</v>
      </c>
      <c r="H37" s="485">
        <v>3.4599999999999999E-2</v>
      </c>
      <c r="I37" s="485">
        <v>3.4599999999999999E-2</v>
      </c>
      <c r="J37" s="485">
        <v>3.4599999999999999E-2</v>
      </c>
      <c r="K37" s="485">
        <v>3.5000000000000003E-2</v>
      </c>
      <c r="L37" s="569">
        <v>3.5000000000000003E-2</v>
      </c>
      <c r="M37" s="569">
        <v>3.5000000000000003E-2</v>
      </c>
      <c r="N37" s="569">
        <v>3.5000000000000003E-2</v>
      </c>
      <c r="O37" s="569">
        <v>3.5000000000000003E-2</v>
      </c>
      <c r="P37" s="569">
        <v>3.5000000000000003E-2</v>
      </c>
      <c r="Q37" s="593">
        <v>3.5000000000000003E-2</v>
      </c>
      <c r="R37" s="593">
        <v>3.5000000000000003E-2</v>
      </c>
      <c r="S37" s="593">
        <v>3.5000000000000003E-2</v>
      </c>
      <c r="T37" s="593">
        <v>3.7100000000000001E-2</v>
      </c>
      <c r="U37" s="593">
        <v>3.7100000000000001E-2</v>
      </c>
      <c r="V37" s="593">
        <v>3.7100000000000001E-2</v>
      </c>
      <c r="W37" s="593">
        <v>3.9600000000000003E-2</v>
      </c>
      <c r="X37" s="593">
        <v>3.9600000000000003E-2</v>
      </c>
      <c r="Y37" s="593">
        <v>3.9600000000000003E-2</v>
      </c>
      <c r="Z37" s="593">
        <v>4.2099999999999999E-2</v>
      </c>
      <c r="AA37" s="593">
        <v>4.2099999999999999E-2</v>
      </c>
      <c r="AB37" s="593">
        <v>4.2099999999999999E-2</v>
      </c>
      <c r="AC37" s="593">
        <f t="shared" si="72"/>
        <v>4.2500000000000003E-2</v>
      </c>
      <c r="AD37" s="593">
        <f t="shared" si="72"/>
        <v>4.2500000000000003E-2</v>
      </c>
      <c r="AE37" s="593">
        <f t="shared" si="72"/>
        <v>4.2500000000000003E-2</v>
      </c>
      <c r="AF37" s="593">
        <f>AF4</f>
        <v>4.4699999999999997E-2</v>
      </c>
      <c r="AG37" s="593">
        <f t="shared" ref="AG37:AH37" si="74">AG4</f>
        <v>4.4699999999999997E-2</v>
      </c>
      <c r="AH37" s="593">
        <f t="shared" si="74"/>
        <v>4.4699999999999997E-2</v>
      </c>
      <c r="AI37" s="563"/>
      <c r="AJ37" s="494" t="s">
        <v>290</v>
      </c>
      <c r="AK37" s="522">
        <v>191000</v>
      </c>
      <c r="AL37" s="355" t="s">
        <v>280</v>
      </c>
      <c r="AM37" s="355" t="s">
        <v>281</v>
      </c>
      <c r="AN37" s="378">
        <f>IF((SUMIF(E36:AH36,AJ34,E39:AH39)+SUMIF(E36:AH36,AJ34,E40:AH40))&gt;0,(SUMIF(E36:AH36,AJ34,E39:AH39)+SUMIF(E36:AH36,AJ34,E40:AH40)),0)</f>
        <v>395690.87162047689</v>
      </c>
      <c r="AO37" s="495">
        <f>IF((SUMIF(E36:AH36,AJ34,E39:AH39)+SUMIF(E36:AH36,AJ34,E40:AH40))&lt;0,-(SUMIF(E36:AH36,AJ34,E39:AH39)+SUMIF(E36:AH36,AJ34,E40:AH40)),0)</f>
        <v>0</v>
      </c>
      <c r="AQ37" s="479" t="str">
        <f>_xll.GLW_Segment_Description(AK37,2,2)</f>
        <v>RECOVERABLE GAS COSTS AMORTIZED</v>
      </c>
    </row>
    <row r="38" spans="1:55">
      <c r="A38" s="489"/>
      <c r="B38" s="478" t="s">
        <v>250</v>
      </c>
      <c r="D38" s="479">
        <f>E38</f>
        <v>-2400830.7877258095</v>
      </c>
      <c r="E38" s="479">
        <v>-2400830.7877258095</v>
      </c>
      <c r="F38" s="479">
        <f t="shared" ref="F38" si="75">E43</f>
        <v>-1799942.4443073752</v>
      </c>
      <c r="G38" s="479">
        <f t="shared" ref="G38" si="76">F43</f>
        <v>-1367080.388300563</v>
      </c>
      <c r="H38" s="479">
        <f t="shared" ref="H38" si="77">G43</f>
        <v>-991269.16134300514</v>
      </c>
      <c r="I38" s="479">
        <f t="shared" ref="I38" si="78">H43</f>
        <v>-820633.96798459429</v>
      </c>
      <c r="J38" s="479">
        <f>I43</f>
        <v>-706831.28344430251</v>
      </c>
      <c r="K38" s="479">
        <f t="shared" ref="K38" si="79">J43</f>
        <v>-615740.82707996247</v>
      </c>
      <c r="L38" s="479">
        <f t="shared" ref="L38" si="80">K43</f>
        <v>-539081.43298013532</v>
      </c>
      <c r="M38" s="479">
        <f t="shared" ref="M38:R38" si="81">L43</f>
        <v>-459570.5002163836</v>
      </c>
      <c r="N38" s="479">
        <f t="shared" si="81"/>
        <v>-353667.8760235564</v>
      </c>
      <c r="O38" s="548">
        <f t="shared" si="81"/>
        <v>-123445.19123732927</v>
      </c>
      <c r="P38" s="479">
        <f t="shared" si="81"/>
        <v>-12794629.54065969</v>
      </c>
      <c r="Q38" s="479">
        <f>P43</f>
        <v>-9990002.7430699486</v>
      </c>
      <c r="R38" s="479">
        <f t="shared" si="81"/>
        <v>-6863930.3518781429</v>
      </c>
      <c r="S38" s="479">
        <f>R43</f>
        <v>-4576506.6383892084</v>
      </c>
      <c r="T38" s="479">
        <f t="shared" ref="T38" si="82">S43</f>
        <v>-2850780.7220049934</v>
      </c>
      <c r="U38" s="548">
        <f t="shared" ref="U38" si="83">T43</f>
        <v>-1667508.1164393995</v>
      </c>
      <c r="V38" s="479">
        <f>U43</f>
        <v>-1028322.8285985981</v>
      </c>
      <c r="W38" s="479">
        <f t="shared" ref="W38" si="84">V43</f>
        <v>-648348.69566836057</v>
      </c>
      <c r="X38" s="548">
        <f t="shared" ref="X38:AB38" si="85">W43</f>
        <v>-342730.3402196177</v>
      </c>
      <c r="Y38" s="479">
        <f t="shared" si="85"/>
        <v>-33149.237686728884</v>
      </c>
      <c r="Z38" s="479">
        <f t="shared" si="85"/>
        <v>429057.38532247738</v>
      </c>
      <c r="AA38" s="548">
        <f t="shared" si="85"/>
        <v>1518525.1996199901</v>
      </c>
      <c r="AB38" s="479">
        <f t="shared" si="85"/>
        <v>-11530857.691050928</v>
      </c>
      <c r="AC38" s="479">
        <f t="shared" ref="AC38:AH38" si="86">AB43</f>
        <v>-8772939.4477731995</v>
      </c>
      <c r="AD38" s="548">
        <f t="shared" si="86"/>
        <v>-6449815.9068760211</v>
      </c>
      <c r="AE38" s="548">
        <f t="shared" si="86"/>
        <v>-4259121.6475951439</v>
      </c>
      <c r="AF38" s="548">
        <f t="shared" si="86"/>
        <v>-2403721.0782025773</v>
      </c>
      <c r="AG38" s="548">
        <f t="shared" si="86"/>
        <v>-1190951.9274032866</v>
      </c>
      <c r="AH38" s="548">
        <f t="shared" si="86"/>
        <v>-719753.16900029394</v>
      </c>
      <c r="AJ38" s="494" t="s">
        <v>291</v>
      </c>
      <c r="AK38" s="522">
        <v>805110</v>
      </c>
      <c r="AL38" s="355" t="s">
        <v>280</v>
      </c>
      <c r="AM38" s="355" t="s">
        <v>281</v>
      </c>
      <c r="AN38" s="378">
        <f>IF((SUMIF(E36:AH36,AJ34,E39:AH39))&lt;0,-(SUMIF(E36:AH36,AJ34,E39:AH39)),0)</f>
        <v>0</v>
      </c>
      <c r="AO38" s="495">
        <f>IF((SUMIF(E36:AH36,AJ34,E39:AH39))&gt;0,(SUMIF(E36:AH36,AJ34,E39:AH39)),0)</f>
        <v>397631.36375999998</v>
      </c>
      <c r="AQ38" s="479" t="str">
        <f>_xll.GLW_Segment_Description(AK38,2,2)</f>
        <v>AMORTIZE RECOVERABLE GAS COSTS</v>
      </c>
      <c r="AW38" s="627" t="s">
        <v>321</v>
      </c>
      <c r="AX38" s="628"/>
      <c r="AY38" s="628"/>
      <c r="AZ38" s="628"/>
      <c r="BA38" s="628"/>
      <c r="BB38" s="629"/>
    </row>
    <row r="39" spans="1:55">
      <c r="B39" s="478" t="s">
        <v>23</v>
      </c>
      <c r="C39" s="479">
        <f>SUM(Q39:AB39)</f>
        <v>16000586.827369999</v>
      </c>
      <c r="D39" s="490">
        <f>SUM(E39:AB39)</f>
        <v>22501687.655719999</v>
      </c>
      <c r="E39" s="479">
        <v>606569.19767999998</v>
      </c>
      <c r="F39" s="479">
        <v>437144.93303000001</v>
      </c>
      <c r="G39" s="479">
        <v>379000.50648999994</v>
      </c>
      <c r="H39" s="479">
        <v>173243.59325999999</v>
      </c>
      <c r="I39" s="479">
        <v>116001.61016</v>
      </c>
      <c r="J39" s="479">
        <v>92994.419610000012</v>
      </c>
      <c r="K39" s="479">
        <v>78341.057469999985</v>
      </c>
      <c r="L39" s="479">
        <v>80965.179390000005</v>
      </c>
      <c r="M39" s="479">
        <v>107086.8698</v>
      </c>
      <c r="N39" s="479">
        <v>230917.46145999999</v>
      </c>
      <c r="O39" s="548">
        <v>1361030</v>
      </c>
      <c r="P39" s="479">
        <f>2837806</f>
        <v>2837806</v>
      </c>
      <c r="Q39" s="479">
        <f t="shared" ref="Q39:Z39" si="87">SUMPRODUCT(Q19:Q24,Q29:Q34)</f>
        <v>3150615.2519499999</v>
      </c>
      <c r="R39" s="479">
        <f>SUMPRODUCT(R19:R24,R29:R34)</f>
        <v>2304083.3887400003</v>
      </c>
      <c r="S39" s="479">
        <f t="shared" si="87"/>
        <v>1736541.60424</v>
      </c>
      <c r="T39" s="479">
        <f t="shared" si="87"/>
        <v>1190246.3468200001</v>
      </c>
      <c r="U39" s="479">
        <f t="shared" si="87"/>
        <v>643346.16116000002</v>
      </c>
      <c r="V39" s="479">
        <f t="shared" si="87"/>
        <v>382561.98726999998</v>
      </c>
      <c r="W39" s="479">
        <f t="shared" si="87"/>
        <v>307250.94208999997</v>
      </c>
      <c r="X39" s="479">
        <f t="shared" si="87"/>
        <v>310200.28219000006</v>
      </c>
      <c r="Y39" s="479">
        <f t="shared" si="87"/>
        <v>461554.45064999996</v>
      </c>
      <c r="Z39" s="479">
        <f t="shared" si="87"/>
        <v>1086057.4122600001</v>
      </c>
      <c r="AA39" s="548">
        <v>1765228</v>
      </c>
      <c r="AB39" s="548">
        <v>2662901</v>
      </c>
      <c r="AC39" s="548">
        <f t="shared" ref="AC39:AH39" si="88">SUMPRODUCT(AC19:AC24,AC29:AC34)</f>
        <v>2350032.8516000002</v>
      </c>
      <c r="AD39" s="548">
        <f t="shared" si="88"/>
        <v>2209994.9905999997</v>
      </c>
      <c r="AE39" s="548">
        <f t="shared" si="88"/>
        <v>1867178.4966399998</v>
      </c>
      <c r="AF39" s="548">
        <f t="shared" si="88"/>
        <v>1219451.78287</v>
      </c>
      <c r="AG39" s="548">
        <f t="shared" si="88"/>
        <v>474750.83091000002</v>
      </c>
      <c r="AH39" s="548">
        <f t="shared" si="88"/>
        <v>397631.36375999998</v>
      </c>
      <c r="AJ39" s="153" t="s">
        <v>156</v>
      </c>
      <c r="AK39" s="208">
        <f>AK37</f>
        <v>191000</v>
      </c>
      <c r="AL39" s="208" t="str">
        <f t="shared" ref="AL39:AM39" si="89">AL37</f>
        <v>GD</v>
      </c>
      <c r="AM39" s="208" t="str">
        <f t="shared" si="89"/>
        <v>WA</v>
      </c>
      <c r="AN39" s="469">
        <v>0</v>
      </c>
      <c r="AO39" s="459">
        <f>-IF(SUMIF(E36:AE36,AJ34,E42:AE42)&lt;0,SUMIF(E36:AE36,AJ34,E42:AE42),0)</f>
        <v>0</v>
      </c>
      <c r="AQ39" s="479" t="str">
        <f>_xll.GLW_Segment_Description(AK39,2,2)</f>
        <v>RECOVERABLE GAS COSTS AMORTIZED</v>
      </c>
      <c r="AW39" s="630" t="s">
        <v>156</v>
      </c>
      <c r="AX39" s="208">
        <v>191000</v>
      </c>
      <c r="AY39" s="549" t="s">
        <v>280</v>
      </c>
      <c r="AZ39" s="549" t="s">
        <v>281</v>
      </c>
      <c r="BA39" s="549">
        <v>130571.12</v>
      </c>
      <c r="BB39" s="631">
        <v>0</v>
      </c>
      <c r="BC39" s="479">
        <f>BA39-AO39</f>
        <v>130571.12</v>
      </c>
    </row>
    <row r="40" spans="1:55" ht="16.5" thickBot="1">
      <c r="B40" s="478" t="s">
        <v>4</v>
      </c>
      <c r="C40" s="479">
        <f>SUM(Q40:AB40)</f>
        <v>-142882.10207324801</v>
      </c>
      <c r="D40" s="479">
        <f>SUM(E40:AB40)</f>
        <v>-240404.19576738396</v>
      </c>
      <c r="E40" s="486">
        <v>-5680.8542615657343</v>
      </c>
      <c r="F40" s="486">
        <v>-4282.8770231876824</v>
      </c>
      <c r="G40" s="486">
        <v>-3189.27953244215</v>
      </c>
      <c r="H40" s="486">
        <v>-2608.3999015891645</v>
      </c>
      <c r="I40" s="486">
        <v>-2198.9256197082468</v>
      </c>
      <c r="J40" s="486">
        <v>-1903.9632456599886</v>
      </c>
      <c r="K40" s="486">
        <v>-1681.6633701728074</v>
      </c>
      <c r="L40" s="486">
        <v>-1454.2466262483115</v>
      </c>
      <c r="M40" s="486">
        <v>-1184.2456071727854</v>
      </c>
      <c r="N40" s="486">
        <v>-694.77667377287275</v>
      </c>
      <c r="O40" s="545">
        <f>((O38+O41)*(O37/12))+(((O39+O42)/2)*(O37/12))</f>
        <v>-39463.659422358884</v>
      </c>
      <c r="P40" s="486">
        <f t="shared" ref="P40:T40" si="90">((P38+P41)*(P37/12))+(((P39+P42)/2)*(P37/12))</f>
        <v>-33179.202410257429</v>
      </c>
      <c r="Q40" s="486">
        <f>((Q38+Q41)*(Q37/12))+(((Q39+Q42)/2)*(Q37/12))</f>
        <v>-24542.860758193601</v>
      </c>
      <c r="R40" s="486">
        <f t="shared" si="90"/>
        <v>-16659.675251065419</v>
      </c>
      <c r="S40" s="486">
        <f t="shared" si="90"/>
        <v>-10815.687855785192</v>
      </c>
      <c r="T40" s="486">
        <f t="shared" si="90"/>
        <v>-6973.7412544061872</v>
      </c>
      <c r="U40" s="486">
        <f>((U38+U41)*(U37/12))+(((U39+U42)/2)*(U37/12))</f>
        <v>-4160.873319198643</v>
      </c>
      <c r="V40" s="486">
        <f>((V38+V41)*(V37/12))+(((V39+V42)/2)*(V37/12))</f>
        <v>-2587.8543397624576</v>
      </c>
      <c r="W40" s="486">
        <f t="shared" ref="W40" si="91">((W38+W41)*(W37/12))+(((W39+W42)/2)*(W37/12))</f>
        <v>-1632.5866412570899</v>
      </c>
      <c r="X40" s="486">
        <f t="shared" ref="X40:Z40" si="92">((X38+X41)*(X37/12))+(((X39+X42)/2)*(X37/12))</f>
        <v>-619.17965711123838</v>
      </c>
      <c r="Y40" s="486">
        <f t="shared" si="92"/>
        <v>652.17235920629469</v>
      </c>
      <c r="Z40" s="486">
        <f t="shared" si="92"/>
        <v>3410.4020375124419</v>
      </c>
      <c r="AA40" s="545">
        <f t="shared" ref="AA40:AE40" si="93">((AA38+AA41)*(AA37/12))+(((AA39+AA42)/2)*(AA37/12))</f>
        <v>-43398.340670916543</v>
      </c>
      <c r="AB40" s="486">
        <f t="shared" si="93"/>
        <v>-35553.876722270346</v>
      </c>
      <c r="AC40" s="545">
        <f t="shared" si="93"/>
        <v>-26909.310702821749</v>
      </c>
      <c r="AD40" s="545">
        <f t="shared" si="93"/>
        <v>-18930.221319123411</v>
      </c>
      <c r="AE40" s="545">
        <f t="shared" si="93"/>
        <v>-11777.927247432803</v>
      </c>
      <c r="AF40" s="545">
        <f>((AF38+AF41)*(AF37/12))+(((AF39+AF42)/2)*(AF37/12))</f>
        <v>-6682.6320707092254</v>
      </c>
      <c r="AG40" s="545">
        <f>((AG38+AG41)*(AG37/12))+(((AG39+AG42)/2)*(AG37/12))</f>
        <v>-3552.0725070073668</v>
      </c>
      <c r="AH40" s="545">
        <f>((AH38+AH41)*(AH37/12))+(((AH39+AH42)/2)*(AH37/12))</f>
        <v>-1940.4921395230947</v>
      </c>
      <c r="AJ40" s="154" t="str">
        <f>AJ39</f>
        <v>Large Customer Refund</v>
      </c>
      <c r="AK40" s="546">
        <f>AK38</f>
        <v>805110</v>
      </c>
      <c r="AL40" s="546" t="str">
        <f t="shared" ref="AL40:AM40" si="94">AL38</f>
        <v>GD</v>
      </c>
      <c r="AM40" s="546" t="str">
        <f t="shared" si="94"/>
        <v>WA</v>
      </c>
      <c r="AN40" s="461">
        <f>AO39</f>
        <v>0</v>
      </c>
      <c r="AO40" s="470">
        <v>0</v>
      </c>
      <c r="AQ40" s="479" t="str">
        <f>_xll.GLW_Segment_Description(AK40,2,2)</f>
        <v>AMORTIZE RECOVERABLE GAS COSTS</v>
      </c>
      <c r="AW40" s="632" t="s">
        <v>156</v>
      </c>
      <c r="AX40" s="209">
        <v>805110</v>
      </c>
      <c r="AY40" s="633" t="s">
        <v>280</v>
      </c>
      <c r="AZ40" s="633" t="s">
        <v>281</v>
      </c>
      <c r="BA40" s="633">
        <v>0</v>
      </c>
      <c r="BB40" s="634">
        <v>130571.12</v>
      </c>
      <c r="BC40" s="479">
        <f>BB40-AN40</f>
        <v>130571.12</v>
      </c>
    </row>
    <row r="41" spans="1:55" ht="16.5" thickBot="1">
      <c r="B41" s="478" t="s">
        <v>255</v>
      </c>
      <c r="C41" s="479">
        <f t="shared" ref="C41:C42" si="95">SUM(Q41:AB41)</f>
        <v>-14771212.550000001</v>
      </c>
      <c r="D41" s="479">
        <f>SUM(E41:AB41)</f>
        <v>-28953396.510000002</v>
      </c>
      <c r="E41" s="479">
        <v>0</v>
      </c>
      <c r="F41" s="479">
        <v>0</v>
      </c>
      <c r="G41" s="479">
        <v>0</v>
      </c>
      <c r="H41" s="479">
        <v>0</v>
      </c>
      <c r="I41" s="479">
        <v>0</v>
      </c>
      <c r="J41" s="479">
        <v>0</v>
      </c>
      <c r="K41" s="479">
        <v>0</v>
      </c>
      <c r="L41" s="479">
        <v>0</v>
      </c>
      <c r="M41" s="479">
        <v>0</v>
      </c>
      <c r="N41" s="479">
        <v>0</v>
      </c>
      <c r="O41" s="589">
        <v>-14182183.960000001</v>
      </c>
      <c r="P41" s="479">
        <v>0</v>
      </c>
      <c r="Q41" s="479">
        <v>0</v>
      </c>
      <c r="R41" s="479">
        <v>0</v>
      </c>
      <c r="S41" s="479">
        <v>0</v>
      </c>
      <c r="T41" s="479">
        <v>0</v>
      </c>
      <c r="U41" s="479">
        <v>0</v>
      </c>
      <c r="V41" s="479">
        <v>0</v>
      </c>
      <c r="W41" s="479">
        <v>0</v>
      </c>
      <c r="X41" s="479">
        <v>0</v>
      </c>
      <c r="Y41" s="479">
        <v>0</v>
      </c>
      <c r="Z41" s="479">
        <v>0</v>
      </c>
      <c r="AA41" s="589">
        <v>-14771212.550000001</v>
      </c>
      <c r="AB41" s="479">
        <v>0</v>
      </c>
      <c r="AC41" s="548">
        <v>0</v>
      </c>
      <c r="AD41" s="548">
        <v>0</v>
      </c>
      <c r="AE41" s="548">
        <v>0</v>
      </c>
      <c r="AF41" s="548">
        <v>0</v>
      </c>
      <c r="AG41" s="548">
        <v>0</v>
      </c>
      <c r="AH41" s="548">
        <v>0</v>
      </c>
      <c r="AJ41" s="510"/>
      <c r="AK41" s="524"/>
      <c r="AL41" s="511"/>
      <c r="AM41" s="511"/>
      <c r="AN41" s="511" t="s">
        <v>159</v>
      </c>
      <c r="AO41" s="512">
        <f>SUM(AN35:AN40)-SUM(AO35:AO40)</f>
        <v>0</v>
      </c>
    </row>
    <row r="42" spans="1:55">
      <c r="B42" s="478" t="s">
        <v>148</v>
      </c>
      <c r="C42" s="479">
        <f t="shared" si="95"/>
        <v>130571.12</v>
      </c>
      <c r="D42" s="490">
        <f>SUM(E42:AB42)</f>
        <v>320004.39</v>
      </c>
      <c r="E42" s="479">
        <v>0</v>
      </c>
      <c r="F42" s="479">
        <v>0</v>
      </c>
      <c r="G42" s="479">
        <v>0</v>
      </c>
      <c r="H42" s="479">
        <v>0</v>
      </c>
      <c r="I42" s="479">
        <v>0</v>
      </c>
      <c r="J42" s="479">
        <v>0</v>
      </c>
      <c r="K42" s="479">
        <v>0</v>
      </c>
      <c r="L42" s="479">
        <v>0</v>
      </c>
      <c r="M42" s="479">
        <v>0</v>
      </c>
      <c r="N42" s="479">
        <v>0</v>
      </c>
      <c r="O42" s="548">
        <v>189433.27</v>
      </c>
      <c r="P42" s="479">
        <v>0</v>
      </c>
      <c r="Q42" s="479">
        <v>0</v>
      </c>
      <c r="R42" s="479">
        <v>0</v>
      </c>
      <c r="S42" s="479">
        <v>0</v>
      </c>
      <c r="T42" s="479">
        <v>0</v>
      </c>
      <c r="U42" s="479">
        <v>0</v>
      </c>
      <c r="V42" s="479">
        <v>0</v>
      </c>
      <c r="W42" s="479">
        <v>0</v>
      </c>
      <c r="X42" s="479">
        <v>0</v>
      </c>
      <c r="Y42" s="479">
        <v>0</v>
      </c>
      <c r="Z42" s="479">
        <v>0</v>
      </c>
      <c r="AA42" s="622">
        <v>0</v>
      </c>
      <c r="AB42" s="622">
        <v>130571.12</v>
      </c>
      <c r="AC42" s="548">
        <v>0</v>
      </c>
      <c r="AD42" s="622">
        <f>-158.62-25.94-185.95</f>
        <v>-370.51</v>
      </c>
      <c r="AE42" s="548">
        <v>0</v>
      </c>
      <c r="AF42" s="548">
        <v>0</v>
      </c>
      <c r="AG42" s="548">
        <v>0</v>
      </c>
      <c r="AH42" s="548">
        <v>0</v>
      </c>
    </row>
    <row r="43" spans="1:55" ht="16.5" thickBot="1">
      <c r="B43" s="478" t="s">
        <v>56</v>
      </c>
      <c r="C43" s="532">
        <f>SUM(C39:C42)</f>
        <v>1217063.29529675</v>
      </c>
      <c r="D43" s="532">
        <f>SUM(D38:D42)</f>
        <v>-8772939.4477731958</v>
      </c>
      <c r="E43" s="532">
        <v>-1799942.4443073752</v>
      </c>
      <c r="F43" s="532">
        <f t="shared" ref="F43:P43" si="96">SUM(F38:F42)</f>
        <v>-1367080.388300563</v>
      </c>
      <c r="G43" s="532">
        <f t="shared" si="96"/>
        <v>-991269.16134300514</v>
      </c>
      <c r="H43" s="532">
        <f t="shared" si="96"/>
        <v>-820633.96798459429</v>
      </c>
      <c r="I43" s="532">
        <f t="shared" si="96"/>
        <v>-706831.28344430251</v>
      </c>
      <c r="J43" s="532">
        <f t="shared" si="96"/>
        <v>-615740.82707996247</v>
      </c>
      <c r="K43" s="532">
        <f>SUM(K38:K42)</f>
        <v>-539081.43298013532</v>
      </c>
      <c r="L43" s="532">
        <f t="shared" si="96"/>
        <v>-459570.5002163836</v>
      </c>
      <c r="M43" s="532">
        <f t="shared" si="96"/>
        <v>-353667.8760235564</v>
      </c>
      <c r="N43" s="532">
        <f t="shared" si="96"/>
        <v>-123445.19123732927</v>
      </c>
      <c r="O43" s="532">
        <f>SUM(O38:O42)</f>
        <v>-12794629.54065969</v>
      </c>
      <c r="P43" s="532">
        <f t="shared" si="96"/>
        <v>-9990002.7430699486</v>
      </c>
      <c r="Q43" s="532">
        <f>SUM(Q38:Q42)</f>
        <v>-6863930.3518781429</v>
      </c>
      <c r="R43" s="532">
        <f t="shared" ref="R43:V43" si="97">SUM(R38:R42)</f>
        <v>-4576506.6383892084</v>
      </c>
      <c r="S43" s="532">
        <f>SUM(S38:S42)</f>
        <v>-2850780.7220049934</v>
      </c>
      <c r="T43" s="532">
        <f t="shared" si="97"/>
        <v>-1667508.1164393995</v>
      </c>
      <c r="U43" s="532">
        <f t="shared" si="97"/>
        <v>-1028322.8285985981</v>
      </c>
      <c r="V43" s="532">
        <f t="shared" si="97"/>
        <v>-648348.69566836057</v>
      </c>
      <c r="W43" s="532">
        <f>SUM(W38:W42)</f>
        <v>-342730.3402196177</v>
      </c>
      <c r="X43" s="532">
        <f t="shared" ref="X43:Z43" si="98">SUM(X38:X42)</f>
        <v>-33149.237686728884</v>
      </c>
      <c r="Y43" s="532">
        <f t="shared" si="98"/>
        <v>429057.38532247738</v>
      </c>
      <c r="Z43" s="532">
        <f t="shared" si="98"/>
        <v>1518525.1996199901</v>
      </c>
      <c r="AA43" s="532">
        <f t="shared" ref="AA43:AE43" si="99">SUM(AA38:AA42)</f>
        <v>-11530857.691050928</v>
      </c>
      <c r="AB43" s="532">
        <f t="shared" si="99"/>
        <v>-8772939.4477731995</v>
      </c>
      <c r="AC43" s="590">
        <f t="shared" si="99"/>
        <v>-6449815.9068760211</v>
      </c>
      <c r="AD43" s="590">
        <f t="shared" si="99"/>
        <v>-4259121.6475951439</v>
      </c>
      <c r="AE43" s="590">
        <f t="shared" si="99"/>
        <v>-2403721.0782025773</v>
      </c>
      <c r="AF43" s="590">
        <f>SUM(AF38:AF42)</f>
        <v>-1190951.9274032866</v>
      </c>
      <c r="AG43" s="590">
        <f t="shared" ref="AG43:AH43" si="100">SUM(AG38:AG42)</f>
        <v>-719753.16900029394</v>
      </c>
      <c r="AH43" s="590">
        <f t="shared" si="100"/>
        <v>-324062.29737981706</v>
      </c>
      <c r="AJ43" s="355"/>
      <c r="AK43" s="522"/>
      <c r="AL43" s="355"/>
      <c r="AM43" s="355"/>
      <c r="AN43" s="378"/>
      <c r="AO43" s="378"/>
      <c r="AP43" s="549"/>
      <c r="AQ43" s="549"/>
      <c r="AR43" s="549"/>
      <c r="AS43" s="549"/>
    </row>
    <row r="44" spans="1:55" ht="16.5" thickTop="1">
      <c r="B44" s="478" t="s">
        <v>256</v>
      </c>
      <c r="D44" s="479">
        <f>_xll.Get_Balance(AB36,"YTD","USD","Total","A","","001",$A$36,"GD","WA","DL")</f>
        <v>-8772480.3499999996</v>
      </c>
      <c r="E44" s="479">
        <v>-1799942.22</v>
      </c>
      <c r="F44" s="479">
        <f>_xll.Get_Balance(F36,"YTD","USD","Total","A","","001",$A$36,"GD","WA","DL")</f>
        <v>-1367080.17</v>
      </c>
      <c r="G44" s="479">
        <f>_xll.Get_Balance(G36,"YTD","USD","Total","A","","001",$A$36,"GD","WA","DL")</f>
        <v>-991268.94</v>
      </c>
      <c r="H44" s="479">
        <f>_xll.Get_Balance(H36,"YTD","USD","Total","A","","001",$A$36,"GD","WA","DL")</f>
        <v>-820633.75</v>
      </c>
      <c r="I44" s="479">
        <f>_xll.Get_Balance(I36,"YTD","USD","Total","A","","001",$A$36,"GD","WA","DL")</f>
        <v>-706831.07</v>
      </c>
      <c r="J44" s="479">
        <f>_xll.Get_Balance(J36,"YTD","USD","Total","A","","001",$A$36,"GD","WA","DL")</f>
        <v>-615740.61</v>
      </c>
      <c r="K44" s="479">
        <f>_xll.Get_Balance(K36,"YTD","USD","Total","A","","001",$A$36,"GD","WA","DL")</f>
        <v>-539081.21</v>
      </c>
      <c r="L44" s="479">
        <f>_xll.Get_Balance(L36,"YTD","USD","Total","A","","001",$A$36,"GD","WA","DL")</f>
        <v>-459570.28</v>
      </c>
      <c r="M44" s="479">
        <f>_xll.Get_Balance(M36,"YTD","USD","Total","A","","001",$A$36,"GD","WA","DL")</f>
        <v>-353667.66</v>
      </c>
      <c r="N44" s="479">
        <f>_xll.Get_Balance(N36,"YTD","USD","Total","A","","001",$A$36,"GD","WA","DL")</f>
        <v>-123444.98</v>
      </c>
      <c r="O44" s="479">
        <f>_xll.Get_Balance(O36,"YTD","USD","Total","A","","001",$A$36,"GD","WA","DL")</f>
        <v>-12794629.33</v>
      </c>
      <c r="P44" s="479">
        <f>_xll.Get_Balance(P36,"YTD","USD","Total","A","","001",$A$36,"GD","WA","DL")</f>
        <v>-9990002.5299999993</v>
      </c>
      <c r="Q44" s="479">
        <f>_xll.Get_Balance(Q36,"YTD","USD","Total","A","","001",$A$36,"GD","WA","DL")</f>
        <v>-6863930.1399999997</v>
      </c>
      <c r="R44" s="479">
        <f>_xll.Get_Balance(R36,"YTD","USD","Total","A","","001",$A$36,"GD","WA","DL")</f>
        <v>-4576506.43</v>
      </c>
      <c r="S44" s="479">
        <f>_xll.Get_Balance(S36,"YTD","USD","Total","A","","001",$A$36,"GD","WA","DL")</f>
        <v>-2850780.51</v>
      </c>
      <c r="T44" s="479">
        <f>_xll.Get_Balance(T36,"YTD","USD","Total","A","","001",$A$36,"GD","WA","DL")</f>
        <v>-1667507.9</v>
      </c>
      <c r="U44" s="479">
        <f>_xll.Get_Balance(U36,"YTD","USD","Total","A","","001",$A$36,"GD","WA","DL")</f>
        <v>-1028322.61</v>
      </c>
      <c r="V44" s="479">
        <f>_xll.Get_Balance(V36,"YTD","USD","Total","A","","001",$A$36,"GD","WA","DL")</f>
        <v>-648348.48</v>
      </c>
      <c r="W44" s="479">
        <f>_xll.Get_Balance(W36,"YTD","USD","Total","A","","001",$A$36,"GD","WA","DL")</f>
        <v>-342730.12</v>
      </c>
      <c r="X44" s="479">
        <f>_xll.Get_Balance(X36,"YTD","USD","Total","A","","001",$A$36,"GD","WA","DL")</f>
        <v>-33149.019999999997</v>
      </c>
      <c r="Y44" s="479">
        <f>_xll.Get_Balance(Y36,"YTD","USD","Total","A","","001",$A$36,"GD","WA","DL")</f>
        <v>429057.6</v>
      </c>
      <c r="Z44" s="479">
        <f>_xll.Get_Balance(Z36,"YTD","USD","Total","A","","001",$A$36,"GD","WA","DL")</f>
        <v>1518525.41</v>
      </c>
      <c r="AA44" s="479">
        <f>_xll.Get_Balance(AA36,"YTD","USD","Total","A","","001",$A$36,"GD","WA","DL")</f>
        <v>-11530628.439999999</v>
      </c>
      <c r="AB44" s="479">
        <f>_xll.Get_Balance(AB36,"YTD","USD","Total","A","","001",$A$36,"GD","WA","DL")</f>
        <v>-8772480.3499999996</v>
      </c>
      <c r="AC44" s="548">
        <f>_xll.Get_Balance(AC36,"YTD","USD","Total","A","","001",$A$36,"GD","WA","DL")</f>
        <v>-6449815.9100000001</v>
      </c>
      <c r="AD44" s="548">
        <f>_xll.Get_Balance(AD36,"YTD","USD","Total","A","","001",$A$36,"GD","WA","DL")</f>
        <v>-4259121.6500000004</v>
      </c>
      <c r="AE44" s="548">
        <f>_xll.Get_Balance(AE36,"YTD","USD","Total","A","","001",$A$36,"GD","WA","DL")</f>
        <v>-2403721.08</v>
      </c>
      <c r="AF44" s="548">
        <f>_xll.Get_Balance(AF36,"YTD","USD","Total","A","","001",$A$36,"GD","WA","DL")</f>
        <v>-1190951.93</v>
      </c>
      <c r="AG44" s="548">
        <f>_xll.Get_Balance(AG36,"YTD","USD","Total","A","","001",$A$36,"GD","WA","DL")</f>
        <v>-719753.17</v>
      </c>
      <c r="AH44" s="548">
        <f>_xll.Get_Balance(AH36,"YTD","USD","Total","A","","001",$A$36,"GD","WA","DL")</f>
        <v>-719753.17</v>
      </c>
      <c r="AJ44" s="355"/>
      <c r="AK44" s="522"/>
      <c r="AL44" s="355"/>
      <c r="AM44" s="355"/>
      <c r="AN44" s="378"/>
      <c r="AO44" s="378"/>
      <c r="AP44" s="549"/>
      <c r="AQ44" s="549"/>
      <c r="AR44" s="549"/>
      <c r="AS44" s="549"/>
    </row>
    <row r="45" spans="1:55">
      <c r="B45" s="478" t="s">
        <v>243</v>
      </c>
      <c r="E45" s="479">
        <v>-0.22430737526156008</v>
      </c>
      <c r="F45" s="479">
        <f t="shared" ref="F45:M45" si="101">F43-F44</f>
        <v>-0.21830056305043399</v>
      </c>
      <c r="G45" s="479">
        <f t="shared" si="101"/>
        <v>-0.22134300519246608</v>
      </c>
      <c r="H45" s="479">
        <f t="shared" si="101"/>
        <v>-0.2179845942882821</v>
      </c>
      <c r="I45" s="479">
        <f>I43-I44</f>
        <v>-0.21344430255703628</v>
      </c>
      <c r="J45" s="479">
        <f t="shared" si="101"/>
        <v>-0.21707996248733252</v>
      </c>
      <c r="K45" s="479">
        <f>K43-K44</f>
        <v>-0.22298013535328209</v>
      </c>
      <c r="L45" s="479">
        <f>L43-L44</f>
        <v>-0.2202163835754618</v>
      </c>
      <c r="M45" s="479">
        <f t="shared" si="101"/>
        <v>-0.2160235564224422</v>
      </c>
      <c r="N45" s="479">
        <f>N43-N44</f>
        <v>-0.21123732927662786</v>
      </c>
      <c r="O45" s="479">
        <f>O43-O44</f>
        <v>-0.2106596902012825</v>
      </c>
      <c r="P45" s="479">
        <f>P43-P44</f>
        <v>-0.21306994929909706</v>
      </c>
      <c r="Q45" s="479">
        <f>Q43-Q44</f>
        <v>-0.21187814325094223</v>
      </c>
      <c r="R45" s="479">
        <f t="shared" ref="R45:T45" si="102">R43-R44</f>
        <v>-0.20838920865207911</v>
      </c>
      <c r="S45" s="479">
        <f>S43-S44</f>
        <v>-0.21200499357655644</v>
      </c>
      <c r="T45" s="479">
        <f t="shared" si="102"/>
        <v>-0.21643939963541925</v>
      </c>
      <c r="U45" s="479">
        <f>U43-U44</f>
        <v>-0.21859859814867377</v>
      </c>
      <c r="V45" s="479">
        <f t="shared" ref="V45" si="103">V43-V44</f>
        <v>-0.21566836058627814</v>
      </c>
      <c r="W45" s="479">
        <f>W43-W44</f>
        <v>-0.22021961770951748</v>
      </c>
      <c r="X45" s="479">
        <f>X43-X44</f>
        <v>-0.21768672888720175</v>
      </c>
      <c r="Y45" s="479">
        <f t="shared" ref="Y45" si="104">Y43-Y44</f>
        <v>-0.21467752259923145</v>
      </c>
      <c r="Z45" s="479">
        <f t="shared" ref="Z45:AE45" si="105">Z43-Z44</f>
        <v>-0.21038000984117389</v>
      </c>
      <c r="AA45" s="479">
        <f t="shared" si="105"/>
        <v>-229.25105092860758</v>
      </c>
      <c r="AB45" s="479">
        <f t="shared" si="105"/>
        <v>-459.09777319990098</v>
      </c>
      <c r="AC45" s="548">
        <f t="shared" si="105"/>
        <v>3.1239790841937065E-3</v>
      </c>
      <c r="AD45" s="548">
        <f t="shared" si="105"/>
        <v>2.4048564955592155E-3</v>
      </c>
      <c r="AE45" s="548">
        <f t="shared" si="105"/>
        <v>1.7974227666854858E-3</v>
      </c>
      <c r="AF45" s="548">
        <f>AF43-AF44</f>
        <v>2.5967133697122335E-3</v>
      </c>
      <c r="AG45" s="548">
        <f>AG43-AG44</f>
        <v>9.9970609880983829E-4</v>
      </c>
      <c r="AH45" s="548">
        <f>AH43-AH44</f>
        <v>395690.87262018298</v>
      </c>
    </row>
    <row r="46" spans="1:55">
      <c r="AC46" s="548"/>
      <c r="AD46" s="548"/>
      <c r="AE46" s="548"/>
      <c r="AF46" s="548"/>
      <c r="AG46" s="548"/>
      <c r="AH46" s="548"/>
    </row>
    <row r="47" spans="1:55" hidden="1" outlineLevel="1">
      <c r="A47" s="480" t="s">
        <v>311</v>
      </c>
      <c r="E47" s="529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P47" s="529"/>
      <c r="Q47" s="529"/>
      <c r="R47" s="529"/>
      <c r="S47" s="529"/>
      <c r="T47" s="529"/>
      <c r="U47" s="529"/>
      <c r="V47" s="529"/>
      <c r="W47" s="529"/>
      <c r="X47" s="529"/>
      <c r="Y47" s="529"/>
      <c r="Z47" s="529"/>
      <c r="AA47" s="529"/>
      <c r="AB47" s="529"/>
      <c r="AC47" s="621"/>
      <c r="AD47" s="621"/>
      <c r="AE47" s="621"/>
      <c r="AF47" s="621"/>
      <c r="AG47" s="621"/>
      <c r="AH47" s="621"/>
    </row>
    <row r="48" spans="1:55" hidden="1" outlineLevel="1">
      <c r="A48" s="481">
        <v>191025</v>
      </c>
      <c r="B48" s="482" t="s">
        <v>252</v>
      </c>
      <c r="C48" s="483" t="s">
        <v>248</v>
      </c>
      <c r="D48" s="483" t="s">
        <v>249</v>
      </c>
      <c r="E48" s="481">
        <v>201601</v>
      </c>
      <c r="F48" s="481">
        <f>E48+1</f>
        <v>201602</v>
      </c>
      <c r="G48" s="481">
        <f t="shared" ref="G48:P48" si="106">F48+1</f>
        <v>201603</v>
      </c>
      <c r="H48" s="481">
        <f t="shared" si="106"/>
        <v>201604</v>
      </c>
      <c r="I48" s="481">
        <f t="shared" si="106"/>
        <v>201605</v>
      </c>
      <c r="J48" s="481">
        <f t="shared" si="106"/>
        <v>201606</v>
      </c>
      <c r="K48" s="481">
        <f t="shared" si="106"/>
        <v>201607</v>
      </c>
      <c r="L48" s="481">
        <f t="shared" si="106"/>
        <v>201608</v>
      </c>
      <c r="M48" s="481">
        <f t="shared" si="106"/>
        <v>201609</v>
      </c>
      <c r="N48" s="481">
        <f t="shared" si="106"/>
        <v>201610</v>
      </c>
      <c r="O48" s="481">
        <f t="shared" si="106"/>
        <v>201611</v>
      </c>
      <c r="P48" s="481">
        <f t="shared" si="106"/>
        <v>201612</v>
      </c>
      <c r="Q48" s="481">
        <f>Q3</f>
        <v>201701</v>
      </c>
      <c r="R48" s="481">
        <f>Q48+1</f>
        <v>201702</v>
      </c>
      <c r="S48" s="481">
        <f t="shared" ref="S48" si="107">R48+1</f>
        <v>201703</v>
      </c>
      <c r="T48" s="481">
        <f t="shared" ref="T48" si="108">S48+1</f>
        <v>201704</v>
      </c>
      <c r="U48" s="481">
        <f t="shared" ref="U48" si="109">T48+1</f>
        <v>201705</v>
      </c>
      <c r="V48" s="481">
        <f t="shared" ref="V48" si="110">U48+1</f>
        <v>201706</v>
      </c>
      <c r="W48" s="481">
        <f t="shared" ref="W48" si="111">V48+1</f>
        <v>201707</v>
      </c>
      <c r="X48" s="481">
        <f t="shared" ref="X48" si="112">W48+1</f>
        <v>201708</v>
      </c>
      <c r="Y48" s="481">
        <f t="shared" ref="Y48" si="113">X48+1</f>
        <v>201709</v>
      </c>
      <c r="Z48" s="481">
        <f t="shared" ref="Z48" si="114">Y48+1</f>
        <v>201710</v>
      </c>
      <c r="AA48" s="481">
        <f t="shared" ref="AA48" si="115">Z48+1</f>
        <v>201711</v>
      </c>
      <c r="AB48" s="481">
        <f t="shared" ref="AB48" si="116">AA48+1</f>
        <v>201712</v>
      </c>
      <c r="AC48" s="570">
        <f t="shared" ref="AC48:AH48" si="117">AC3</f>
        <v>201801</v>
      </c>
      <c r="AD48" s="570">
        <f t="shared" si="117"/>
        <v>201802</v>
      </c>
      <c r="AE48" s="570">
        <f t="shared" si="117"/>
        <v>201803</v>
      </c>
      <c r="AF48" s="570">
        <f t="shared" si="117"/>
        <v>201804</v>
      </c>
      <c r="AG48" s="570">
        <f t="shared" si="117"/>
        <v>201805</v>
      </c>
      <c r="AH48" s="570">
        <f t="shared" si="117"/>
        <v>201806</v>
      </c>
      <c r="AN48" s="548"/>
    </row>
    <row r="49" spans="1:37" hidden="1" outlineLevel="1">
      <c r="A49" s="480"/>
      <c r="B49" s="478" t="s">
        <v>37</v>
      </c>
      <c r="C49" s="487">
        <f>SUM(Q49:AB49)</f>
        <v>130625078</v>
      </c>
      <c r="D49" s="487">
        <f t="shared" ref="D49:D57" si="118">SUM(E49:AB49)</f>
        <v>239268948</v>
      </c>
      <c r="E49" s="534">
        <v>20140968</v>
      </c>
      <c r="F49" s="534">
        <v>14297044</v>
      </c>
      <c r="G49" s="534">
        <v>12238194</v>
      </c>
      <c r="H49" s="534">
        <v>5348802</v>
      </c>
      <c r="I49" s="534">
        <v>3384728</v>
      </c>
      <c r="J49" s="534">
        <v>2765049</v>
      </c>
      <c r="K49" s="534">
        <v>2292583</v>
      </c>
      <c r="L49" s="534">
        <v>2354714</v>
      </c>
      <c r="M49" s="534">
        <v>3123052</v>
      </c>
      <c r="N49" s="534">
        <v>7137333</v>
      </c>
      <c r="O49" s="534">
        <v>11352396</v>
      </c>
      <c r="P49" s="534">
        <v>24209007</v>
      </c>
      <c r="Q49" s="595">
        <v>27259641</v>
      </c>
      <c r="R49" s="595">
        <f>Feb!$G23</f>
        <v>18179866</v>
      </c>
      <c r="S49" s="595">
        <f>Mar!$G23</f>
        <v>15771469</v>
      </c>
      <c r="T49" s="595">
        <f>Apr!$G23</f>
        <v>9759881</v>
      </c>
      <c r="U49" s="595">
        <f>May!$G23</f>
        <v>3286813</v>
      </c>
      <c r="V49" s="595">
        <f>Jun!$G23</f>
        <v>2630854</v>
      </c>
      <c r="W49" s="595">
        <f>Jul!$G23</f>
        <v>2070483</v>
      </c>
      <c r="X49" s="595">
        <f>Aug!$G23</f>
        <v>2080707</v>
      </c>
      <c r="Y49" s="595">
        <f>Sep!$G23</f>
        <v>3147236</v>
      </c>
      <c r="Z49" s="595">
        <f>Oct!$G23</f>
        <v>8835836</v>
      </c>
      <c r="AA49" s="595">
        <f>Nov!$G23</f>
        <v>14838696</v>
      </c>
      <c r="AB49" s="595">
        <f>Dec!$G23</f>
        <v>22763596</v>
      </c>
      <c r="AC49" s="595">
        <f>Jan!G23</f>
        <v>20257484</v>
      </c>
      <c r="AD49" s="551">
        <f>Feb!G23</f>
        <v>18179866</v>
      </c>
      <c r="AE49" s="551" t="str">
        <f>Feb!H23</f>
        <v>MAIN CALC</v>
      </c>
      <c r="AF49" s="551">
        <f>Feb!I23</f>
        <v>2081351</v>
      </c>
      <c r="AG49" s="551">
        <f>Feb!G23</f>
        <v>18179866</v>
      </c>
      <c r="AH49" s="551" t="str">
        <f>Feb!H23</f>
        <v>MAIN CALC</v>
      </c>
    </row>
    <row r="50" spans="1:37" hidden="1" outlineLevel="1">
      <c r="A50" s="480"/>
      <c r="B50" s="554" t="s">
        <v>305</v>
      </c>
      <c r="C50" s="487">
        <f t="shared" ref="C50:C57" si="119">SUM(Q50:AB50)</f>
        <v>167630</v>
      </c>
      <c r="D50" s="487">
        <f t="shared" si="118"/>
        <v>319947</v>
      </c>
      <c r="E50" s="534">
        <v>17893</v>
      </c>
      <c r="F50" s="534">
        <v>14593</v>
      </c>
      <c r="G50" s="534">
        <v>18603</v>
      </c>
      <c r="H50" s="534">
        <v>12171</v>
      </c>
      <c r="I50" s="534">
        <v>5734</v>
      </c>
      <c r="J50" s="534">
        <v>4482</v>
      </c>
      <c r="K50" s="534">
        <v>3610</v>
      </c>
      <c r="L50" s="534">
        <v>2820</v>
      </c>
      <c r="M50" s="534">
        <v>4729</v>
      </c>
      <c r="N50" s="534">
        <v>12809</v>
      </c>
      <c r="O50" s="534">
        <v>19581</v>
      </c>
      <c r="P50" s="534">
        <v>35292</v>
      </c>
      <c r="Q50" s="595">
        <v>40615</v>
      </c>
      <c r="R50" s="595">
        <f>Feb!$G24</f>
        <v>21014</v>
      </c>
      <c r="S50" s="595">
        <f>Mar!$G24</f>
        <v>19043</v>
      </c>
      <c r="T50" s="595">
        <f>Apr!$G24</f>
        <v>11770</v>
      </c>
      <c r="U50" s="595">
        <f>May!$G24</f>
        <v>4240</v>
      </c>
      <c r="V50" s="595">
        <f>Jun!$G24</f>
        <v>2604</v>
      </c>
      <c r="W50" s="595">
        <f>Jul!$G24</f>
        <v>2296</v>
      </c>
      <c r="X50" s="595">
        <f>Aug!$G24</f>
        <v>2393</v>
      </c>
      <c r="Y50" s="595">
        <f>Sep!$G24</f>
        <v>3920</v>
      </c>
      <c r="Z50" s="595">
        <f>Oct!$G24</f>
        <v>13952</v>
      </c>
      <c r="AA50" s="595">
        <f>Nov!$G24</f>
        <v>20740</v>
      </c>
      <c r="AB50" s="595">
        <f>Dec!$G24</f>
        <v>25043</v>
      </c>
      <c r="AC50" s="595">
        <f>Jan!G24</f>
        <v>22671</v>
      </c>
      <c r="AD50" s="551">
        <f>Feb!G24</f>
        <v>21014</v>
      </c>
      <c r="AE50" s="551" t="str">
        <f>Feb!H24</f>
        <v>MAIN CALC</v>
      </c>
      <c r="AF50" s="551">
        <f>Feb!I24</f>
        <v>2402</v>
      </c>
      <c r="AG50" s="551">
        <f>Feb!G24</f>
        <v>21014</v>
      </c>
      <c r="AH50" s="551" t="str">
        <f>Feb!H24</f>
        <v>MAIN CALC</v>
      </c>
    </row>
    <row r="51" spans="1:37" hidden="1" outlineLevel="1">
      <c r="A51" s="480"/>
      <c r="B51" s="478" t="s">
        <v>38</v>
      </c>
      <c r="C51" s="487">
        <f t="shared" si="119"/>
        <v>51809575</v>
      </c>
      <c r="D51" s="487">
        <f t="shared" si="118"/>
        <v>96368876</v>
      </c>
      <c r="E51" s="534">
        <v>6568112</v>
      </c>
      <c r="F51" s="534">
        <v>5200734</v>
      </c>
      <c r="G51" s="534">
        <v>4795258</v>
      </c>
      <c r="H51" s="534">
        <v>2668983</v>
      </c>
      <c r="I51" s="534">
        <v>2221542</v>
      </c>
      <c r="J51" s="534">
        <v>1675034</v>
      </c>
      <c r="K51" s="534">
        <v>1510014</v>
      </c>
      <c r="L51" s="534">
        <v>1583471</v>
      </c>
      <c r="M51" s="534">
        <v>2056535</v>
      </c>
      <c r="N51" s="534">
        <v>3586972</v>
      </c>
      <c r="O51" s="534">
        <v>4116109</v>
      </c>
      <c r="P51" s="534">
        <v>8576537</v>
      </c>
      <c r="Q51" s="595">
        <v>8738107</v>
      </c>
      <c r="R51" s="595">
        <f>Feb!$G25</f>
        <v>7202971</v>
      </c>
      <c r="S51" s="595">
        <f>Mar!$G25</f>
        <v>5606266</v>
      </c>
      <c r="T51" s="595">
        <f>Apr!$G25</f>
        <v>4266905</v>
      </c>
      <c r="U51" s="595">
        <f>May!$G25</f>
        <v>2210506</v>
      </c>
      <c r="V51" s="595">
        <f>Jun!$G25</f>
        <v>1922676</v>
      </c>
      <c r="W51" s="595">
        <f>Jul!$G25</f>
        <v>1446879</v>
      </c>
      <c r="X51" s="595">
        <f>Aug!$G25</f>
        <v>1463939</v>
      </c>
      <c r="Y51" s="595">
        <f>Sep!$G25</f>
        <v>2165313</v>
      </c>
      <c r="Z51" s="595">
        <f>Oct!$G25</f>
        <v>3629858</v>
      </c>
      <c r="AA51" s="595">
        <f>Nov!$G25</f>
        <v>5325716</v>
      </c>
      <c r="AB51" s="595">
        <f>Dec!$G25</f>
        <v>7830439</v>
      </c>
      <c r="AC51" s="595">
        <f>Jan!G25</f>
        <v>6608892</v>
      </c>
      <c r="AD51" s="551">
        <f>Feb!G25</f>
        <v>7202971</v>
      </c>
      <c r="AE51" s="551" t="str">
        <f>Feb!H25</f>
        <v>MAIN CALC</v>
      </c>
      <c r="AF51" s="551">
        <f>Feb!I25</f>
        <v>759003</v>
      </c>
      <c r="AG51" s="551">
        <f>Feb!G25</f>
        <v>7202971</v>
      </c>
      <c r="AH51" s="551" t="str">
        <f>Feb!H25</f>
        <v>MAIN CALC</v>
      </c>
    </row>
    <row r="52" spans="1:37" hidden="1" outlineLevel="1">
      <c r="A52" s="480"/>
      <c r="B52" s="478" t="s">
        <v>39</v>
      </c>
      <c r="C52" s="487">
        <f t="shared" si="119"/>
        <v>225598</v>
      </c>
      <c r="D52" s="487">
        <f t="shared" si="118"/>
        <v>225598</v>
      </c>
      <c r="E52" s="534">
        <v>0</v>
      </c>
      <c r="F52" s="534">
        <v>0</v>
      </c>
      <c r="G52" s="534">
        <v>0</v>
      </c>
      <c r="H52" s="534">
        <v>0</v>
      </c>
      <c r="I52" s="534">
        <v>0</v>
      </c>
      <c r="J52" s="534">
        <v>0</v>
      </c>
      <c r="K52" s="534">
        <v>0</v>
      </c>
      <c r="L52" s="534">
        <v>0</v>
      </c>
      <c r="M52" s="534">
        <v>0</v>
      </c>
      <c r="N52" s="534">
        <v>0</v>
      </c>
      <c r="O52" s="534">
        <v>0</v>
      </c>
      <c r="P52" s="534">
        <v>0</v>
      </c>
      <c r="Q52" s="595">
        <v>0</v>
      </c>
      <c r="R52" s="595">
        <f>Feb!$G26</f>
        <v>21563</v>
      </c>
      <c r="S52" s="595">
        <f>Mar!$G26</f>
        <v>7893</v>
      </c>
      <c r="T52" s="595">
        <f>Apr!$G26</f>
        <v>9867</v>
      </c>
      <c r="U52" s="595">
        <f>May!$G26</f>
        <v>3523</v>
      </c>
      <c r="V52" s="595">
        <f>Jun!$G26</f>
        <v>6600</v>
      </c>
      <c r="W52" s="595">
        <f>Jul!$G26</f>
        <v>0</v>
      </c>
      <c r="X52" s="595">
        <f>Aug!$G26</f>
        <v>0</v>
      </c>
      <c r="Y52" s="595">
        <f>Sep!$G26</f>
        <v>0</v>
      </c>
      <c r="Z52" s="595">
        <f>Oct!$G26</f>
        <v>0</v>
      </c>
      <c r="AA52" s="595">
        <f>Nov!$G26</f>
        <v>153941</v>
      </c>
      <c r="AB52" s="595">
        <f>Dec!$G26</f>
        <v>22211</v>
      </c>
      <c r="AC52" s="595">
        <f>Jan!G26</f>
        <v>10558</v>
      </c>
      <c r="AD52" s="551">
        <f>Feb!G26</f>
        <v>21563</v>
      </c>
      <c r="AE52" s="551" t="str">
        <f>Feb!H26</f>
        <v>MAIN CALC</v>
      </c>
      <c r="AF52" s="551">
        <f>Feb!I26</f>
        <v>2123</v>
      </c>
      <c r="AG52" s="551">
        <f>Feb!G26</f>
        <v>21563</v>
      </c>
      <c r="AH52" s="551" t="str">
        <f>Feb!H26</f>
        <v>MAIN CALC</v>
      </c>
    </row>
    <row r="53" spans="1:37" hidden="1" outlineLevel="1">
      <c r="A53" s="480"/>
      <c r="B53" s="478" t="s">
        <v>40</v>
      </c>
      <c r="C53" s="487">
        <f t="shared" si="119"/>
        <v>3937099</v>
      </c>
      <c r="D53" s="487">
        <f t="shared" si="118"/>
        <v>7586694</v>
      </c>
      <c r="E53" s="534">
        <v>345863</v>
      </c>
      <c r="F53" s="534">
        <v>408568</v>
      </c>
      <c r="G53" s="534">
        <v>361566</v>
      </c>
      <c r="H53" s="534">
        <v>227877</v>
      </c>
      <c r="I53" s="534">
        <v>311290</v>
      </c>
      <c r="J53" s="534">
        <v>225272</v>
      </c>
      <c r="K53" s="534">
        <v>266816</v>
      </c>
      <c r="L53" s="534">
        <v>259403</v>
      </c>
      <c r="M53" s="534">
        <v>291879</v>
      </c>
      <c r="N53" s="534">
        <v>401880</v>
      </c>
      <c r="O53" s="534">
        <v>314956</v>
      </c>
      <c r="P53" s="534">
        <v>234225</v>
      </c>
      <c r="Q53" s="595">
        <v>284721</v>
      </c>
      <c r="R53" s="595">
        <f>Feb!$G27</f>
        <v>448875</v>
      </c>
      <c r="S53" s="595">
        <f>Mar!$G27</f>
        <v>345298</v>
      </c>
      <c r="T53" s="595">
        <f>Apr!$G27</f>
        <v>305691</v>
      </c>
      <c r="U53" s="595">
        <f>May!$G27</f>
        <v>234262</v>
      </c>
      <c r="V53" s="595">
        <f>Jun!$G27</f>
        <v>318982</v>
      </c>
      <c r="W53" s="595">
        <f>Jul!$G27</f>
        <v>274504</v>
      </c>
      <c r="X53" s="595">
        <f>Aug!$G27</f>
        <v>291721</v>
      </c>
      <c r="Y53" s="595">
        <f>Sep!$G27</f>
        <v>348558</v>
      </c>
      <c r="Z53" s="595">
        <f>Oct!$G27</f>
        <v>248414</v>
      </c>
      <c r="AA53" s="595">
        <f>Nov!$G27</f>
        <v>458380</v>
      </c>
      <c r="AB53" s="595">
        <f>Dec!$G27</f>
        <v>377693</v>
      </c>
      <c r="AC53" s="595">
        <f>Jan!G27</f>
        <v>362835</v>
      </c>
      <c r="AD53" s="551">
        <f>Feb!G27</f>
        <v>448875</v>
      </c>
      <c r="AE53" s="551" t="str">
        <f>Feb!H27</f>
        <v>MAIN CALC</v>
      </c>
      <c r="AF53" s="551">
        <f>Feb!I27</f>
        <v>48583</v>
      </c>
      <c r="AG53" s="551">
        <f>Feb!G27</f>
        <v>448875</v>
      </c>
      <c r="AH53" s="551" t="str">
        <f>Feb!H27</f>
        <v>MAIN CALC</v>
      </c>
    </row>
    <row r="54" spans="1:37" hidden="1" outlineLevel="1">
      <c r="A54" s="480"/>
      <c r="B54" s="478" t="s">
        <v>41</v>
      </c>
      <c r="C54" s="487">
        <f t="shared" si="119"/>
        <v>382058</v>
      </c>
      <c r="D54" s="487">
        <f t="shared" si="118"/>
        <v>963445</v>
      </c>
      <c r="E54" s="534">
        <v>83853</v>
      </c>
      <c r="F54" s="534">
        <v>67179</v>
      </c>
      <c r="G54" s="534">
        <v>59583</v>
      </c>
      <c r="H54" s="534">
        <v>54523</v>
      </c>
      <c r="I54" s="534">
        <v>42598</v>
      </c>
      <c r="J54" s="534">
        <v>35139</v>
      </c>
      <c r="K54" s="534">
        <v>27605</v>
      </c>
      <c r="L54" s="534">
        <v>25524</v>
      </c>
      <c r="M54" s="534">
        <v>26763</v>
      </c>
      <c r="N54" s="534">
        <v>37231</v>
      </c>
      <c r="O54" s="534">
        <v>51431</v>
      </c>
      <c r="P54" s="534">
        <v>69958</v>
      </c>
      <c r="Q54" s="595">
        <v>64203</v>
      </c>
      <c r="R54" s="595">
        <f>Feb!$G28</f>
        <v>48826</v>
      </c>
      <c r="S54" s="595">
        <f>Mar!$G28</f>
        <v>51647</v>
      </c>
      <c r="T54" s="595">
        <f>Apr!$G28</f>
        <v>46438</v>
      </c>
      <c r="U54" s="595">
        <f>May!$G28</f>
        <v>49642</v>
      </c>
      <c r="V54" s="595">
        <f>Jun!$G28</f>
        <v>31254</v>
      </c>
      <c r="W54" s="595">
        <f>Jul!$G28</f>
        <v>44343</v>
      </c>
      <c r="X54" s="595">
        <f>Aug!$G28</f>
        <v>24662</v>
      </c>
      <c r="Y54" s="595">
        <f>Sep!$G28</f>
        <v>26763</v>
      </c>
      <c r="Z54" s="595">
        <f>Oct!$G28</f>
        <v>34226</v>
      </c>
      <c r="AA54" s="595">
        <f>Nov!$G28</f>
        <v>-87780</v>
      </c>
      <c r="AB54" s="595">
        <f>Dec!$G28</f>
        <v>47834</v>
      </c>
      <c r="AC54" s="595">
        <f>Jan!G28</f>
        <v>65295</v>
      </c>
      <c r="AD54" s="551">
        <f>Feb!G28</f>
        <v>48826</v>
      </c>
      <c r="AE54" s="551" t="str">
        <f>Feb!H28</f>
        <v>MAIN CALC</v>
      </c>
      <c r="AF54" s="551">
        <f>Feb!I28</f>
        <v>5622</v>
      </c>
      <c r="AG54" s="551">
        <f>Feb!G28</f>
        <v>48826</v>
      </c>
      <c r="AH54" s="551" t="str">
        <f>Feb!H28</f>
        <v>MAIN CALC</v>
      </c>
    </row>
    <row r="55" spans="1:37" hidden="1" outlineLevel="1">
      <c r="A55" s="480"/>
      <c r="B55" s="478" t="s">
        <v>42</v>
      </c>
      <c r="C55" s="487">
        <f t="shared" si="119"/>
        <v>0</v>
      </c>
      <c r="D55" s="487">
        <f t="shared" si="118"/>
        <v>0</v>
      </c>
      <c r="E55" s="534">
        <v>0</v>
      </c>
      <c r="F55" s="534">
        <v>0</v>
      </c>
      <c r="G55" s="534">
        <v>0</v>
      </c>
      <c r="H55" s="534">
        <v>0</v>
      </c>
      <c r="I55" s="534">
        <v>0</v>
      </c>
      <c r="J55" s="534">
        <v>0</v>
      </c>
      <c r="K55" s="534">
        <v>0</v>
      </c>
      <c r="L55" s="534">
        <v>0</v>
      </c>
      <c r="M55" s="534">
        <v>0</v>
      </c>
      <c r="N55" s="534">
        <v>0</v>
      </c>
      <c r="O55" s="534">
        <v>0</v>
      </c>
      <c r="P55" s="534">
        <v>0</v>
      </c>
      <c r="Q55" s="595">
        <v>0</v>
      </c>
      <c r="R55" s="595">
        <f>Feb!$G29</f>
        <v>0</v>
      </c>
      <c r="S55" s="595">
        <f>Mar!$G29</f>
        <v>0</v>
      </c>
      <c r="T55" s="595">
        <f>Apr!$G29</f>
        <v>0</v>
      </c>
      <c r="U55" s="595">
        <f>May!$G29</f>
        <v>0</v>
      </c>
      <c r="V55" s="595">
        <f>Jun!$G29</f>
        <v>0</v>
      </c>
      <c r="W55" s="595">
        <f>Jul!$G29</f>
        <v>0</v>
      </c>
      <c r="X55" s="595">
        <f>Aug!$G29</f>
        <v>0</v>
      </c>
      <c r="Y55" s="595">
        <f>Sep!$G29</f>
        <v>0</v>
      </c>
      <c r="Z55" s="595">
        <f>Oct!$G29</f>
        <v>0</v>
      </c>
      <c r="AA55" s="595">
        <f>Nov!$G29</f>
        <v>0</v>
      </c>
      <c r="AB55" s="595">
        <f>Dec!$G29</f>
        <v>0</v>
      </c>
      <c r="AC55" s="595">
        <f>Jan!G29</f>
        <v>0</v>
      </c>
      <c r="AD55" s="551">
        <f>Feb!G29</f>
        <v>0</v>
      </c>
      <c r="AE55" s="551" t="str">
        <f>Feb!H29</f>
        <v>MAIN CALC</v>
      </c>
      <c r="AF55" s="551">
        <f>Feb!I29</f>
        <v>0</v>
      </c>
      <c r="AG55" s="551">
        <f>Feb!G29</f>
        <v>0</v>
      </c>
      <c r="AH55" s="551" t="str">
        <f>Feb!H29</f>
        <v>MAIN CALC</v>
      </c>
    </row>
    <row r="56" spans="1:37" hidden="1" outlineLevel="1">
      <c r="A56" s="480"/>
      <c r="B56" s="478" t="s">
        <v>43</v>
      </c>
      <c r="C56" s="487">
        <f t="shared" si="119"/>
        <v>978833</v>
      </c>
      <c r="D56" s="487">
        <f t="shared" si="118"/>
        <v>1953027</v>
      </c>
      <c r="E56" s="534">
        <v>203731</v>
      </c>
      <c r="F56" s="534">
        <v>102322</v>
      </c>
      <c r="G56" s="534">
        <v>89942</v>
      </c>
      <c r="H56" s="534">
        <v>82073</v>
      </c>
      <c r="I56" s="534">
        <v>57685</v>
      </c>
      <c r="J56" s="534">
        <v>51713</v>
      </c>
      <c r="K56" s="534">
        <v>45567</v>
      </c>
      <c r="L56" s="534">
        <v>37963</v>
      </c>
      <c r="M56" s="534">
        <v>46700</v>
      </c>
      <c r="N56" s="534">
        <v>59610</v>
      </c>
      <c r="O56" s="534">
        <v>85100</v>
      </c>
      <c r="P56" s="534">
        <v>111788</v>
      </c>
      <c r="Q56" s="595">
        <v>160387</v>
      </c>
      <c r="R56" s="595">
        <f>Feb!$G30</f>
        <v>117328</v>
      </c>
      <c r="S56" s="595">
        <f>Mar!$G30</f>
        <v>113117</v>
      </c>
      <c r="T56" s="595">
        <f>Apr!$G30</f>
        <v>93219</v>
      </c>
      <c r="U56" s="595">
        <f>May!$G30</f>
        <v>72901</v>
      </c>
      <c r="V56" s="595">
        <f>Jun!$G30</f>
        <v>47470</v>
      </c>
      <c r="W56" s="595">
        <f>Jul!$G30</f>
        <v>67673</v>
      </c>
      <c r="X56" s="595">
        <f>Aug!$G30</f>
        <v>23786</v>
      </c>
      <c r="Y56" s="595">
        <f>Sep!$G30</f>
        <v>31578</v>
      </c>
      <c r="Z56" s="595">
        <f>Oct!$G30</f>
        <v>40231</v>
      </c>
      <c r="AA56" s="595">
        <f>Nov!$G30</f>
        <v>98095</v>
      </c>
      <c r="AB56" s="595">
        <f>Dec!$G30</f>
        <v>113048</v>
      </c>
      <c r="AC56" s="595">
        <f>Jan!G30</f>
        <v>139102</v>
      </c>
      <c r="AD56" s="551">
        <f>Feb!G30</f>
        <v>117328</v>
      </c>
      <c r="AE56" s="551" t="str">
        <f>Feb!H30</f>
        <v>MAIN CALC</v>
      </c>
      <c r="AF56" s="551">
        <f>Feb!I30</f>
        <v>7875</v>
      </c>
      <c r="AG56" s="551">
        <f>Feb!G30</f>
        <v>117328</v>
      </c>
      <c r="AH56" s="551" t="str">
        <f>Feb!H30</f>
        <v>MAIN CALC</v>
      </c>
    </row>
    <row r="57" spans="1:37" hidden="1" outlineLevel="1">
      <c r="A57" s="480"/>
      <c r="B57" s="478" t="s">
        <v>74</v>
      </c>
      <c r="C57" s="487">
        <f t="shared" si="119"/>
        <v>36249613</v>
      </c>
      <c r="D57" s="487">
        <f t="shared" si="118"/>
        <v>67164213</v>
      </c>
      <c r="E57" s="534">
        <v>3346687</v>
      </c>
      <c r="F57" s="534">
        <v>2956295</v>
      </c>
      <c r="G57" s="534">
        <v>2822744</v>
      </c>
      <c r="H57" s="534">
        <v>2379815</v>
      </c>
      <c r="I57" s="534">
        <v>2359261</v>
      </c>
      <c r="J57" s="534">
        <v>2149880</v>
      </c>
      <c r="K57" s="534">
        <v>1956378</v>
      </c>
      <c r="L57" s="534">
        <v>1966117</v>
      </c>
      <c r="M57" s="534">
        <v>1915306</v>
      </c>
      <c r="N57" s="534">
        <v>2505633</v>
      </c>
      <c r="O57" s="534">
        <v>2750386</v>
      </c>
      <c r="P57" s="534">
        <v>3806098</v>
      </c>
      <c r="Q57" s="595">
        <v>4261630</v>
      </c>
      <c r="R57" s="595">
        <f>Feb!$G31</f>
        <v>3567188</v>
      </c>
      <c r="S57" s="595">
        <f>Mar!$G31</f>
        <v>3349134</v>
      </c>
      <c r="T57" s="595">
        <f>Apr!$G31</f>
        <v>3031741</v>
      </c>
      <c r="U57" s="595">
        <f>May!$G31</f>
        <v>2500964</v>
      </c>
      <c r="V57" s="595">
        <f>Jun!$G31</f>
        <v>2373589</v>
      </c>
      <c r="W57" s="595">
        <f>Jul!$G31</f>
        <v>2144434</v>
      </c>
      <c r="X57" s="595">
        <f>Aug!$G31</f>
        <v>2338940</v>
      </c>
      <c r="Y57" s="595">
        <f>Sep!$G31</f>
        <v>2209861</v>
      </c>
      <c r="Z57" s="595">
        <f>Oct!$G31</f>
        <v>3085921</v>
      </c>
      <c r="AA57" s="595">
        <f>Nov!$G31</f>
        <v>3418526</v>
      </c>
      <c r="AB57" s="595">
        <f>Dec!$G31</f>
        <v>3967685</v>
      </c>
      <c r="AC57" s="595">
        <f>Jan!G31</f>
        <v>3629622</v>
      </c>
      <c r="AD57" s="551">
        <f>Feb!G31</f>
        <v>3567188</v>
      </c>
      <c r="AE57" s="551" t="str">
        <f>Feb!H31</f>
        <v>MAIN CALC</v>
      </c>
      <c r="AF57" s="551">
        <f>Feb!I31</f>
        <v>1901</v>
      </c>
      <c r="AG57" s="551">
        <f>Feb!G31</f>
        <v>3567188</v>
      </c>
      <c r="AH57" s="551" t="str">
        <f>Feb!H31</f>
        <v>MAIN CALC</v>
      </c>
    </row>
    <row r="58" spans="1:37" ht="16.5" hidden="1" outlineLevel="1" thickBot="1">
      <c r="A58" s="480"/>
      <c r="B58" s="478" t="s">
        <v>21</v>
      </c>
      <c r="C58" s="533">
        <f>SUM(C49:C57)</f>
        <v>224375484</v>
      </c>
      <c r="D58" s="533">
        <f>SUM(D49:D57)</f>
        <v>413850748</v>
      </c>
      <c r="E58" s="533">
        <v>30707107</v>
      </c>
      <c r="F58" s="533">
        <f t="shared" ref="F58:P58" si="120">SUM(F49:F57)</f>
        <v>23046735</v>
      </c>
      <c r="G58" s="533">
        <f t="shared" si="120"/>
        <v>20385890</v>
      </c>
      <c r="H58" s="533">
        <f t="shared" si="120"/>
        <v>10774244</v>
      </c>
      <c r="I58" s="533">
        <f t="shared" si="120"/>
        <v>8382838</v>
      </c>
      <c r="J58" s="533">
        <f t="shared" si="120"/>
        <v>6906569</v>
      </c>
      <c r="K58" s="533">
        <f>SUM(K49:K57)</f>
        <v>6102573</v>
      </c>
      <c r="L58" s="533">
        <f t="shared" si="120"/>
        <v>6230012</v>
      </c>
      <c r="M58" s="533">
        <f t="shared" si="120"/>
        <v>7464964</v>
      </c>
      <c r="N58" s="533">
        <f>SUM(N49:N57)</f>
        <v>13741468</v>
      </c>
      <c r="O58" s="533">
        <f t="shared" si="120"/>
        <v>18689959</v>
      </c>
      <c r="P58" s="533">
        <f t="shared" si="120"/>
        <v>37042905</v>
      </c>
      <c r="Q58" s="533">
        <f t="shared" ref="Q58:V58" si="121">SUM(Q49:Q57)</f>
        <v>40809304</v>
      </c>
      <c r="R58" s="533">
        <f t="shared" si="121"/>
        <v>29607631</v>
      </c>
      <c r="S58" s="533">
        <f t="shared" si="121"/>
        <v>25263867</v>
      </c>
      <c r="T58" s="533">
        <f t="shared" si="121"/>
        <v>17525512</v>
      </c>
      <c r="U58" s="533">
        <f t="shared" si="121"/>
        <v>8362851</v>
      </c>
      <c r="V58" s="533">
        <f t="shared" si="121"/>
        <v>7334029</v>
      </c>
      <c r="W58" s="533">
        <f>SUM(W49:W57)</f>
        <v>6050612</v>
      </c>
      <c r="X58" s="533">
        <f t="shared" ref="X58:Y58" si="122">SUM(X49:X57)</f>
        <v>6226148</v>
      </c>
      <c r="Y58" s="533">
        <f t="shared" si="122"/>
        <v>7933229</v>
      </c>
      <c r="Z58" s="533">
        <f>SUM(Z49:Z57)</f>
        <v>15888438</v>
      </c>
      <c r="AA58" s="533">
        <f t="shared" ref="AA58:AB58" si="123">SUM(AA49:AA57)</f>
        <v>24226314</v>
      </c>
      <c r="AB58" s="533">
        <f t="shared" si="123"/>
        <v>35147549</v>
      </c>
      <c r="AC58" s="533">
        <f t="shared" ref="AC58" si="124">SUM(AC49:AC57)</f>
        <v>31096459</v>
      </c>
      <c r="AD58" s="620">
        <f>SUM(AD49:AD57)</f>
        <v>29607631</v>
      </c>
      <c r="AE58" s="620">
        <f>SUM(AE49:AE57)</f>
        <v>0</v>
      </c>
      <c r="AF58" s="620">
        <f>SUM(AF49:AF57)</f>
        <v>2908860</v>
      </c>
      <c r="AG58" s="620">
        <f>SUM(AG49:AG57)</f>
        <v>29607631</v>
      </c>
      <c r="AH58" s="620">
        <f>SUM(AH49:AH57)</f>
        <v>0</v>
      </c>
    </row>
    <row r="59" spans="1:37" hidden="1" outlineLevel="1">
      <c r="A59" s="480"/>
      <c r="B59" s="478" t="s">
        <v>264</v>
      </c>
      <c r="C59" s="487">
        <f>SUM(Q59:AB59)</f>
        <v>225197372</v>
      </c>
      <c r="D59" s="487">
        <f>SUM(E59:AB59)</f>
        <v>414672636</v>
      </c>
      <c r="E59" s="487">
        <v>30707107</v>
      </c>
      <c r="F59" s="487">
        <v>23046735</v>
      </c>
      <c r="G59" s="487">
        <v>20385890</v>
      </c>
      <c r="H59" s="487">
        <v>10774244</v>
      </c>
      <c r="I59" s="487">
        <v>8382838</v>
      </c>
      <c r="J59" s="487">
        <v>6906569</v>
      </c>
      <c r="K59" s="487">
        <v>6102573</v>
      </c>
      <c r="L59" s="487">
        <v>6230012</v>
      </c>
      <c r="M59" s="487">
        <v>7464964</v>
      </c>
      <c r="N59" s="487">
        <v>13741468</v>
      </c>
      <c r="O59" s="487">
        <v>18689959</v>
      </c>
      <c r="P59" s="487">
        <v>37042905</v>
      </c>
      <c r="Q59" s="596">
        <v>40809304</v>
      </c>
      <c r="R59" s="596">
        <v>30544975</v>
      </c>
      <c r="S59" s="596">
        <v>23815117</v>
      </c>
      <c r="T59" s="596">
        <v>16958956</v>
      </c>
      <c r="U59" s="596">
        <v>10280221</v>
      </c>
      <c r="V59" s="596">
        <v>7316509</v>
      </c>
      <c r="W59" s="596">
        <v>6050612</v>
      </c>
      <c r="X59" s="596">
        <v>6226148</v>
      </c>
      <c r="Y59" s="596">
        <v>7933229</v>
      </c>
      <c r="Z59" s="596">
        <v>15888438</v>
      </c>
      <c r="AA59" s="596">
        <v>24226314</v>
      </c>
      <c r="AB59" s="596">
        <v>35147549</v>
      </c>
      <c r="AC59" s="596">
        <v>31096459</v>
      </c>
      <c r="AD59" s="552">
        <v>31096459</v>
      </c>
      <c r="AE59" s="552">
        <v>31096459</v>
      </c>
      <c r="AF59" s="552">
        <v>31096459</v>
      </c>
      <c r="AG59" s="552">
        <v>31096459</v>
      </c>
      <c r="AH59" s="552">
        <v>31096459</v>
      </c>
      <c r="AI59" s="564"/>
    </row>
    <row r="60" spans="1:37" hidden="1" outlineLevel="1">
      <c r="A60" s="480" t="s">
        <v>22</v>
      </c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529"/>
      <c r="AA60" s="529"/>
      <c r="AB60" s="529"/>
      <c r="AC60" s="621"/>
      <c r="AD60" s="621"/>
      <c r="AE60" s="621"/>
      <c r="AF60" s="621"/>
      <c r="AG60" s="621"/>
      <c r="AH60" s="621"/>
      <c r="AK60" s="530"/>
    </row>
    <row r="61" spans="1:37" hidden="1" outlineLevel="1">
      <c r="A61" s="481">
        <v>191025</v>
      </c>
      <c r="B61" s="482" t="s">
        <v>252</v>
      </c>
      <c r="E61" s="481">
        <v>201601</v>
      </c>
      <c r="F61" s="481">
        <f>E61+1</f>
        <v>201602</v>
      </c>
      <c r="G61" s="481">
        <f t="shared" ref="G61:P61" si="125">F61+1</f>
        <v>201603</v>
      </c>
      <c r="H61" s="481">
        <f t="shared" si="125"/>
        <v>201604</v>
      </c>
      <c r="I61" s="481">
        <f t="shared" si="125"/>
        <v>201605</v>
      </c>
      <c r="J61" s="481">
        <f t="shared" si="125"/>
        <v>201606</v>
      </c>
      <c r="K61" s="481">
        <f t="shared" si="125"/>
        <v>201607</v>
      </c>
      <c r="L61" s="481">
        <f t="shared" si="125"/>
        <v>201608</v>
      </c>
      <c r="M61" s="481">
        <f t="shared" si="125"/>
        <v>201609</v>
      </c>
      <c r="N61" s="481">
        <f t="shared" si="125"/>
        <v>201610</v>
      </c>
      <c r="O61" s="481">
        <f t="shared" si="125"/>
        <v>201611</v>
      </c>
      <c r="P61" s="481">
        <f t="shared" si="125"/>
        <v>201612</v>
      </c>
      <c r="Q61" s="481">
        <f>Q3</f>
        <v>201701</v>
      </c>
      <c r="R61" s="481">
        <f>Q61+1</f>
        <v>201702</v>
      </c>
      <c r="S61" s="481">
        <f t="shared" ref="S61" si="126">R61+1</f>
        <v>201703</v>
      </c>
      <c r="T61" s="481">
        <f t="shared" ref="T61" si="127">S61+1</f>
        <v>201704</v>
      </c>
      <c r="U61" s="481">
        <f t="shared" ref="U61" si="128">T61+1</f>
        <v>201705</v>
      </c>
      <c r="V61" s="481">
        <f t="shared" ref="V61" si="129">U61+1</f>
        <v>201706</v>
      </c>
      <c r="W61" s="481">
        <f t="shared" ref="W61" si="130">V61+1</f>
        <v>201707</v>
      </c>
      <c r="X61" s="481">
        <f t="shared" ref="X61" si="131">W61+1</f>
        <v>201708</v>
      </c>
      <c r="Y61" s="481">
        <f t="shared" ref="Y61" si="132">X61+1</f>
        <v>201709</v>
      </c>
      <c r="Z61" s="481">
        <f t="shared" ref="Z61" si="133">Y61+1</f>
        <v>201710</v>
      </c>
      <c r="AA61" s="481">
        <f t="shared" ref="AA61" si="134">Z61+1</f>
        <v>201711</v>
      </c>
      <c r="AB61" s="481">
        <f t="shared" ref="AB61" si="135">AA61+1</f>
        <v>201712</v>
      </c>
      <c r="AC61" s="570">
        <f t="shared" ref="AC61:AH61" si="136">AC3</f>
        <v>201801</v>
      </c>
      <c r="AD61" s="570">
        <f t="shared" si="136"/>
        <v>201802</v>
      </c>
      <c r="AE61" s="570">
        <f t="shared" si="136"/>
        <v>201803</v>
      </c>
      <c r="AF61" s="570">
        <f t="shared" si="136"/>
        <v>201804</v>
      </c>
      <c r="AG61" s="570">
        <f t="shared" si="136"/>
        <v>201805</v>
      </c>
      <c r="AH61" s="570">
        <f t="shared" si="136"/>
        <v>201806</v>
      </c>
    </row>
    <row r="62" spans="1:37" hidden="1" outlineLevel="1">
      <c r="A62" s="480"/>
      <c r="B62" s="478" t="s">
        <v>37</v>
      </c>
      <c r="E62" s="491">
        <v>1.2999999999999999E-4</v>
      </c>
      <c r="F62" s="491">
        <v>1.2999999999999999E-4</v>
      </c>
      <c r="G62" s="491">
        <v>1.2999999999999999E-4</v>
      </c>
      <c r="H62" s="491">
        <v>1.2999999999999999E-4</v>
      </c>
      <c r="I62" s="491">
        <v>1.2999999999999999E-4</v>
      </c>
      <c r="J62" s="491">
        <v>1.2999999999999999E-4</v>
      </c>
      <c r="K62" s="491">
        <v>1.2999999999999999E-4</v>
      </c>
      <c r="L62" s="491">
        <v>1.2999999999999999E-4</v>
      </c>
      <c r="M62" s="491">
        <v>1.2999999999999999E-4</v>
      </c>
      <c r="N62" s="491">
        <v>1.2999999999999999E-4</v>
      </c>
      <c r="O62" s="491" t="s">
        <v>307</v>
      </c>
      <c r="P62" s="491" t="s">
        <v>307</v>
      </c>
      <c r="Q62" s="592">
        <v>1.0000000000000001E-5</v>
      </c>
      <c r="R62" s="592">
        <v>1.0000000000000001E-5</v>
      </c>
      <c r="S62" s="592">
        <v>1.0000000000000001E-5</v>
      </c>
      <c r="T62" s="592">
        <v>1.0000000000000001E-5</v>
      </c>
      <c r="U62" s="592">
        <v>1.0000000000000001E-5</v>
      </c>
      <c r="V62" s="592">
        <v>1.0000000000000001E-5</v>
      </c>
      <c r="W62" s="592">
        <v>1.0000000000000001E-5</v>
      </c>
      <c r="X62" s="592">
        <v>1.0000000000000001E-5</v>
      </c>
      <c r="Y62" s="592">
        <v>1.0000000000000001E-5</v>
      </c>
      <c r="Z62" s="592">
        <v>1.0000000000000001E-5</v>
      </c>
      <c r="AA62" s="625" t="s">
        <v>307</v>
      </c>
      <c r="AB62" s="625" t="s">
        <v>307</v>
      </c>
      <c r="AC62" s="626" t="s">
        <v>320</v>
      </c>
      <c r="AD62" s="626" t="s">
        <v>320</v>
      </c>
      <c r="AE62" s="626" t="s">
        <v>320</v>
      </c>
      <c r="AF62" s="626" t="s">
        <v>320</v>
      </c>
      <c r="AG62" s="626" t="s">
        <v>320</v>
      </c>
      <c r="AH62" s="626" t="s">
        <v>320</v>
      </c>
    </row>
    <row r="63" spans="1:37" hidden="1" outlineLevel="1">
      <c r="A63" s="480"/>
      <c r="B63" s="554" t="s">
        <v>305</v>
      </c>
      <c r="E63" s="491">
        <v>1.2999999999999999E-4</v>
      </c>
      <c r="F63" s="491">
        <v>1.2999999999999999E-4</v>
      </c>
      <c r="G63" s="491">
        <v>1.2999999999999999E-4</v>
      </c>
      <c r="H63" s="491">
        <v>1.2999999999999999E-4</v>
      </c>
      <c r="I63" s="491">
        <v>1.2999999999999999E-4</v>
      </c>
      <c r="J63" s="491">
        <v>1.2999999999999999E-4</v>
      </c>
      <c r="K63" s="491">
        <v>1.2999999999999999E-4</v>
      </c>
      <c r="L63" s="491">
        <v>1.2999999999999999E-4</v>
      </c>
      <c r="M63" s="491">
        <v>1.2999999999999999E-4</v>
      </c>
      <c r="N63" s="491">
        <v>1.2999999999999999E-4</v>
      </c>
      <c r="O63" s="491" t="s">
        <v>307</v>
      </c>
      <c r="P63" s="491" t="s">
        <v>307</v>
      </c>
      <c r="Q63" s="592">
        <v>1.0000000000000001E-5</v>
      </c>
      <c r="R63" s="592">
        <v>1.0000000000000001E-5</v>
      </c>
      <c r="S63" s="592">
        <v>1.0000000000000001E-5</v>
      </c>
      <c r="T63" s="592">
        <v>1.0000000000000001E-5</v>
      </c>
      <c r="U63" s="592">
        <v>1.0000000000000001E-5</v>
      </c>
      <c r="V63" s="592">
        <v>1.0000000000000001E-5</v>
      </c>
      <c r="W63" s="592">
        <v>1.0000000000000001E-5</v>
      </c>
      <c r="X63" s="592">
        <v>1.0000000000000001E-5</v>
      </c>
      <c r="Y63" s="592">
        <v>1.0000000000000001E-5</v>
      </c>
      <c r="Z63" s="592">
        <v>1.0000000000000001E-5</v>
      </c>
      <c r="AA63" s="625" t="s">
        <v>307</v>
      </c>
      <c r="AB63" s="625" t="s">
        <v>307</v>
      </c>
      <c r="AC63" s="626" t="s">
        <v>320</v>
      </c>
      <c r="AD63" s="626" t="s">
        <v>320</v>
      </c>
      <c r="AE63" s="626" t="s">
        <v>320</v>
      </c>
      <c r="AF63" s="626" t="s">
        <v>320</v>
      </c>
      <c r="AG63" s="626" t="s">
        <v>320</v>
      </c>
      <c r="AH63" s="626" t="s">
        <v>320</v>
      </c>
    </row>
    <row r="64" spans="1:37" hidden="1" outlineLevel="1">
      <c r="A64" s="480"/>
      <c r="B64" s="478" t="s">
        <v>38</v>
      </c>
      <c r="E64" s="491">
        <v>1.2999999999999999E-4</v>
      </c>
      <c r="F64" s="491">
        <v>1.2999999999999999E-4</v>
      </c>
      <c r="G64" s="491">
        <v>1.2999999999999999E-4</v>
      </c>
      <c r="H64" s="491">
        <v>1.2999999999999999E-4</v>
      </c>
      <c r="I64" s="491">
        <v>1.2999999999999999E-4</v>
      </c>
      <c r="J64" s="491">
        <v>1.2999999999999999E-4</v>
      </c>
      <c r="K64" s="491">
        <v>1.2999999999999999E-4</v>
      </c>
      <c r="L64" s="491">
        <v>1.2999999999999999E-4</v>
      </c>
      <c r="M64" s="491">
        <v>1.2999999999999999E-4</v>
      </c>
      <c r="N64" s="491">
        <v>1.2999999999999999E-4</v>
      </c>
      <c r="O64" s="491" t="s">
        <v>307</v>
      </c>
      <c r="P64" s="491" t="s">
        <v>307</v>
      </c>
      <c r="Q64" s="592">
        <v>1.0000000000000001E-5</v>
      </c>
      <c r="R64" s="592">
        <v>1.0000000000000001E-5</v>
      </c>
      <c r="S64" s="592">
        <v>1.0000000000000001E-5</v>
      </c>
      <c r="T64" s="592">
        <v>1.0000000000000001E-5</v>
      </c>
      <c r="U64" s="592">
        <v>1.0000000000000001E-5</v>
      </c>
      <c r="V64" s="592">
        <v>1.0000000000000001E-5</v>
      </c>
      <c r="W64" s="592">
        <v>1.0000000000000001E-5</v>
      </c>
      <c r="X64" s="592">
        <v>1.0000000000000001E-5</v>
      </c>
      <c r="Y64" s="592">
        <v>1.0000000000000001E-5</v>
      </c>
      <c r="Z64" s="592">
        <v>1.0000000000000001E-5</v>
      </c>
      <c r="AA64" s="625" t="s">
        <v>307</v>
      </c>
      <c r="AB64" s="625" t="s">
        <v>307</v>
      </c>
      <c r="AC64" s="626" t="s">
        <v>320</v>
      </c>
      <c r="AD64" s="626" t="s">
        <v>320</v>
      </c>
      <c r="AE64" s="626" t="s">
        <v>320</v>
      </c>
      <c r="AF64" s="626" t="s">
        <v>320</v>
      </c>
      <c r="AG64" s="626" t="s">
        <v>320</v>
      </c>
      <c r="AH64" s="626" t="s">
        <v>320</v>
      </c>
    </row>
    <row r="65" spans="1:43" hidden="1" outlineLevel="1">
      <c r="A65" s="480"/>
      <c r="B65" s="478" t="s">
        <v>39</v>
      </c>
      <c r="E65" s="491">
        <v>1.2999999999999999E-4</v>
      </c>
      <c r="F65" s="491">
        <v>1.2999999999999999E-4</v>
      </c>
      <c r="G65" s="491">
        <v>1.2999999999999999E-4</v>
      </c>
      <c r="H65" s="491">
        <v>1.2999999999999999E-4</v>
      </c>
      <c r="I65" s="491">
        <v>1.2999999999999999E-4</v>
      </c>
      <c r="J65" s="491">
        <v>1.2999999999999999E-4</v>
      </c>
      <c r="K65" s="491">
        <v>1.2999999999999999E-4</v>
      </c>
      <c r="L65" s="491">
        <v>1.2999999999999999E-4</v>
      </c>
      <c r="M65" s="491">
        <v>1.2999999999999999E-4</v>
      </c>
      <c r="N65" s="491">
        <v>1.2999999999999999E-4</v>
      </c>
      <c r="O65" s="491" t="s">
        <v>307</v>
      </c>
      <c r="P65" s="491" t="s">
        <v>307</v>
      </c>
      <c r="Q65" s="592">
        <v>1.0000000000000001E-5</v>
      </c>
      <c r="R65" s="592">
        <v>1.0000000000000001E-5</v>
      </c>
      <c r="S65" s="592">
        <v>1.0000000000000001E-5</v>
      </c>
      <c r="T65" s="592">
        <v>1.0000000000000001E-5</v>
      </c>
      <c r="U65" s="592">
        <v>1.0000000000000001E-5</v>
      </c>
      <c r="V65" s="592">
        <v>1.0000000000000001E-5</v>
      </c>
      <c r="W65" s="592">
        <v>1.0000000000000001E-5</v>
      </c>
      <c r="X65" s="592">
        <v>1.0000000000000001E-5</v>
      </c>
      <c r="Y65" s="592">
        <v>1.0000000000000001E-5</v>
      </c>
      <c r="Z65" s="592">
        <v>1.0000000000000001E-5</v>
      </c>
      <c r="AA65" s="625" t="s">
        <v>307</v>
      </c>
      <c r="AB65" s="625" t="s">
        <v>307</v>
      </c>
      <c r="AC65" s="626" t="s">
        <v>320</v>
      </c>
      <c r="AD65" s="626" t="s">
        <v>320</v>
      </c>
      <c r="AE65" s="626" t="s">
        <v>320</v>
      </c>
      <c r="AF65" s="626" t="s">
        <v>320</v>
      </c>
      <c r="AG65" s="626" t="s">
        <v>320</v>
      </c>
      <c r="AH65" s="626" t="s">
        <v>320</v>
      </c>
    </row>
    <row r="66" spans="1:43" hidden="1" outlineLevel="1">
      <c r="A66" s="480"/>
      <c r="B66" s="478" t="s">
        <v>40</v>
      </c>
      <c r="E66" s="491">
        <v>1.2999999999999999E-4</v>
      </c>
      <c r="F66" s="491">
        <v>1.2999999999999999E-4</v>
      </c>
      <c r="G66" s="491">
        <v>1.2999999999999999E-4</v>
      </c>
      <c r="H66" s="491">
        <v>1.2999999999999999E-4</v>
      </c>
      <c r="I66" s="491">
        <v>1.2999999999999999E-4</v>
      </c>
      <c r="J66" s="491">
        <v>1.2999999999999999E-4</v>
      </c>
      <c r="K66" s="491">
        <v>1.2999999999999999E-4</v>
      </c>
      <c r="L66" s="491">
        <v>1.2999999999999999E-4</v>
      </c>
      <c r="M66" s="491">
        <v>1.2999999999999999E-4</v>
      </c>
      <c r="N66" s="491">
        <v>1.2999999999999999E-4</v>
      </c>
      <c r="O66" s="491" t="s">
        <v>307</v>
      </c>
      <c r="P66" s="491" t="s">
        <v>307</v>
      </c>
      <c r="Q66" s="592">
        <v>1.0000000000000001E-5</v>
      </c>
      <c r="R66" s="592">
        <v>1.0000000000000001E-5</v>
      </c>
      <c r="S66" s="592">
        <v>1.0000000000000001E-5</v>
      </c>
      <c r="T66" s="592">
        <v>1.0000000000000001E-5</v>
      </c>
      <c r="U66" s="592">
        <v>1.0000000000000001E-5</v>
      </c>
      <c r="V66" s="592">
        <v>1.0000000000000001E-5</v>
      </c>
      <c r="W66" s="592">
        <v>1.0000000000000001E-5</v>
      </c>
      <c r="X66" s="592">
        <v>1.0000000000000001E-5</v>
      </c>
      <c r="Y66" s="592">
        <v>1.0000000000000001E-5</v>
      </c>
      <c r="Z66" s="592">
        <v>1.0000000000000001E-5</v>
      </c>
      <c r="AA66" s="625" t="s">
        <v>307</v>
      </c>
      <c r="AB66" s="625" t="s">
        <v>307</v>
      </c>
      <c r="AC66" s="626" t="s">
        <v>320</v>
      </c>
      <c r="AD66" s="626" t="s">
        <v>320</v>
      </c>
      <c r="AE66" s="626" t="s">
        <v>320</v>
      </c>
      <c r="AF66" s="626" t="s">
        <v>320</v>
      </c>
      <c r="AG66" s="626" t="s">
        <v>320</v>
      </c>
      <c r="AH66" s="626" t="s">
        <v>320</v>
      </c>
    </row>
    <row r="67" spans="1:43" hidden="1" outlineLevel="1">
      <c r="A67" s="480"/>
      <c r="B67" s="478" t="s">
        <v>41</v>
      </c>
      <c r="E67" s="491">
        <v>1.2999999999999999E-4</v>
      </c>
      <c r="F67" s="491">
        <v>1.2999999999999999E-4</v>
      </c>
      <c r="G67" s="491">
        <v>1.2999999999999999E-4</v>
      </c>
      <c r="H67" s="491">
        <v>1.2999999999999999E-4</v>
      </c>
      <c r="I67" s="491">
        <v>1.2999999999999999E-4</v>
      </c>
      <c r="J67" s="491">
        <v>1.2999999999999999E-4</v>
      </c>
      <c r="K67" s="491">
        <v>1.2999999999999999E-4</v>
      </c>
      <c r="L67" s="491">
        <v>1.2999999999999999E-4</v>
      </c>
      <c r="M67" s="491">
        <v>1.2999999999999999E-4</v>
      </c>
      <c r="N67" s="491">
        <v>1.2999999999999999E-4</v>
      </c>
      <c r="O67" s="491" t="s">
        <v>307</v>
      </c>
      <c r="P67" s="491" t="s">
        <v>307</v>
      </c>
      <c r="Q67" s="592">
        <v>1.0000000000000001E-5</v>
      </c>
      <c r="R67" s="592">
        <v>1.0000000000000001E-5</v>
      </c>
      <c r="S67" s="592">
        <v>1.0000000000000001E-5</v>
      </c>
      <c r="T67" s="592">
        <v>1.0000000000000001E-5</v>
      </c>
      <c r="U67" s="592">
        <v>1.0000000000000001E-5</v>
      </c>
      <c r="V67" s="592">
        <v>1.0000000000000001E-5</v>
      </c>
      <c r="W67" s="592">
        <v>1.0000000000000001E-5</v>
      </c>
      <c r="X67" s="592">
        <v>1.0000000000000001E-5</v>
      </c>
      <c r="Y67" s="592">
        <v>1.0000000000000001E-5</v>
      </c>
      <c r="Z67" s="592">
        <v>1.0000000000000001E-5</v>
      </c>
      <c r="AA67" s="625" t="s">
        <v>307</v>
      </c>
      <c r="AB67" s="625" t="s">
        <v>307</v>
      </c>
      <c r="AC67" s="626" t="s">
        <v>320</v>
      </c>
      <c r="AD67" s="626" t="s">
        <v>320</v>
      </c>
      <c r="AE67" s="626" t="s">
        <v>320</v>
      </c>
      <c r="AF67" s="626" t="s">
        <v>320</v>
      </c>
      <c r="AG67" s="626" t="s">
        <v>320</v>
      </c>
      <c r="AH67" s="626" t="s">
        <v>320</v>
      </c>
    </row>
    <row r="68" spans="1:43" hidden="1" outlineLevel="1">
      <c r="A68" s="480"/>
      <c r="B68" s="478" t="s">
        <v>42</v>
      </c>
      <c r="E68" s="491">
        <v>1.2999999999999999E-4</v>
      </c>
      <c r="F68" s="491">
        <v>1.2999999999999999E-4</v>
      </c>
      <c r="G68" s="491">
        <v>1.2999999999999999E-4</v>
      </c>
      <c r="H68" s="491">
        <v>1.2999999999999999E-4</v>
      </c>
      <c r="I68" s="491">
        <v>1.2999999999999999E-4</v>
      </c>
      <c r="J68" s="491">
        <v>1.2999999999999999E-4</v>
      </c>
      <c r="K68" s="491">
        <v>1.2999999999999999E-4</v>
      </c>
      <c r="L68" s="491">
        <v>1.2999999999999999E-4</v>
      </c>
      <c r="M68" s="491">
        <v>1.2999999999999999E-4</v>
      </c>
      <c r="N68" s="491">
        <v>1.2999999999999999E-4</v>
      </c>
      <c r="O68" s="491" t="s">
        <v>307</v>
      </c>
      <c r="P68" s="491" t="s">
        <v>307</v>
      </c>
      <c r="Q68" s="592">
        <v>1.0000000000000001E-5</v>
      </c>
      <c r="R68" s="592">
        <v>1.0000000000000001E-5</v>
      </c>
      <c r="S68" s="592">
        <v>1.0000000000000001E-5</v>
      </c>
      <c r="T68" s="592">
        <v>1.0000000000000001E-5</v>
      </c>
      <c r="U68" s="592">
        <v>1.0000000000000001E-5</v>
      </c>
      <c r="V68" s="592">
        <v>1.0000000000000001E-5</v>
      </c>
      <c r="W68" s="592">
        <v>1.0000000000000001E-5</v>
      </c>
      <c r="X68" s="592">
        <v>1.0000000000000001E-5</v>
      </c>
      <c r="Y68" s="592">
        <v>1.0000000000000001E-5</v>
      </c>
      <c r="Z68" s="592">
        <v>1.0000000000000001E-5</v>
      </c>
      <c r="AA68" s="625" t="s">
        <v>307</v>
      </c>
      <c r="AB68" s="625" t="s">
        <v>307</v>
      </c>
      <c r="AC68" s="626" t="s">
        <v>320</v>
      </c>
      <c r="AD68" s="626" t="s">
        <v>320</v>
      </c>
      <c r="AE68" s="626" t="s">
        <v>320</v>
      </c>
      <c r="AF68" s="626" t="s">
        <v>320</v>
      </c>
      <c r="AG68" s="626" t="s">
        <v>320</v>
      </c>
      <c r="AH68" s="626" t="s">
        <v>320</v>
      </c>
    </row>
    <row r="69" spans="1:43" ht="16.5" hidden="1" outlineLevel="1" thickBot="1">
      <c r="A69" s="480"/>
      <c r="B69" s="478" t="s">
        <v>43</v>
      </c>
      <c r="E69" s="491">
        <v>1.2999999999999999E-4</v>
      </c>
      <c r="F69" s="491">
        <v>1.2999999999999999E-4</v>
      </c>
      <c r="G69" s="491">
        <v>1.2999999999999999E-4</v>
      </c>
      <c r="H69" s="491">
        <v>1.2999999999999999E-4</v>
      </c>
      <c r="I69" s="491">
        <v>1.2999999999999999E-4</v>
      </c>
      <c r="J69" s="491">
        <v>1.2999999999999999E-4</v>
      </c>
      <c r="K69" s="491">
        <v>1.2999999999999999E-4</v>
      </c>
      <c r="L69" s="491">
        <v>1.2999999999999999E-4</v>
      </c>
      <c r="M69" s="491">
        <v>1.2999999999999999E-4</v>
      </c>
      <c r="N69" s="491">
        <v>1.2999999999999999E-4</v>
      </c>
      <c r="O69" s="491" t="s">
        <v>307</v>
      </c>
      <c r="P69" s="491" t="s">
        <v>307</v>
      </c>
      <c r="Q69" s="592">
        <v>1.0000000000000001E-5</v>
      </c>
      <c r="R69" s="592">
        <v>1.0000000000000001E-5</v>
      </c>
      <c r="S69" s="592">
        <v>1.0000000000000001E-5</v>
      </c>
      <c r="T69" s="592">
        <v>1.0000000000000001E-5</v>
      </c>
      <c r="U69" s="592">
        <v>1.0000000000000001E-5</v>
      </c>
      <c r="V69" s="592">
        <v>1.0000000000000001E-5</v>
      </c>
      <c r="W69" s="592">
        <v>1.0000000000000001E-5</v>
      </c>
      <c r="X69" s="592">
        <v>1.0000000000000001E-5</v>
      </c>
      <c r="Y69" s="592">
        <v>1.0000000000000001E-5</v>
      </c>
      <c r="Z69" s="592">
        <v>1.0000000000000001E-5</v>
      </c>
      <c r="AA69" s="625" t="s">
        <v>307</v>
      </c>
      <c r="AB69" s="625" t="s">
        <v>307</v>
      </c>
      <c r="AC69" s="626" t="s">
        <v>320</v>
      </c>
      <c r="AD69" s="626" t="s">
        <v>320</v>
      </c>
      <c r="AE69" s="626" t="s">
        <v>320</v>
      </c>
      <c r="AF69" s="626" t="s">
        <v>320</v>
      </c>
      <c r="AG69" s="626" t="s">
        <v>320</v>
      </c>
      <c r="AH69" s="626" t="s">
        <v>320</v>
      </c>
      <c r="AJ69" s="516">
        <f>AJ4</f>
        <v>201806</v>
      </c>
      <c r="AK69" s="525"/>
      <c r="AL69" s="517"/>
      <c r="AM69" s="619" t="s">
        <v>319</v>
      </c>
      <c r="AN69" s="517"/>
      <c r="AO69" s="518"/>
    </row>
    <row r="70" spans="1:43" hidden="1" outlineLevel="1">
      <c r="A70" s="480"/>
      <c r="B70" s="478" t="s">
        <v>74</v>
      </c>
      <c r="E70" s="491">
        <v>2.0000000000000002E-5</v>
      </c>
      <c r="F70" s="491">
        <v>2.0000000000000002E-5</v>
      </c>
      <c r="G70" s="491">
        <v>2.0000000000000002E-5</v>
      </c>
      <c r="H70" s="491">
        <v>2.0000000000000002E-5</v>
      </c>
      <c r="I70" s="491">
        <v>2.0000000000000002E-5</v>
      </c>
      <c r="J70" s="491">
        <v>2.0000000000000002E-5</v>
      </c>
      <c r="K70" s="491">
        <v>2.0000000000000002E-5</v>
      </c>
      <c r="L70" s="491">
        <v>2.0000000000000002E-5</v>
      </c>
      <c r="M70" s="491">
        <v>2.0000000000000002E-5</v>
      </c>
      <c r="N70" s="491">
        <v>2.0000000000000002E-5</v>
      </c>
      <c r="O70" s="491" t="s">
        <v>307</v>
      </c>
      <c r="P70" s="491" t="s">
        <v>307</v>
      </c>
      <c r="Q70" s="592">
        <v>0</v>
      </c>
      <c r="R70" s="592">
        <v>0</v>
      </c>
      <c r="S70" s="592">
        <v>0</v>
      </c>
      <c r="T70" s="592">
        <v>0</v>
      </c>
      <c r="U70" s="592">
        <v>0</v>
      </c>
      <c r="V70" s="592">
        <v>0</v>
      </c>
      <c r="W70" s="592">
        <v>0</v>
      </c>
      <c r="X70" s="592">
        <v>0</v>
      </c>
      <c r="Y70" s="592">
        <v>0</v>
      </c>
      <c r="Z70" s="592">
        <v>0</v>
      </c>
      <c r="AA70" s="625" t="s">
        <v>307</v>
      </c>
      <c r="AB70" s="625" t="s">
        <v>307</v>
      </c>
      <c r="AC70" s="626" t="s">
        <v>320</v>
      </c>
      <c r="AD70" s="626" t="s">
        <v>320</v>
      </c>
      <c r="AE70" s="626" t="s">
        <v>320</v>
      </c>
      <c r="AF70" s="626" t="s">
        <v>320</v>
      </c>
      <c r="AG70" s="626" t="s">
        <v>320</v>
      </c>
      <c r="AH70" s="626" t="s">
        <v>320</v>
      </c>
      <c r="AJ70" s="153" t="s">
        <v>292</v>
      </c>
      <c r="AK70" s="208">
        <v>191025</v>
      </c>
      <c r="AL70" s="7" t="s">
        <v>280</v>
      </c>
      <c r="AM70" s="7" t="s">
        <v>281</v>
      </c>
      <c r="AN70" s="469">
        <v>0</v>
      </c>
      <c r="AO70" s="459">
        <f>IF((SUMIF(E72:AB72,AJ69,E74:AB74))&lt;0,-(SUMIF(E72:AB72,AJ69,E74:AB74)),0)</f>
        <v>0</v>
      </c>
      <c r="AQ70" s="479" t="str">
        <f>_xll.GLW_Segment_Description(AK70,2,2)</f>
        <v>WA GRC JACKSON PRAIRIE DEFERRAL</v>
      </c>
    </row>
    <row r="71" spans="1:43" hidden="1" outlineLevel="1">
      <c r="A71" s="480" t="s">
        <v>283</v>
      </c>
      <c r="E71" s="488"/>
      <c r="F71" s="488"/>
      <c r="G71" s="488"/>
      <c r="H71" s="488"/>
      <c r="I71" s="488"/>
      <c r="J71" s="488"/>
      <c r="K71" s="488"/>
      <c r="L71" s="488"/>
      <c r="M71" s="488"/>
      <c r="N71" s="488"/>
      <c r="O71" s="488"/>
      <c r="P71" s="488"/>
      <c r="Q71" s="488"/>
      <c r="R71" s="488"/>
      <c r="S71" s="488"/>
      <c r="T71" s="488"/>
      <c r="U71" s="488"/>
      <c r="V71" s="488"/>
      <c r="W71" s="488"/>
      <c r="X71" s="488"/>
      <c r="Y71" s="488"/>
      <c r="Z71" s="488"/>
      <c r="AA71" s="488"/>
      <c r="AB71" s="488"/>
      <c r="AC71" s="488"/>
      <c r="AD71" s="553"/>
      <c r="AE71" s="553"/>
      <c r="AF71" s="553"/>
      <c r="AG71" s="553"/>
      <c r="AH71" s="553"/>
      <c r="AJ71" s="153" t="s">
        <v>293</v>
      </c>
      <c r="AK71" s="208">
        <v>805110</v>
      </c>
      <c r="AL71" s="7" t="s">
        <v>280</v>
      </c>
      <c r="AM71" s="7" t="s">
        <v>281</v>
      </c>
      <c r="AN71" s="469">
        <f>IF((SUMIF(E72:AB72,AJ69,E74:AB74))&lt;0,-(SUMIF(E72:AB72,AJ69,E74:AB74)),0)</f>
        <v>0</v>
      </c>
      <c r="AO71" s="459">
        <f>AN70</f>
        <v>0</v>
      </c>
      <c r="AQ71" s="479" t="str">
        <f>_xll.GLW_Segment_Description(AK71,2,2)</f>
        <v>AMORTIZE RECOVERABLE GAS COSTS</v>
      </c>
    </row>
    <row r="72" spans="1:43" s="480" customFormat="1" hidden="1" outlineLevel="1">
      <c r="A72" s="481">
        <v>191025</v>
      </c>
      <c r="B72" s="482" t="s">
        <v>252</v>
      </c>
      <c r="C72" s="483" t="s">
        <v>248</v>
      </c>
      <c r="D72" s="484" t="s">
        <v>249</v>
      </c>
      <c r="E72" s="481">
        <v>201601</v>
      </c>
      <c r="F72" s="481">
        <f>E72+1</f>
        <v>201602</v>
      </c>
      <c r="G72" s="481">
        <f t="shared" ref="G72:P72" si="137">F72+1</f>
        <v>201603</v>
      </c>
      <c r="H72" s="481">
        <f t="shared" si="137"/>
        <v>201604</v>
      </c>
      <c r="I72" s="481">
        <f t="shared" si="137"/>
        <v>201605</v>
      </c>
      <c r="J72" s="481">
        <f t="shared" si="137"/>
        <v>201606</v>
      </c>
      <c r="K72" s="481">
        <f t="shared" si="137"/>
        <v>201607</v>
      </c>
      <c r="L72" s="481">
        <f t="shared" si="137"/>
        <v>201608</v>
      </c>
      <c r="M72" s="481">
        <f t="shared" si="137"/>
        <v>201609</v>
      </c>
      <c r="N72" s="481">
        <f t="shared" si="137"/>
        <v>201610</v>
      </c>
      <c r="O72" s="481">
        <f t="shared" si="137"/>
        <v>201611</v>
      </c>
      <c r="P72" s="481">
        <f t="shared" si="137"/>
        <v>201612</v>
      </c>
      <c r="Q72" s="481">
        <f>Q3</f>
        <v>201701</v>
      </c>
      <c r="R72" s="481">
        <f>Q72+1</f>
        <v>201702</v>
      </c>
      <c r="S72" s="481">
        <f t="shared" ref="S72" si="138">R72+1</f>
        <v>201703</v>
      </c>
      <c r="T72" s="481">
        <f t="shared" ref="T72" si="139">S72+1</f>
        <v>201704</v>
      </c>
      <c r="U72" s="481">
        <f t="shared" ref="U72" si="140">T72+1</f>
        <v>201705</v>
      </c>
      <c r="V72" s="481">
        <f t="shared" ref="V72" si="141">U72+1</f>
        <v>201706</v>
      </c>
      <c r="W72" s="481">
        <f t="shared" ref="W72" si="142">V72+1</f>
        <v>201707</v>
      </c>
      <c r="X72" s="481">
        <f t="shared" ref="X72" si="143">W72+1</f>
        <v>201708</v>
      </c>
      <c r="Y72" s="481">
        <f t="shared" ref="Y72" si="144">X72+1</f>
        <v>201709</v>
      </c>
      <c r="Z72" s="481">
        <f t="shared" ref="Z72" si="145">Y72+1</f>
        <v>201710</v>
      </c>
      <c r="AA72" s="481">
        <f t="shared" ref="AA72" si="146">Z72+1</f>
        <v>201711</v>
      </c>
      <c r="AB72" s="481">
        <f t="shared" ref="AB72" si="147">AA72+1</f>
        <v>201712</v>
      </c>
      <c r="AC72" s="481">
        <f t="shared" ref="AC72:AH72" si="148">AC3</f>
        <v>201801</v>
      </c>
      <c r="AD72" s="570">
        <f t="shared" si="148"/>
        <v>201802</v>
      </c>
      <c r="AE72" s="570">
        <f t="shared" si="148"/>
        <v>201803</v>
      </c>
      <c r="AF72" s="570">
        <f t="shared" si="148"/>
        <v>201804</v>
      </c>
      <c r="AG72" s="570">
        <f t="shared" si="148"/>
        <v>201805</v>
      </c>
      <c r="AH72" s="570">
        <f t="shared" si="148"/>
        <v>201806</v>
      </c>
      <c r="AI72" s="563"/>
      <c r="AJ72" s="153" t="s">
        <v>265</v>
      </c>
      <c r="AK72" s="208">
        <v>191025</v>
      </c>
      <c r="AL72" s="7" t="s">
        <v>280</v>
      </c>
      <c r="AM72" s="7" t="s">
        <v>281</v>
      </c>
      <c r="AN72" s="469">
        <f>IF((SUMIF(E72:AB72,AJ69,E75:AB75))&gt;0,(SUMIF(E72:AB72,AJ69,E75:AB75)),0)</f>
        <v>0</v>
      </c>
      <c r="AO72" s="459">
        <v>0</v>
      </c>
      <c r="AQ72" s="479" t="str">
        <f>_xll.GLW_Segment_Description(AK72,2,2)</f>
        <v>WA GRC JACKSON PRAIRIE DEFERRAL</v>
      </c>
    </row>
    <row r="73" spans="1:43" hidden="1" outlineLevel="1">
      <c r="A73" s="489"/>
      <c r="B73" s="478" t="s">
        <v>250</v>
      </c>
      <c r="D73" s="479">
        <f>E73</f>
        <v>-18146.93566000001</v>
      </c>
      <c r="E73" s="479">
        <v>-18146.93566000001</v>
      </c>
      <c r="F73" s="479">
        <f t="shared" ref="F73:M73" si="149">E76</f>
        <v>-14523.147320000011</v>
      </c>
      <c r="G73" s="479">
        <f t="shared" si="149"/>
        <v>-11852.264220000012</v>
      </c>
      <c r="H73" s="479">
        <f t="shared" si="149"/>
        <v>-9512.6003600000113</v>
      </c>
      <c r="I73" s="479">
        <f t="shared" si="149"/>
        <v>-8373.7282900000118</v>
      </c>
      <c r="J73" s="479">
        <f t="shared" si="149"/>
        <v>-7543.4780600000122</v>
      </c>
      <c r="K73" s="479">
        <f t="shared" si="149"/>
        <v>-6882.1108900000127</v>
      </c>
      <c r="L73" s="479">
        <f t="shared" si="149"/>
        <v>-6303.9779800000124</v>
      </c>
      <c r="M73" s="479">
        <f t="shared" si="149"/>
        <v>-5710.3492900000119</v>
      </c>
      <c r="N73" s="479">
        <f>M76</f>
        <v>-4950.5876300000118</v>
      </c>
      <c r="O73" s="479">
        <f>N76</f>
        <v>-3439.8164200000119</v>
      </c>
      <c r="P73" s="479">
        <f>O76</f>
        <v>-4198.8164200000119</v>
      </c>
      <c r="Q73" s="479">
        <f>P76</f>
        <v>-4496.8164200000119</v>
      </c>
      <c r="R73" s="479">
        <f>Q76</f>
        <v>-3535.3396800000119</v>
      </c>
      <c r="S73" s="479">
        <f t="shared" ref="S73" si="150">R76</f>
        <v>-3274.9352500000118</v>
      </c>
      <c r="T73" s="479">
        <f t="shared" ref="T73" si="151">S76</f>
        <v>-3055.7879200000116</v>
      </c>
      <c r="U73" s="479">
        <f t="shared" ref="U73" si="152">T76</f>
        <v>-2910.8502100000114</v>
      </c>
      <c r="V73" s="479">
        <f t="shared" ref="V73" si="153">U76</f>
        <v>-2852.2313400000116</v>
      </c>
      <c r="W73" s="479">
        <f t="shared" ref="W73" si="154">V76</f>
        <v>-2802.6269400000115</v>
      </c>
      <c r="X73" s="548">
        <f t="shared" ref="X73" si="155">W76</f>
        <v>-2763.5651600000115</v>
      </c>
      <c r="Y73" s="479">
        <f t="shared" ref="Y73" si="156">X76</f>
        <v>-2724.6930800000114</v>
      </c>
      <c r="Z73" s="548">
        <f>Y76</f>
        <v>-2667.4594000000116</v>
      </c>
      <c r="AA73" s="548">
        <f>Z76</f>
        <v>-2539.4342300000117</v>
      </c>
      <c r="AB73" s="479">
        <f>AA76</f>
        <v>-8.4642300000118667</v>
      </c>
      <c r="AC73" s="479">
        <f>AA76</f>
        <v>-8.4642300000118667</v>
      </c>
      <c r="AD73" s="548">
        <f>AB76</f>
        <v>-8.4642300000118667</v>
      </c>
      <c r="AE73" s="548">
        <f>AC76</f>
        <v>-8.4642300000118667</v>
      </c>
      <c r="AF73" s="548">
        <f>AD76</f>
        <v>-8.4642300000118667</v>
      </c>
      <c r="AG73" s="548">
        <f>AB76</f>
        <v>-8.4642300000118667</v>
      </c>
      <c r="AH73" s="548">
        <f>AC76</f>
        <v>-8.4642300000118667</v>
      </c>
      <c r="AJ73" s="153" t="s">
        <v>265</v>
      </c>
      <c r="AK73" s="208">
        <v>426500</v>
      </c>
      <c r="AL73" s="7" t="s">
        <v>318</v>
      </c>
      <c r="AM73" s="7" t="s">
        <v>318</v>
      </c>
      <c r="AN73" s="469">
        <v>0</v>
      </c>
      <c r="AO73" s="459">
        <f>AN72</f>
        <v>0</v>
      </c>
      <c r="AQ73" s="479" t="str">
        <f>_xll.GLW_Segment_Description(AK73,2,2)</f>
        <v>MISC INCOME DEDUCTIONS-OTHER DEDUCT</v>
      </c>
    </row>
    <row r="74" spans="1:43" ht="16.5" hidden="1" outlineLevel="1" thickBot="1">
      <c r="B74" s="478" t="s">
        <v>23</v>
      </c>
      <c r="C74" s="479">
        <f>SUM(Q74:AB74)</f>
        <v>1278.3821900000003</v>
      </c>
      <c r="D74" s="479">
        <f>SUM(E74:AB74)</f>
        <v>14928.501429999998</v>
      </c>
      <c r="E74" s="548">
        <v>3623.7883399999996</v>
      </c>
      <c r="F74" s="548">
        <v>2670.8831</v>
      </c>
      <c r="G74" s="548">
        <v>2339.6638599999997</v>
      </c>
      <c r="H74" s="548">
        <v>1138.8720699999999</v>
      </c>
      <c r="I74" s="548">
        <v>830.25022999999999</v>
      </c>
      <c r="J74" s="548">
        <v>661.36716999999987</v>
      </c>
      <c r="K74" s="548">
        <v>578.13290999999992</v>
      </c>
      <c r="L74" s="548">
        <v>593.62869000000012</v>
      </c>
      <c r="M74" s="548">
        <v>759.76165999999989</v>
      </c>
      <c r="N74" s="548">
        <v>1510.7712100000001</v>
      </c>
      <c r="O74" s="548">
        <v>-759</v>
      </c>
      <c r="P74" s="548">
        <v>-298</v>
      </c>
      <c r="Q74" s="548">
        <f>SUMPRODUCT(Q49:Q57,Q62:Q70)</f>
        <v>365.47674000000006</v>
      </c>
      <c r="R74" s="548">
        <f>SUMPRODUCT(R49:R57,R62:R70)</f>
        <v>260.40443000000005</v>
      </c>
      <c r="S74" s="548">
        <f>SUMPRODUCT(S49:S57,S62:S70)</f>
        <v>219.14733000000001</v>
      </c>
      <c r="T74" s="548">
        <f>SUMPRODUCT(T49:T57,T62:T70)</f>
        <v>144.93771000000001</v>
      </c>
      <c r="U74" s="548">
        <f t="shared" ref="U74" si="157">SUMPRODUCT(U49:U57,U62:U70)</f>
        <v>58.618870000000001</v>
      </c>
      <c r="V74" s="548">
        <f>SUMPRODUCT(V49:V57,V62:V70)</f>
        <v>49.604399999999998</v>
      </c>
      <c r="W74" s="548">
        <f>SUMPRODUCT(W49:W57,W62:W70)</f>
        <v>39.061780000000006</v>
      </c>
      <c r="X74" s="548">
        <f>SUMPRODUCT(X49:X57,X62:X70)</f>
        <v>38.872079999999997</v>
      </c>
      <c r="Y74" s="548">
        <f>SUMPRODUCT(Y49:Y57,Y62:Y70)</f>
        <v>57.23368</v>
      </c>
      <c r="Z74" s="548">
        <f>SUMPRODUCT(Z49:Z57,Z62:Z70)</f>
        <v>128.02517</v>
      </c>
      <c r="AA74" s="554">
        <v>-83</v>
      </c>
      <c r="AB74" s="548">
        <v>0</v>
      </c>
      <c r="AC74" s="548">
        <v>0</v>
      </c>
      <c r="AD74" s="548">
        <v>0</v>
      </c>
      <c r="AE74" s="548">
        <v>0</v>
      </c>
      <c r="AF74" s="548">
        <v>0</v>
      </c>
      <c r="AG74" s="548">
        <v>0</v>
      </c>
      <c r="AH74" s="548">
        <v>0</v>
      </c>
      <c r="AJ74" s="597"/>
      <c r="AK74" s="525"/>
      <c r="AL74" s="517"/>
      <c r="AM74" s="517"/>
      <c r="AN74" s="517" t="s">
        <v>159</v>
      </c>
      <c r="AO74" s="518">
        <f>SUM(AN70:AN73)-SUM(AO70:AO73)</f>
        <v>0</v>
      </c>
    </row>
    <row r="75" spans="1:43" hidden="1" outlineLevel="1">
      <c r="B75" s="478" t="s">
        <v>148</v>
      </c>
      <c r="C75" s="479">
        <f>SUM(Q75:AB75)</f>
        <v>3209.97</v>
      </c>
      <c r="D75" s="490">
        <f>SUM(E75:AB75)</f>
        <v>3209.97</v>
      </c>
      <c r="E75" s="479">
        <v>0</v>
      </c>
      <c r="F75" s="479">
        <v>0</v>
      </c>
      <c r="G75" s="479">
        <v>0</v>
      </c>
      <c r="H75" s="479">
        <v>0</v>
      </c>
      <c r="I75" s="479">
        <v>0</v>
      </c>
      <c r="J75" s="479">
        <v>0</v>
      </c>
      <c r="K75" s="479">
        <v>0</v>
      </c>
      <c r="L75" s="479">
        <v>0</v>
      </c>
      <c r="M75" s="479">
        <v>0</v>
      </c>
      <c r="N75" s="479">
        <v>0</v>
      </c>
      <c r="O75" s="479">
        <v>0</v>
      </c>
      <c r="P75" s="479">
        <v>0</v>
      </c>
      <c r="Q75" s="479">
        <f>298+298</f>
        <v>596</v>
      </c>
      <c r="R75" s="479">
        <v>0</v>
      </c>
      <c r="S75" s="479">
        <v>0</v>
      </c>
      <c r="T75" s="479">
        <v>0</v>
      </c>
      <c r="U75" s="479">
        <v>0</v>
      </c>
      <c r="V75" s="479">
        <v>0</v>
      </c>
      <c r="W75" s="479">
        <v>0</v>
      </c>
      <c r="X75" s="479">
        <v>0</v>
      </c>
      <c r="Y75" s="479">
        <v>0</v>
      </c>
      <c r="Z75" s="479">
        <v>0</v>
      </c>
      <c r="AA75" s="548">
        <v>2613.9699999999998</v>
      </c>
      <c r="AB75" s="479">
        <v>0</v>
      </c>
      <c r="AC75" s="479">
        <v>0</v>
      </c>
      <c r="AD75" s="548">
        <v>0</v>
      </c>
      <c r="AE75" s="548">
        <v>0</v>
      </c>
      <c r="AF75" s="548">
        <v>0</v>
      </c>
      <c r="AG75" s="548">
        <v>0</v>
      </c>
      <c r="AH75" s="548">
        <v>0</v>
      </c>
    </row>
    <row r="76" spans="1:43" ht="16.5" hidden="1" outlineLevel="1" thickBot="1">
      <c r="B76" s="478" t="s">
        <v>56</v>
      </c>
      <c r="C76" s="532">
        <f>SUM(C74:C75)</f>
        <v>4488.3521899999996</v>
      </c>
      <c r="D76" s="532">
        <f>SUM(D73:D75)</f>
        <v>-8.4642300000118667</v>
      </c>
      <c r="E76" s="532">
        <v>-14523.147320000011</v>
      </c>
      <c r="F76" s="532">
        <f t="shared" ref="F76:P76" si="158">SUM(F73:F75)</f>
        <v>-11852.264220000012</v>
      </c>
      <c r="G76" s="532">
        <f t="shared" si="158"/>
        <v>-9512.6003600000113</v>
      </c>
      <c r="H76" s="532">
        <f t="shared" si="158"/>
        <v>-8373.7282900000118</v>
      </c>
      <c r="I76" s="532">
        <f t="shared" si="158"/>
        <v>-7543.4780600000122</v>
      </c>
      <c r="J76" s="532">
        <f t="shared" si="158"/>
        <v>-6882.1108900000127</v>
      </c>
      <c r="K76" s="532">
        <f t="shared" si="158"/>
        <v>-6303.9779800000124</v>
      </c>
      <c r="L76" s="532">
        <f t="shared" si="158"/>
        <v>-5710.3492900000119</v>
      </c>
      <c r="M76" s="532">
        <f t="shared" si="158"/>
        <v>-4950.5876300000118</v>
      </c>
      <c r="N76" s="532">
        <f t="shared" si="158"/>
        <v>-3439.8164200000119</v>
      </c>
      <c r="O76" s="532">
        <f t="shared" si="158"/>
        <v>-4198.8164200000119</v>
      </c>
      <c r="P76" s="532">
        <f t="shared" si="158"/>
        <v>-4496.8164200000119</v>
      </c>
      <c r="Q76" s="532">
        <f>SUM(Q73:Q75)</f>
        <v>-3535.3396800000119</v>
      </c>
      <c r="R76" s="532">
        <f>SUM(R73:R75)</f>
        <v>-3274.9352500000118</v>
      </c>
      <c r="S76" s="532">
        <f t="shared" ref="S76:AB76" si="159">SUM(S73:S75)</f>
        <v>-3055.7879200000116</v>
      </c>
      <c r="T76" s="532">
        <f t="shared" si="159"/>
        <v>-2910.8502100000114</v>
      </c>
      <c r="U76" s="532">
        <f t="shared" si="159"/>
        <v>-2852.2313400000116</v>
      </c>
      <c r="V76" s="532">
        <f t="shared" si="159"/>
        <v>-2802.6269400000115</v>
      </c>
      <c r="W76" s="532">
        <f t="shared" si="159"/>
        <v>-2763.5651600000115</v>
      </c>
      <c r="X76" s="532">
        <f t="shared" si="159"/>
        <v>-2724.6930800000114</v>
      </c>
      <c r="Y76" s="532">
        <f t="shared" si="159"/>
        <v>-2667.4594000000116</v>
      </c>
      <c r="Z76" s="532">
        <f t="shared" si="159"/>
        <v>-2539.4342300000117</v>
      </c>
      <c r="AA76" s="532">
        <f t="shared" si="159"/>
        <v>-8.4642300000118667</v>
      </c>
      <c r="AB76" s="532">
        <f t="shared" si="159"/>
        <v>-8.4642300000118667</v>
      </c>
      <c r="AC76" s="532">
        <f t="shared" ref="AC76:AD76" si="160">SUM(AC73:AC75)</f>
        <v>-8.4642300000118667</v>
      </c>
      <c r="AD76" s="590">
        <f t="shared" si="160"/>
        <v>-8.4642300000118667</v>
      </c>
      <c r="AE76" s="590">
        <f t="shared" ref="AE76" si="161">SUM(AE73:AE75)</f>
        <v>-8.4642300000118667</v>
      </c>
      <c r="AF76" s="590">
        <f>SUM(AF73:AF75)</f>
        <v>-8.4642300000118667</v>
      </c>
      <c r="AG76" s="590">
        <f t="shared" ref="AG76:AH76" si="162">SUM(AG73:AG75)</f>
        <v>-8.4642300000118667</v>
      </c>
      <c r="AH76" s="590">
        <f t="shared" si="162"/>
        <v>-8.4642300000118667</v>
      </c>
    </row>
    <row r="77" spans="1:43" hidden="1" outlineLevel="1">
      <c r="B77" s="478" t="s">
        <v>256</v>
      </c>
      <c r="D77" s="479">
        <f>_xll.Get_Balance(AB72,"YTD","USD","Total","A","","001",$A$72,"GD","WA","DL")</f>
        <v>0</v>
      </c>
      <c r="E77" s="479">
        <v>-14523.15</v>
      </c>
      <c r="F77" s="479">
        <f>_xll.Get_Balance(F72,"YTD","USD","Total","A","","001",$A$72,"GD","WA","DL")</f>
        <v>-11852.27</v>
      </c>
      <c r="G77" s="479">
        <f>_xll.Get_Balance(G72,"YTD","USD","Total","A","","001",$A$72,"GD","WA","DL")</f>
        <v>-9512.61</v>
      </c>
      <c r="H77" s="479">
        <f>_xll.Get_Balance(H72,"YTD","USD","Total","A","","001",$A$72,"GD","WA","DL")</f>
        <v>-8373.74</v>
      </c>
      <c r="I77" s="479">
        <f>_xll.Get_Balance(I72,"YTD","USD","Total","A","","001",$A$72,"GD","WA","DL")</f>
        <v>-7543.49</v>
      </c>
      <c r="J77" s="479">
        <f>_xll.Get_Balance(J72,"YTD","USD","Total","A","","001",$A$72,"GD","WA","DL")</f>
        <v>-6882.12</v>
      </c>
      <c r="K77" s="479">
        <f>_xll.Get_Balance(K72,"YTD","USD","Total","A","","001",$A$72,"GD","WA","DL")</f>
        <v>-6303.99</v>
      </c>
      <c r="L77" s="479">
        <f>_xll.Get_Balance(L72,"YTD","USD","Total","A","","001",$A$72,"GD","WA","DL")</f>
        <v>-5710.36</v>
      </c>
      <c r="M77" s="479">
        <f>_xll.Get_Balance(M72,"YTD","USD","Total","A","","001",$A$72,"GD","WA","DL")</f>
        <v>-4950.6000000000004</v>
      </c>
      <c r="N77" s="479">
        <f>_xll.Get_Balance(N72,"YTD","USD","Total","A","","001",$A$72,"GD","WA","DL")</f>
        <v>-3439.83</v>
      </c>
      <c r="O77" s="479">
        <f>_xll.Get_Balance(O72,"YTD","USD","Total","A","","001",$A$72,"GD","WA","DL")</f>
        <v>-4198.83</v>
      </c>
      <c r="P77" s="479">
        <f>_xll.Get_Balance(P72,"YTD","USD","Total","A","","001",$A$72,"GD","WA","DL")</f>
        <v>-4496.83</v>
      </c>
      <c r="Q77" s="479">
        <f>_xll.Get_Balance(Q72,"YTD","USD","Total","A","","001",$A$72,"GD","WA","DL")</f>
        <v>-3535.35</v>
      </c>
      <c r="R77" s="479">
        <f>_xll.Get_Balance(R72,"YTD","USD","Total","A","","001",$A$72,"GD","WA","DL")</f>
        <v>-3265.04</v>
      </c>
      <c r="S77" s="479">
        <f>_xll.Get_Balance(S72,"YTD","USD","Total","A","","001",$A$72,"GD","WA","DL")</f>
        <v>-3060.71</v>
      </c>
      <c r="T77" s="479">
        <f>_xll.Get_Balance(T72,"YTD","USD","Total","A","","001",$A$72,"GD","WA","DL")</f>
        <v>-2919.81</v>
      </c>
      <c r="U77" s="479">
        <f>_xll.Get_Balance(U72,"YTD","USD","Total","A","","001",$A$72,"GD","WA","DL")</f>
        <v>-2842.03</v>
      </c>
      <c r="V77" s="479">
        <f>_xll.Get_Balance(V72,"YTD","USD","Total","A","","001",$A$72,"GD","WA","DL")</f>
        <v>-2794.18</v>
      </c>
      <c r="W77" s="479">
        <f>_xll.Get_Balance(W72,"YTD","USD","Total","A","","001",$A$72,"GD","WA","DL")</f>
        <v>-2755.12</v>
      </c>
      <c r="X77" s="479">
        <f>_xll.Get_Balance(X72,"YTD","USD","Total","A","","001",$A$72,"GD","WA","DL")</f>
        <v>-2716.25</v>
      </c>
      <c r="Y77" s="479">
        <f>_xll.Get_Balance(Y72,"YTD","USD","Total","A","","001",$A$72,"GD","WA","DL")</f>
        <v>-2659.02</v>
      </c>
      <c r="Z77" s="548">
        <f>_xll.Get_Balance(Z72,"YTD","USD","Total","A","","001",$A$72,"GD","WA","DL")</f>
        <v>-2530.9899999999998</v>
      </c>
      <c r="AA77" s="479">
        <f>_xll.Get_Balance(AA72,"YTD","USD","Total","A","","001",$A$72,"GD","WA","DL")</f>
        <v>0</v>
      </c>
      <c r="AB77" s="479">
        <f>_xll.Get_Balance(AB72,"YTD","USD","Total","A","","001",$A$72,"GD","WA","DL")</f>
        <v>0</v>
      </c>
      <c r="AC77" s="479">
        <f>_xll.Get_Balance(AC72,"YTD","USD","Total","A","","001",$A$72,"GD","WA","DL")</f>
        <v>0</v>
      </c>
      <c r="AD77" s="548">
        <f>_xll.Get_Balance(AD72,"YTD","USD","Total","A","","001",$A$72,"GD","WA","DL")</f>
        <v>0</v>
      </c>
      <c r="AE77" s="548">
        <f>_xll.Get_Balance(AE72,"YTD","USD","Total","A","","001",$A$72,"GD","WA","DL")</f>
        <v>0</v>
      </c>
      <c r="AF77" s="548">
        <f>_xll.Get_Balance(AF72,"YTD","USD","Total","A","","001",$A$72,"GD","WA","DL")</f>
        <v>0</v>
      </c>
      <c r="AG77" s="548">
        <f>_xll.Get_Balance(AG72,"YTD","USD","Total","A","","001",$A$72,"GD","WA","DL")</f>
        <v>0</v>
      </c>
      <c r="AH77" s="548">
        <f>_xll.Get_Balance(AH72,"YTD","USD","Total","A","","001",$A$72,"GD","WA","DL")</f>
        <v>0</v>
      </c>
    </row>
    <row r="78" spans="1:43" hidden="1" outlineLevel="1">
      <c r="B78" s="478" t="s">
        <v>243</v>
      </c>
      <c r="E78" s="479">
        <v>2.6799999886861769E-3</v>
      </c>
      <c r="F78" s="479">
        <f t="shared" ref="F78:P78" si="163">F76-F77</f>
        <v>5.7799999885901343E-3</v>
      </c>
      <c r="G78" s="479">
        <f t="shared" si="163"/>
        <v>9.6399999893037602E-3</v>
      </c>
      <c r="H78" s="479">
        <f t="shared" si="163"/>
        <v>1.1709999987942865E-2</v>
      </c>
      <c r="I78" s="479">
        <f t="shared" si="163"/>
        <v>1.1939999987589545E-2</v>
      </c>
      <c r="J78" s="479">
        <f t="shared" si="163"/>
        <v>9.1099999872312765E-3</v>
      </c>
      <c r="K78" s="479">
        <f t="shared" si="163"/>
        <v>1.2019999987387564E-2</v>
      </c>
      <c r="L78" s="479">
        <f t="shared" si="163"/>
        <v>1.0709999987739138E-2</v>
      </c>
      <c r="M78" s="479">
        <f t="shared" si="163"/>
        <v>1.2369999988550262E-2</v>
      </c>
      <c r="N78" s="479">
        <f t="shared" si="163"/>
        <v>1.3579999987996416E-2</v>
      </c>
      <c r="O78" s="479">
        <f t="shared" si="163"/>
        <v>1.3579999987996416E-2</v>
      </c>
      <c r="P78" s="479">
        <f t="shared" si="163"/>
        <v>1.3579999987996416E-2</v>
      </c>
      <c r="Q78" s="479">
        <f>Q76-Q77</f>
        <v>1.0319999988041673E-2</v>
      </c>
      <c r="R78" s="479">
        <f t="shared" ref="R78:AB78" si="164">R76-R77</f>
        <v>-9.8952500000118562</v>
      </c>
      <c r="S78" s="479">
        <f t="shared" si="164"/>
        <v>4.9220799999884548</v>
      </c>
      <c r="T78" s="479">
        <f t="shared" si="164"/>
        <v>8.9597899999885158</v>
      </c>
      <c r="U78" s="479">
        <f t="shared" si="164"/>
        <v>-10.201340000011442</v>
      </c>
      <c r="V78" s="479">
        <f t="shared" si="164"/>
        <v>-8.4469400000116366</v>
      </c>
      <c r="W78" s="479">
        <f>W76-W77</f>
        <v>-8.4451600000115832</v>
      </c>
      <c r="X78" s="479">
        <f t="shared" si="164"/>
        <v>-8.4430800000113777</v>
      </c>
      <c r="Y78" s="479">
        <f t="shared" si="164"/>
        <v>-8.4394000000115739</v>
      </c>
      <c r="Z78" s="479">
        <f t="shared" si="164"/>
        <v>-8.4442300000118848</v>
      </c>
      <c r="AA78" s="479">
        <f t="shared" si="164"/>
        <v>-8.4642300000118667</v>
      </c>
      <c r="AB78" s="479">
        <f t="shared" si="164"/>
        <v>-8.4642300000118667</v>
      </c>
      <c r="AC78" s="479">
        <f t="shared" ref="AC78:AD78" si="165">AC76-AC77</f>
        <v>-8.4642300000118667</v>
      </c>
      <c r="AD78" s="548">
        <f t="shared" si="165"/>
        <v>-8.4642300000118667</v>
      </c>
      <c r="AE78" s="548">
        <f t="shared" ref="AE78" si="166">AE76-AE77</f>
        <v>-8.4642300000118667</v>
      </c>
      <c r="AF78" s="548">
        <f>AF76-AF77</f>
        <v>-8.4642300000118667</v>
      </c>
      <c r="AG78" s="548">
        <f t="shared" ref="AG78:AH78" si="167">AG76-AG77</f>
        <v>-8.4642300000118667</v>
      </c>
      <c r="AH78" s="548">
        <f t="shared" si="167"/>
        <v>-8.4642300000118667</v>
      </c>
    </row>
    <row r="79" spans="1:43" collapsed="1"/>
  </sheetData>
  <conditionalFormatting sqref="L26:P26 E59:P59 E26:I26">
    <cfRule type="cellIs" dxfId="195" priority="57" operator="notEqual">
      <formula>E25</formula>
    </cfRule>
  </conditionalFormatting>
  <conditionalFormatting sqref="AO74 AO41 AO11">
    <cfRule type="cellIs" dxfId="194" priority="45" operator="notEqual">
      <formula>0</formula>
    </cfRule>
  </conditionalFormatting>
  <conditionalFormatting sqref="D59">
    <cfRule type="cellIs" dxfId="193" priority="41" operator="notEqual">
      <formula>D58</formula>
    </cfRule>
  </conditionalFormatting>
  <conditionalFormatting sqref="C59">
    <cfRule type="cellIs" dxfId="192" priority="40" operator="notEqual">
      <formula>C58</formula>
    </cfRule>
  </conditionalFormatting>
  <conditionalFormatting sqref="D26">
    <cfRule type="cellIs" dxfId="191" priority="39" operator="notEqual">
      <formula>D25</formula>
    </cfRule>
  </conditionalFormatting>
  <conditionalFormatting sqref="C26">
    <cfRule type="cellIs" dxfId="190" priority="38" operator="notEqual">
      <formula>C25</formula>
    </cfRule>
  </conditionalFormatting>
  <conditionalFormatting sqref="J26">
    <cfRule type="cellIs" dxfId="189" priority="23" operator="notEqual">
      <formula>J25</formula>
    </cfRule>
  </conditionalFormatting>
  <conditionalFormatting sqref="K26">
    <cfRule type="cellIs" dxfId="188" priority="22" operator="notEqual">
      <formula>K25</formula>
    </cfRule>
  </conditionalFormatting>
  <conditionalFormatting sqref="Q59:U59 Q26:U26 X26:AB26 X59:Y59 AA59:AB59">
    <cfRule type="cellIs" dxfId="187" priority="21" operator="notEqual">
      <formula>Q25</formula>
    </cfRule>
  </conditionalFormatting>
  <conditionalFormatting sqref="V26">
    <cfRule type="cellIs" dxfId="186" priority="20" operator="notEqual">
      <formula>V25</formula>
    </cfRule>
  </conditionalFormatting>
  <conditionalFormatting sqref="V59">
    <cfRule type="cellIs" dxfId="185" priority="18" operator="notEqual">
      <formula>V58</formula>
    </cfRule>
  </conditionalFormatting>
  <conditionalFormatting sqref="W26">
    <cfRule type="cellIs" dxfId="184" priority="17" operator="notEqual">
      <formula>W25</formula>
    </cfRule>
  </conditionalFormatting>
  <conditionalFormatting sqref="W59">
    <cfRule type="cellIs" dxfId="183" priority="16" operator="notEqual">
      <formula>W58</formula>
    </cfRule>
  </conditionalFormatting>
  <conditionalFormatting sqref="Z59">
    <cfRule type="cellIs" dxfId="182" priority="15" operator="notEqual">
      <formula>Z58</formula>
    </cfRule>
  </conditionalFormatting>
  <conditionalFormatting sqref="AD26 AD59">
    <cfRule type="cellIs" dxfId="181" priority="14" operator="notEqual">
      <formula>AD25</formula>
    </cfRule>
  </conditionalFormatting>
  <conditionalFormatting sqref="AI26 AI59">
    <cfRule type="cellIs" dxfId="180" priority="13" operator="notEqual">
      <formula>AI25</formula>
    </cfRule>
  </conditionalFormatting>
  <conditionalFormatting sqref="AC26">
    <cfRule type="cellIs" dxfId="179" priority="12" operator="notEqual">
      <formula>AC25</formula>
    </cfRule>
  </conditionalFormatting>
  <conditionalFormatting sqref="AC59">
    <cfRule type="cellIs" dxfId="178" priority="11" operator="notEqual">
      <formula>AC58</formula>
    </cfRule>
  </conditionalFormatting>
  <conditionalFormatting sqref="AE26 AE59">
    <cfRule type="cellIs" dxfId="177" priority="10" operator="notEqual">
      <formula>AE25</formula>
    </cfRule>
  </conditionalFormatting>
  <conditionalFormatting sqref="AO30">
    <cfRule type="cellIs" dxfId="176" priority="8" operator="notEqual">
      <formula>0</formula>
    </cfRule>
  </conditionalFormatting>
  <conditionalFormatting sqref="AF26 AF59">
    <cfRule type="cellIs" dxfId="175" priority="3" operator="notEqual">
      <formula>AF25</formula>
    </cfRule>
  </conditionalFormatting>
  <conditionalFormatting sqref="AH26 AH59">
    <cfRule type="cellIs" dxfId="174" priority="2" operator="notEqual">
      <formula>AH25</formula>
    </cfRule>
  </conditionalFormatting>
  <conditionalFormatting sqref="AG26 AG59">
    <cfRule type="cellIs" dxfId="173" priority="1" operator="notEqual">
      <formula>AG25</formula>
    </cfRule>
  </conditionalFormatting>
  <pageMargins left="0" right="0" top="0.75" bottom="0.75" header="0.3" footer="0.3"/>
  <pageSetup scale="42" orientation="landscape" r:id="rId1"/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zoomScale="85" zoomScaleNormal="85" workbookViewId="0">
      <selection activeCell="H2" sqref="H2"/>
    </sheetView>
  </sheetViews>
  <sheetFormatPr defaultRowHeight="12.75"/>
  <cols>
    <col min="1" max="1" width="17.5703125" bestFit="1" customWidth="1"/>
    <col min="2" max="2" width="7.28515625" bestFit="1" customWidth="1"/>
    <col min="3" max="3" width="4.85546875" bestFit="1" customWidth="1"/>
    <col min="4" max="4" width="16.7109375" bestFit="1" customWidth="1"/>
    <col min="5" max="5" width="12.28515625" bestFit="1" customWidth="1"/>
    <col min="6" max="6" width="9.28515625" bestFit="1" customWidth="1"/>
    <col min="7" max="7" width="7.140625" bestFit="1" customWidth="1"/>
    <col min="8" max="8" width="12.42578125" bestFit="1" customWidth="1"/>
    <col min="9" max="9" width="22.85546875" bestFit="1" customWidth="1"/>
    <col min="10" max="10" width="18.140625" bestFit="1" customWidth="1"/>
    <col min="11" max="11" width="12.42578125" bestFit="1" customWidth="1"/>
    <col min="12" max="12" width="23.5703125" bestFit="1" customWidth="1"/>
    <col min="13" max="13" width="40.42578125" bestFit="1" customWidth="1"/>
    <col min="15" max="15" width="12.85546875" customWidth="1"/>
  </cols>
  <sheetData>
    <row r="1" spans="1:13" ht="15">
      <c r="A1" s="498" t="s">
        <v>266</v>
      </c>
      <c r="B1" s="499" t="s">
        <v>267</v>
      </c>
      <c r="C1" s="500" t="s">
        <v>268</v>
      </c>
      <c r="D1" s="501" t="s">
        <v>269</v>
      </c>
      <c r="E1" s="500" t="s">
        <v>270</v>
      </c>
      <c r="F1" s="498" t="s">
        <v>271</v>
      </c>
      <c r="G1" s="498" t="s">
        <v>272</v>
      </c>
      <c r="H1" s="498" t="s">
        <v>273</v>
      </c>
      <c r="I1" s="498" t="s">
        <v>274</v>
      </c>
      <c r="J1" s="498" t="s">
        <v>275</v>
      </c>
      <c r="K1" s="502" t="s">
        <v>276</v>
      </c>
      <c r="L1" s="502" t="s">
        <v>277</v>
      </c>
      <c r="M1" s="500" t="s">
        <v>278</v>
      </c>
    </row>
    <row r="2" spans="1:13" ht="15">
      <c r="A2" s="503" t="s">
        <v>279</v>
      </c>
      <c r="B2" s="504"/>
      <c r="C2" s="504"/>
      <c r="D2" s="504"/>
      <c r="E2" s="504"/>
      <c r="F2" s="503">
        <v>1</v>
      </c>
      <c r="G2" s="505" t="str">
        <f>LEFT('WA - Def-Amtz (current)'!AK5,6)</f>
        <v>419600</v>
      </c>
      <c r="H2" s="505" t="str">
        <f>LEFT('WA - Def-Amtz (current)'!AL5,6)</f>
        <v>GD</v>
      </c>
      <c r="I2" s="505" t="str">
        <f>LEFT('WA - Def-Amtz (current)'!AM5,6)</f>
        <v>WA</v>
      </c>
      <c r="J2" s="503" t="s">
        <v>282</v>
      </c>
      <c r="K2" s="506">
        <f>'WA - Def-Amtz (current)'!AN5</f>
        <v>0</v>
      </c>
      <c r="L2" s="506">
        <f>'WA - Def-Amtz (current)'!AO5</f>
        <v>0</v>
      </c>
      <c r="M2" s="526" t="str">
        <f>'WA - Def-Amtz (current)'!AJ5</f>
        <v>WA Deferral Interest Income</v>
      </c>
    </row>
    <row r="3" spans="1:13" ht="15">
      <c r="A3" s="503" t="s">
        <v>279</v>
      </c>
      <c r="B3" s="504"/>
      <c r="C3" s="504"/>
      <c r="D3" s="504"/>
      <c r="E3" s="504"/>
      <c r="F3" s="503">
        <v>1</v>
      </c>
      <c r="G3" s="505" t="str">
        <f>LEFT('WA - Def-Amtz (current)'!AK6,6)</f>
        <v>431600</v>
      </c>
      <c r="H3" s="505" t="str">
        <f>LEFT('WA - Def-Amtz (current)'!AL6,6)</f>
        <v>GD</v>
      </c>
      <c r="I3" s="505" t="str">
        <f>LEFT('WA - Def-Amtz (current)'!AM6,6)</f>
        <v>WA</v>
      </c>
      <c r="J3" s="503" t="s">
        <v>282</v>
      </c>
      <c r="K3" s="506">
        <f>'WA - Def-Amtz (current)'!AN6</f>
        <v>58012.14</v>
      </c>
      <c r="L3" s="506">
        <f>'WA - Def-Amtz (current)'!AO6</f>
        <v>0</v>
      </c>
      <c r="M3" s="526" t="str">
        <f>'WA - Def-Amtz (current)'!AJ6</f>
        <v>WA Deferral Interest Expense</v>
      </c>
    </row>
    <row r="4" spans="1:13" ht="15">
      <c r="A4" s="503" t="s">
        <v>279</v>
      </c>
      <c r="B4" s="504"/>
      <c r="C4" s="504"/>
      <c r="D4" s="504"/>
      <c r="E4" s="504"/>
      <c r="F4" s="503">
        <v>1</v>
      </c>
      <c r="G4" s="505" t="str">
        <f>LEFT('WA - Def-Amtz (current)'!AK7,6)</f>
        <v>191010</v>
      </c>
      <c r="H4" s="505" t="str">
        <f>LEFT('WA - Def-Amtz (current)'!AL7,6)</f>
        <v>GD</v>
      </c>
      <c r="I4" s="505" t="str">
        <f>LEFT('WA - Def-Amtz (current)'!AM7,6)</f>
        <v>WA</v>
      </c>
      <c r="J4" s="503" t="s">
        <v>282</v>
      </c>
      <c r="K4" s="506">
        <f>'WA - Def-Amtz (current)'!AN7</f>
        <v>0</v>
      </c>
      <c r="L4" s="506">
        <f>'WA - Def-Amtz (current)'!AO7</f>
        <v>34250.586644000708</v>
      </c>
      <c r="M4" s="526" t="str">
        <f>'WA - Def-Amtz (current)'!AJ7</f>
        <v>WA Deferral</v>
      </c>
    </row>
    <row r="5" spans="1:13" ht="15">
      <c r="A5" s="503" t="s">
        <v>279</v>
      </c>
      <c r="B5" s="504"/>
      <c r="C5" s="504"/>
      <c r="D5" s="504"/>
      <c r="E5" s="504"/>
      <c r="F5" s="503">
        <v>1</v>
      </c>
      <c r="G5" s="505" t="str">
        <f>LEFT('WA - Def-Amtz (current)'!AK8,6)</f>
        <v>805120</v>
      </c>
      <c r="H5" s="505" t="str">
        <f>LEFT('WA - Def-Amtz (current)'!AL8,6)</f>
        <v>GD</v>
      </c>
      <c r="I5" s="505" t="str">
        <f>LEFT('WA - Def-Amtz (current)'!AM8,6)</f>
        <v>WA</v>
      </c>
      <c r="J5" s="503" t="s">
        <v>282</v>
      </c>
      <c r="K5" s="506">
        <f>'WA - Def-Amtz (current)'!AN8</f>
        <v>0</v>
      </c>
      <c r="L5" s="506">
        <f>'WA - Def-Amtz (current)'!AO8</f>
        <v>23761.553355999291</v>
      </c>
      <c r="M5" s="526" t="str">
        <f>'WA - Def-Amtz (current)'!AJ8</f>
        <v>WA Deferral Expense</v>
      </c>
    </row>
    <row r="6" spans="1:13" ht="15">
      <c r="A6" s="503" t="s">
        <v>279</v>
      </c>
      <c r="B6" s="504"/>
      <c r="C6" s="504"/>
      <c r="D6" s="504"/>
      <c r="E6" s="504"/>
      <c r="F6" s="503">
        <v>1</v>
      </c>
      <c r="G6" s="505" t="str">
        <f>LEFT('WA - Def-Amtz (current)'!AK36,6)</f>
        <v>431600</v>
      </c>
      <c r="H6" s="505" t="str">
        <f>LEFT('WA - Def-Amtz (current)'!AL36,6)</f>
        <v>GD</v>
      </c>
      <c r="I6" s="505" t="str">
        <f>LEFT('WA - Def-Amtz (current)'!AM36,6)</f>
        <v>WA</v>
      </c>
      <c r="J6" s="503" t="s">
        <v>282</v>
      </c>
      <c r="K6" s="506">
        <f>'WA - Def-Amtz (current)'!AN36</f>
        <v>1940.4921395230947</v>
      </c>
      <c r="L6" s="506">
        <f>'WA - Def-Amtz (current)'!AO36</f>
        <v>0</v>
      </c>
      <c r="M6" s="526" t="str">
        <f>'WA - Def-Amtz (current)'!AJ36</f>
        <v>WA Amortization Interest Expense</v>
      </c>
    </row>
    <row r="7" spans="1:13" ht="15">
      <c r="A7" s="503" t="s">
        <v>279</v>
      </c>
      <c r="B7" s="504"/>
      <c r="C7" s="504"/>
      <c r="D7" s="504"/>
      <c r="E7" s="504"/>
      <c r="F7" s="503">
        <v>1</v>
      </c>
      <c r="G7" s="505" t="str">
        <f>LEFT('WA - Def-Amtz (current)'!AK37,6)</f>
        <v>191000</v>
      </c>
      <c r="H7" s="505" t="str">
        <f>LEFT('WA - Def-Amtz (current)'!AL37,6)</f>
        <v>GD</v>
      </c>
      <c r="I7" s="505" t="str">
        <f>LEFT('WA - Def-Amtz (current)'!AM37,6)</f>
        <v>WA</v>
      </c>
      <c r="J7" s="503" t="s">
        <v>282</v>
      </c>
      <c r="K7" s="506">
        <f>'WA - Def-Amtz (current)'!AN37</f>
        <v>395690.87162047689</v>
      </c>
      <c r="L7" s="506">
        <f>'WA - Def-Amtz (current)'!AO37</f>
        <v>0</v>
      </c>
      <c r="M7" s="526" t="str">
        <f>'WA - Def-Amtz (current)'!AJ37</f>
        <v>WA Amortization</v>
      </c>
    </row>
    <row r="8" spans="1:13" ht="15">
      <c r="A8" s="503" t="s">
        <v>279</v>
      </c>
      <c r="B8" s="504"/>
      <c r="C8" s="504"/>
      <c r="D8" s="504"/>
      <c r="E8" s="504"/>
      <c r="F8" s="503">
        <v>1</v>
      </c>
      <c r="G8" s="505" t="str">
        <f>LEFT('WA - Def-Amtz (current)'!AK38,6)</f>
        <v>805110</v>
      </c>
      <c r="H8" s="505" t="str">
        <f>LEFT('WA - Def-Amtz (current)'!AL38,6)</f>
        <v>GD</v>
      </c>
      <c r="I8" s="505" t="str">
        <f>LEFT('WA - Def-Amtz (current)'!AM38,6)</f>
        <v>WA</v>
      </c>
      <c r="J8" s="503" t="s">
        <v>282</v>
      </c>
      <c r="K8" s="506">
        <f>'WA - Def-Amtz (current)'!AN38</f>
        <v>0</v>
      </c>
      <c r="L8" s="506">
        <f>'WA - Def-Amtz (current)'!AO38</f>
        <v>397631.36375999998</v>
      </c>
      <c r="M8" s="526" t="str">
        <f>'WA - Def-Amtz (current)'!AJ38</f>
        <v>WA Amortization Expense</v>
      </c>
    </row>
    <row r="9" spans="1:13" ht="15">
      <c r="A9" s="503" t="s">
        <v>279</v>
      </c>
      <c r="B9" s="504"/>
      <c r="C9" s="504"/>
      <c r="D9" s="504"/>
      <c r="E9" s="504"/>
      <c r="F9" s="503">
        <v>1</v>
      </c>
      <c r="G9" s="505" t="str">
        <f>LEFT('WA - Def-Amtz (current)'!AK70,6)</f>
        <v>191025</v>
      </c>
      <c r="H9" s="505" t="str">
        <f>LEFT('WA - Def-Amtz (current)'!AL70,6)</f>
        <v>GD</v>
      </c>
      <c r="I9" s="505" t="str">
        <f>LEFT('WA - Def-Amtz (current)'!AM70,6)</f>
        <v>WA</v>
      </c>
      <c r="J9" s="503" t="s">
        <v>282</v>
      </c>
      <c r="K9" s="506">
        <f>'WA - Def-Amtz (current)'!AN70</f>
        <v>0</v>
      </c>
      <c r="L9" s="506">
        <f>'WA - Def-Amtz (current)'!AO70</f>
        <v>0</v>
      </c>
      <c r="M9" s="526" t="str">
        <f>'WA - Def-Amtz (current)'!AJ70</f>
        <v>WA Amortization JP</v>
      </c>
    </row>
    <row r="10" spans="1:13" ht="15">
      <c r="A10" s="503" t="s">
        <v>279</v>
      </c>
      <c r="B10" s="504"/>
      <c r="C10" s="504"/>
      <c r="D10" s="504"/>
      <c r="E10" s="504"/>
      <c r="F10" s="503">
        <v>1</v>
      </c>
      <c r="G10" s="505" t="str">
        <f>LEFT('WA - Def-Amtz (current)'!AK71,6)</f>
        <v>805110</v>
      </c>
      <c r="H10" s="505" t="str">
        <f>LEFT('WA - Def-Amtz (current)'!AL71,6)</f>
        <v>GD</v>
      </c>
      <c r="I10" s="505" t="str">
        <f>LEFT('WA - Def-Amtz (current)'!AM71,6)</f>
        <v>WA</v>
      </c>
      <c r="J10" s="503" t="s">
        <v>282</v>
      </c>
      <c r="K10" s="506">
        <f>'WA - Def-Amtz (current)'!AN71</f>
        <v>0</v>
      </c>
      <c r="L10" s="506">
        <f>'WA - Def-Amtz (current)'!AO71</f>
        <v>0</v>
      </c>
      <c r="M10" s="526" t="str">
        <f>'WA - Def-Amtz (current)'!AJ71</f>
        <v>WA Amortization Expense JP</v>
      </c>
    </row>
    <row r="11" spans="1:13" ht="15">
      <c r="A11" s="503"/>
      <c r="B11" s="504"/>
      <c r="C11" s="504"/>
      <c r="D11" s="504"/>
      <c r="E11" s="504"/>
      <c r="F11" s="503"/>
      <c r="G11" s="505"/>
      <c r="H11" s="505"/>
      <c r="I11" s="505"/>
      <c r="J11" s="503"/>
      <c r="K11" s="506"/>
      <c r="L11" s="506"/>
      <c r="M11" s="526"/>
    </row>
    <row r="12" spans="1:13" ht="15">
      <c r="A12" s="503"/>
      <c r="B12" s="504"/>
      <c r="C12" s="504"/>
      <c r="D12" s="504"/>
      <c r="E12" s="504"/>
      <c r="F12" s="503"/>
      <c r="G12" s="505"/>
      <c r="H12" s="505"/>
      <c r="I12" s="505"/>
      <c r="J12" s="503"/>
      <c r="K12" s="506"/>
      <c r="L12" s="506"/>
      <c r="M12" s="526"/>
    </row>
    <row r="13" spans="1:13" ht="15">
      <c r="A13" s="503" t="s">
        <v>279</v>
      </c>
      <c r="B13" s="504"/>
      <c r="C13" s="504"/>
      <c r="D13" s="504"/>
      <c r="E13" s="504"/>
      <c r="F13" s="503">
        <v>1</v>
      </c>
      <c r="G13" s="505" t="e">
        <f>LEFT(#REF!,6)</f>
        <v>#REF!</v>
      </c>
      <c r="H13" s="505" t="e">
        <f>LEFT(#REF!,6)</f>
        <v>#REF!</v>
      </c>
      <c r="I13" s="505" t="e">
        <f>LEFT(#REF!,6)</f>
        <v>#REF!</v>
      </c>
      <c r="J13" s="503" t="s">
        <v>282</v>
      </c>
      <c r="K13" s="506" t="e">
        <f>#REF!</f>
        <v>#REF!</v>
      </c>
      <c r="L13" s="506" t="e">
        <f>#REF!</f>
        <v>#REF!</v>
      </c>
      <c r="M13" s="526" t="e">
        <f>#REF!</f>
        <v>#REF!</v>
      </c>
    </row>
    <row r="14" spans="1:13" ht="15">
      <c r="A14" s="503" t="s">
        <v>279</v>
      </c>
      <c r="B14" s="504"/>
      <c r="C14" s="504"/>
      <c r="D14" s="504"/>
      <c r="E14" s="504"/>
      <c r="F14" s="503">
        <v>1</v>
      </c>
      <c r="G14" s="505" t="e">
        <f>LEFT(#REF!,6)</f>
        <v>#REF!</v>
      </c>
      <c r="H14" s="505" t="e">
        <f>LEFT(#REF!,6)</f>
        <v>#REF!</v>
      </c>
      <c r="I14" s="505" t="e">
        <f>LEFT(#REF!,6)</f>
        <v>#REF!</v>
      </c>
      <c r="J14" s="503" t="s">
        <v>282</v>
      </c>
      <c r="K14" s="506" t="e">
        <f>#REF!</f>
        <v>#REF!</v>
      </c>
      <c r="L14" s="506" t="e">
        <f>#REF!</f>
        <v>#REF!</v>
      </c>
      <c r="M14" s="526" t="e">
        <f>#REF!</f>
        <v>#REF!</v>
      </c>
    </row>
    <row r="15" spans="1:13" ht="15">
      <c r="A15" s="503" t="s">
        <v>279</v>
      </c>
      <c r="B15" s="504"/>
      <c r="C15" s="504"/>
      <c r="D15" s="504"/>
      <c r="E15" s="504"/>
      <c r="F15" s="503">
        <v>1</v>
      </c>
      <c r="G15" s="505" t="e">
        <f>LEFT(#REF!,6)</f>
        <v>#REF!</v>
      </c>
      <c r="H15" s="505" t="e">
        <f>LEFT(#REF!,6)</f>
        <v>#REF!</v>
      </c>
      <c r="I15" s="505" t="e">
        <f>LEFT(#REF!,6)</f>
        <v>#REF!</v>
      </c>
      <c r="J15" s="503" t="s">
        <v>282</v>
      </c>
      <c r="K15" s="506" t="e">
        <f>#REF!</f>
        <v>#REF!</v>
      </c>
      <c r="L15" s="506" t="e">
        <f>#REF!</f>
        <v>#REF!</v>
      </c>
      <c r="M15" s="526" t="e">
        <f>#REF!</f>
        <v>#REF!</v>
      </c>
    </row>
    <row r="16" spans="1:13" ht="15">
      <c r="A16" s="503" t="s">
        <v>279</v>
      </c>
      <c r="B16" s="504"/>
      <c r="C16" s="504"/>
      <c r="D16" s="504"/>
      <c r="E16" s="504"/>
      <c r="F16" s="503">
        <v>1</v>
      </c>
      <c r="G16" s="505" t="e">
        <f>LEFT(#REF!,6)</f>
        <v>#REF!</v>
      </c>
      <c r="H16" s="505" t="e">
        <f>LEFT(#REF!,6)</f>
        <v>#REF!</v>
      </c>
      <c r="I16" s="505" t="e">
        <f>LEFT(#REF!,6)</f>
        <v>#REF!</v>
      </c>
      <c r="J16" s="503" t="s">
        <v>282</v>
      </c>
      <c r="K16" s="506" t="e">
        <f>#REF!</f>
        <v>#REF!</v>
      </c>
      <c r="L16" s="506" t="e">
        <f>#REF!</f>
        <v>#REF!</v>
      </c>
      <c r="M16" s="526" t="e">
        <f>#REF!</f>
        <v>#REF!</v>
      </c>
    </row>
    <row r="17" spans="1:13" ht="15">
      <c r="A17" s="503" t="s">
        <v>279</v>
      </c>
      <c r="B17" s="504"/>
      <c r="C17" s="504"/>
      <c r="D17" s="504"/>
      <c r="E17" s="504"/>
      <c r="F17" s="503">
        <v>1</v>
      </c>
      <c r="G17" s="505" t="e">
        <f>LEFT(#REF!,6)</f>
        <v>#REF!</v>
      </c>
      <c r="H17" s="505" t="e">
        <f>LEFT(#REF!,6)</f>
        <v>#REF!</v>
      </c>
      <c r="I17" s="505" t="e">
        <f>LEFT(#REF!,6)</f>
        <v>#REF!</v>
      </c>
      <c r="J17" s="503" t="s">
        <v>282</v>
      </c>
      <c r="K17" s="506" t="e">
        <f>#REF!</f>
        <v>#REF!</v>
      </c>
      <c r="L17" s="506" t="e">
        <f>#REF!</f>
        <v>#REF!</v>
      </c>
      <c r="M17" s="526" t="e">
        <f>#REF!</f>
        <v>#REF!</v>
      </c>
    </row>
    <row r="18" spans="1:13" ht="15">
      <c r="A18" s="503" t="s">
        <v>279</v>
      </c>
      <c r="B18" s="504"/>
      <c r="C18" s="504"/>
      <c r="D18" s="504"/>
      <c r="E18" s="504"/>
      <c r="F18" s="503">
        <v>1</v>
      </c>
      <c r="G18" s="505" t="e">
        <f>LEFT(#REF!,6)</f>
        <v>#REF!</v>
      </c>
      <c r="H18" s="505" t="e">
        <f>LEFT(#REF!,6)</f>
        <v>#REF!</v>
      </c>
      <c r="I18" s="505" t="e">
        <f>LEFT(#REF!,6)</f>
        <v>#REF!</v>
      </c>
      <c r="J18" s="503" t="s">
        <v>282</v>
      </c>
      <c r="K18" s="506" t="e">
        <f>#REF!</f>
        <v>#REF!</v>
      </c>
      <c r="L18" s="506" t="e">
        <f>#REF!</f>
        <v>#REF!</v>
      </c>
      <c r="M18" s="526" t="e">
        <f>#REF!</f>
        <v>#REF!</v>
      </c>
    </row>
    <row r="19" spans="1:13" ht="15">
      <c r="A19" s="503" t="s">
        <v>279</v>
      </c>
      <c r="B19" s="504"/>
      <c r="C19" s="504"/>
      <c r="D19" s="504"/>
      <c r="E19" s="504"/>
      <c r="F19" s="503">
        <v>1</v>
      </c>
      <c r="G19" s="505" t="e">
        <f>LEFT(#REF!,6)</f>
        <v>#REF!</v>
      </c>
      <c r="H19" s="505" t="e">
        <f>LEFT(#REF!,6)</f>
        <v>#REF!</v>
      </c>
      <c r="I19" s="505" t="e">
        <f>LEFT(#REF!,6)</f>
        <v>#REF!</v>
      </c>
      <c r="J19" s="503" t="s">
        <v>282</v>
      </c>
      <c r="K19" s="506" t="e">
        <f>#REF!</f>
        <v>#REF!</v>
      </c>
      <c r="L19" s="506" t="e">
        <f>#REF!</f>
        <v>#REF!</v>
      </c>
      <c r="M19" s="526" t="e">
        <f>#REF!</f>
        <v>#REF!</v>
      </c>
    </row>
    <row r="20" spans="1:13" ht="15">
      <c r="A20" s="503" t="s">
        <v>279</v>
      </c>
      <c r="B20" s="504"/>
      <c r="C20" s="504"/>
      <c r="D20" s="504"/>
      <c r="E20" s="504"/>
      <c r="F20" s="503">
        <v>1</v>
      </c>
      <c r="G20" s="505" t="e">
        <f>LEFT(#REF!,6)</f>
        <v>#REF!</v>
      </c>
      <c r="H20" s="505" t="e">
        <f>LEFT(#REF!,6)</f>
        <v>#REF!</v>
      </c>
      <c r="I20" s="505" t="e">
        <f>LEFT(#REF!,6)</f>
        <v>#REF!</v>
      </c>
      <c r="J20" s="503" t="s">
        <v>282</v>
      </c>
      <c r="K20" s="506" t="e">
        <f>#REF!</f>
        <v>#REF!</v>
      </c>
      <c r="L20" s="506" t="e">
        <f>#REF!</f>
        <v>#REF!</v>
      </c>
      <c r="M20" s="526" t="e">
        <f>#REF!</f>
        <v>#REF!</v>
      </c>
    </row>
    <row r="21" spans="1:13" ht="15">
      <c r="A21" s="503"/>
      <c r="B21" s="504"/>
      <c r="C21" s="504"/>
      <c r="D21" s="504"/>
      <c r="E21" s="504"/>
      <c r="F21" s="503"/>
      <c r="G21" s="505"/>
      <c r="H21" s="505"/>
      <c r="I21" s="505"/>
      <c r="J21" s="503"/>
      <c r="K21" s="506"/>
      <c r="L21" s="506"/>
      <c r="M21" s="526"/>
    </row>
    <row r="22" spans="1:13" ht="15">
      <c r="A22" s="503"/>
      <c r="B22" s="504"/>
      <c r="C22" s="504"/>
      <c r="D22" s="504"/>
      <c r="E22" s="504"/>
      <c r="F22" s="503"/>
      <c r="G22" s="505"/>
      <c r="H22" s="505"/>
      <c r="I22" s="505"/>
      <c r="J22" s="503"/>
      <c r="K22" s="506"/>
      <c r="L22" s="506"/>
      <c r="M22" s="526"/>
    </row>
    <row r="23" spans="1:13" s="540" customFormat="1" ht="15">
      <c r="A23" s="503"/>
      <c r="B23" s="504"/>
      <c r="C23" s="504"/>
      <c r="D23" s="504"/>
      <c r="E23" s="504"/>
      <c r="F23" s="503"/>
      <c r="G23" s="505"/>
      <c r="H23" s="505"/>
      <c r="I23" s="505"/>
      <c r="J23" s="503"/>
      <c r="K23" s="506"/>
      <c r="L23" s="506"/>
      <c r="M23" s="547"/>
    </row>
    <row r="24" spans="1:13" s="540" customFormat="1" ht="15">
      <c r="A24" s="503"/>
      <c r="B24" s="504"/>
      <c r="C24" s="504"/>
      <c r="D24" s="504"/>
      <c r="E24" s="504"/>
      <c r="F24" s="503"/>
      <c r="G24" s="505"/>
      <c r="H24" s="505"/>
      <c r="I24" s="505"/>
      <c r="J24" s="503"/>
      <c r="K24" s="506"/>
      <c r="L24" s="506"/>
      <c r="M24" s="547"/>
    </row>
    <row r="25" spans="1:13" ht="15">
      <c r="A25" s="503" t="s">
        <v>279</v>
      </c>
      <c r="B25" s="504"/>
      <c r="C25" s="504"/>
      <c r="D25" s="504"/>
      <c r="E25" s="504"/>
      <c r="F25" s="503">
        <v>1</v>
      </c>
      <c r="G25" s="505" t="e">
        <f>LEFT(#REF!,6)</f>
        <v>#REF!</v>
      </c>
      <c r="H25" s="505" t="e">
        <f>LEFT(#REF!,6)</f>
        <v>#REF!</v>
      </c>
      <c r="I25" s="505" t="e">
        <f>LEFT(#REF!,6)</f>
        <v>#REF!</v>
      </c>
      <c r="J25" s="503" t="s">
        <v>282</v>
      </c>
      <c r="K25" s="506" t="e">
        <f>#REF!</f>
        <v>#REF!</v>
      </c>
      <c r="L25" s="506" t="e">
        <f>#REF!</f>
        <v>#REF!</v>
      </c>
      <c r="M25" s="526" t="e">
        <f>#REF!</f>
        <v>#REF!</v>
      </c>
    </row>
    <row r="26" spans="1:13" ht="15">
      <c r="A26" s="503" t="s">
        <v>279</v>
      </c>
      <c r="B26" s="504"/>
      <c r="C26" s="504"/>
      <c r="D26" s="504"/>
      <c r="E26" s="504"/>
      <c r="F26" s="503">
        <v>1</v>
      </c>
      <c r="G26" s="505" t="e">
        <f>LEFT(#REF!,6)</f>
        <v>#REF!</v>
      </c>
      <c r="H26" s="505" t="e">
        <f>LEFT(#REF!,6)</f>
        <v>#REF!</v>
      </c>
      <c r="I26" s="505" t="e">
        <f>LEFT(#REF!,6)</f>
        <v>#REF!</v>
      </c>
      <c r="J26" s="503" t="s">
        <v>282</v>
      </c>
      <c r="K26" s="506" t="e">
        <f>#REF!</f>
        <v>#REF!</v>
      </c>
      <c r="L26" s="506" t="e">
        <f>#REF!</f>
        <v>#REF!</v>
      </c>
      <c r="M26" s="526" t="e">
        <f>#REF!</f>
        <v>#REF!</v>
      </c>
    </row>
    <row r="27" spans="1:13" ht="15">
      <c r="A27" s="503" t="s">
        <v>279</v>
      </c>
      <c r="B27" s="504"/>
      <c r="C27" s="504"/>
      <c r="D27" s="504"/>
      <c r="E27" s="504"/>
      <c r="F27" s="503">
        <v>1</v>
      </c>
      <c r="G27" s="505" t="e">
        <f>LEFT(#REF!,6)</f>
        <v>#REF!</v>
      </c>
      <c r="H27" s="505" t="e">
        <f>LEFT(#REF!,6)</f>
        <v>#REF!</v>
      </c>
      <c r="I27" s="505" t="e">
        <f>LEFT(#REF!,6)</f>
        <v>#REF!</v>
      </c>
      <c r="J27" s="503" t="s">
        <v>282</v>
      </c>
      <c r="K27" s="506" t="e">
        <f>#REF!</f>
        <v>#REF!</v>
      </c>
      <c r="L27" s="506" t="e">
        <f>#REF!</f>
        <v>#REF!</v>
      </c>
      <c r="M27" s="526" t="e">
        <f>#REF!</f>
        <v>#REF!</v>
      </c>
    </row>
    <row r="28" spans="1:13" ht="15">
      <c r="A28" s="503" t="s">
        <v>279</v>
      </c>
      <c r="B28" s="504"/>
      <c r="C28" s="504"/>
      <c r="D28" s="504"/>
      <c r="E28" s="504"/>
      <c r="F28" s="503">
        <v>1</v>
      </c>
      <c r="G28" s="505" t="e">
        <f>LEFT(#REF!,6)</f>
        <v>#REF!</v>
      </c>
      <c r="H28" s="505" t="e">
        <f>LEFT(#REF!,6)</f>
        <v>#REF!</v>
      </c>
      <c r="I28" s="505" t="e">
        <f>LEFT(#REF!,6)</f>
        <v>#REF!</v>
      </c>
      <c r="J28" s="503" t="s">
        <v>282</v>
      </c>
      <c r="K28" s="506" t="e">
        <f>#REF!</f>
        <v>#REF!</v>
      </c>
      <c r="L28" s="506" t="e">
        <f>#REF!</f>
        <v>#REF!</v>
      </c>
      <c r="M28" s="526" t="e">
        <f>#REF!</f>
        <v>#REF!</v>
      </c>
    </row>
    <row r="29" spans="1:13" ht="15">
      <c r="A29" s="503" t="s">
        <v>279</v>
      </c>
      <c r="B29" s="504"/>
      <c r="C29" s="504"/>
      <c r="D29" s="504"/>
      <c r="E29" s="504"/>
      <c r="F29" s="503">
        <v>1</v>
      </c>
      <c r="G29" s="505" t="e">
        <f>LEFT(#REF!,6)</f>
        <v>#REF!</v>
      </c>
      <c r="H29" s="505" t="e">
        <f>LEFT(#REF!,6)</f>
        <v>#REF!</v>
      </c>
      <c r="I29" s="505" t="e">
        <f>LEFT(#REF!,6)</f>
        <v>#REF!</v>
      </c>
      <c r="J29" s="503" t="s">
        <v>282</v>
      </c>
      <c r="K29" s="506" t="e">
        <f>#REF!</f>
        <v>#REF!</v>
      </c>
      <c r="L29" s="506" t="e">
        <f>#REF!</f>
        <v>#REF!</v>
      </c>
      <c r="M29" s="526" t="e">
        <f>#REF!</f>
        <v>#REF!</v>
      </c>
    </row>
    <row r="30" spans="1:13" ht="15">
      <c r="A30" s="503" t="s">
        <v>279</v>
      </c>
      <c r="B30" s="504"/>
      <c r="C30" s="504"/>
      <c r="D30" s="504"/>
      <c r="E30" s="504"/>
      <c r="F30" s="503">
        <v>1</v>
      </c>
      <c r="G30" s="505" t="e">
        <f>LEFT(#REF!,6)</f>
        <v>#REF!</v>
      </c>
      <c r="H30" s="505" t="e">
        <f>LEFT(#REF!,6)</f>
        <v>#REF!</v>
      </c>
      <c r="I30" s="505" t="e">
        <f>LEFT(#REF!,6)</f>
        <v>#REF!</v>
      </c>
      <c r="J30" s="503" t="s">
        <v>282</v>
      </c>
      <c r="K30" s="506" t="e">
        <f>#REF!</f>
        <v>#REF!</v>
      </c>
      <c r="L30" s="506" t="e">
        <f>#REF!</f>
        <v>#REF!</v>
      </c>
      <c r="M30" s="526" t="e">
        <f>#REF!</f>
        <v>#REF!</v>
      </c>
    </row>
    <row r="31" spans="1:13" ht="15">
      <c r="A31" s="503"/>
      <c r="B31" s="504"/>
      <c r="C31" s="504"/>
      <c r="D31" s="504"/>
      <c r="E31" s="504"/>
      <c r="F31" s="503"/>
      <c r="G31" s="505"/>
      <c r="H31" s="505"/>
      <c r="I31" s="505"/>
      <c r="J31" s="503"/>
    </row>
    <row r="32" spans="1:13">
      <c r="K32" t="e">
        <f>SUM(K2:K31)</f>
        <v>#REF!</v>
      </c>
      <c r="L32" t="e">
        <f>SUM(L2:L31)</f>
        <v>#REF!</v>
      </c>
    </row>
  </sheetData>
  <pageMargins left="0.7" right="0.7" top="0.75" bottom="0.75" header="0.3" footer="0.3"/>
  <pageSetup scale="61" orientation="landscape" r:id="rId1"/>
  <customProperties>
    <customPr name="xxe4aP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AH56"/>
  <sheetViews>
    <sheetView zoomScale="85" zoomScaleNormal="85" workbookViewId="0">
      <selection activeCell="U36" sqref="U36"/>
    </sheetView>
  </sheetViews>
  <sheetFormatPr defaultRowHeight="12.75"/>
  <cols>
    <col min="1" max="1" width="18.7109375" bestFit="1" customWidth="1"/>
    <col min="2" max="14" width="9.85546875" customWidth="1"/>
    <col min="16" max="16" width="2.42578125" customWidth="1"/>
    <col min="17" max="23" width="10.7109375" customWidth="1"/>
    <col min="24" max="24" width="5.7109375" customWidth="1"/>
  </cols>
  <sheetData>
    <row r="1" spans="1:34">
      <c r="C1" s="684" t="s">
        <v>191</v>
      </c>
      <c r="D1" s="684"/>
      <c r="E1" s="684"/>
      <c r="F1" s="684"/>
      <c r="G1" s="684"/>
      <c r="H1" s="684"/>
      <c r="I1" s="684"/>
      <c r="J1" s="684"/>
      <c r="K1" s="684"/>
      <c r="P1" s="686"/>
      <c r="Q1" s="686"/>
      <c r="R1" s="686"/>
      <c r="S1" s="686"/>
      <c r="T1" s="686"/>
      <c r="U1" s="686"/>
      <c r="V1" s="686"/>
      <c r="W1" s="686"/>
      <c r="X1" s="686"/>
    </row>
    <row r="2" spans="1:34" ht="23.25">
      <c r="C2" s="685" t="s">
        <v>299</v>
      </c>
      <c r="D2" s="685"/>
      <c r="E2" s="685"/>
      <c r="F2" s="685"/>
      <c r="G2" s="685"/>
      <c r="H2" s="685"/>
      <c r="I2" s="685"/>
      <c r="J2" s="685"/>
      <c r="K2" s="685"/>
      <c r="P2" s="684"/>
      <c r="Q2" s="684"/>
      <c r="R2" s="684"/>
      <c r="S2" s="684"/>
      <c r="T2" s="684"/>
      <c r="U2" s="684"/>
      <c r="V2" s="684"/>
      <c r="W2" s="684"/>
      <c r="X2" s="684"/>
      <c r="Z2" s="684"/>
      <c r="AA2" s="684"/>
      <c r="AB2" s="684"/>
      <c r="AC2" s="684"/>
      <c r="AD2" s="684"/>
      <c r="AE2" s="684"/>
      <c r="AF2" s="684"/>
      <c r="AG2" s="684"/>
      <c r="AH2" s="684"/>
    </row>
    <row r="3" spans="1:34" ht="23.25">
      <c r="C3" s="684" t="s">
        <v>193</v>
      </c>
      <c r="D3" s="684"/>
      <c r="E3" s="684"/>
      <c r="F3" s="684"/>
      <c r="G3" s="684"/>
      <c r="H3" s="684"/>
      <c r="I3" s="684"/>
      <c r="J3" s="684"/>
      <c r="K3" s="684"/>
      <c r="P3" s="685"/>
      <c r="Q3" s="685"/>
      <c r="R3" s="685"/>
      <c r="S3" s="685"/>
      <c r="T3" s="685"/>
      <c r="U3" s="685"/>
      <c r="V3" s="685"/>
      <c r="W3" s="685"/>
      <c r="X3" s="685"/>
      <c r="Z3" s="687"/>
      <c r="AA3" s="687"/>
      <c r="AB3" s="687"/>
      <c r="AC3" s="687"/>
      <c r="AD3" s="687"/>
      <c r="AE3" s="687"/>
      <c r="AF3" s="687"/>
      <c r="AG3" s="687"/>
      <c r="AH3" s="687"/>
    </row>
    <row r="4" spans="1:34">
      <c r="A4" t="s">
        <v>192</v>
      </c>
      <c r="B4" s="265">
        <v>41548</v>
      </c>
      <c r="C4" s="265">
        <f>EOMONTH(B4,1)</f>
        <v>41608</v>
      </c>
      <c r="D4" s="265">
        <f t="shared" ref="D4:N4" si="0">EOMONTH(C4,1)</f>
        <v>41639</v>
      </c>
      <c r="E4" s="265">
        <f t="shared" si="0"/>
        <v>41670</v>
      </c>
      <c r="F4" s="265">
        <f t="shared" si="0"/>
        <v>41698</v>
      </c>
      <c r="G4" s="265">
        <f t="shared" si="0"/>
        <v>41729</v>
      </c>
      <c r="H4" s="265">
        <f t="shared" si="0"/>
        <v>41759</v>
      </c>
      <c r="I4" s="265">
        <f t="shared" si="0"/>
        <v>41790</v>
      </c>
      <c r="J4" s="265">
        <f t="shared" si="0"/>
        <v>41820</v>
      </c>
      <c r="K4" s="265">
        <f t="shared" si="0"/>
        <v>41851</v>
      </c>
      <c r="L4" s="265">
        <f t="shared" si="0"/>
        <v>41882</v>
      </c>
      <c r="M4" s="265">
        <f t="shared" si="0"/>
        <v>41912</v>
      </c>
      <c r="N4" s="265">
        <f t="shared" si="0"/>
        <v>41943</v>
      </c>
      <c r="P4" s="684"/>
      <c r="Q4" s="684"/>
      <c r="R4" s="684"/>
      <c r="S4" s="684"/>
      <c r="T4" s="684"/>
      <c r="U4" s="684"/>
      <c r="V4" s="684"/>
      <c r="W4" s="684"/>
      <c r="X4" s="684"/>
      <c r="Z4" s="684"/>
      <c r="AA4" s="684"/>
      <c r="AB4" s="684"/>
      <c r="AC4" s="684"/>
      <c r="AD4" s="684"/>
      <c r="AE4" s="684"/>
      <c r="AF4" s="684"/>
      <c r="AG4" s="684"/>
    </row>
    <row r="6" spans="1:34">
      <c r="A6" s="266" t="s">
        <v>298</v>
      </c>
    </row>
    <row r="7" spans="1:34">
      <c r="A7" s="267"/>
      <c r="B7" s="268" t="str">
        <f t="shared" ref="B7:N7" si="1">TEXT(B4,"mmmmm-YY")</f>
        <v>O-13</v>
      </c>
      <c r="C7" s="268" t="str">
        <f t="shared" si="1"/>
        <v>N-13</v>
      </c>
      <c r="D7" s="541" t="str">
        <f t="shared" si="1"/>
        <v>D-13</v>
      </c>
      <c r="E7" s="268" t="str">
        <f t="shared" si="1"/>
        <v>J-14</v>
      </c>
      <c r="F7" s="268" t="str">
        <f t="shared" si="1"/>
        <v>F-14</v>
      </c>
      <c r="G7" s="541" t="str">
        <f t="shared" si="1"/>
        <v>M-14</v>
      </c>
      <c r="H7" s="541" t="str">
        <f t="shared" si="1"/>
        <v>A-14</v>
      </c>
      <c r="I7" s="541" t="str">
        <f t="shared" si="1"/>
        <v>M-14</v>
      </c>
      <c r="J7" s="541" t="str">
        <f t="shared" si="1"/>
        <v>J-14</v>
      </c>
      <c r="K7" s="541" t="str">
        <f t="shared" si="1"/>
        <v>J-14</v>
      </c>
      <c r="L7" s="541" t="str">
        <f t="shared" si="1"/>
        <v>A-14</v>
      </c>
      <c r="M7" s="541" t="str">
        <f t="shared" si="1"/>
        <v>S-14</v>
      </c>
      <c r="N7" s="541" t="str">
        <f t="shared" si="1"/>
        <v>O-14</v>
      </c>
    </row>
    <row r="8" spans="1:34">
      <c r="A8" s="540" t="s">
        <v>301</v>
      </c>
      <c r="B8" s="536">
        <f>0.33052*10</f>
        <v>3.3051999999999997</v>
      </c>
      <c r="C8" s="536">
        <v>3.6246661221178802</v>
      </c>
      <c r="D8" s="536">
        <v>3.6234780920677898</v>
      </c>
      <c r="E8" s="536">
        <f>-Jan!$H$53/Jan!$G$46*10</f>
        <v>2.1817000000000006</v>
      </c>
      <c r="F8" s="536">
        <f>-Feb!$H$53/Feb!$G$46*10</f>
        <v>1.4844931785530684</v>
      </c>
      <c r="G8" s="536">
        <f>-Mar!$H$53/Mar!$G$46*10</f>
        <v>1.6408659872789688</v>
      </c>
      <c r="H8" s="536">
        <f>-Mar!$H$53/Mar!$G$46*10</f>
        <v>1.6408659872789688</v>
      </c>
      <c r="I8" s="536">
        <f>-Mar!$H$53/Mar!$G$46*10</f>
        <v>1.6408659872789688</v>
      </c>
      <c r="J8" s="536">
        <f>-Mar!$H$53/Mar!$G$46*10</f>
        <v>1.6408659872789688</v>
      </c>
      <c r="K8" s="536">
        <f>-Mar!$H$53/Mar!$G$46*10</f>
        <v>1.6408659872789688</v>
      </c>
      <c r="L8" s="536">
        <f>-Mar!$H$53/Mar!$G$46*10</f>
        <v>1.6408659872789688</v>
      </c>
      <c r="M8" s="536">
        <f>-Mar!$H$53/Mar!$G$46*10</f>
        <v>1.6408659872789688</v>
      </c>
      <c r="N8" s="536">
        <f>-Mar!$H$53/Mar!$G$46*10</f>
        <v>1.6408659872789688</v>
      </c>
    </row>
    <row r="9" spans="1:34" s="540" customFormat="1">
      <c r="A9" t="s">
        <v>302</v>
      </c>
      <c r="B9" s="536">
        <f>N9</f>
        <v>3.5167999999999999</v>
      </c>
      <c r="C9" s="536">
        <v>3.8812999999999995</v>
      </c>
      <c r="D9" s="536">
        <v>3.6348000000000003</v>
      </c>
      <c r="E9" s="536">
        <v>3.6143999999999998</v>
      </c>
      <c r="F9" s="536">
        <v>3.6770000000000005</v>
      </c>
      <c r="G9" s="536">
        <v>3.9145000000000003</v>
      </c>
      <c r="H9" s="536">
        <v>3.3395999999999999</v>
      </c>
      <c r="I9" s="536">
        <v>3.3895</v>
      </c>
      <c r="J9" s="536">
        <v>3.3272000000000004</v>
      </c>
      <c r="K9" s="536">
        <v>3.3701999999999996</v>
      </c>
      <c r="L9" s="536">
        <v>3.3369</v>
      </c>
      <c r="M9" s="536">
        <v>3.3742000000000001</v>
      </c>
      <c r="N9" s="536">
        <v>3.5167999999999999</v>
      </c>
    </row>
    <row r="10" spans="1:34">
      <c r="A10" t="s">
        <v>300</v>
      </c>
      <c r="B10" s="536">
        <f>0.278008560641104*10</f>
        <v>2.7800856064110402</v>
      </c>
      <c r="C10" s="536">
        <v>3.4540440792083</v>
      </c>
      <c r="D10" s="536">
        <v>3.1876161555634601</v>
      </c>
      <c r="E10" s="536">
        <f>Jan!$K$14/Jan!$G$46*10</f>
        <v>1.9109764729943237</v>
      </c>
      <c r="F10" s="536">
        <f>Feb!$K$14/Feb!$G$46*10</f>
        <v>2.0607503649396444</v>
      </c>
      <c r="G10" s="536">
        <f>Mar!$K$14/Mar!$G$46*10</f>
        <v>1.7605439757226338</v>
      </c>
      <c r="H10" s="536"/>
      <c r="I10" s="536"/>
      <c r="J10" s="536"/>
      <c r="K10" s="536"/>
      <c r="L10" s="536"/>
      <c r="M10" s="536"/>
      <c r="N10" s="536"/>
    </row>
    <row r="11" spans="1:34">
      <c r="A11" s="540" t="s">
        <v>301</v>
      </c>
      <c r="B11" s="536">
        <f>0.0865086772229614*10</f>
        <v>0.86508677222961405</v>
      </c>
      <c r="C11" s="536">
        <v>0.98017103319810395</v>
      </c>
      <c r="D11" s="536">
        <v>0.99766447491792298</v>
      </c>
      <c r="E11" s="536">
        <f>(-Jan!$I$53/Jan!$G$33)*10</f>
        <v>0.92847436019644525</v>
      </c>
      <c r="F11" s="536">
        <f>-Feb!$I$53/Feb!$G$33*10</f>
        <v>0.98246968830434289</v>
      </c>
      <c r="G11" s="536">
        <f>-Mar!$I$53/Mar!$G$33*10</f>
        <v>0.90898238183410318</v>
      </c>
      <c r="H11" s="536"/>
      <c r="I11" s="536"/>
      <c r="J11" s="536"/>
      <c r="K11" s="536"/>
      <c r="L11" s="536"/>
      <c r="M11" s="536"/>
      <c r="N11" s="536"/>
    </row>
    <row r="12" spans="1:34" s="540" customFormat="1">
      <c r="A12" s="540" t="s">
        <v>302</v>
      </c>
      <c r="B12" s="536">
        <f>N12</f>
        <v>1.4529330378220591</v>
      </c>
      <c r="C12" s="536">
        <v>0.79431349782690841</v>
      </c>
      <c r="D12" s="536">
        <v>0.60296290558547094</v>
      </c>
      <c r="E12" s="536">
        <v>0.60895264158951812</v>
      </c>
      <c r="F12" s="536">
        <v>0.60656225946654285</v>
      </c>
      <c r="G12" s="536">
        <v>0.87532504655494603</v>
      </c>
      <c r="H12" s="536">
        <v>1.1232232940560019</v>
      </c>
      <c r="I12" s="536">
        <v>2.0020366178222502</v>
      </c>
      <c r="J12" s="536">
        <v>2.9050208439006555</v>
      </c>
      <c r="K12" s="536">
        <v>3.9176133126746118</v>
      </c>
      <c r="L12" s="536">
        <v>3.8752231593583324</v>
      </c>
      <c r="M12" s="536">
        <v>3.4387986026867114</v>
      </c>
      <c r="N12" s="536">
        <v>1.4529330378220591</v>
      </c>
    </row>
    <row r="13" spans="1:34">
      <c r="A13" s="540" t="s">
        <v>300</v>
      </c>
      <c r="B13" s="536">
        <f>0.102504522593617*10</f>
        <v>1.02504522593617</v>
      </c>
      <c r="C13" s="536">
        <v>0.65827334268652904</v>
      </c>
      <c r="D13" s="536">
        <v>0.51365176254981604</v>
      </c>
      <c r="E13" s="536">
        <f>(Jan!$I$14/Jan!$G$33)*10</f>
        <v>0.50045120250443931</v>
      </c>
      <c r="F13" s="536">
        <f>(Feb!$I$14/Feb!$G$33)*10</f>
        <v>0.47829937322915161</v>
      </c>
      <c r="G13" s="536">
        <f>(Mar!$I$14/Mar!$G$33)*10</f>
        <v>0.60308315586841887</v>
      </c>
      <c r="H13" s="536"/>
      <c r="I13" s="536"/>
      <c r="J13" s="536"/>
      <c r="K13" s="536"/>
      <c r="L13" s="536"/>
      <c r="M13" s="536"/>
      <c r="N13" s="536"/>
    </row>
    <row r="15" spans="1:34">
      <c r="A15" s="266" t="s">
        <v>297</v>
      </c>
    </row>
    <row r="16" spans="1:34">
      <c r="A16" s="267"/>
      <c r="B16" s="538" t="str">
        <f>TEXT(B4,"mmmmm-YY")</f>
        <v>O-13</v>
      </c>
      <c r="C16" s="539" t="str">
        <f t="shared" ref="C16:N16" si="2">TEXT(C4,"mmmmm-YY")</f>
        <v>N-13</v>
      </c>
      <c r="D16" s="268" t="str">
        <f t="shared" si="2"/>
        <v>D-13</v>
      </c>
      <c r="E16" s="268" t="str">
        <f t="shared" si="2"/>
        <v>J-14</v>
      </c>
      <c r="F16" s="268" t="str">
        <f t="shared" si="2"/>
        <v>F-14</v>
      </c>
      <c r="G16" s="268" t="str">
        <f t="shared" si="2"/>
        <v>M-14</v>
      </c>
      <c r="H16" s="268" t="str">
        <f t="shared" si="2"/>
        <v>A-14</v>
      </c>
      <c r="I16" s="268" t="str">
        <f t="shared" si="2"/>
        <v>M-14</v>
      </c>
      <c r="J16" s="268" t="str">
        <f t="shared" si="2"/>
        <v>J-14</v>
      </c>
      <c r="K16" s="268" t="str">
        <f t="shared" si="2"/>
        <v>J-14</v>
      </c>
      <c r="L16" s="268" t="str">
        <f t="shared" si="2"/>
        <v>A-14</v>
      </c>
      <c r="M16" s="268" t="str">
        <f t="shared" si="2"/>
        <v>S-14</v>
      </c>
      <c r="N16" s="268" t="str">
        <f t="shared" si="2"/>
        <v>O-14</v>
      </c>
    </row>
    <row r="17" spans="1:20">
      <c r="A17" s="540" t="s">
        <v>301</v>
      </c>
      <c r="B17" s="536">
        <v>3.7138086914005299</v>
      </c>
      <c r="C17" s="536">
        <v>3.71000032320786</v>
      </c>
      <c r="D17" s="536">
        <v>3.7124000000000001</v>
      </c>
      <c r="E17" s="536">
        <f>-Jan!$J$53/Jan!$K$44*10</f>
        <v>2.1724999999999999</v>
      </c>
      <c r="F17" s="536">
        <f>-Feb!$J$53/Feb!$K$44*10</f>
        <v>1.4722145172786092</v>
      </c>
      <c r="G17" s="536">
        <f>-Mar!$J$53/Mar!$K$44*10</f>
        <v>1.6266661960612308</v>
      </c>
      <c r="H17" s="536">
        <f>-Apr!$J$53/Apr!$K$44*10</f>
        <v>1.6235999999999997</v>
      </c>
      <c r="I17" s="536">
        <f>-May!$J$53/May!$K$44*10</f>
        <v>1.6236000000000004</v>
      </c>
      <c r="J17" s="536">
        <f>-Jun!$J$53/Jun!$K$44*10</f>
        <v>1.6236000000000002</v>
      </c>
      <c r="K17" s="536">
        <f>-Jul!$J$53/Jul!$K$44*10</f>
        <v>2.3895</v>
      </c>
      <c r="L17" s="536">
        <f>-Aug!$J$53/Aug!$K$44*10</f>
        <v>2.3895000000000004</v>
      </c>
      <c r="M17" s="536">
        <f>-Sep!$J$53/Sep!$K$44*10</f>
        <v>2.3894999999999995</v>
      </c>
      <c r="N17" s="536">
        <f>-Oct!$J$53/Oct!$K$44*10</f>
        <v>2.3895</v>
      </c>
    </row>
    <row r="18" spans="1:20" s="540" customFormat="1">
      <c r="A18" s="540" t="s">
        <v>302</v>
      </c>
      <c r="B18" s="536">
        <v>2.9957000000000003</v>
      </c>
      <c r="C18" s="536">
        <v>3.9822000000000002</v>
      </c>
      <c r="D18" s="536">
        <v>3.8203999999999998</v>
      </c>
      <c r="E18" s="536">
        <v>3.7982</v>
      </c>
      <c r="F18" s="536">
        <v>3.8423000000000003</v>
      </c>
      <c r="G18" s="536">
        <v>4.0292000000000003</v>
      </c>
      <c r="H18" s="536">
        <v>3.4569000000000001</v>
      </c>
      <c r="I18" s="536">
        <v>3.5224000000000002</v>
      </c>
      <c r="J18" s="536">
        <v>3.4592000000000001</v>
      </c>
      <c r="K18" s="536">
        <v>3.4888000000000003</v>
      </c>
      <c r="L18" s="536">
        <v>3.4600999999999997</v>
      </c>
      <c r="M18" s="536">
        <v>3.4959000000000002</v>
      </c>
      <c r="N18" s="536">
        <v>3.6281000000000003</v>
      </c>
    </row>
    <row r="19" spans="1:20">
      <c r="A19" s="540" t="s">
        <v>300</v>
      </c>
      <c r="B19" s="536">
        <v>2.76346512007138</v>
      </c>
      <c r="C19" s="536">
        <v>3.4542924833702302</v>
      </c>
      <c r="D19" s="536">
        <v>3.1868860970503601</v>
      </c>
      <c r="E19" s="536">
        <f>Jan!$L$14/Jan!$K$43*10</f>
        <v>1.9124975010616809</v>
      </c>
      <c r="F19" s="536">
        <f>Feb!$L$14/Feb!$K$43*10</f>
        <v>2.0592958211022916</v>
      </c>
      <c r="G19" s="536">
        <f>Mar!$L$14/Mar!$K$43*10</f>
        <v>1.7605908567523985</v>
      </c>
      <c r="H19" s="536">
        <f>Apr!$L$14/Apr!$K$43*10</f>
        <v>0.75256414460221688</v>
      </c>
      <c r="I19" s="536">
        <f>May!$L$14/May!$K$43*10</f>
        <v>-0.41598966812152832</v>
      </c>
      <c r="J19" s="536">
        <f>Jun!$L$14/Jun!$K$43*10</f>
        <v>-0.20363394226163323</v>
      </c>
      <c r="K19" s="536">
        <f>Jul!$L$14/Jul!$K$43*10</f>
        <v>-3.2934037840054495</v>
      </c>
      <c r="L19" s="536">
        <f>Aug!$L$14/Aug!$K$43*10</f>
        <v>-3.0441734094790673</v>
      </c>
      <c r="M19" s="536">
        <f>Sep!$L$14/Sep!$K$43*10</f>
        <v>-2.4130847903889947</v>
      </c>
      <c r="N19" s="536">
        <f>Oct!$L$14/Oct!$K$43*10</f>
        <v>8.7637639244904142E-2</v>
      </c>
    </row>
    <row r="20" spans="1:20">
      <c r="A20" s="540" t="s">
        <v>301</v>
      </c>
      <c r="B20" s="536">
        <v>1.0742522128918399</v>
      </c>
      <c r="C20" s="536">
        <v>1.0741263842636799</v>
      </c>
      <c r="D20" s="536">
        <v>1.0744</v>
      </c>
      <c r="E20" s="536">
        <f>-Jan!$K$53/Jan!$K$29*10</f>
        <v>1.0496999999999999</v>
      </c>
      <c r="F20" s="536">
        <f>-Feb!$K$53/Feb!$K$29*10</f>
        <v>1.1157640072436985</v>
      </c>
      <c r="G20" s="536">
        <f>-Mar!$K$53/Mar!$K$29*10</f>
        <v>1.0518903962583694</v>
      </c>
      <c r="H20" s="536">
        <f>-Apr!$K$53/Apr!$K$29*10</f>
        <v>1.0497000000000001</v>
      </c>
      <c r="I20" s="536">
        <f>-May!$K$53/May!$K$29*10</f>
        <v>1.0496999999999999</v>
      </c>
      <c r="J20" s="536">
        <f>-Jun!$K$53/Jun!$K$29*10</f>
        <v>1.0497000000000001</v>
      </c>
      <c r="K20" s="536">
        <f>-Jul!$K$53/Jul!$K$29*10</f>
        <v>1.1330999999999998</v>
      </c>
      <c r="L20" s="536">
        <f>-Aug!$K$53/Aug!$K$29*10</f>
        <v>1.1330999999999998</v>
      </c>
      <c r="M20" s="536">
        <f>-Sep!$K$53/Sep!$K$29*10</f>
        <v>1.1331</v>
      </c>
      <c r="N20" s="536">
        <f>-Oct!$K$53/Oct!$K$29*10</f>
        <v>1.1330999999999998</v>
      </c>
    </row>
    <row r="21" spans="1:20" s="540" customFormat="1">
      <c r="A21" s="540" t="s">
        <v>302</v>
      </c>
      <c r="B21" s="536">
        <v>1.2942886206113142</v>
      </c>
      <c r="C21" s="536">
        <v>0.74518730633512642</v>
      </c>
      <c r="D21" s="536">
        <v>0.58083452630008092</v>
      </c>
      <c r="E21" s="536">
        <v>0.60843027300764696</v>
      </c>
      <c r="F21" s="536">
        <v>0.68505702536755764</v>
      </c>
      <c r="G21" s="536">
        <v>0.81792088296424315</v>
      </c>
      <c r="H21" s="536">
        <v>1.0438035301560928</v>
      </c>
      <c r="I21" s="536">
        <v>1.8765356717896455</v>
      </c>
      <c r="J21" s="536">
        <v>2.5204558648798452</v>
      </c>
      <c r="K21" s="536">
        <v>3.0722913458699082</v>
      </c>
      <c r="L21" s="536">
        <v>3.0936566161461703</v>
      </c>
      <c r="M21" s="536">
        <v>2.484887676291045</v>
      </c>
      <c r="N21" s="536">
        <v>1.1747692347018237</v>
      </c>
    </row>
    <row r="22" spans="1:20">
      <c r="A22" s="540" t="s">
        <v>300</v>
      </c>
      <c r="B22" s="536">
        <v>1.2115295970631399</v>
      </c>
      <c r="C22" s="536">
        <v>0.708429666562987</v>
      </c>
      <c r="D22" s="536">
        <v>0.54697005486642902</v>
      </c>
      <c r="E22" s="536">
        <f>Jan!$J$14/Jan!$K$29*10</f>
        <v>0.60168243200814919</v>
      </c>
      <c r="F22" s="536">
        <f>Feb!$J$14/Feb!$K$29*10</f>
        <v>0.51321777211373421</v>
      </c>
      <c r="G22" s="536">
        <f>Mar!$J$14/Mar!$K$29*10</f>
        <v>0.67676667496835818</v>
      </c>
      <c r="H22" s="536">
        <f>Apr!$J$14/Apr!$K$29*10</f>
        <v>0.93274455310206039</v>
      </c>
      <c r="I22" s="536">
        <f>May!$J$14/May!$K$29*10</f>
        <v>2.4703962205892962</v>
      </c>
      <c r="J22" s="536">
        <f>Jun!$J$14/Jun!$K$29*10</f>
        <v>2.333215471348093</v>
      </c>
      <c r="K22" s="536">
        <f>Jul!$J$14/Jul!$K$29*10</f>
        <v>3.2134641912453965</v>
      </c>
      <c r="L22" s="536">
        <f>Aug!$J$14/Aug!$K$29*10</f>
        <v>2.6987053733376323</v>
      </c>
      <c r="M22" s="536">
        <f>Sep!$J$14/Sep!$K$29*10</f>
        <v>2.5919797704657084</v>
      </c>
      <c r="N22" s="536">
        <f>Oct!$J$14/Oct!$K$29*10</f>
        <v>0.98481662794712244</v>
      </c>
    </row>
    <row r="23" spans="1:20"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S23" s="540"/>
      <c r="T23" s="540"/>
    </row>
    <row r="24" spans="1:20">
      <c r="S24" s="540"/>
      <c r="T24" s="540"/>
    </row>
    <row r="25" spans="1:20">
      <c r="S25" s="540"/>
      <c r="T25" s="540"/>
    </row>
    <row r="26" spans="1:20">
      <c r="R26" s="540"/>
      <c r="S26" s="540"/>
      <c r="T26" s="540"/>
    </row>
    <row r="27" spans="1:20">
      <c r="R27" s="540"/>
      <c r="S27" s="540"/>
      <c r="T27" s="540"/>
    </row>
    <row r="28" spans="1:20">
      <c r="R28" s="540"/>
      <c r="S28" s="540"/>
      <c r="T28" s="540"/>
    </row>
    <row r="29" spans="1:20">
      <c r="R29" s="540"/>
      <c r="S29" s="540"/>
      <c r="T29" s="540"/>
    </row>
    <row r="30" spans="1:20">
      <c r="R30" s="540"/>
      <c r="S30" s="540"/>
      <c r="T30" s="540"/>
    </row>
    <row r="31" spans="1:20">
      <c r="R31" s="540"/>
      <c r="S31" s="540"/>
      <c r="T31" s="540"/>
    </row>
    <row r="32" spans="1:20">
      <c r="R32" s="540"/>
      <c r="S32" s="540"/>
      <c r="T32" s="540"/>
    </row>
    <row r="33" spans="18:30">
      <c r="R33" s="540"/>
      <c r="S33" s="540"/>
      <c r="T33" s="540"/>
    </row>
    <row r="34" spans="18:30">
      <c r="R34" s="540"/>
      <c r="S34" s="540"/>
      <c r="T34" s="540"/>
    </row>
    <row r="35" spans="18:30">
      <c r="R35" s="540"/>
      <c r="S35" s="540"/>
      <c r="T35" s="540"/>
      <c r="U35" s="540"/>
      <c r="V35" s="540"/>
      <c r="W35" s="540"/>
      <c r="X35" s="540"/>
      <c r="Y35" s="540"/>
      <c r="Z35" s="540"/>
      <c r="AA35" s="540"/>
      <c r="AB35" s="540"/>
      <c r="AC35" s="540"/>
      <c r="AD35" s="540"/>
    </row>
    <row r="36" spans="18:30">
      <c r="R36" s="540"/>
      <c r="S36" s="540"/>
      <c r="T36" s="540"/>
      <c r="U36" s="540"/>
      <c r="V36" s="540"/>
      <c r="W36" s="540"/>
      <c r="X36" s="540"/>
      <c r="Y36" s="540"/>
      <c r="Z36" s="540"/>
      <c r="AA36" s="540"/>
      <c r="AB36" s="540"/>
      <c r="AC36" s="540"/>
      <c r="AD36" s="540"/>
    </row>
    <row r="37" spans="18:30">
      <c r="R37" s="540"/>
      <c r="S37" s="540"/>
      <c r="T37" s="540"/>
      <c r="U37" s="540"/>
      <c r="V37" s="540"/>
      <c r="W37" s="540"/>
      <c r="X37" s="540"/>
      <c r="Y37" s="540"/>
      <c r="Z37" s="540"/>
      <c r="AA37" s="540"/>
      <c r="AB37" s="540"/>
      <c r="AC37" s="540"/>
      <c r="AD37" s="540"/>
    </row>
    <row r="38" spans="18:30"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0"/>
      <c r="AC38" s="540"/>
      <c r="AD38" s="540"/>
    </row>
    <row r="39" spans="18:30"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0"/>
      <c r="AC39" s="540"/>
      <c r="AD39" s="540"/>
    </row>
    <row r="40" spans="18:30">
      <c r="R40" s="540"/>
      <c r="S40" s="540"/>
      <c r="T40" s="540"/>
      <c r="U40" s="540"/>
      <c r="V40" s="540"/>
      <c r="W40" s="540"/>
      <c r="X40" s="540"/>
      <c r="Y40" s="540"/>
      <c r="Z40" s="540"/>
      <c r="AA40" s="540"/>
      <c r="AB40" s="540"/>
      <c r="AC40" s="540"/>
      <c r="AD40" s="540"/>
    </row>
    <row r="41" spans="18:30">
      <c r="R41" s="540"/>
      <c r="S41" s="540"/>
      <c r="T41" s="540"/>
      <c r="U41" s="540"/>
      <c r="V41" s="540"/>
      <c r="W41" s="540"/>
      <c r="X41" s="540"/>
      <c r="Y41" s="540"/>
      <c r="Z41" s="540"/>
      <c r="AA41" s="540"/>
      <c r="AB41" s="540"/>
      <c r="AC41" s="540"/>
      <c r="AD41" s="540"/>
    </row>
    <row r="42" spans="18:30">
      <c r="R42" s="540"/>
      <c r="S42" s="540"/>
      <c r="T42" s="540"/>
      <c r="U42" s="540"/>
      <c r="V42" s="540"/>
      <c r="W42" s="540"/>
      <c r="X42" s="540"/>
      <c r="Y42" s="540"/>
      <c r="Z42" s="540"/>
      <c r="AA42" s="540"/>
      <c r="AB42" s="540"/>
      <c r="AC42" s="540"/>
      <c r="AD42" s="540"/>
    </row>
    <row r="43" spans="18:30" ht="15">
      <c r="S43" s="537"/>
    </row>
    <row r="44" spans="18:30" ht="15">
      <c r="S44" s="537"/>
    </row>
    <row r="45" spans="18:30" ht="15">
      <c r="S45" s="537"/>
    </row>
    <row r="46" spans="18:30" ht="15">
      <c r="S46" s="537"/>
    </row>
    <row r="47" spans="18:30" ht="15">
      <c r="S47" s="537"/>
    </row>
    <row r="48" spans="18:30" ht="15">
      <c r="S48" s="537"/>
    </row>
    <row r="56" ht="9.75" customHeight="1"/>
  </sheetData>
  <mergeCells count="10">
    <mergeCell ref="P4:X4"/>
    <mergeCell ref="Z4:AG4"/>
    <mergeCell ref="C1:K1"/>
    <mergeCell ref="P1:X1"/>
    <mergeCell ref="C2:K2"/>
    <mergeCell ref="P2:X2"/>
    <mergeCell ref="Z2:AH2"/>
    <mergeCell ref="C3:K3"/>
    <mergeCell ref="P3:X3"/>
    <mergeCell ref="Z3:AH3"/>
  </mergeCells>
  <printOptions horizontalCentered="1"/>
  <pageMargins left="0.7" right="0.7" top="0.75" bottom="0.5" header="0.3" footer="0.3"/>
  <pageSetup scale="61" orientation="landscape" r:id="rId1"/>
  <headerFooter>
    <oddFooter>&amp;L&amp;F - &amp;A</oddFooter>
  </headerFooter>
  <customProperties>
    <customPr name="xxe4aPID" r:id="rId2"/>
  </customProperties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0">
    <tabColor rgb="FF92D050"/>
    <pageSetUpPr fitToPage="1"/>
  </sheetPr>
  <dimension ref="A1:P118"/>
  <sheetViews>
    <sheetView showGridLines="0" view="pageBreakPreview" topLeftCell="A34" zoomScale="80" zoomScaleNormal="100" zoomScaleSheetLayoutView="80" workbookViewId="0">
      <selection activeCell="G51" sqref="G51:J55"/>
    </sheetView>
  </sheetViews>
  <sheetFormatPr defaultColWidth="9.140625" defaultRowHeight="15"/>
  <cols>
    <col min="1" max="1" width="13.140625" style="383" customWidth="1"/>
    <col min="2" max="2" width="9.28515625" style="383" customWidth="1"/>
    <col min="3" max="3" width="17.85546875" style="383" customWidth="1"/>
    <col min="4" max="4" width="18.42578125" style="383" customWidth="1"/>
    <col min="5" max="5" width="20.140625" style="319" bestFit="1" customWidth="1"/>
    <col min="6" max="6" width="16.140625" style="383" customWidth="1"/>
    <col min="7" max="7" width="34.5703125" style="383" bestFit="1" customWidth="1"/>
    <col min="8" max="8" width="16.85546875" style="383" customWidth="1"/>
    <col min="9" max="9" width="18.28515625" style="383" bestFit="1" customWidth="1"/>
    <col min="10" max="10" width="18.28515625" style="383" customWidth="1"/>
    <col min="11" max="11" width="3.42578125" style="383" customWidth="1"/>
    <col min="12" max="16384" width="9.140625" style="383"/>
  </cols>
  <sheetData>
    <row r="1" spans="1:10" ht="15.75">
      <c r="A1" s="51" t="s">
        <v>13</v>
      </c>
    </row>
    <row r="2" spans="1:10" ht="15.75">
      <c r="A2" s="51" t="s">
        <v>46</v>
      </c>
    </row>
    <row r="3" spans="1:10" ht="15.75">
      <c r="A3" s="51" t="s">
        <v>170</v>
      </c>
    </row>
    <row r="4" spans="1:10" ht="15.75">
      <c r="A4" s="51" t="s">
        <v>171</v>
      </c>
    </row>
    <row r="7" spans="1:10" s="384" customFormat="1" ht="16.5" thickBot="1">
      <c r="D7" s="142" t="s">
        <v>223</v>
      </c>
      <c r="E7" s="328">
        <f>'ID Holdback 191015'!C101</f>
        <v>-1565571.2499999998</v>
      </c>
    </row>
    <row r="8" spans="1:10" ht="16.5" thickTop="1" thickBot="1"/>
    <row r="9" spans="1:10" ht="15.75">
      <c r="A9" s="73" t="s">
        <v>142</v>
      </c>
      <c r="B9" s="74"/>
      <c r="C9" s="75"/>
      <c r="D9" s="76"/>
      <c r="E9" s="320"/>
      <c r="G9" s="16"/>
      <c r="H9" s="5"/>
      <c r="I9" s="56"/>
      <c r="J9" s="56"/>
    </row>
    <row r="10" spans="1:10" ht="15.75">
      <c r="A10" s="219">
        <v>41578</v>
      </c>
      <c r="B10" s="71"/>
      <c r="C10" s="16"/>
      <c r="D10" s="72" t="s">
        <v>23</v>
      </c>
      <c r="E10" s="321" t="s">
        <v>21</v>
      </c>
      <c r="G10" s="5"/>
      <c r="H10" s="5"/>
      <c r="I10" s="8"/>
      <c r="J10" s="10"/>
    </row>
    <row r="11" spans="1:10" ht="16.5" thickBot="1">
      <c r="A11" s="14"/>
      <c r="B11" s="18"/>
      <c r="C11" s="131" t="s">
        <v>21</v>
      </c>
      <c r="D11" s="131" t="s">
        <v>22</v>
      </c>
      <c r="E11" s="322" t="s">
        <v>23</v>
      </c>
      <c r="F11" s="384"/>
      <c r="G11" s="7"/>
      <c r="H11" s="7"/>
      <c r="I11" s="10"/>
      <c r="J11" s="10"/>
    </row>
    <row r="12" spans="1:10" ht="15.75">
      <c r="A12" s="2" t="s">
        <v>24</v>
      </c>
      <c r="B12" s="17">
        <v>101</v>
      </c>
      <c r="C12" s="251">
        <v>0</v>
      </c>
      <c r="D12" s="388" t="s">
        <v>187</v>
      </c>
      <c r="E12" s="323">
        <v>61399.94</v>
      </c>
      <c r="F12" s="384"/>
      <c r="G12" s="7"/>
      <c r="H12" s="7"/>
      <c r="I12" s="8"/>
      <c r="J12" s="7"/>
    </row>
    <row r="13" spans="1:10" ht="16.5" thickBot="1">
      <c r="A13" s="2" t="s">
        <v>24</v>
      </c>
      <c r="B13" s="17">
        <v>111</v>
      </c>
      <c r="C13" s="251">
        <v>0</v>
      </c>
      <c r="D13" s="388" t="s">
        <v>187</v>
      </c>
      <c r="E13" s="323">
        <v>26738.47</v>
      </c>
      <c r="F13" s="384"/>
      <c r="G13" s="146">
        <f>A10</f>
        <v>41578</v>
      </c>
      <c r="H13" s="147"/>
      <c r="I13" s="147"/>
      <c r="J13" s="147"/>
    </row>
    <row r="14" spans="1:10" ht="16.5" thickBot="1">
      <c r="A14" s="2" t="s">
        <v>24</v>
      </c>
      <c r="B14" s="17">
        <v>112</v>
      </c>
      <c r="C14" s="251"/>
      <c r="D14" s="388" t="s">
        <v>187</v>
      </c>
      <c r="E14" s="323">
        <v>367.45</v>
      </c>
      <c r="F14" s="384"/>
      <c r="G14" s="102" t="s">
        <v>25</v>
      </c>
      <c r="H14" s="148"/>
      <c r="I14" s="149" t="s">
        <v>18</v>
      </c>
      <c r="J14" s="150" t="s">
        <v>19</v>
      </c>
    </row>
    <row r="15" spans="1:10" ht="15.75">
      <c r="A15" s="2" t="s">
        <v>24</v>
      </c>
      <c r="B15" s="17">
        <v>121</v>
      </c>
      <c r="C15" s="251"/>
      <c r="D15" s="220"/>
      <c r="E15" s="323">
        <v>0</v>
      </c>
      <c r="F15" s="384"/>
      <c r="G15" s="151" t="s">
        <v>28</v>
      </c>
      <c r="H15" s="152" t="s">
        <v>77</v>
      </c>
      <c r="I15" s="108"/>
      <c r="J15" s="393">
        <f>IF(E24&gt;0,-E24,0)</f>
        <v>0</v>
      </c>
    </row>
    <row r="16" spans="1:10" ht="15.75">
      <c r="A16" s="2" t="s">
        <v>24</v>
      </c>
      <c r="B16" s="17">
        <v>122</v>
      </c>
      <c r="C16" s="252"/>
      <c r="D16" s="220"/>
      <c r="E16" s="323">
        <v>0</v>
      </c>
      <c r="F16" s="384"/>
      <c r="G16" s="153" t="s">
        <v>29</v>
      </c>
      <c r="H16" s="7" t="s">
        <v>78</v>
      </c>
      <c r="I16" s="394">
        <f>IF(E24&lt;0,-E24,0)</f>
        <v>1267.76</v>
      </c>
      <c r="J16" s="222"/>
    </row>
    <row r="17" spans="1:10" ht="15.75">
      <c r="A17" s="2" t="s">
        <v>24</v>
      </c>
      <c r="B17" s="17">
        <v>131</v>
      </c>
      <c r="C17" s="251">
        <v>0</v>
      </c>
      <c r="D17" s="388" t="s">
        <v>187</v>
      </c>
      <c r="E17" s="323">
        <v>0</v>
      </c>
      <c r="F17" s="384"/>
      <c r="G17" s="153" t="s">
        <v>99</v>
      </c>
      <c r="H17" s="7" t="s">
        <v>228</v>
      </c>
      <c r="I17" s="394">
        <f>IF((E7-E23)&gt;0,E7-E23,0)</f>
        <v>0</v>
      </c>
      <c r="J17" s="394">
        <f>IF((E7-E23)&lt;0,E7-E23,0)</f>
        <v>-88526.800000000047</v>
      </c>
    </row>
    <row r="18" spans="1:10" ht="15.75">
      <c r="A18" s="2" t="s">
        <v>24</v>
      </c>
      <c r="B18" s="17">
        <v>132</v>
      </c>
      <c r="C18" s="252"/>
      <c r="D18" s="388" t="s">
        <v>187</v>
      </c>
      <c r="E18" s="323">
        <v>20.94</v>
      </c>
      <c r="F18" s="384"/>
      <c r="G18" s="153" t="s">
        <v>10</v>
      </c>
      <c r="H18" s="7" t="s">
        <v>58</v>
      </c>
      <c r="I18" s="7"/>
      <c r="J18" s="459"/>
    </row>
    <row r="19" spans="1:10" ht="16.5" thickBot="1">
      <c r="A19" s="2" t="s">
        <v>24</v>
      </c>
      <c r="B19" s="17" t="s">
        <v>61</v>
      </c>
      <c r="C19" s="252"/>
      <c r="D19" s="121"/>
      <c r="E19" s="323">
        <v>0</v>
      </c>
      <c r="F19" s="384"/>
      <c r="G19" s="154" t="s">
        <v>100</v>
      </c>
      <c r="H19" s="147" t="s">
        <v>207</v>
      </c>
      <c r="I19" s="461">
        <f>IF((E25-E7)&gt;0,E25-E7,0)</f>
        <v>87259.040000000037</v>
      </c>
      <c r="J19" s="107">
        <f>IF((E25-E7)&lt;0,E25-E7,0)</f>
        <v>0</v>
      </c>
    </row>
    <row r="20" spans="1:10" ht="15.75">
      <c r="A20" s="2" t="s">
        <v>156</v>
      </c>
      <c r="B20" s="70"/>
      <c r="C20" s="250"/>
      <c r="D20" s="136"/>
      <c r="E20" s="326">
        <v>0</v>
      </c>
      <c r="F20" s="384"/>
      <c r="G20" s="7"/>
      <c r="H20" s="7"/>
      <c r="I20" s="8"/>
      <c r="J20" s="259">
        <f>ROUND(SUM(I15:J19),2)</f>
        <v>0</v>
      </c>
    </row>
    <row r="21" spans="1:10" ht="16.5" thickBot="1">
      <c r="B21" s="6"/>
      <c r="C21" s="253">
        <f>SUM(C12:C20)</f>
        <v>0</v>
      </c>
      <c r="D21" s="155"/>
      <c r="E21" s="325">
        <f>SUM(E12:E20)</f>
        <v>88526.8</v>
      </c>
      <c r="F21" s="384"/>
      <c r="G21" s="7"/>
      <c r="H21" s="7"/>
      <c r="I21" s="7"/>
      <c r="J21" s="7"/>
    </row>
    <row r="22" spans="1:10" ht="16.5" thickTop="1">
      <c r="B22" s="6"/>
      <c r="C22" s="254">
        <v>0</v>
      </c>
      <c r="D22" s="66" t="s">
        <v>161</v>
      </c>
      <c r="E22" s="326">
        <v>0</v>
      </c>
      <c r="F22" s="384"/>
      <c r="G22" s="65" t="s">
        <v>158</v>
      </c>
      <c r="H22" s="7"/>
      <c r="I22" s="12"/>
      <c r="J22" s="12"/>
    </row>
    <row r="23" spans="1:10" ht="15.75">
      <c r="C23" s="316">
        <f>C21-C22</f>
        <v>0</v>
      </c>
      <c r="D23" s="66" t="s">
        <v>87</v>
      </c>
      <c r="E23" s="325">
        <f>E21+E22+E7</f>
        <v>-1477044.4499999997</v>
      </c>
      <c r="F23" s="384"/>
      <c r="G23" s="8">
        <f>(E7*(D24/12))+((E21-E20)*(D24/24))</f>
        <v>-1267.7565416666666</v>
      </c>
      <c r="H23" s="7"/>
      <c r="I23" s="8"/>
      <c r="J23" s="10"/>
    </row>
    <row r="24" spans="1:10" ht="15.75">
      <c r="C24" s="50"/>
      <c r="D24" s="225">
        <v>0.01</v>
      </c>
      <c r="E24" s="327">
        <f>ROUND(((E7)+(E21-E20)/2)*(D24/12),2)</f>
        <v>-1267.76</v>
      </c>
      <c r="F24" s="384"/>
      <c r="G24" s="65"/>
      <c r="H24" s="7"/>
      <c r="I24" s="10"/>
      <c r="J24" s="10"/>
    </row>
    <row r="25" spans="1:10" ht="16.5" thickBot="1">
      <c r="A25" s="5"/>
      <c r="B25" s="5"/>
      <c r="C25" s="50" t="s">
        <v>1</v>
      </c>
      <c r="D25" s="143">
        <f>A10</f>
        <v>41578</v>
      </c>
      <c r="E25" s="328">
        <f>SUM(E23:E24)</f>
        <v>-1478312.2099999997</v>
      </c>
      <c r="F25" s="384"/>
      <c r="G25" s="7"/>
      <c r="H25" s="7"/>
      <c r="I25" s="8"/>
      <c r="J25" s="7"/>
    </row>
    <row r="26" spans="1:10" ht="16.5" thickTop="1" thickBot="1"/>
    <row r="27" spans="1:10" ht="15.75">
      <c r="A27" s="73" t="s">
        <v>142</v>
      </c>
      <c r="B27" s="74"/>
      <c r="C27" s="75"/>
      <c r="D27" s="76"/>
      <c r="E27" s="320"/>
      <c r="G27" s="16"/>
      <c r="H27" s="5"/>
      <c r="I27" s="56"/>
      <c r="J27" s="56"/>
    </row>
    <row r="28" spans="1:10" ht="15.75">
      <c r="A28" s="219">
        <v>41608</v>
      </c>
      <c r="B28" s="71"/>
      <c r="C28" s="16"/>
      <c r="D28" s="72" t="s">
        <v>23</v>
      </c>
      <c r="E28" s="321" t="s">
        <v>21</v>
      </c>
      <c r="G28" s="5"/>
      <c r="H28" s="5"/>
      <c r="I28" s="8"/>
      <c r="J28" s="10"/>
    </row>
    <row r="29" spans="1:10" ht="16.5" thickBot="1">
      <c r="A29" s="14"/>
      <c r="B29" s="18"/>
      <c r="C29" s="131" t="s">
        <v>21</v>
      </c>
      <c r="D29" s="131" t="s">
        <v>22</v>
      </c>
      <c r="E29" s="322" t="s">
        <v>23</v>
      </c>
      <c r="F29" s="384"/>
      <c r="G29" s="7"/>
      <c r="H29" s="7"/>
      <c r="I29" s="10"/>
      <c r="J29" s="10"/>
    </row>
    <row r="30" spans="1:10" ht="15.75">
      <c r="A30" s="2" t="s">
        <v>24</v>
      </c>
      <c r="B30" s="17">
        <v>101</v>
      </c>
      <c r="C30" s="251">
        <v>7085932</v>
      </c>
      <c r="D30" s="388" t="s">
        <v>187</v>
      </c>
      <c r="E30" s="323">
        <v>104530.84</v>
      </c>
      <c r="F30" s="384"/>
      <c r="G30" s="7"/>
      <c r="H30" s="7"/>
      <c r="I30" s="8"/>
      <c r="J30" s="7"/>
    </row>
    <row r="31" spans="1:10" ht="16.5" thickBot="1">
      <c r="A31" s="2" t="s">
        <v>24</v>
      </c>
      <c r="B31" s="17">
        <v>111</v>
      </c>
      <c r="C31" s="251">
        <v>2422167</v>
      </c>
      <c r="D31" s="388" t="s">
        <v>187</v>
      </c>
      <c r="E31" s="323">
        <v>35529.620000000003</v>
      </c>
      <c r="F31" s="384"/>
      <c r="G31" s="146">
        <f>A28</f>
        <v>41608</v>
      </c>
      <c r="H31" s="147"/>
      <c r="I31" s="147"/>
      <c r="J31" s="147"/>
    </row>
    <row r="32" spans="1:10" ht="16.5" thickBot="1">
      <c r="A32" s="2" t="s">
        <v>24</v>
      </c>
      <c r="B32" s="17">
        <v>112</v>
      </c>
      <c r="C32" s="251">
        <v>24496</v>
      </c>
      <c r="D32" s="388" t="s">
        <v>187</v>
      </c>
      <c r="E32" s="323">
        <v>363.03</v>
      </c>
      <c r="F32" s="384"/>
      <c r="G32" s="102" t="s">
        <v>25</v>
      </c>
      <c r="H32" s="148"/>
      <c r="I32" s="149" t="s">
        <v>18</v>
      </c>
      <c r="J32" s="150" t="s">
        <v>19</v>
      </c>
    </row>
    <row r="33" spans="1:10" ht="15.75">
      <c r="A33" s="2" t="s">
        <v>24</v>
      </c>
      <c r="B33" s="17">
        <v>121</v>
      </c>
      <c r="C33" s="251"/>
      <c r="D33" s="220"/>
      <c r="E33" s="323">
        <v>0</v>
      </c>
      <c r="F33" s="384"/>
      <c r="G33" s="151" t="s">
        <v>28</v>
      </c>
      <c r="H33" s="152" t="s">
        <v>77</v>
      </c>
      <c r="I33" s="108"/>
      <c r="J33" s="393">
        <f>IF(E42&gt;0,-E42,0)</f>
        <v>0</v>
      </c>
    </row>
    <row r="34" spans="1:10" ht="15.75">
      <c r="A34" s="2" t="s">
        <v>24</v>
      </c>
      <c r="B34" s="17">
        <v>122</v>
      </c>
      <c r="C34" s="251"/>
      <c r="D34" s="220"/>
      <c r="E34" s="323">
        <v>0</v>
      </c>
      <c r="F34" s="384"/>
      <c r="G34" s="153" t="s">
        <v>29</v>
      </c>
      <c r="H34" s="7" t="s">
        <v>78</v>
      </c>
      <c r="I34" s="394">
        <f>IF(E42&lt;0,-E42,0)</f>
        <v>1173.9403833333333</v>
      </c>
      <c r="J34" s="222"/>
    </row>
    <row r="35" spans="1:10" ht="15.75">
      <c r="A35" s="2" t="s">
        <v>24</v>
      </c>
      <c r="B35" s="17">
        <v>131</v>
      </c>
      <c r="C35" s="251">
        <v>0</v>
      </c>
      <c r="D35" s="388" t="s">
        <v>187</v>
      </c>
      <c r="E35" s="323">
        <v>0</v>
      </c>
      <c r="F35" s="384"/>
      <c r="G35" s="153" t="s">
        <v>99</v>
      </c>
      <c r="H35" s="7" t="s">
        <v>228</v>
      </c>
      <c r="I35" s="394">
        <f>IF((E25-E41)&gt;0,E25-E41,0)</f>
        <v>0</v>
      </c>
      <c r="J35" s="394">
        <f>IF((E25-E41)&lt;0,E25-E41,0)</f>
        <v>-140007.26</v>
      </c>
    </row>
    <row r="36" spans="1:10" ht="15.75">
      <c r="A36" s="2" t="s">
        <v>24</v>
      </c>
      <c r="B36" s="17">
        <v>132</v>
      </c>
      <c r="C36" s="251">
        <v>27816</v>
      </c>
      <c r="D36" s="388" t="s">
        <v>187</v>
      </c>
      <c r="E36" s="323">
        <v>412.23</v>
      </c>
      <c r="F36" s="384"/>
      <c r="G36" s="153" t="s">
        <v>10</v>
      </c>
      <c r="H36" s="7" t="s">
        <v>58</v>
      </c>
      <c r="I36" s="7"/>
      <c r="J36" s="459"/>
    </row>
    <row r="37" spans="1:10" ht="16.5" thickBot="1">
      <c r="A37" s="2" t="s">
        <v>24</v>
      </c>
      <c r="B37" s="17" t="s">
        <v>61</v>
      </c>
      <c r="C37" s="251"/>
      <c r="D37" s="121"/>
      <c r="E37" s="323">
        <v>0</v>
      </c>
      <c r="F37" s="384"/>
      <c r="G37" s="154" t="s">
        <v>100</v>
      </c>
      <c r="H37" s="147" t="s">
        <v>207</v>
      </c>
      <c r="I37" s="461">
        <f>IF((E43-E25)&gt;0,E43-E25,0)</f>
        <v>138833.31961666676</v>
      </c>
      <c r="J37" s="107">
        <f>IF((E43-E25)&lt;0,E43-E25,0)</f>
        <v>0</v>
      </c>
    </row>
    <row r="38" spans="1:10" ht="15.75">
      <c r="A38" s="2" t="s">
        <v>156</v>
      </c>
      <c r="B38" s="70"/>
      <c r="C38" s="250"/>
      <c r="D38" s="136"/>
      <c r="E38" s="326">
        <v>0</v>
      </c>
      <c r="F38" s="384"/>
      <c r="G38" s="7"/>
      <c r="H38" s="7"/>
      <c r="I38" s="8"/>
      <c r="J38" s="259">
        <f>ROUND(SUM(I33:J37),2)</f>
        <v>0</v>
      </c>
    </row>
    <row r="39" spans="1:10" ht="16.5" thickBot="1">
      <c r="B39" s="6"/>
      <c r="C39" s="253">
        <f>SUM(C30:C38)</f>
        <v>9560411</v>
      </c>
      <c r="D39" s="155"/>
      <c r="E39" s="325">
        <f>SUM(E30:E38)</f>
        <v>140835.72</v>
      </c>
      <c r="F39" s="384"/>
      <c r="G39" s="7"/>
      <c r="H39" s="7"/>
      <c r="I39" s="7"/>
      <c r="J39" s="7"/>
    </row>
    <row r="40" spans="1:10" ht="16.5" thickTop="1">
      <c r="B40" s="6"/>
      <c r="C40" s="254">
        <v>9560411</v>
      </c>
      <c r="D40" s="66" t="s">
        <v>161</v>
      </c>
      <c r="E40" s="326">
        <f>-828.46</f>
        <v>-828.46</v>
      </c>
      <c r="F40" s="384"/>
      <c r="G40" s="65" t="s">
        <v>158</v>
      </c>
      <c r="H40" s="7"/>
      <c r="I40" s="12"/>
      <c r="J40" s="12"/>
    </row>
    <row r="41" spans="1:10" ht="15.75">
      <c r="C41" s="316">
        <f>C39-C40</f>
        <v>0</v>
      </c>
      <c r="D41" s="66" t="s">
        <v>87</v>
      </c>
      <c r="E41" s="325">
        <f>E39+E40+E25</f>
        <v>-1338304.9499999997</v>
      </c>
      <c r="F41" s="384"/>
      <c r="G41" s="8">
        <f>(E25*(D42/12))+((E39-E38)*(D42/24))</f>
        <v>-1173.2452916666666</v>
      </c>
      <c r="H41" s="7"/>
      <c r="I41" s="8"/>
      <c r="J41" s="10"/>
    </row>
    <row r="42" spans="1:10" ht="15.75">
      <c r="C42" s="50"/>
      <c r="D42" s="225">
        <v>0.01</v>
      </c>
      <c r="E42" s="327">
        <f>ROUND(((E25)+(E39-E38)/2)*(D42/12),2)+(E40*0.01/12)</f>
        <v>-1173.9403833333333</v>
      </c>
      <c r="F42" s="384"/>
      <c r="G42" s="65">
        <f>E42-G41</f>
        <v>-0.69509166666671263</v>
      </c>
      <c r="H42" s="466" t="s">
        <v>229</v>
      </c>
      <c r="I42" s="10"/>
      <c r="J42" s="10"/>
    </row>
    <row r="43" spans="1:10" ht="16.5" thickBot="1">
      <c r="A43" s="5"/>
      <c r="B43" s="5"/>
      <c r="C43" s="50" t="s">
        <v>1</v>
      </c>
      <c r="D43" s="143">
        <f>A28</f>
        <v>41608</v>
      </c>
      <c r="E43" s="328">
        <f>SUM(E41:E42)</f>
        <v>-1339478.890383333</v>
      </c>
      <c r="F43" s="384"/>
      <c r="G43" s="7"/>
      <c r="H43" s="7"/>
      <c r="I43" s="8"/>
      <c r="J43" s="7"/>
    </row>
    <row r="44" spans="1:10" ht="16.5" thickTop="1" thickBot="1"/>
    <row r="45" spans="1:10" ht="15.75">
      <c r="A45" s="73" t="s">
        <v>142</v>
      </c>
      <c r="B45" s="74"/>
      <c r="C45" s="75"/>
      <c r="D45" s="76"/>
      <c r="E45" s="320"/>
      <c r="G45" s="16"/>
      <c r="H45" s="5"/>
      <c r="I45" s="56"/>
      <c r="J45" s="56"/>
    </row>
    <row r="46" spans="1:10" ht="15.75">
      <c r="A46" s="219">
        <f>EOMONTH(A28,1)</f>
        <v>41639</v>
      </c>
      <c r="B46" s="71"/>
      <c r="C46" s="16"/>
      <c r="D46" s="72" t="s">
        <v>23</v>
      </c>
      <c r="E46" s="321" t="s">
        <v>21</v>
      </c>
      <c r="G46" s="5"/>
      <c r="H46" s="5"/>
      <c r="I46" s="8"/>
      <c r="J46" s="10"/>
    </row>
    <row r="47" spans="1:10" ht="16.5" thickBot="1">
      <c r="A47" s="14"/>
      <c r="B47" s="18"/>
      <c r="C47" s="131" t="s">
        <v>21</v>
      </c>
      <c r="D47" s="131" t="s">
        <v>22</v>
      </c>
      <c r="E47" s="322" t="s">
        <v>23</v>
      </c>
      <c r="F47" s="384"/>
      <c r="G47" s="7"/>
      <c r="H47" s="7"/>
      <c r="I47" s="10"/>
      <c r="J47" s="10"/>
    </row>
    <row r="48" spans="1:10" ht="15.75">
      <c r="A48" s="2" t="s">
        <v>24</v>
      </c>
      <c r="B48" s="17">
        <v>101</v>
      </c>
      <c r="C48" s="251">
        <f>Jan!$K$36</f>
        <v>8822773</v>
      </c>
      <c r="D48" s="388">
        <v>1.482E-2</v>
      </c>
      <c r="E48" s="323">
        <f>C48*D48</f>
        <v>130753.49586</v>
      </c>
      <c r="F48" s="384"/>
      <c r="G48" s="7"/>
      <c r="H48" s="7"/>
      <c r="I48" s="8"/>
      <c r="J48" s="7"/>
    </row>
    <row r="49" spans="1:10" ht="16.5" thickBot="1">
      <c r="A49" s="2" t="s">
        <v>24</v>
      </c>
      <c r="B49" s="17">
        <v>111</v>
      </c>
      <c r="C49" s="251">
        <f>Jan!$K$37</f>
        <v>2761366</v>
      </c>
      <c r="D49" s="388">
        <v>1.482E-2</v>
      </c>
      <c r="E49" s="323">
        <f t="shared" ref="E49:E55" si="0">C49*D49</f>
        <v>40923.44412</v>
      </c>
      <c r="F49" s="384"/>
      <c r="G49" s="146">
        <f>A46</f>
        <v>41639</v>
      </c>
      <c r="H49" s="147"/>
      <c r="I49" s="147"/>
      <c r="J49" s="147"/>
    </row>
    <row r="50" spans="1:10" ht="16.5" thickBot="1">
      <c r="A50" s="2" t="s">
        <v>24</v>
      </c>
      <c r="B50" s="17">
        <v>112</v>
      </c>
      <c r="C50" s="251">
        <f>Jan!$K$38</f>
        <v>3610</v>
      </c>
      <c r="D50" s="388">
        <v>1.482E-2</v>
      </c>
      <c r="E50" s="323">
        <f t="shared" si="0"/>
        <v>53.5002</v>
      </c>
      <c r="F50" s="384"/>
      <c r="G50" s="102" t="s">
        <v>25</v>
      </c>
      <c r="H50" s="148"/>
      <c r="I50" s="149" t="s">
        <v>18</v>
      </c>
      <c r="J50" s="150" t="s">
        <v>19</v>
      </c>
    </row>
    <row r="51" spans="1:10" ht="15.75">
      <c r="A51" s="2" t="s">
        <v>24</v>
      </c>
      <c r="B51" s="17">
        <v>121</v>
      </c>
      <c r="C51" s="251">
        <f>Jan!$K$39</f>
        <v>0</v>
      </c>
      <c r="D51" s="388">
        <v>1.482E-2</v>
      </c>
      <c r="E51" s="323">
        <f t="shared" si="0"/>
        <v>0</v>
      </c>
      <c r="F51" s="384"/>
      <c r="G51" s="151" t="s">
        <v>28</v>
      </c>
      <c r="H51" s="152" t="s">
        <v>77</v>
      </c>
      <c r="I51" s="108"/>
      <c r="J51" s="393">
        <f>IF(E60&gt;0,-E60,0)</f>
        <v>0</v>
      </c>
    </row>
    <row r="52" spans="1:10" ht="15.75">
      <c r="A52" s="2" t="s">
        <v>24</v>
      </c>
      <c r="B52" s="17">
        <v>122</v>
      </c>
      <c r="C52" s="251"/>
      <c r="D52" s="220"/>
      <c r="E52" s="323">
        <f t="shared" si="0"/>
        <v>0</v>
      </c>
      <c r="F52" s="384"/>
      <c r="G52" s="153" t="s">
        <v>29</v>
      </c>
      <c r="H52" s="7" t="s">
        <v>78</v>
      </c>
      <c r="I52" s="394">
        <f>IF(E60&lt;0,-E60,0)</f>
        <v>1044.68</v>
      </c>
      <c r="J52" s="222"/>
    </row>
    <row r="53" spans="1:10" ht="15.75">
      <c r="A53" s="2" t="s">
        <v>24</v>
      </c>
      <c r="B53" s="17">
        <v>131</v>
      </c>
      <c r="C53" s="251"/>
      <c r="D53" s="388"/>
      <c r="E53" s="323">
        <f t="shared" si="0"/>
        <v>0</v>
      </c>
      <c r="F53" s="384"/>
      <c r="G53" s="153" t="s">
        <v>99</v>
      </c>
      <c r="H53" s="7" t="s">
        <v>228</v>
      </c>
      <c r="I53" s="394">
        <f>IF((E43-E59)&gt;0,E43-E59,0)</f>
        <v>0</v>
      </c>
      <c r="J53" s="394">
        <f>IF((E43-E59)&lt;0,E43-E59,0)</f>
        <v>-171730.44017999992</v>
      </c>
    </row>
    <row r="54" spans="1:10" ht="15.75">
      <c r="A54" s="2" t="s">
        <v>24</v>
      </c>
      <c r="B54" s="17">
        <v>132</v>
      </c>
      <c r="C54" s="251">
        <f>Jan!$K$42</f>
        <v>0</v>
      </c>
      <c r="D54" s="388">
        <v>1.482E-2</v>
      </c>
      <c r="E54" s="323">
        <f t="shared" si="0"/>
        <v>0</v>
      </c>
      <c r="F54" s="384"/>
      <c r="G54" s="153" t="s">
        <v>10</v>
      </c>
      <c r="H54" s="7" t="s">
        <v>58</v>
      </c>
      <c r="I54" s="7"/>
      <c r="J54" s="459"/>
    </row>
    <row r="55" spans="1:10" ht="16.5" thickBot="1">
      <c r="A55" s="2" t="s">
        <v>24</v>
      </c>
      <c r="B55" s="17" t="s">
        <v>61</v>
      </c>
      <c r="C55" s="251"/>
      <c r="D55" s="121"/>
      <c r="E55" s="323">
        <f t="shared" si="0"/>
        <v>0</v>
      </c>
      <c r="F55" s="384"/>
      <c r="G55" s="154" t="s">
        <v>100</v>
      </c>
      <c r="H55" s="147" t="s">
        <v>207</v>
      </c>
      <c r="I55" s="461">
        <f>IF((E61-E43)&gt;0,E61-E43,0)</f>
        <v>170685.76017999998</v>
      </c>
      <c r="J55" s="107">
        <f>IF((E61-E43)&lt;0,E61-E43,0)</f>
        <v>0</v>
      </c>
    </row>
    <row r="56" spans="1:10" ht="15.75">
      <c r="A56" s="2" t="s">
        <v>156</v>
      </c>
      <c r="B56" s="70"/>
      <c r="C56" s="250"/>
      <c r="D56" s="136"/>
      <c r="E56" s="326">
        <v>0</v>
      </c>
      <c r="F56" s="384"/>
      <c r="G56" s="7"/>
      <c r="H56" s="7"/>
      <c r="I56" s="8"/>
      <c r="J56" s="259">
        <f>ROUND(SUM(I51:J55),2)</f>
        <v>0</v>
      </c>
    </row>
    <row r="57" spans="1:10" ht="16.5" thickBot="1">
      <c r="B57" s="6"/>
      <c r="C57" s="253">
        <f>SUM(C48:C56)</f>
        <v>11587749</v>
      </c>
      <c r="D57" s="155"/>
      <c r="E57" s="325">
        <f>SUM(E48:E56)</f>
        <v>171730.44018000001</v>
      </c>
      <c r="F57" s="384"/>
      <c r="G57" s="7"/>
      <c r="H57" s="7"/>
      <c r="I57" s="7"/>
      <c r="J57" s="7"/>
    </row>
    <row r="58" spans="1:10" ht="16.5" thickTop="1">
      <c r="B58" s="6"/>
      <c r="C58" s="254">
        <v>13799763</v>
      </c>
      <c r="D58" s="66" t="s">
        <v>161</v>
      </c>
      <c r="E58" s="326">
        <v>0</v>
      </c>
      <c r="F58" s="384"/>
      <c r="G58" s="65" t="s">
        <v>158</v>
      </c>
      <c r="H58" s="7"/>
      <c r="I58" s="12"/>
      <c r="J58" s="12"/>
    </row>
    <row r="59" spans="1:10" ht="15.75">
      <c r="C59" s="316">
        <f>C57-C58</f>
        <v>-2212014</v>
      </c>
      <c r="D59" s="66" t="s">
        <v>87</v>
      </c>
      <c r="E59" s="325">
        <f>E57+E58+E43</f>
        <v>-1167748.4502033331</v>
      </c>
      <c r="F59" s="384"/>
      <c r="G59" s="8">
        <f>(E43*(D60/12))+((E57-E56)*(D60/24))</f>
        <v>-1044.6780585777776</v>
      </c>
      <c r="H59" s="7"/>
      <c r="I59" s="8"/>
      <c r="J59" s="10"/>
    </row>
    <row r="60" spans="1:10" ht="15.75">
      <c r="C60" s="50"/>
      <c r="D60" s="225">
        <v>0.01</v>
      </c>
      <c r="E60" s="327">
        <f>ROUND(((E43)+(E57-E56)/2)*(D60/12),2)</f>
        <v>-1044.68</v>
      </c>
      <c r="F60" s="384"/>
      <c r="G60" s="65"/>
      <c r="H60" s="466"/>
      <c r="I60" s="10"/>
      <c r="J60" s="10"/>
    </row>
    <row r="61" spans="1:10" ht="16.5" thickBot="1">
      <c r="A61" s="5"/>
      <c r="B61" s="5"/>
      <c r="C61" s="50" t="s">
        <v>1</v>
      </c>
      <c r="D61" s="143">
        <f>A46</f>
        <v>41639</v>
      </c>
      <c r="E61" s="328">
        <f>SUM(E59:E60)</f>
        <v>-1168793.130203333</v>
      </c>
      <c r="F61" s="384"/>
      <c r="G61" s="474" t="s">
        <v>244</v>
      </c>
      <c r="H61" s="475" t="e">
        <f>_xll.Get_Balance(I61,"YTD","USD","Total","A","","001","191015","GD","ID","DL")-E61</f>
        <v>#VALUE!</v>
      </c>
      <c r="I61" s="476">
        <v>201312</v>
      </c>
      <c r="J61" s="7"/>
    </row>
    <row r="62" spans="1:10" ht="15.75" thickTop="1"/>
    <row r="118" spans="16:16">
      <c r="P118" s="383">
        <f>(C106*M117)/12+((C109+C112+C113)*M117)/24</f>
        <v>0</v>
      </c>
    </row>
  </sheetData>
  <conditionalFormatting sqref="C23">
    <cfRule type="cellIs" dxfId="172" priority="45" operator="notEqual">
      <formula>0</formula>
    </cfRule>
  </conditionalFormatting>
  <conditionalFormatting sqref="J20">
    <cfRule type="cellIs" dxfId="171" priority="43" stopIfTrue="1" operator="equal">
      <formula>0</formula>
    </cfRule>
    <cfRule type="cellIs" dxfId="170" priority="44" stopIfTrue="1" operator="notEqual">
      <formula>0</formula>
    </cfRule>
  </conditionalFormatting>
  <conditionalFormatting sqref="C41">
    <cfRule type="cellIs" dxfId="169" priority="6" operator="notEqual">
      <formula>0</formula>
    </cfRule>
  </conditionalFormatting>
  <conditionalFormatting sqref="J38">
    <cfRule type="cellIs" dxfId="168" priority="4" stopIfTrue="1" operator="equal">
      <formula>0</formula>
    </cfRule>
    <cfRule type="cellIs" dxfId="167" priority="5" stopIfTrue="1" operator="notEqual">
      <formula>0</formula>
    </cfRule>
  </conditionalFormatting>
  <conditionalFormatting sqref="C59">
    <cfRule type="cellIs" dxfId="166" priority="3" operator="notEqual">
      <formula>0</formula>
    </cfRule>
  </conditionalFormatting>
  <conditionalFormatting sqref="J56">
    <cfRule type="cellIs" dxfId="165" priority="1" stopIfTrue="1" operator="equal">
      <formula>0</formula>
    </cfRule>
    <cfRule type="cellIs" dxfId="164" priority="2" stopIfTrue="1" operator="notEqual">
      <formula>0</formula>
    </cfRule>
  </conditionalFormatting>
  <printOptions gridLinesSet="0"/>
  <pageMargins left="0.5" right="0.5" top="1.04" bottom="0.5" header="0.25" footer="0.25"/>
  <pageSetup scale="53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  <customProperties>
    <customPr name="xxe4aP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92D050"/>
    <pageSetUpPr fitToPage="1"/>
  </sheetPr>
  <dimension ref="A1:P355"/>
  <sheetViews>
    <sheetView showGridLines="0" view="pageBreakPreview" topLeftCell="A276" zoomScale="80" zoomScaleNormal="100" zoomScaleSheetLayoutView="80" workbookViewId="0">
      <selection activeCell="G51" sqref="G51:J55"/>
    </sheetView>
  </sheetViews>
  <sheetFormatPr defaultColWidth="9.140625" defaultRowHeight="15"/>
  <cols>
    <col min="1" max="1" width="13.140625" style="1" customWidth="1"/>
    <col min="2" max="2" width="9.28515625" style="1" customWidth="1"/>
    <col min="3" max="3" width="17.85546875" style="1" customWidth="1"/>
    <col min="4" max="4" width="18.42578125" style="1" customWidth="1"/>
    <col min="5" max="5" width="20.140625" style="319" bestFit="1" customWidth="1"/>
    <col min="6" max="6" width="16.140625" style="1" customWidth="1"/>
    <col min="7" max="7" width="34.5703125" style="1" bestFit="1" customWidth="1"/>
    <col min="8" max="8" width="16.85546875" style="1" customWidth="1"/>
    <col min="9" max="9" width="18.28515625" style="1" bestFit="1" customWidth="1"/>
    <col min="10" max="10" width="18.28515625" style="1" customWidth="1"/>
    <col min="11" max="11" width="3.42578125" style="1" customWidth="1"/>
    <col min="12" max="16384" width="9.140625" style="1"/>
  </cols>
  <sheetData>
    <row r="1" spans="1:10" ht="15.75">
      <c r="A1" s="51" t="s">
        <v>13</v>
      </c>
    </row>
    <row r="2" spans="1:10" ht="15.75">
      <c r="A2" s="51" t="s">
        <v>46</v>
      </c>
    </row>
    <row r="3" spans="1:10" ht="15.75">
      <c r="A3" s="51" t="s">
        <v>170</v>
      </c>
    </row>
    <row r="4" spans="1:10" ht="15.75">
      <c r="A4" s="51" t="s">
        <v>171</v>
      </c>
    </row>
    <row r="7" spans="1:10" s="330" customFormat="1" ht="16.5" hidden="1" thickBot="1">
      <c r="A7" s="5"/>
      <c r="B7" s="5"/>
      <c r="C7" s="50" t="s">
        <v>1</v>
      </c>
      <c r="D7" s="143">
        <v>41182</v>
      </c>
      <c r="E7" s="328">
        <v>802311.62372397084</v>
      </c>
      <c r="F7" s="332"/>
      <c r="G7" s="7"/>
      <c r="H7" s="7"/>
      <c r="I7" s="8"/>
      <c r="J7" s="7"/>
    </row>
    <row r="8" spans="1:10" s="384" customFormat="1" ht="16.5" hidden="1" thickTop="1">
      <c r="D8" s="142" t="s">
        <v>208</v>
      </c>
      <c r="E8" s="325">
        <f>'ID Def 191010'!T17</f>
        <v>-2122091.5699999998</v>
      </c>
    </row>
    <row r="9" spans="1:10" s="384" customFormat="1" ht="16.5" hidden="1" thickBot="1">
      <c r="D9" s="142" t="s">
        <v>204</v>
      </c>
      <c r="E9" s="328">
        <f>E8+E7</f>
        <v>-1319779.9462760291</v>
      </c>
    </row>
    <row r="10" spans="1:10" s="330" customFormat="1" ht="16.5" hidden="1" thickTop="1" thickBot="1">
      <c r="E10" s="319"/>
    </row>
    <row r="11" spans="1:10" ht="15.75" hidden="1">
      <c r="A11" s="73" t="s">
        <v>142</v>
      </c>
      <c r="B11" s="74"/>
      <c r="C11" s="75"/>
      <c r="D11" s="76"/>
      <c r="E11" s="320"/>
      <c r="F11" s="330"/>
      <c r="G11" s="16"/>
      <c r="H11" s="5"/>
      <c r="I11" s="56"/>
      <c r="J11" s="56"/>
    </row>
    <row r="12" spans="1:10" ht="15.75" hidden="1">
      <c r="A12" s="219">
        <v>41213</v>
      </c>
      <c r="B12" s="71"/>
      <c r="C12" s="16"/>
      <c r="D12" s="72" t="s">
        <v>23</v>
      </c>
      <c r="E12" s="321" t="s">
        <v>21</v>
      </c>
      <c r="F12" s="330"/>
      <c r="G12" s="5"/>
      <c r="H12" s="5"/>
      <c r="I12" s="8"/>
      <c r="J12" s="10"/>
    </row>
    <row r="13" spans="1:10" ht="16.5" hidden="1" thickBot="1">
      <c r="A13" s="14"/>
      <c r="B13" s="18"/>
      <c r="C13" s="131" t="s">
        <v>21</v>
      </c>
      <c r="D13" s="131" t="s">
        <v>22</v>
      </c>
      <c r="E13" s="322" t="s">
        <v>23</v>
      </c>
      <c r="F13" s="332"/>
      <c r="G13" s="7"/>
      <c r="H13" s="7"/>
      <c r="I13" s="10"/>
      <c r="J13" s="10"/>
    </row>
    <row r="14" spans="1:10" ht="15.75" hidden="1">
      <c r="A14" s="2" t="s">
        <v>24</v>
      </c>
      <c r="B14" s="17">
        <v>101</v>
      </c>
      <c r="C14" s="251">
        <v>3765205</v>
      </c>
      <c r="D14" s="233">
        <v>1.7780000000000001E-2</v>
      </c>
      <c r="E14" s="323">
        <v>66929.279999999999</v>
      </c>
      <c r="F14" s="384" t="s">
        <v>187</v>
      </c>
      <c r="G14" s="7"/>
      <c r="H14" s="7"/>
      <c r="I14" s="8"/>
      <c r="J14" s="7"/>
    </row>
    <row r="15" spans="1:10" ht="16.5" hidden="1" thickBot="1">
      <c r="A15" s="2" t="s">
        <v>24</v>
      </c>
      <c r="B15" s="17">
        <v>111</v>
      </c>
      <c r="C15" s="251">
        <v>1887716</v>
      </c>
      <c r="D15" s="233">
        <v>1.7780000000000001E-2</v>
      </c>
      <c r="E15" s="323">
        <v>32198.03</v>
      </c>
      <c r="F15" s="384" t="s">
        <v>187</v>
      </c>
      <c r="G15" s="146">
        <f>A12</f>
        <v>41213</v>
      </c>
      <c r="H15" s="147"/>
      <c r="I15" s="147"/>
      <c r="J15" s="147"/>
    </row>
    <row r="16" spans="1:10" ht="16.5" hidden="1" thickBot="1">
      <c r="A16" s="2" t="s">
        <v>24</v>
      </c>
      <c r="B16" s="17">
        <v>112</v>
      </c>
      <c r="C16" s="251"/>
      <c r="D16" s="233"/>
      <c r="E16" s="323">
        <v>0</v>
      </c>
      <c r="F16" s="332"/>
      <c r="G16" s="102" t="s">
        <v>25</v>
      </c>
      <c r="H16" s="148"/>
      <c r="I16" s="149" t="s">
        <v>18</v>
      </c>
      <c r="J16" s="150" t="s">
        <v>19</v>
      </c>
    </row>
    <row r="17" spans="1:10" ht="15.75" hidden="1">
      <c r="A17" s="2" t="s">
        <v>24</v>
      </c>
      <c r="B17" s="17">
        <v>121</v>
      </c>
      <c r="C17" s="251"/>
      <c r="D17" s="220"/>
      <c r="E17" s="323">
        <v>0</v>
      </c>
      <c r="F17" s="332"/>
      <c r="G17" s="151" t="s">
        <v>28</v>
      </c>
      <c r="H17" s="152" t="s">
        <v>77</v>
      </c>
      <c r="I17" s="108"/>
      <c r="J17" s="393">
        <v>0</v>
      </c>
    </row>
    <row r="18" spans="1:10" ht="15.75" hidden="1">
      <c r="A18" s="2" t="s">
        <v>24</v>
      </c>
      <c r="B18" s="17">
        <v>122</v>
      </c>
      <c r="C18" s="252"/>
      <c r="D18" s="220"/>
      <c r="E18" s="323">
        <v>0</v>
      </c>
      <c r="F18" s="332"/>
      <c r="G18" s="153" t="s">
        <v>29</v>
      </c>
      <c r="H18" s="7" t="s">
        <v>78</v>
      </c>
      <c r="I18" s="394">
        <f>-E26</f>
        <v>1058.51</v>
      </c>
      <c r="J18" s="222"/>
    </row>
    <row r="19" spans="1:10" ht="15.75" hidden="1">
      <c r="A19" s="2" t="s">
        <v>24</v>
      </c>
      <c r="B19" s="17">
        <v>131</v>
      </c>
      <c r="C19" s="251">
        <v>0</v>
      </c>
      <c r="D19" s="233">
        <v>1.6570000000000001E-2</v>
      </c>
      <c r="E19" s="323">
        <v>0</v>
      </c>
      <c r="F19" s="332"/>
      <c r="G19" s="153" t="s">
        <v>99</v>
      </c>
      <c r="H19" s="7" t="s">
        <v>60</v>
      </c>
      <c r="I19" s="8"/>
      <c r="J19" s="98">
        <f>-E23-E24</f>
        <v>-147173</v>
      </c>
    </row>
    <row r="20" spans="1:10" ht="15.75" hidden="1">
      <c r="A20" s="2" t="s">
        <v>24</v>
      </c>
      <c r="B20" s="17">
        <v>132</v>
      </c>
      <c r="C20" s="252"/>
      <c r="D20" s="121"/>
      <c r="E20" s="323">
        <v>0</v>
      </c>
      <c r="F20" s="332"/>
      <c r="G20" s="153" t="s">
        <v>10</v>
      </c>
      <c r="H20" s="7" t="s">
        <v>58</v>
      </c>
      <c r="I20" s="7">
        <v>0</v>
      </c>
      <c r="J20" s="109"/>
    </row>
    <row r="21" spans="1:10" ht="16.5" hidden="1" thickBot="1">
      <c r="A21" s="2" t="s">
        <v>24</v>
      </c>
      <c r="B21" s="17" t="s">
        <v>61</v>
      </c>
      <c r="C21" s="252"/>
      <c r="D21" s="121"/>
      <c r="E21" s="323">
        <v>0</v>
      </c>
      <c r="F21" s="332"/>
      <c r="G21" s="154" t="s">
        <v>100</v>
      </c>
      <c r="H21" s="147" t="s">
        <v>62</v>
      </c>
      <c r="I21" s="110">
        <f>-E9+E27</f>
        <v>146114.49</v>
      </c>
      <c r="J21" s="107">
        <v>0</v>
      </c>
    </row>
    <row r="22" spans="1:10" ht="15.75" hidden="1">
      <c r="A22" s="2" t="s">
        <v>156</v>
      </c>
      <c r="B22" s="70"/>
      <c r="C22" s="250"/>
      <c r="D22" s="136"/>
      <c r="E22" s="324">
        <v>48045.69</v>
      </c>
      <c r="F22" s="332"/>
      <c r="G22" s="7"/>
      <c r="H22" s="7"/>
      <c r="I22" s="8"/>
      <c r="J22" s="259">
        <f>ROUND(SUM(I17:J21),2)</f>
        <v>0</v>
      </c>
    </row>
    <row r="23" spans="1:10" ht="16.5" hidden="1" thickBot="1">
      <c r="A23" s="330"/>
      <c r="B23" s="6"/>
      <c r="C23" s="253">
        <f>SUM(C14:C22)</f>
        <v>5652921</v>
      </c>
      <c r="D23" s="155"/>
      <c r="E23" s="325">
        <f>SUM(E14:E22)</f>
        <v>147173</v>
      </c>
      <c r="F23" s="332"/>
      <c r="G23" s="7"/>
      <c r="H23" s="7"/>
      <c r="I23" s="7"/>
      <c r="J23" s="7"/>
    </row>
    <row r="24" spans="1:10" ht="16.5" hidden="1" thickTop="1">
      <c r="A24" s="330"/>
      <c r="B24" s="6"/>
      <c r="C24" s="254">
        <v>5652921</v>
      </c>
      <c r="D24" s="66" t="s">
        <v>161</v>
      </c>
      <c r="E24" s="326">
        <v>0</v>
      </c>
      <c r="F24" s="332"/>
      <c r="G24" s="65" t="s">
        <v>158</v>
      </c>
      <c r="H24" s="7"/>
      <c r="I24" s="12"/>
      <c r="J24" s="12"/>
    </row>
    <row r="25" spans="1:10" ht="15.75" hidden="1">
      <c r="A25" s="330"/>
      <c r="B25" s="330"/>
      <c r="C25" s="316">
        <f>C23-C24</f>
        <v>0</v>
      </c>
      <c r="D25" s="66" t="s">
        <v>87</v>
      </c>
      <c r="E25" s="325">
        <f>E23+E24+E9</f>
        <v>-1172606.9462760291</v>
      </c>
      <c r="F25" s="332"/>
      <c r="G25" s="8">
        <f>(E9*(D26/12))+((E23-E22)*(D26/24))</f>
        <v>-1058.5135760633577</v>
      </c>
      <c r="H25" s="7"/>
      <c r="I25" s="8"/>
      <c r="J25" s="10"/>
    </row>
    <row r="26" spans="1:10" ht="15.75" hidden="1">
      <c r="A26" s="330"/>
      <c r="B26" s="330"/>
      <c r="C26" s="50"/>
      <c r="D26" s="225">
        <v>0.01</v>
      </c>
      <c r="E26" s="327">
        <f>ROUND(((E9)+(E23-E22)/2)*(D26/12),2)</f>
        <v>-1058.51</v>
      </c>
      <c r="F26" s="332"/>
      <c r="G26" s="65"/>
      <c r="H26" s="7"/>
      <c r="I26" s="10"/>
      <c r="J26" s="10"/>
    </row>
    <row r="27" spans="1:10" ht="16.5" hidden="1" thickBot="1">
      <c r="A27" s="5"/>
      <c r="B27" s="5"/>
      <c r="C27" s="50" t="s">
        <v>1</v>
      </c>
      <c r="D27" s="143">
        <f>A12</f>
        <v>41213</v>
      </c>
      <c r="E27" s="328">
        <f>SUM(E25:E26)</f>
        <v>-1173665.4562760291</v>
      </c>
      <c r="F27" s="332"/>
      <c r="G27" s="7"/>
      <c r="H27" s="7"/>
      <c r="I27" s="8"/>
      <c r="J27" s="7"/>
    </row>
    <row r="28" spans="1:10" ht="16.5" hidden="1" thickTop="1" thickBot="1"/>
    <row r="29" spans="1:10" ht="15.75" hidden="1">
      <c r="A29" s="73" t="s">
        <v>142</v>
      </c>
      <c r="B29" s="74"/>
      <c r="C29" s="75"/>
      <c r="D29" s="76"/>
      <c r="E29" s="320"/>
      <c r="F29" s="383"/>
      <c r="G29" s="16"/>
      <c r="H29" s="5"/>
      <c r="I29" s="56"/>
      <c r="J29" s="56"/>
    </row>
    <row r="30" spans="1:10" ht="15.75" hidden="1">
      <c r="A30" s="219">
        <v>41243</v>
      </c>
      <c r="B30" s="71"/>
      <c r="C30" s="16"/>
      <c r="D30" s="72" t="s">
        <v>23</v>
      </c>
      <c r="E30" s="321" t="s">
        <v>21</v>
      </c>
      <c r="F30" s="383"/>
      <c r="G30" s="5"/>
      <c r="H30" s="5"/>
      <c r="I30" s="8"/>
      <c r="J30" s="10"/>
    </row>
    <row r="31" spans="1:10" ht="16.5" hidden="1" thickBot="1">
      <c r="A31" s="14"/>
      <c r="B31" s="18"/>
      <c r="C31" s="131" t="s">
        <v>21</v>
      </c>
      <c r="D31" s="131" t="s">
        <v>22</v>
      </c>
      <c r="E31" s="322" t="s">
        <v>23</v>
      </c>
      <c r="F31" s="384"/>
      <c r="G31" s="7"/>
      <c r="H31" s="7"/>
      <c r="I31" s="10"/>
      <c r="J31" s="10"/>
    </row>
    <row r="32" spans="1:10" ht="15.75" hidden="1">
      <c r="A32" s="2" t="s">
        <v>24</v>
      </c>
      <c r="B32" s="17">
        <v>101</v>
      </c>
      <c r="C32" s="251">
        <v>6036412</v>
      </c>
      <c r="D32" s="388">
        <v>1.7780000000000001E-2</v>
      </c>
      <c r="E32" s="323">
        <v>74956.77</v>
      </c>
      <c r="F32" s="384" t="s">
        <v>187</v>
      </c>
      <c r="G32" s="7"/>
      <c r="H32" s="7"/>
      <c r="I32" s="8"/>
      <c r="J32" s="7"/>
    </row>
    <row r="33" spans="1:10" ht="16.5" hidden="1" thickBot="1">
      <c r="A33" s="2" t="s">
        <v>24</v>
      </c>
      <c r="B33" s="17">
        <v>111</v>
      </c>
      <c r="C33" s="251">
        <v>1867362</v>
      </c>
      <c r="D33" s="388">
        <v>1.7780000000000001E-2</v>
      </c>
      <c r="E33" s="323">
        <v>15979.81</v>
      </c>
      <c r="F33" s="384" t="s">
        <v>187</v>
      </c>
      <c r="G33" s="146">
        <v>41243</v>
      </c>
      <c r="H33" s="147"/>
      <c r="I33" s="147"/>
      <c r="J33" s="147"/>
    </row>
    <row r="34" spans="1:10" ht="16.5" hidden="1" thickBot="1">
      <c r="A34" s="2" t="s">
        <v>24</v>
      </c>
      <c r="B34" s="17">
        <v>112</v>
      </c>
      <c r="C34" s="251"/>
      <c r="D34" s="388"/>
      <c r="E34" s="323">
        <v>0</v>
      </c>
      <c r="F34" s="384"/>
      <c r="G34" s="102" t="s">
        <v>214</v>
      </c>
      <c r="H34" s="148"/>
      <c r="I34" s="149" t="s">
        <v>18</v>
      </c>
      <c r="J34" s="150" t="s">
        <v>19</v>
      </c>
    </row>
    <row r="35" spans="1:10" ht="15.75" hidden="1">
      <c r="A35" s="2" t="s">
        <v>24</v>
      </c>
      <c r="B35" s="17">
        <v>121</v>
      </c>
      <c r="C35" s="251"/>
      <c r="D35" s="220"/>
      <c r="E35" s="323">
        <v>0</v>
      </c>
      <c r="F35" s="384"/>
      <c r="G35" s="151" t="s">
        <v>28</v>
      </c>
      <c r="H35" s="152" t="s">
        <v>77</v>
      </c>
      <c r="I35" s="108"/>
      <c r="J35" s="393">
        <v>0</v>
      </c>
    </row>
    <row r="36" spans="1:10" ht="15.75" hidden="1">
      <c r="A36" s="2" t="s">
        <v>24</v>
      </c>
      <c r="B36" s="17">
        <v>122</v>
      </c>
      <c r="C36" s="252"/>
      <c r="D36" s="220"/>
      <c r="E36" s="323">
        <v>0</v>
      </c>
      <c r="F36" s="384"/>
      <c r="G36" s="153" t="s">
        <v>29</v>
      </c>
      <c r="H36" s="7" t="s">
        <v>78</v>
      </c>
      <c r="I36" s="394">
        <v>940.16</v>
      </c>
      <c r="J36" s="222"/>
    </row>
    <row r="37" spans="1:10" ht="15.75" hidden="1">
      <c r="A37" s="2" t="s">
        <v>24</v>
      </c>
      <c r="B37" s="17">
        <v>131</v>
      </c>
      <c r="C37" s="251">
        <v>0</v>
      </c>
      <c r="D37" s="388">
        <v>1.6570000000000001E-2</v>
      </c>
      <c r="E37" s="323">
        <v>0</v>
      </c>
      <c r="F37" s="384"/>
      <c r="G37" s="153" t="s">
        <v>99</v>
      </c>
      <c r="H37" s="7" t="s">
        <v>60</v>
      </c>
      <c r="I37" s="8"/>
      <c r="J37" s="98">
        <v>-90758.61</v>
      </c>
    </row>
    <row r="38" spans="1:10" ht="15.75" hidden="1">
      <c r="A38" s="2" t="s">
        <v>24</v>
      </c>
      <c r="B38" s="17">
        <v>132</v>
      </c>
      <c r="C38" s="252"/>
      <c r="D38" s="121"/>
      <c r="E38" s="323">
        <v>0</v>
      </c>
      <c r="F38" s="384"/>
      <c r="G38" s="153" t="s">
        <v>10</v>
      </c>
      <c r="H38" s="7" t="s">
        <v>58</v>
      </c>
      <c r="I38" s="7">
        <v>0</v>
      </c>
      <c r="J38" s="109"/>
    </row>
    <row r="39" spans="1:10" ht="16.5" hidden="1" thickBot="1">
      <c r="A39" s="2" t="s">
        <v>24</v>
      </c>
      <c r="B39" s="17" t="s">
        <v>61</v>
      </c>
      <c r="C39" s="252"/>
      <c r="D39" s="121"/>
      <c r="E39" s="323">
        <v>0</v>
      </c>
      <c r="F39" s="384"/>
      <c r="G39" s="154" t="s">
        <v>100</v>
      </c>
      <c r="H39" s="147" t="s">
        <v>62</v>
      </c>
      <c r="I39" s="110">
        <v>89818.450000000186</v>
      </c>
      <c r="J39" s="107">
        <v>0</v>
      </c>
    </row>
    <row r="40" spans="1:10" ht="15.75" hidden="1">
      <c r="A40" s="2" t="s">
        <v>156</v>
      </c>
      <c r="B40" s="70"/>
      <c r="C40" s="250"/>
      <c r="D40" s="136"/>
      <c r="E40" s="324">
        <v>0</v>
      </c>
      <c r="F40" s="384"/>
      <c r="G40" s="7"/>
      <c r="H40" s="7"/>
      <c r="I40" s="8"/>
      <c r="J40" s="259">
        <v>0</v>
      </c>
    </row>
    <row r="41" spans="1:10" ht="16.5" hidden="1" thickBot="1">
      <c r="A41" s="383"/>
      <c r="B41" s="6"/>
      <c r="C41" s="253">
        <v>7903774</v>
      </c>
      <c r="D41" s="155"/>
      <c r="E41" s="325">
        <v>90936.58</v>
      </c>
      <c r="F41" s="384"/>
      <c r="G41" s="7"/>
      <c r="H41" s="7"/>
      <c r="I41" s="7"/>
      <c r="J41" s="7"/>
    </row>
    <row r="42" spans="1:10" ht="16.5" hidden="1" thickTop="1">
      <c r="A42" s="383"/>
      <c r="B42" s="6"/>
      <c r="C42" s="254">
        <v>7903774</v>
      </c>
      <c r="D42" s="66" t="s">
        <v>161</v>
      </c>
      <c r="E42" s="326">
        <v>-177.97000000000116</v>
      </c>
      <c r="F42" s="384"/>
      <c r="G42" s="65" t="s">
        <v>158</v>
      </c>
      <c r="H42" s="7"/>
      <c r="I42" s="12"/>
      <c r="J42" s="12"/>
    </row>
    <row r="43" spans="1:10" ht="15.75" hidden="1">
      <c r="A43" s="383"/>
      <c r="B43" s="383"/>
      <c r="C43" s="316">
        <v>0</v>
      </c>
      <c r="D43" s="66" t="s">
        <v>87</v>
      </c>
      <c r="E43" s="325">
        <v>-1082906.846276029</v>
      </c>
      <c r="F43" s="384"/>
      <c r="G43" s="8">
        <v>-940.16430523002441</v>
      </c>
      <c r="H43" s="7"/>
      <c r="I43" s="8"/>
      <c r="J43" s="10"/>
    </row>
    <row r="44" spans="1:10" ht="15.75" hidden="1">
      <c r="A44" s="383"/>
      <c r="B44" s="383"/>
      <c r="C44" s="50"/>
      <c r="D44" s="225">
        <v>0.01</v>
      </c>
      <c r="E44" s="327">
        <v>-940.16</v>
      </c>
      <c r="F44" s="384"/>
      <c r="G44" s="65"/>
      <c r="H44" s="7"/>
      <c r="I44" s="10"/>
      <c r="J44" s="10"/>
    </row>
    <row r="45" spans="1:10" ht="16.5" hidden="1" thickBot="1">
      <c r="A45" s="5"/>
      <c r="B45" s="5"/>
      <c r="C45" s="50" t="s">
        <v>1</v>
      </c>
      <c r="D45" s="143">
        <v>41243</v>
      </c>
      <c r="E45" s="328">
        <v>-1083847.0062760289</v>
      </c>
      <c r="F45" s="384"/>
      <c r="G45" s="7"/>
      <c r="H45" s="7"/>
      <c r="I45" s="8"/>
      <c r="J45" s="7"/>
    </row>
    <row r="46" spans="1:10" s="383" customFormat="1" ht="16.5" hidden="1" thickTop="1" thickBot="1">
      <c r="E46" s="319"/>
    </row>
    <row r="47" spans="1:10" s="383" customFormat="1" ht="15.75" hidden="1">
      <c r="A47" s="73" t="s">
        <v>142</v>
      </c>
      <c r="B47" s="74"/>
      <c r="C47" s="75"/>
      <c r="D47" s="76"/>
      <c r="E47" s="320"/>
      <c r="G47" s="16"/>
      <c r="H47" s="5"/>
      <c r="I47" s="56"/>
      <c r="J47" s="56"/>
    </row>
    <row r="48" spans="1:10" s="383" customFormat="1" ht="15.75" hidden="1">
      <c r="A48" s="219" t="s">
        <v>219</v>
      </c>
      <c r="B48" s="71"/>
      <c r="C48" s="16"/>
      <c r="D48" s="72" t="s">
        <v>23</v>
      </c>
      <c r="E48" s="321" t="s">
        <v>21</v>
      </c>
      <c r="G48" s="5"/>
      <c r="H48" s="5"/>
      <c r="I48" s="8"/>
      <c r="J48" s="10"/>
    </row>
    <row r="49" spans="1:10" s="383" customFormat="1" ht="16.5" hidden="1" thickBot="1">
      <c r="A49" s="14"/>
      <c r="B49" s="18"/>
      <c r="C49" s="131" t="s">
        <v>21</v>
      </c>
      <c r="D49" s="131" t="s">
        <v>22</v>
      </c>
      <c r="E49" s="322" t="s">
        <v>23</v>
      </c>
      <c r="F49" s="384"/>
      <c r="G49" s="7"/>
      <c r="H49" s="7"/>
      <c r="I49" s="10"/>
      <c r="J49" s="10"/>
    </row>
    <row r="50" spans="1:10" s="383" customFormat="1" ht="15.75" hidden="1">
      <c r="A50" s="2" t="s">
        <v>24</v>
      </c>
      <c r="B50" s="17">
        <v>101</v>
      </c>
      <c r="C50" s="251">
        <v>6036412</v>
      </c>
      <c r="D50" s="388">
        <v>1.7780000000000001E-2</v>
      </c>
      <c r="E50" s="323">
        <v>107587.32</v>
      </c>
      <c r="F50" s="384" t="s">
        <v>187</v>
      </c>
      <c r="G50" s="7"/>
      <c r="H50" s="7"/>
      <c r="I50" s="8"/>
      <c r="J50" s="7"/>
    </row>
    <row r="51" spans="1:10" s="383" customFormat="1" ht="16.5" hidden="1" thickBot="1">
      <c r="A51" s="2" t="s">
        <v>24</v>
      </c>
      <c r="B51" s="17">
        <v>111</v>
      </c>
      <c r="C51" s="251">
        <v>1867362</v>
      </c>
      <c r="D51" s="388">
        <v>1.7780000000000001E-2</v>
      </c>
      <c r="E51" s="323">
        <v>33861.39</v>
      </c>
      <c r="F51" s="384" t="s">
        <v>187</v>
      </c>
      <c r="G51" s="398" t="str">
        <f>A48</f>
        <v>11-30-2012 - Corrected</v>
      </c>
      <c r="H51" s="399"/>
      <c r="I51" s="399"/>
      <c r="J51" s="399"/>
    </row>
    <row r="52" spans="1:10" s="383" customFormat="1" ht="16.5" hidden="1" thickBot="1">
      <c r="A52" s="2" t="s">
        <v>24</v>
      </c>
      <c r="B52" s="17">
        <v>112</v>
      </c>
      <c r="C52" s="251"/>
      <c r="D52" s="388"/>
      <c r="E52" s="323">
        <f t="shared" ref="E52:E57" si="0">C52*D52</f>
        <v>0</v>
      </c>
      <c r="F52" s="384"/>
      <c r="G52" s="400" t="s">
        <v>215</v>
      </c>
      <c r="H52" s="401"/>
      <c r="I52" s="402" t="s">
        <v>18</v>
      </c>
      <c r="J52" s="403" t="s">
        <v>19</v>
      </c>
    </row>
    <row r="53" spans="1:10" s="383" customFormat="1" ht="15.75" hidden="1">
      <c r="A53" s="2" t="s">
        <v>24</v>
      </c>
      <c r="B53" s="17">
        <v>121</v>
      </c>
      <c r="C53" s="251"/>
      <c r="D53" s="220"/>
      <c r="E53" s="323">
        <f t="shared" si="0"/>
        <v>0</v>
      </c>
      <c r="F53" s="384"/>
      <c r="G53" s="404" t="s">
        <v>28</v>
      </c>
      <c r="H53" s="405" t="s">
        <v>77</v>
      </c>
      <c r="I53" s="406"/>
      <c r="J53" s="407">
        <v>0</v>
      </c>
    </row>
    <row r="54" spans="1:10" s="383" customFormat="1" ht="15.75" hidden="1">
      <c r="A54" s="2" t="s">
        <v>24</v>
      </c>
      <c r="B54" s="17">
        <v>122</v>
      </c>
      <c r="C54" s="252"/>
      <c r="D54" s="220"/>
      <c r="E54" s="323">
        <f t="shared" si="0"/>
        <v>0</v>
      </c>
      <c r="F54" s="384"/>
      <c r="G54" s="408" t="s">
        <v>29</v>
      </c>
      <c r="H54" s="409" t="s">
        <v>78</v>
      </c>
      <c r="I54" s="410">
        <v>0</v>
      </c>
      <c r="J54" s="411">
        <f>-E62+E44</f>
        <v>-95.889999999999986</v>
      </c>
    </row>
    <row r="55" spans="1:10" s="383" customFormat="1" ht="15.75" hidden="1">
      <c r="A55" s="2" t="s">
        <v>24</v>
      </c>
      <c r="B55" s="17">
        <v>131</v>
      </c>
      <c r="C55" s="251">
        <v>0</v>
      </c>
      <c r="D55" s="388">
        <v>1.6570000000000001E-2</v>
      </c>
      <c r="E55" s="323">
        <f t="shared" si="0"/>
        <v>0</v>
      </c>
      <c r="F55" s="384"/>
      <c r="G55" s="408" t="s">
        <v>99</v>
      </c>
      <c r="H55" s="409" t="s">
        <v>60</v>
      </c>
      <c r="I55" s="329">
        <v>0</v>
      </c>
      <c r="J55" s="412">
        <f>E41-E59</f>
        <v>-50512.130000000019</v>
      </c>
    </row>
    <row r="56" spans="1:10" s="383" customFormat="1" ht="15.75" hidden="1">
      <c r="A56" s="2" t="s">
        <v>24</v>
      </c>
      <c r="B56" s="17">
        <v>132</v>
      </c>
      <c r="C56" s="252"/>
      <c r="D56" s="121"/>
      <c r="E56" s="323">
        <f t="shared" si="0"/>
        <v>0</v>
      </c>
      <c r="F56" s="384"/>
      <c r="G56" s="408" t="s">
        <v>10</v>
      </c>
      <c r="H56" s="409" t="s">
        <v>58</v>
      </c>
      <c r="I56" s="409">
        <v>0</v>
      </c>
      <c r="J56" s="413"/>
    </row>
    <row r="57" spans="1:10" s="383" customFormat="1" ht="16.5" hidden="1" thickBot="1">
      <c r="A57" s="2" t="s">
        <v>24</v>
      </c>
      <c r="B57" s="17" t="s">
        <v>61</v>
      </c>
      <c r="C57" s="252"/>
      <c r="D57" s="121"/>
      <c r="E57" s="323">
        <f t="shared" si="0"/>
        <v>0</v>
      </c>
      <c r="F57" s="384"/>
      <c r="G57" s="414" t="s">
        <v>100</v>
      </c>
      <c r="H57" s="399" t="s">
        <v>62</v>
      </c>
      <c r="I57" s="415">
        <f>-J55-J54</f>
        <v>50608.020000000019</v>
      </c>
      <c r="J57" s="416">
        <v>0</v>
      </c>
    </row>
    <row r="58" spans="1:10" s="383" customFormat="1" ht="15.75" hidden="1">
      <c r="A58" s="2" t="s">
        <v>156</v>
      </c>
      <c r="B58" s="70"/>
      <c r="C58" s="250"/>
      <c r="D58" s="136"/>
      <c r="E58" s="324">
        <v>0</v>
      </c>
      <c r="F58" s="384"/>
      <c r="G58" s="409"/>
      <c r="H58" s="409"/>
      <c r="I58" s="329"/>
      <c r="J58" s="329">
        <f>ROUND(SUM(I53:J57),2)</f>
        <v>0</v>
      </c>
    </row>
    <row r="59" spans="1:10" s="383" customFormat="1" ht="16.5" hidden="1" thickBot="1">
      <c r="B59" s="6"/>
      <c r="C59" s="253">
        <f>SUM(C50:C58)</f>
        <v>7903774</v>
      </c>
      <c r="D59" s="155"/>
      <c r="E59" s="325">
        <f>SUM(E50:E58)</f>
        <v>141448.71000000002</v>
      </c>
      <c r="F59" s="384"/>
      <c r="G59" s="7"/>
      <c r="H59" s="7"/>
      <c r="I59" s="7"/>
      <c r="J59" s="7"/>
    </row>
    <row r="60" spans="1:10" s="383" customFormat="1" ht="16.5" hidden="1" thickTop="1">
      <c r="B60" s="6"/>
      <c r="C60" s="254">
        <v>7903774</v>
      </c>
      <c r="D60" s="66" t="s">
        <v>161</v>
      </c>
      <c r="E60" s="326">
        <f>47867.72-48045.69</f>
        <v>-177.97000000000116</v>
      </c>
      <c r="F60" s="384"/>
      <c r="G60" s="65" t="s">
        <v>158</v>
      </c>
      <c r="H60" s="7"/>
      <c r="I60" s="12"/>
      <c r="J60" s="12"/>
    </row>
    <row r="61" spans="1:10" s="383" customFormat="1" ht="15.75" hidden="1">
      <c r="C61" s="316">
        <f>C59-C60</f>
        <v>0</v>
      </c>
      <c r="D61" s="66" t="s">
        <v>87</v>
      </c>
      <c r="E61" s="325">
        <f>E59+E60+E27</f>
        <v>-1032394.7162760291</v>
      </c>
      <c r="F61" s="384"/>
      <c r="G61" s="8">
        <f>(E45*(D62/12))+(E59*(D62/24))</f>
        <v>-844.26887606335742</v>
      </c>
      <c r="H61" s="7"/>
      <c r="I61" s="8"/>
      <c r="J61" s="10"/>
    </row>
    <row r="62" spans="1:10" s="383" customFormat="1" ht="15.75" hidden="1">
      <c r="C62" s="50"/>
      <c r="D62" s="225">
        <v>0.01</v>
      </c>
      <c r="E62" s="327">
        <f>ROUND(((E45)+(E59)/2)*(D62/12),2)</f>
        <v>-844.27</v>
      </c>
      <c r="F62" s="384"/>
      <c r="G62" s="65"/>
      <c r="H62" s="7"/>
      <c r="I62" s="10"/>
      <c r="J62" s="10"/>
    </row>
    <row r="63" spans="1:10" s="383" customFormat="1" ht="16.5" hidden="1" thickBot="1">
      <c r="A63" s="5"/>
      <c r="B63" s="5"/>
      <c r="C63" s="50" t="s">
        <v>1</v>
      </c>
      <c r="D63" s="143" t="str">
        <f>A48</f>
        <v>11-30-2012 - Corrected</v>
      </c>
      <c r="E63" s="328">
        <f>SUM(E61:E62)</f>
        <v>-1033238.9862760291</v>
      </c>
      <c r="F63" s="384"/>
      <c r="G63" s="7"/>
      <c r="H63" s="7"/>
      <c r="I63" s="8"/>
      <c r="J63" s="7"/>
    </row>
    <row r="64" spans="1:10" s="383" customFormat="1" ht="16.5" hidden="1" thickTop="1" thickBot="1">
      <c r="E64" s="319"/>
    </row>
    <row r="65" spans="1:10" s="383" customFormat="1" ht="15.75" hidden="1">
      <c r="A65" s="73" t="s">
        <v>142</v>
      </c>
      <c r="B65" s="74"/>
      <c r="C65" s="75"/>
      <c r="D65" s="76"/>
      <c r="E65" s="320"/>
      <c r="G65" s="16"/>
      <c r="H65" s="5"/>
      <c r="I65" s="56"/>
      <c r="J65" s="56"/>
    </row>
    <row r="66" spans="1:10" s="383" customFormat="1" ht="15.75" hidden="1">
      <c r="A66" s="219">
        <v>41274</v>
      </c>
      <c r="B66" s="71"/>
      <c r="C66" s="16"/>
      <c r="D66" s="72" t="s">
        <v>23</v>
      </c>
      <c r="E66" s="321" t="s">
        <v>21</v>
      </c>
      <c r="G66" s="5"/>
      <c r="H66" s="5"/>
      <c r="I66" s="8"/>
      <c r="J66" s="10"/>
    </row>
    <row r="67" spans="1:10" s="383" customFormat="1" ht="16.5" hidden="1" thickBot="1">
      <c r="A67" s="14"/>
      <c r="B67" s="18"/>
      <c r="C67" s="131" t="s">
        <v>21</v>
      </c>
      <c r="D67" s="131" t="s">
        <v>22</v>
      </c>
      <c r="E67" s="322" t="s">
        <v>23</v>
      </c>
      <c r="F67" s="384"/>
      <c r="G67" s="7"/>
      <c r="H67" s="7"/>
      <c r="I67" s="10"/>
      <c r="J67" s="10"/>
    </row>
    <row r="68" spans="1:10" s="383" customFormat="1" ht="15.75" hidden="1">
      <c r="A68" s="2" t="s">
        <v>24</v>
      </c>
      <c r="B68" s="17">
        <v>101</v>
      </c>
      <c r="C68" s="251">
        <v>8220978</v>
      </c>
      <c r="D68" s="388">
        <v>1.7780000000000001E-2</v>
      </c>
      <c r="E68" s="323">
        <f>C68*D68</f>
        <v>146168.98884000001</v>
      </c>
      <c r="F68" s="384"/>
      <c r="G68" s="7"/>
      <c r="H68" s="7"/>
      <c r="I68" s="8"/>
      <c r="J68" s="7"/>
    </row>
    <row r="69" spans="1:10" s="383" customFormat="1" ht="16.5" hidden="1" thickBot="1">
      <c r="A69" s="2" t="s">
        <v>24</v>
      </c>
      <c r="B69" s="17">
        <v>111</v>
      </c>
      <c r="C69" s="251">
        <v>2679003</v>
      </c>
      <c r="D69" s="388">
        <v>1.7780000000000001E-2</v>
      </c>
      <c r="E69" s="323">
        <f t="shared" ref="E69:E76" si="1">C69*D69</f>
        <v>47632.673340000001</v>
      </c>
      <c r="F69" s="384"/>
      <c r="G69" s="146">
        <f>A66</f>
        <v>41274</v>
      </c>
      <c r="H69" s="147"/>
      <c r="I69" s="147"/>
      <c r="J69" s="147"/>
    </row>
    <row r="70" spans="1:10" s="383" customFormat="1" ht="16.5" hidden="1" thickBot="1">
      <c r="A70" s="2" t="s">
        <v>24</v>
      </c>
      <c r="B70" s="17">
        <v>112</v>
      </c>
      <c r="C70" s="251"/>
      <c r="D70" s="388"/>
      <c r="E70" s="323">
        <f t="shared" si="1"/>
        <v>0</v>
      </c>
      <c r="F70" s="384"/>
      <c r="G70" s="102" t="s">
        <v>25</v>
      </c>
      <c r="H70" s="148"/>
      <c r="I70" s="149" t="s">
        <v>18</v>
      </c>
      <c r="J70" s="150" t="s">
        <v>19</v>
      </c>
    </row>
    <row r="71" spans="1:10" s="383" customFormat="1" ht="15.75" hidden="1">
      <c r="A71" s="2" t="s">
        <v>24</v>
      </c>
      <c r="B71" s="17">
        <v>121</v>
      </c>
      <c r="C71" s="251"/>
      <c r="D71" s="220"/>
      <c r="E71" s="323">
        <f t="shared" si="1"/>
        <v>0</v>
      </c>
      <c r="F71" s="384"/>
      <c r="G71" s="151" t="s">
        <v>28</v>
      </c>
      <c r="H71" s="152" t="s">
        <v>77</v>
      </c>
      <c r="I71" s="108"/>
      <c r="J71" s="393">
        <v>0</v>
      </c>
    </row>
    <row r="72" spans="1:10" s="383" customFormat="1" ht="15.75" hidden="1">
      <c r="A72" s="2" t="s">
        <v>24</v>
      </c>
      <c r="B72" s="17">
        <v>122</v>
      </c>
      <c r="C72" s="252"/>
      <c r="D72" s="220"/>
      <c r="E72" s="323">
        <f t="shared" si="1"/>
        <v>0</v>
      </c>
      <c r="F72" s="384"/>
      <c r="G72" s="153" t="s">
        <v>29</v>
      </c>
      <c r="H72" s="7" t="s">
        <v>78</v>
      </c>
      <c r="I72" s="394">
        <f>-E80</f>
        <v>780.28</v>
      </c>
      <c r="J72" s="222"/>
    </row>
    <row r="73" spans="1:10" s="383" customFormat="1" ht="15.75" hidden="1">
      <c r="A73" s="2" t="s">
        <v>24</v>
      </c>
      <c r="B73" s="17">
        <v>131</v>
      </c>
      <c r="C73" s="251">
        <v>0</v>
      </c>
      <c r="D73" s="388">
        <v>1.6570000000000001E-2</v>
      </c>
      <c r="E73" s="323">
        <f t="shared" si="1"/>
        <v>0</v>
      </c>
      <c r="F73" s="384"/>
      <c r="G73" s="153" t="s">
        <v>99</v>
      </c>
      <c r="H73" s="7" t="s">
        <v>60</v>
      </c>
      <c r="I73" s="8"/>
      <c r="J73" s="98">
        <f>-E77-E78</f>
        <v>-193801.66218000001</v>
      </c>
    </row>
    <row r="74" spans="1:10" s="383" customFormat="1" ht="15.75" hidden="1">
      <c r="A74" s="2" t="s">
        <v>24</v>
      </c>
      <c r="B74" s="17">
        <v>132</v>
      </c>
      <c r="C74" s="252"/>
      <c r="D74" s="121"/>
      <c r="E74" s="323">
        <f t="shared" si="1"/>
        <v>0</v>
      </c>
      <c r="F74" s="384"/>
      <c r="G74" s="153" t="s">
        <v>10</v>
      </c>
      <c r="H74" s="7" t="s">
        <v>58</v>
      </c>
      <c r="I74" s="7">
        <v>0</v>
      </c>
      <c r="J74" s="109"/>
    </row>
    <row r="75" spans="1:10" s="383" customFormat="1" ht="16.5" hidden="1" thickBot="1">
      <c r="A75" s="2" t="s">
        <v>24</v>
      </c>
      <c r="B75" s="17" t="s">
        <v>61</v>
      </c>
      <c r="C75" s="252"/>
      <c r="D75" s="121"/>
      <c r="E75" s="323">
        <f t="shared" si="1"/>
        <v>0</v>
      </c>
      <c r="F75" s="384"/>
      <c r="G75" s="154" t="s">
        <v>100</v>
      </c>
      <c r="H75" s="147" t="s">
        <v>62</v>
      </c>
      <c r="I75" s="110">
        <f>-E63+E81</f>
        <v>193021.38217999996</v>
      </c>
      <c r="J75" s="107">
        <v>0</v>
      </c>
    </row>
    <row r="76" spans="1:10" s="383" customFormat="1" ht="15.75" hidden="1">
      <c r="A76" s="2" t="s">
        <v>156</v>
      </c>
      <c r="B76" s="70"/>
      <c r="C76" s="250"/>
      <c r="D76" s="136"/>
      <c r="E76" s="324">
        <f t="shared" si="1"/>
        <v>0</v>
      </c>
      <c r="F76" s="384"/>
      <c r="G76" s="7"/>
      <c r="H76" s="7"/>
      <c r="I76" s="8"/>
      <c r="J76" s="259">
        <f>ROUND(SUM(I71:J75),2)</f>
        <v>0</v>
      </c>
    </row>
    <row r="77" spans="1:10" s="383" customFormat="1" ht="16.5" hidden="1" thickBot="1">
      <c r="B77" s="6"/>
      <c r="C77" s="253">
        <f>SUM(C68:C76)</f>
        <v>10899981</v>
      </c>
      <c r="D77" s="155"/>
      <c r="E77" s="325">
        <f>SUM(E68:E76)</f>
        <v>193801.66218000001</v>
      </c>
      <c r="F77" s="384"/>
      <c r="G77" s="7"/>
      <c r="H77" s="7"/>
      <c r="I77" s="7"/>
      <c r="J77" s="7"/>
    </row>
    <row r="78" spans="1:10" s="383" customFormat="1" ht="16.5" hidden="1" thickTop="1">
      <c r="B78" s="6"/>
      <c r="C78" s="254">
        <v>10899981</v>
      </c>
      <c r="D78" s="66" t="s">
        <v>161</v>
      </c>
      <c r="E78" s="326">
        <v>0</v>
      </c>
      <c r="F78" s="384"/>
      <c r="G78" s="65" t="s">
        <v>158</v>
      </c>
      <c r="H78" s="7"/>
      <c r="I78" s="12"/>
      <c r="J78" s="12"/>
    </row>
    <row r="79" spans="1:10" s="383" customFormat="1" ht="15.75" hidden="1">
      <c r="C79" s="316">
        <f>C77-C78</f>
        <v>0</v>
      </c>
      <c r="D79" s="66" t="s">
        <v>87</v>
      </c>
      <c r="E79" s="325">
        <f>E77+E78+E63</f>
        <v>-839437.32409602916</v>
      </c>
      <c r="F79" s="384"/>
      <c r="G79" s="8">
        <f>(E63*(D80/12))+(E77*(D80/24))</f>
        <v>-780.28179598835766</v>
      </c>
      <c r="H79" s="7"/>
      <c r="I79" s="8"/>
      <c r="J79" s="10"/>
    </row>
    <row r="80" spans="1:10" s="383" customFormat="1" ht="15.75" hidden="1">
      <c r="C80" s="50"/>
      <c r="D80" s="225">
        <v>0.01</v>
      </c>
      <c r="E80" s="327">
        <f>ROUND(((E63)+(E77)/2)*(D80/12),2)</f>
        <v>-780.28</v>
      </c>
      <c r="F80" s="384"/>
      <c r="G80" s="65"/>
      <c r="H80" s="7"/>
      <c r="I80" s="10"/>
      <c r="J80" s="10"/>
    </row>
    <row r="81" spans="1:10" s="383" customFormat="1" ht="16.5" hidden="1" thickBot="1">
      <c r="A81" s="5"/>
      <c r="B81" s="5"/>
      <c r="C81" s="50" t="s">
        <v>1</v>
      </c>
      <c r="D81" s="143">
        <f>A66</f>
        <v>41274</v>
      </c>
      <c r="E81" s="328">
        <f>SUM(E79:E80)</f>
        <v>-840217.60409602919</v>
      </c>
      <c r="F81" s="384"/>
      <c r="G81" s="7"/>
      <c r="H81" s="7"/>
      <c r="I81" s="8"/>
      <c r="J81" s="7"/>
    </row>
    <row r="82" spans="1:10" s="383" customFormat="1" ht="15.75" hidden="1" thickTop="1">
      <c r="E82" s="319"/>
    </row>
    <row r="83" spans="1:10" s="383" customFormat="1" ht="15.75" hidden="1">
      <c r="A83" s="73" t="s">
        <v>142</v>
      </c>
      <c r="B83" s="74"/>
      <c r="C83" s="75"/>
      <c r="D83" s="76"/>
      <c r="E83" s="320"/>
      <c r="G83" s="16"/>
      <c r="H83" s="5"/>
      <c r="I83" s="56"/>
      <c r="J83" s="56"/>
    </row>
    <row r="84" spans="1:10" s="383" customFormat="1" ht="15.75" hidden="1">
      <c r="A84" s="219">
        <v>41275</v>
      </c>
      <c r="B84" s="71"/>
      <c r="C84" s="16"/>
      <c r="D84" s="72" t="s">
        <v>23</v>
      </c>
      <c r="E84" s="321" t="s">
        <v>21</v>
      </c>
      <c r="G84" s="5"/>
      <c r="H84" s="5"/>
      <c r="I84" s="8"/>
      <c r="J84" s="10"/>
    </row>
    <row r="85" spans="1:10" s="383" customFormat="1" ht="16.5" hidden="1" thickBot="1">
      <c r="A85" s="14"/>
      <c r="B85" s="18"/>
      <c r="C85" s="131" t="s">
        <v>21</v>
      </c>
      <c r="D85" s="131" t="s">
        <v>22</v>
      </c>
      <c r="E85" s="322" t="s">
        <v>23</v>
      </c>
      <c r="F85" s="384"/>
      <c r="G85" s="7"/>
      <c r="H85" s="7"/>
      <c r="I85" s="10"/>
      <c r="J85" s="10"/>
    </row>
    <row r="86" spans="1:10" s="383" customFormat="1" ht="15.75" hidden="1">
      <c r="A86" s="2" t="s">
        <v>24</v>
      </c>
      <c r="B86" s="17">
        <v>101</v>
      </c>
      <c r="C86" s="251">
        <v>9764920</v>
      </c>
      <c r="D86" s="388">
        <v>1.7780000000000001E-2</v>
      </c>
      <c r="E86" s="323">
        <f>C86*D86</f>
        <v>173620.2776</v>
      </c>
      <c r="F86" s="384"/>
      <c r="G86" s="7"/>
      <c r="H86" s="7"/>
      <c r="I86" s="8"/>
      <c r="J86" s="7"/>
    </row>
    <row r="87" spans="1:10" s="383" customFormat="1" ht="16.5" hidden="1" thickBot="1">
      <c r="A87" s="2" t="s">
        <v>24</v>
      </c>
      <c r="B87" s="17">
        <v>111</v>
      </c>
      <c r="C87" s="251">
        <v>3069039</v>
      </c>
      <c r="D87" s="388">
        <v>1.7780000000000001E-2</v>
      </c>
      <c r="E87" s="323">
        <f>C87*D87</f>
        <v>54567.513420000003</v>
      </c>
      <c r="F87" s="384"/>
      <c r="G87" s="146">
        <f>A84</f>
        <v>41275</v>
      </c>
      <c r="H87" s="147"/>
      <c r="I87" s="147"/>
      <c r="J87" s="147"/>
    </row>
    <row r="88" spans="1:10" s="383" customFormat="1" ht="16.5" hidden="1" thickBot="1">
      <c r="A88" s="2" t="s">
        <v>24</v>
      </c>
      <c r="B88" s="17">
        <v>112</v>
      </c>
      <c r="C88" s="251"/>
      <c r="D88" s="388"/>
      <c r="E88" s="323">
        <f t="shared" ref="E88:E94" si="2">C88*D88</f>
        <v>0</v>
      </c>
      <c r="F88" s="384"/>
      <c r="G88" s="102" t="s">
        <v>25</v>
      </c>
      <c r="H88" s="148"/>
      <c r="I88" s="149" t="s">
        <v>18</v>
      </c>
      <c r="J88" s="150" t="s">
        <v>19</v>
      </c>
    </row>
    <row r="89" spans="1:10" s="383" customFormat="1" ht="15.75" hidden="1">
      <c r="A89" s="2" t="s">
        <v>24</v>
      </c>
      <c r="B89" s="17">
        <v>121</v>
      </c>
      <c r="C89" s="251"/>
      <c r="D89" s="220"/>
      <c r="E89" s="323">
        <f t="shared" si="2"/>
        <v>0</v>
      </c>
      <c r="F89" s="384"/>
      <c r="G89" s="151" t="s">
        <v>28</v>
      </c>
      <c r="H89" s="152" t="s">
        <v>77</v>
      </c>
      <c r="I89" s="108"/>
      <c r="J89" s="393">
        <v>0</v>
      </c>
    </row>
    <row r="90" spans="1:10" s="383" customFormat="1" ht="15.75" hidden="1">
      <c r="A90" s="2" t="s">
        <v>24</v>
      </c>
      <c r="B90" s="17">
        <v>122</v>
      </c>
      <c r="C90" s="252"/>
      <c r="D90" s="220"/>
      <c r="E90" s="323">
        <f t="shared" si="2"/>
        <v>0</v>
      </c>
      <c r="F90" s="384"/>
      <c r="G90" s="153" t="s">
        <v>29</v>
      </c>
      <c r="H90" s="7" t="s">
        <v>78</v>
      </c>
      <c r="I90" s="394">
        <f>-E98</f>
        <v>605.1</v>
      </c>
      <c r="J90" s="222"/>
    </row>
    <row r="91" spans="1:10" s="383" customFormat="1" ht="15.75" hidden="1">
      <c r="A91" s="2" t="s">
        <v>24</v>
      </c>
      <c r="B91" s="17">
        <v>131</v>
      </c>
      <c r="C91" s="251">
        <v>0</v>
      </c>
      <c r="D91" s="388">
        <v>1.6570000000000001E-2</v>
      </c>
      <c r="E91" s="323">
        <f>C91*D91</f>
        <v>0</v>
      </c>
      <c r="F91" s="384"/>
      <c r="G91" s="153" t="s">
        <v>99</v>
      </c>
      <c r="H91" s="7" t="s">
        <v>60</v>
      </c>
      <c r="I91" s="8"/>
      <c r="J91" s="98">
        <f>-E95-E96</f>
        <v>-228187.79102</v>
      </c>
    </row>
    <row r="92" spans="1:10" s="383" customFormat="1" ht="15.75" hidden="1">
      <c r="A92" s="2" t="s">
        <v>24</v>
      </c>
      <c r="B92" s="17">
        <v>132</v>
      </c>
      <c r="C92" s="252"/>
      <c r="D92" s="121"/>
      <c r="E92" s="323">
        <f t="shared" si="2"/>
        <v>0</v>
      </c>
      <c r="F92" s="384"/>
      <c r="G92" s="153" t="s">
        <v>10</v>
      </c>
      <c r="H92" s="7" t="s">
        <v>58</v>
      </c>
      <c r="I92" s="7">
        <v>0</v>
      </c>
      <c r="J92" s="109"/>
    </row>
    <row r="93" spans="1:10" s="383" customFormat="1" ht="16.5" hidden="1" thickBot="1">
      <c r="A93" s="2" t="s">
        <v>24</v>
      </c>
      <c r="B93" s="17" t="s">
        <v>61</v>
      </c>
      <c r="C93" s="252"/>
      <c r="D93" s="121"/>
      <c r="E93" s="323">
        <f t="shared" si="2"/>
        <v>0</v>
      </c>
      <c r="F93" s="384"/>
      <c r="G93" s="154" t="s">
        <v>100</v>
      </c>
      <c r="H93" s="147" t="s">
        <v>62</v>
      </c>
      <c r="I93" s="110">
        <f>-E81+E99</f>
        <v>227582.69102000003</v>
      </c>
      <c r="J93" s="107">
        <v>0</v>
      </c>
    </row>
    <row r="94" spans="1:10" s="383" customFormat="1" ht="15.75" hidden="1">
      <c r="A94" s="2" t="s">
        <v>156</v>
      </c>
      <c r="B94" s="70"/>
      <c r="C94" s="250"/>
      <c r="D94" s="136"/>
      <c r="E94" s="324">
        <f t="shared" si="2"/>
        <v>0</v>
      </c>
      <c r="F94" s="384"/>
      <c r="G94" s="7"/>
      <c r="H94" s="7"/>
      <c r="I94" s="8"/>
      <c r="J94" s="259">
        <f>ROUND(SUM(I89:J93),2)</f>
        <v>0</v>
      </c>
    </row>
    <row r="95" spans="1:10" s="383" customFormat="1" ht="16.5" hidden="1" thickBot="1">
      <c r="B95" s="6"/>
      <c r="C95" s="253">
        <f>SUM(C86:C94)</f>
        <v>12833959</v>
      </c>
      <c r="D95" s="155"/>
      <c r="E95" s="325">
        <f>SUM(E86:E94)</f>
        <v>228187.79102</v>
      </c>
      <c r="F95" s="384"/>
      <c r="G95" s="7"/>
      <c r="H95" s="7"/>
      <c r="I95" s="7"/>
      <c r="J95" s="7"/>
    </row>
    <row r="96" spans="1:10" s="383" customFormat="1" ht="16.5" hidden="1" thickTop="1">
      <c r="B96" s="6"/>
      <c r="C96" s="254">
        <v>12833959</v>
      </c>
      <c r="D96" s="66" t="s">
        <v>161</v>
      </c>
      <c r="E96" s="326">
        <v>0</v>
      </c>
      <c r="F96" s="384"/>
      <c r="G96" s="65" t="s">
        <v>158</v>
      </c>
      <c r="H96" s="7"/>
      <c r="I96" s="12"/>
      <c r="J96" s="12"/>
    </row>
    <row r="97" spans="1:10" s="383" customFormat="1" ht="15.75" hidden="1">
      <c r="C97" s="316">
        <f>C95-C96</f>
        <v>0</v>
      </c>
      <c r="D97" s="66" t="s">
        <v>87</v>
      </c>
      <c r="E97" s="325">
        <f>E95+E96+E81</f>
        <v>-612029.81307602918</v>
      </c>
      <c r="F97" s="384"/>
      <c r="G97" s="8">
        <f>(E81*(D98/12))+(E95*(D98/24))</f>
        <v>-605.10309048835768</v>
      </c>
      <c r="H97" s="7"/>
      <c r="I97" s="8"/>
      <c r="J97" s="10"/>
    </row>
    <row r="98" spans="1:10" s="383" customFormat="1" ht="15.75" hidden="1">
      <c r="C98" s="50"/>
      <c r="D98" s="225">
        <v>0.01</v>
      </c>
      <c r="E98" s="327">
        <f>ROUND(((E81)+(E95)/2)*(D98/12),2)</f>
        <v>-605.1</v>
      </c>
      <c r="F98" s="384"/>
      <c r="G98" s="65"/>
      <c r="H98" s="7"/>
      <c r="I98" s="10"/>
      <c r="J98" s="10"/>
    </row>
    <row r="99" spans="1:10" s="383" customFormat="1" ht="16.5" hidden="1" thickBot="1">
      <c r="A99" s="5"/>
      <c r="B99" s="5"/>
      <c r="C99" s="50" t="s">
        <v>1</v>
      </c>
      <c r="D99" s="143">
        <f>A84</f>
        <v>41275</v>
      </c>
      <c r="E99" s="328">
        <f>SUM(E97:E98)</f>
        <v>-612634.91307602916</v>
      </c>
      <c r="F99" s="384"/>
      <c r="G99" s="7"/>
      <c r="H99" s="7"/>
      <c r="I99" s="8"/>
      <c r="J99" s="7"/>
    </row>
    <row r="100" spans="1:10" s="383" customFormat="1" ht="16.5" hidden="1" thickTop="1" thickBot="1">
      <c r="E100" s="319"/>
    </row>
    <row r="101" spans="1:10" s="383" customFormat="1" ht="15.75" hidden="1">
      <c r="A101" s="73" t="s">
        <v>142</v>
      </c>
      <c r="B101" s="74"/>
      <c r="C101" s="75"/>
      <c r="D101" s="76"/>
      <c r="E101" s="320"/>
      <c r="G101" s="16"/>
      <c r="H101" s="5"/>
      <c r="I101" s="56"/>
      <c r="J101" s="56"/>
    </row>
    <row r="102" spans="1:10" s="383" customFormat="1" ht="15.75" hidden="1">
      <c r="A102" s="219">
        <v>41333</v>
      </c>
      <c r="B102" s="71"/>
      <c r="C102" s="16"/>
      <c r="D102" s="72" t="s">
        <v>23</v>
      </c>
      <c r="E102" s="321" t="s">
        <v>21</v>
      </c>
      <c r="G102" s="5"/>
      <c r="H102" s="5"/>
      <c r="I102" s="8"/>
      <c r="J102" s="10"/>
    </row>
    <row r="103" spans="1:10" s="383" customFormat="1" ht="16.5" hidden="1" thickBot="1">
      <c r="A103" s="14"/>
      <c r="B103" s="18"/>
      <c r="C103" s="131" t="s">
        <v>21</v>
      </c>
      <c r="D103" s="131" t="s">
        <v>22</v>
      </c>
      <c r="E103" s="322" t="s">
        <v>23</v>
      </c>
      <c r="F103" s="384"/>
      <c r="G103" s="7"/>
      <c r="H103" s="7"/>
      <c r="I103" s="10"/>
      <c r="J103" s="10"/>
    </row>
    <row r="104" spans="1:10" s="383" customFormat="1" ht="15.75" hidden="1">
      <c r="A104" s="2" t="s">
        <v>24</v>
      </c>
      <c r="B104" s="17">
        <v>101</v>
      </c>
      <c r="C104" s="251">
        <v>6162035</v>
      </c>
      <c r="D104" s="388">
        <v>1.7780000000000001E-2</v>
      </c>
      <c r="E104" s="323">
        <f>C104*D104</f>
        <v>109560.9823</v>
      </c>
      <c r="F104" s="384"/>
      <c r="G104" s="7"/>
      <c r="H104" s="7"/>
      <c r="I104" s="8"/>
      <c r="J104" s="7"/>
    </row>
    <row r="105" spans="1:10" s="383" customFormat="1" ht="16.5" hidden="1" thickBot="1">
      <c r="A105" s="2" t="s">
        <v>24</v>
      </c>
      <c r="B105" s="17">
        <v>111</v>
      </c>
      <c r="C105" s="251">
        <v>2375460</v>
      </c>
      <c r="D105" s="388">
        <v>1.7780000000000001E-2</v>
      </c>
      <c r="E105" s="323">
        <f>C105*D105</f>
        <v>42235.678800000002</v>
      </c>
      <c r="F105" s="384"/>
      <c r="G105" s="146">
        <f>A102</f>
        <v>41333</v>
      </c>
      <c r="H105" s="147"/>
      <c r="I105" s="147"/>
      <c r="J105" s="147"/>
    </row>
    <row r="106" spans="1:10" s="383" customFormat="1" ht="16.5" hidden="1" thickBot="1">
      <c r="A106" s="2" t="s">
        <v>24</v>
      </c>
      <c r="B106" s="17">
        <v>112</v>
      </c>
      <c r="C106" s="251"/>
      <c r="D106" s="388"/>
      <c r="E106" s="323">
        <f t="shared" ref="E106:E108" si="3">C106*D106</f>
        <v>0</v>
      </c>
      <c r="F106" s="384"/>
      <c r="G106" s="102" t="s">
        <v>25</v>
      </c>
      <c r="H106" s="148"/>
      <c r="I106" s="149" t="s">
        <v>18</v>
      </c>
      <c r="J106" s="150" t="s">
        <v>19</v>
      </c>
    </row>
    <row r="107" spans="1:10" s="383" customFormat="1" ht="15.75" hidden="1">
      <c r="A107" s="2" t="s">
        <v>24</v>
      </c>
      <c r="B107" s="17">
        <v>121</v>
      </c>
      <c r="C107" s="251"/>
      <c r="D107" s="220"/>
      <c r="E107" s="323">
        <f t="shared" si="3"/>
        <v>0</v>
      </c>
      <c r="F107" s="384"/>
      <c r="G107" s="151" t="s">
        <v>28</v>
      </c>
      <c r="H107" s="152" t="s">
        <v>77</v>
      </c>
      <c r="I107" s="108"/>
      <c r="J107" s="393">
        <v>0</v>
      </c>
    </row>
    <row r="108" spans="1:10" s="383" customFormat="1" ht="15.75" hidden="1">
      <c r="A108" s="2" t="s">
        <v>24</v>
      </c>
      <c r="B108" s="17">
        <v>122</v>
      </c>
      <c r="C108" s="252"/>
      <c r="D108" s="220"/>
      <c r="E108" s="323">
        <f t="shared" si="3"/>
        <v>0</v>
      </c>
      <c r="F108" s="384"/>
      <c r="G108" s="153" t="s">
        <v>29</v>
      </c>
      <c r="H108" s="7" t="s">
        <v>78</v>
      </c>
      <c r="I108" s="394">
        <f>-E116</f>
        <v>447.28</v>
      </c>
      <c r="J108" s="222"/>
    </row>
    <row r="109" spans="1:10" s="383" customFormat="1" ht="15.75" hidden="1">
      <c r="A109" s="2" t="s">
        <v>24</v>
      </c>
      <c r="B109" s="17">
        <v>131</v>
      </c>
      <c r="C109" s="251">
        <v>0</v>
      </c>
      <c r="D109" s="388">
        <v>1.6570000000000001E-2</v>
      </c>
      <c r="E109" s="323">
        <f>C109*D109</f>
        <v>0</v>
      </c>
      <c r="F109" s="384"/>
      <c r="G109" s="153" t="s">
        <v>99</v>
      </c>
      <c r="H109" s="7" t="s">
        <v>60</v>
      </c>
      <c r="I109" s="8"/>
      <c r="J109" s="98">
        <f>-E113-E114</f>
        <v>-151796.6611</v>
      </c>
    </row>
    <row r="110" spans="1:10" s="383" customFormat="1" ht="15.75" hidden="1">
      <c r="A110" s="2" t="s">
        <v>24</v>
      </c>
      <c r="B110" s="17">
        <v>132</v>
      </c>
      <c r="C110" s="252"/>
      <c r="D110" s="121"/>
      <c r="E110" s="323">
        <f t="shared" ref="E110:E112" si="4">C110*D110</f>
        <v>0</v>
      </c>
      <c r="F110" s="384"/>
      <c r="G110" s="153" t="s">
        <v>10</v>
      </c>
      <c r="H110" s="7" t="s">
        <v>58</v>
      </c>
      <c r="I110" s="7">
        <v>0</v>
      </c>
      <c r="J110" s="109"/>
    </row>
    <row r="111" spans="1:10" s="383" customFormat="1" ht="16.5" hidden="1" thickBot="1">
      <c r="A111" s="2" t="s">
        <v>24</v>
      </c>
      <c r="B111" s="17" t="s">
        <v>61</v>
      </c>
      <c r="C111" s="252"/>
      <c r="D111" s="121"/>
      <c r="E111" s="323">
        <f t="shared" si="4"/>
        <v>0</v>
      </c>
      <c r="F111" s="384"/>
      <c r="G111" s="154" t="s">
        <v>100</v>
      </c>
      <c r="H111" s="147" t="s">
        <v>62</v>
      </c>
      <c r="I111" s="110">
        <f>-E99+E117</f>
        <v>151349.3811</v>
      </c>
      <c r="J111" s="107">
        <v>0</v>
      </c>
    </row>
    <row r="112" spans="1:10" s="383" customFormat="1" ht="15.75" hidden="1">
      <c r="A112" s="2" t="s">
        <v>156</v>
      </c>
      <c r="B112" s="70"/>
      <c r="C112" s="250"/>
      <c r="D112" s="136"/>
      <c r="E112" s="324">
        <f t="shared" si="4"/>
        <v>0</v>
      </c>
      <c r="F112" s="384"/>
      <c r="G112" s="7"/>
      <c r="H112" s="7"/>
      <c r="I112" s="8"/>
      <c r="J112" s="259">
        <f>ROUND(SUM(I107:J111),2)</f>
        <v>0</v>
      </c>
    </row>
    <row r="113" spans="1:10" s="383" customFormat="1" ht="16.5" hidden="1" thickBot="1">
      <c r="B113" s="6"/>
      <c r="C113" s="253">
        <f>SUM(C104:C112)</f>
        <v>8537495</v>
      </c>
      <c r="D113" s="155"/>
      <c r="E113" s="325">
        <f>SUM(E104:E112)</f>
        <v>151796.6611</v>
      </c>
      <c r="F113" s="384"/>
      <c r="G113" s="7"/>
      <c r="H113" s="7"/>
      <c r="I113" s="7"/>
      <c r="J113" s="7"/>
    </row>
    <row r="114" spans="1:10" s="383" customFormat="1" ht="16.5" hidden="1" thickTop="1">
      <c r="B114" s="6"/>
      <c r="C114" s="254">
        <v>8537495</v>
      </c>
      <c r="D114" s="66" t="s">
        <v>161</v>
      </c>
      <c r="E114" s="326">
        <v>0</v>
      </c>
      <c r="F114" s="384"/>
      <c r="G114" s="65" t="s">
        <v>158</v>
      </c>
      <c r="H114" s="7"/>
      <c r="I114" s="12"/>
      <c r="J114" s="12"/>
    </row>
    <row r="115" spans="1:10" s="383" customFormat="1" ht="15.75" hidden="1">
      <c r="C115" s="316">
        <f>C113-C114</f>
        <v>0</v>
      </c>
      <c r="D115" s="66" t="s">
        <v>87</v>
      </c>
      <c r="E115" s="325">
        <f>E113+E114+E99</f>
        <v>-460838.25197602913</v>
      </c>
      <c r="F115" s="384"/>
      <c r="G115" s="8">
        <f>(E99*(D116/12))+(E113*(D116/24))</f>
        <v>-447.28048543835769</v>
      </c>
      <c r="H115" s="7"/>
      <c r="I115" s="8"/>
      <c r="J115" s="10"/>
    </row>
    <row r="116" spans="1:10" s="383" customFormat="1" ht="15.75" hidden="1">
      <c r="C116" s="50"/>
      <c r="D116" s="225">
        <v>0.01</v>
      </c>
      <c r="E116" s="327">
        <f>ROUND(((E99)+(E113)/2)*(D116/12),2)</f>
        <v>-447.28</v>
      </c>
      <c r="F116" s="384"/>
      <c r="G116" s="65"/>
      <c r="H116" s="7"/>
      <c r="I116" s="10"/>
      <c r="J116" s="10"/>
    </row>
    <row r="117" spans="1:10" s="383" customFormat="1" ht="16.5" hidden="1" thickBot="1">
      <c r="A117" s="5"/>
      <c r="B117" s="5"/>
      <c r="C117" s="50" t="s">
        <v>1</v>
      </c>
      <c r="D117" s="143">
        <f>A102</f>
        <v>41333</v>
      </c>
      <c r="E117" s="328">
        <f>SUM(E115:E116)</f>
        <v>-461285.53197602916</v>
      </c>
      <c r="F117" s="384"/>
      <c r="G117" s="7"/>
      <c r="H117" s="7"/>
      <c r="I117" s="8"/>
      <c r="J117" s="7"/>
    </row>
    <row r="118" spans="1:10" s="383" customFormat="1" ht="16.5" hidden="1" thickTop="1" thickBot="1">
      <c r="E118" s="319"/>
    </row>
    <row r="119" spans="1:10" s="383" customFormat="1" ht="15.75" hidden="1">
      <c r="A119" s="73" t="s">
        <v>142</v>
      </c>
      <c r="B119" s="74"/>
      <c r="C119" s="75"/>
      <c r="D119" s="76"/>
      <c r="E119" s="320"/>
      <c r="G119" s="16"/>
      <c r="H119" s="5"/>
      <c r="I119" s="56"/>
      <c r="J119" s="56"/>
    </row>
    <row r="120" spans="1:10" s="383" customFormat="1" ht="15.75" hidden="1">
      <c r="A120" s="219">
        <v>41364</v>
      </c>
      <c r="B120" s="71"/>
      <c r="C120" s="16"/>
      <c r="D120" s="72" t="s">
        <v>23</v>
      </c>
      <c r="E120" s="321" t="s">
        <v>21</v>
      </c>
      <c r="G120" s="5"/>
      <c r="H120" s="5"/>
      <c r="I120" s="8"/>
      <c r="J120" s="10"/>
    </row>
    <row r="121" spans="1:10" s="383" customFormat="1" ht="16.5" hidden="1" thickBot="1">
      <c r="A121" s="14"/>
      <c r="B121" s="18"/>
      <c r="C121" s="131" t="s">
        <v>21</v>
      </c>
      <c r="D121" s="131" t="s">
        <v>22</v>
      </c>
      <c r="E121" s="322" t="s">
        <v>23</v>
      </c>
      <c r="F121" s="384"/>
      <c r="G121" s="7"/>
      <c r="H121" s="7"/>
      <c r="I121" s="10"/>
      <c r="J121" s="10"/>
    </row>
    <row r="122" spans="1:10" s="383" customFormat="1" ht="15.75" hidden="1">
      <c r="A122" s="2" t="s">
        <v>24</v>
      </c>
      <c r="B122" s="17">
        <v>101</v>
      </c>
      <c r="C122" s="251">
        <v>6046642</v>
      </c>
      <c r="D122" s="388">
        <v>1.7780000000000001E-2</v>
      </c>
      <c r="E122" s="323">
        <v>107509.29476</v>
      </c>
      <c r="F122" s="384"/>
      <c r="G122" s="7"/>
      <c r="H122" s="7"/>
      <c r="I122" s="8"/>
      <c r="J122" s="7"/>
    </row>
    <row r="123" spans="1:10" s="383" customFormat="1" ht="16.5" hidden="1" thickBot="1">
      <c r="A123" s="2" t="s">
        <v>24</v>
      </c>
      <c r="B123" s="17">
        <v>111</v>
      </c>
      <c r="C123" s="251">
        <v>2214620</v>
      </c>
      <c r="D123" s="388">
        <v>1.7780000000000001E-2</v>
      </c>
      <c r="E123" s="323">
        <v>39375.943599999999</v>
      </c>
      <c r="F123" s="384"/>
      <c r="G123" s="146">
        <f>A120</f>
        <v>41364</v>
      </c>
      <c r="H123" s="147"/>
      <c r="I123" s="147"/>
      <c r="J123" s="147"/>
    </row>
    <row r="124" spans="1:10" s="383" customFormat="1" ht="16.5" hidden="1" thickBot="1">
      <c r="A124" s="2" t="s">
        <v>24</v>
      </c>
      <c r="B124" s="17">
        <v>112</v>
      </c>
      <c r="C124" s="251"/>
      <c r="D124" s="388"/>
      <c r="E124" s="323">
        <v>0</v>
      </c>
      <c r="F124" s="384"/>
      <c r="G124" s="102" t="s">
        <v>25</v>
      </c>
      <c r="H124" s="148"/>
      <c r="I124" s="149" t="s">
        <v>18</v>
      </c>
      <c r="J124" s="150" t="s">
        <v>19</v>
      </c>
    </row>
    <row r="125" spans="1:10" s="383" customFormat="1" ht="15.75" hidden="1">
      <c r="A125" s="2" t="s">
        <v>24</v>
      </c>
      <c r="B125" s="17">
        <v>121</v>
      </c>
      <c r="C125" s="251"/>
      <c r="D125" s="220"/>
      <c r="E125" s="323">
        <v>0</v>
      </c>
      <c r="F125" s="384"/>
      <c r="G125" s="151" t="s">
        <v>28</v>
      </c>
      <c r="H125" s="152" t="s">
        <v>77</v>
      </c>
      <c r="I125" s="108"/>
      <c r="J125" s="393">
        <v>0</v>
      </c>
    </row>
    <row r="126" spans="1:10" s="383" customFormat="1" ht="15.75" hidden="1">
      <c r="A126" s="2" t="s">
        <v>24</v>
      </c>
      <c r="B126" s="17">
        <v>122</v>
      </c>
      <c r="C126" s="252"/>
      <c r="D126" s="220"/>
      <c r="E126" s="323">
        <v>0</v>
      </c>
      <c r="F126" s="384"/>
      <c r="G126" s="153" t="s">
        <v>29</v>
      </c>
      <c r="H126" s="7" t="s">
        <v>78</v>
      </c>
      <c r="I126" s="394">
        <f>-E134</f>
        <v>323.2</v>
      </c>
      <c r="J126" s="222"/>
    </row>
    <row r="127" spans="1:10" s="383" customFormat="1" ht="15.75" hidden="1">
      <c r="A127" s="2" t="s">
        <v>24</v>
      </c>
      <c r="B127" s="17">
        <v>131</v>
      </c>
      <c r="C127" s="251">
        <v>0</v>
      </c>
      <c r="D127" s="388">
        <v>1.6570000000000001E-2</v>
      </c>
      <c r="E127" s="323">
        <v>0</v>
      </c>
      <c r="F127" s="384"/>
      <c r="G127" s="153" t="s">
        <v>99</v>
      </c>
      <c r="H127" s="7" t="s">
        <v>60</v>
      </c>
      <c r="I127" s="8"/>
      <c r="J127" s="98">
        <f>-E131-E132</f>
        <v>-146885.23836000002</v>
      </c>
    </row>
    <row r="128" spans="1:10" s="383" customFormat="1" ht="15.75" hidden="1">
      <c r="A128" s="2" t="s">
        <v>24</v>
      </c>
      <c r="B128" s="17">
        <v>132</v>
      </c>
      <c r="C128" s="252"/>
      <c r="D128" s="121"/>
      <c r="E128" s="323">
        <v>0</v>
      </c>
      <c r="F128" s="384"/>
      <c r="G128" s="153" t="s">
        <v>10</v>
      </c>
      <c r="H128" s="7" t="s">
        <v>58</v>
      </c>
      <c r="I128" s="7">
        <v>0</v>
      </c>
      <c r="J128" s="109"/>
    </row>
    <row r="129" spans="1:10" s="383" customFormat="1" ht="16.5" hidden="1" thickBot="1">
      <c r="A129" s="2" t="s">
        <v>24</v>
      </c>
      <c r="B129" s="17" t="s">
        <v>61</v>
      </c>
      <c r="C129" s="252"/>
      <c r="D129" s="121"/>
      <c r="E129" s="323">
        <v>0</v>
      </c>
      <c r="F129" s="384"/>
      <c r="G129" s="154" t="s">
        <v>100</v>
      </c>
      <c r="H129" s="147" t="s">
        <v>62</v>
      </c>
      <c r="I129" s="110">
        <f>-E117+E135</f>
        <v>146562.03836000001</v>
      </c>
      <c r="J129" s="107">
        <v>0</v>
      </c>
    </row>
    <row r="130" spans="1:10" s="383" customFormat="1" ht="15.75" hidden="1">
      <c r="A130" s="2" t="s">
        <v>156</v>
      </c>
      <c r="B130" s="70"/>
      <c r="C130" s="250"/>
      <c r="D130" s="136"/>
      <c r="E130" s="324">
        <v>0</v>
      </c>
      <c r="F130" s="384"/>
      <c r="G130" s="7"/>
      <c r="H130" s="7"/>
      <c r="I130" s="8"/>
      <c r="J130" s="259">
        <f>ROUND(SUM(I125:J129),2)</f>
        <v>0</v>
      </c>
    </row>
    <row r="131" spans="1:10" s="383" customFormat="1" ht="16.5" hidden="1" thickBot="1">
      <c r="B131" s="6"/>
      <c r="C131" s="253">
        <f>SUM(C122:C130)</f>
        <v>8261262</v>
      </c>
      <c r="D131" s="155"/>
      <c r="E131" s="325">
        <f>SUM(E122:E130)</f>
        <v>146885.23836000002</v>
      </c>
      <c r="F131" s="384"/>
      <c r="G131" s="7"/>
      <c r="H131" s="7"/>
      <c r="I131" s="7"/>
      <c r="J131" s="7"/>
    </row>
    <row r="132" spans="1:10" s="383" customFormat="1" ht="16.5" hidden="1" thickTop="1">
      <c r="B132" s="6"/>
      <c r="C132" s="254">
        <v>8261262</v>
      </c>
      <c r="D132" s="66" t="s">
        <v>161</v>
      </c>
      <c r="E132" s="326">
        <v>0</v>
      </c>
      <c r="F132" s="384"/>
      <c r="G132" s="65" t="s">
        <v>158</v>
      </c>
      <c r="H132" s="7"/>
      <c r="I132" s="12"/>
      <c r="J132" s="12"/>
    </row>
    <row r="133" spans="1:10" s="383" customFormat="1" ht="15.75" hidden="1">
      <c r="C133" s="316">
        <f>C131-C132</f>
        <v>0</v>
      </c>
      <c r="D133" s="66" t="s">
        <v>87</v>
      </c>
      <c r="E133" s="325">
        <f>E131+E132+E117</f>
        <v>-314400.29361602914</v>
      </c>
      <c r="F133" s="384"/>
      <c r="G133" s="8">
        <f>(E117*(D134/12))+(E131*(D134/24))</f>
        <v>-323.20242733002431</v>
      </c>
      <c r="H133" s="7"/>
      <c r="I133" s="8"/>
      <c r="J133" s="10"/>
    </row>
    <row r="134" spans="1:10" s="383" customFormat="1" ht="15.75" hidden="1">
      <c r="C134" s="50"/>
      <c r="D134" s="225">
        <v>0.01</v>
      </c>
      <c r="E134" s="327">
        <f>ROUND(((E117)+(E131)/2)*(D134/12),2)</f>
        <v>-323.2</v>
      </c>
      <c r="F134" s="384"/>
      <c r="G134" s="65"/>
      <c r="H134" s="7"/>
      <c r="I134" s="10"/>
      <c r="J134" s="10"/>
    </row>
    <row r="135" spans="1:10" s="383" customFormat="1" ht="16.5" hidden="1" thickBot="1">
      <c r="A135" s="5"/>
      <c r="B135" s="5"/>
      <c r="C135" s="50" t="s">
        <v>1</v>
      </c>
      <c r="D135" s="143">
        <f>A120</f>
        <v>41364</v>
      </c>
      <c r="E135" s="328">
        <f>SUM(E133:E134)</f>
        <v>-314723.49361602915</v>
      </c>
      <c r="F135" s="384"/>
      <c r="G135" s="7"/>
      <c r="H135" s="7"/>
      <c r="I135" s="8"/>
      <c r="J135" s="7"/>
    </row>
    <row r="136" spans="1:10" ht="16.5" hidden="1" thickTop="1" thickBot="1">
      <c r="A136" s="383"/>
      <c r="B136" s="383"/>
      <c r="C136" s="383"/>
      <c r="D136" s="383"/>
      <c r="F136" s="383"/>
      <c r="G136" s="383"/>
      <c r="H136" s="383"/>
      <c r="I136" s="383"/>
      <c r="J136" s="383"/>
    </row>
    <row r="137" spans="1:10" ht="15.75" hidden="1">
      <c r="A137" s="73" t="s">
        <v>142</v>
      </c>
      <c r="B137" s="74"/>
      <c r="C137" s="75"/>
      <c r="D137" s="76"/>
      <c r="E137" s="320"/>
      <c r="F137" s="383"/>
      <c r="G137" s="16"/>
      <c r="H137" s="5"/>
      <c r="I137" s="56"/>
      <c r="J137" s="56"/>
    </row>
    <row r="138" spans="1:10" ht="15.75" hidden="1">
      <c r="A138" s="219">
        <v>41394</v>
      </c>
      <c r="B138" s="71"/>
      <c r="C138" s="16"/>
      <c r="D138" s="72" t="s">
        <v>23</v>
      </c>
      <c r="E138" s="321" t="s">
        <v>21</v>
      </c>
      <c r="F138" s="383"/>
      <c r="G138" s="5"/>
      <c r="H138" s="5"/>
      <c r="I138" s="8"/>
      <c r="J138" s="10"/>
    </row>
    <row r="139" spans="1:10" ht="16.5" hidden="1" thickBot="1">
      <c r="A139" s="14"/>
      <c r="B139" s="18"/>
      <c r="C139" s="131" t="s">
        <v>21</v>
      </c>
      <c r="D139" s="131" t="s">
        <v>22</v>
      </c>
      <c r="E139" s="322" t="s">
        <v>23</v>
      </c>
      <c r="F139" s="384"/>
      <c r="G139" s="7"/>
      <c r="H139" s="7"/>
      <c r="I139" s="10"/>
      <c r="J139" s="10"/>
    </row>
    <row r="140" spans="1:10" ht="15.75" hidden="1">
      <c r="A140" s="2" t="s">
        <v>24</v>
      </c>
      <c r="B140" s="17">
        <v>101</v>
      </c>
      <c r="C140" s="251">
        <v>4076497</v>
      </c>
      <c r="D140" s="388">
        <v>1.7780000000000001E-2</v>
      </c>
      <c r="E140" s="323">
        <v>72480.11666</v>
      </c>
      <c r="F140" s="384"/>
      <c r="G140" s="7"/>
      <c r="H140" s="7"/>
      <c r="I140" s="8"/>
      <c r="J140" s="7"/>
    </row>
    <row r="141" spans="1:10" ht="16.5" hidden="1" thickBot="1">
      <c r="A141" s="2" t="s">
        <v>24</v>
      </c>
      <c r="B141" s="17">
        <v>111</v>
      </c>
      <c r="C141" s="251">
        <v>1757142</v>
      </c>
      <c r="D141" s="388">
        <v>1.7780000000000001E-2</v>
      </c>
      <c r="E141" s="323">
        <v>31241.984759999999</v>
      </c>
      <c r="F141" s="384"/>
      <c r="G141" s="146">
        <f>A138</f>
        <v>41394</v>
      </c>
      <c r="H141" s="147"/>
      <c r="I141" s="147"/>
      <c r="J141" s="147"/>
    </row>
    <row r="142" spans="1:10" ht="16.5" hidden="1" thickBot="1">
      <c r="A142" s="2" t="s">
        <v>24</v>
      </c>
      <c r="B142" s="17">
        <v>112</v>
      </c>
      <c r="C142" s="251"/>
      <c r="D142" s="388"/>
      <c r="E142" s="323">
        <v>0</v>
      </c>
      <c r="F142" s="384"/>
      <c r="G142" s="102" t="s">
        <v>25</v>
      </c>
      <c r="H142" s="148"/>
      <c r="I142" s="149" t="s">
        <v>18</v>
      </c>
      <c r="J142" s="150" t="s">
        <v>19</v>
      </c>
    </row>
    <row r="143" spans="1:10" ht="15.75" hidden="1">
      <c r="A143" s="2" t="s">
        <v>24</v>
      </c>
      <c r="B143" s="17">
        <v>121</v>
      </c>
      <c r="C143" s="251"/>
      <c r="D143" s="220"/>
      <c r="E143" s="323">
        <v>0</v>
      </c>
      <c r="F143" s="384"/>
      <c r="G143" s="151" t="s">
        <v>28</v>
      </c>
      <c r="H143" s="152" t="s">
        <v>77</v>
      </c>
      <c r="I143" s="108"/>
      <c r="J143" s="393">
        <v>0</v>
      </c>
    </row>
    <row r="144" spans="1:10" ht="15.75" hidden="1">
      <c r="A144" s="2" t="s">
        <v>24</v>
      </c>
      <c r="B144" s="17">
        <v>122</v>
      </c>
      <c r="C144" s="252"/>
      <c r="D144" s="220"/>
      <c r="E144" s="323">
        <v>0</v>
      </c>
      <c r="F144" s="384"/>
      <c r="G144" s="153" t="s">
        <v>29</v>
      </c>
      <c r="H144" s="7" t="s">
        <v>78</v>
      </c>
      <c r="I144" s="394">
        <f>-E152</f>
        <v>219.05</v>
      </c>
      <c r="J144" s="222"/>
    </row>
    <row r="145" spans="1:10" ht="15.75" hidden="1">
      <c r="A145" s="2" t="s">
        <v>24</v>
      </c>
      <c r="B145" s="17">
        <v>131</v>
      </c>
      <c r="C145" s="251">
        <v>0</v>
      </c>
      <c r="D145" s="388">
        <v>1.6570000000000001E-2</v>
      </c>
      <c r="E145" s="323">
        <v>0</v>
      </c>
      <c r="F145" s="384"/>
      <c r="G145" s="153" t="s">
        <v>99</v>
      </c>
      <c r="H145" s="7" t="s">
        <v>60</v>
      </c>
      <c r="I145" s="8"/>
      <c r="J145" s="98">
        <f>-E149-E150</f>
        <v>-103722.10141999999</v>
      </c>
    </row>
    <row r="146" spans="1:10" ht="15.75" hidden="1">
      <c r="A146" s="2" t="s">
        <v>24</v>
      </c>
      <c r="B146" s="17">
        <v>132</v>
      </c>
      <c r="C146" s="252"/>
      <c r="D146" s="121"/>
      <c r="E146" s="323">
        <v>0</v>
      </c>
      <c r="F146" s="384"/>
      <c r="G146" s="153" t="s">
        <v>10</v>
      </c>
      <c r="H146" s="7" t="s">
        <v>58</v>
      </c>
      <c r="I146" s="7">
        <v>0</v>
      </c>
      <c r="J146" s="109"/>
    </row>
    <row r="147" spans="1:10" ht="16.5" hidden="1" thickBot="1">
      <c r="A147" s="2" t="s">
        <v>24</v>
      </c>
      <c r="B147" s="17" t="s">
        <v>61</v>
      </c>
      <c r="C147" s="252"/>
      <c r="D147" s="121"/>
      <c r="E147" s="323">
        <v>0</v>
      </c>
      <c r="F147" s="384"/>
      <c r="G147" s="154" t="s">
        <v>100</v>
      </c>
      <c r="H147" s="147" t="s">
        <v>62</v>
      </c>
      <c r="I147" s="110">
        <f>-E135+E153</f>
        <v>103503.05142</v>
      </c>
      <c r="J147" s="107">
        <v>0</v>
      </c>
    </row>
    <row r="148" spans="1:10" ht="15.75" hidden="1">
      <c r="A148" s="2" t="s">
        <v>156</v>
      </c>
      <c r="B148" s="70"/>
      <c r="C148" s="250"/>
      <c r="D148" s="136"/>
      <c r="E148" s="324">
        <v>0</v>
      </c>
      <c r="F148" s="384"/>
      <c r="G148" s="7"/>
      <c r="H148" s="7"/>
      <c r="I148" s="8"/>
      <c r="J148" s="259">
        <f>ROUND(SUM(I143:J147),2)</f>
        <v>0</v>
      </c>
    </row>
    <row r="149" spans="1:10" ht="16.5" hidden="1" thickBot="1">
      <c r="A149" s="383"/>
      <c r="B149" s="6"/>
      <c r="C149" s="253">
        <f>SUM(C140:C148)</f>
        <v>5833639</v>
      </c>
      <c r="D149" s="155"/>
      <c r="E149" s="325">
        <f>SUM(E140:E148)</f>
        <v>103722.10141999999</v>
      </c>
      <c r="F149" s="384"/>
      <c r="G149" s="7"/>
      <c r="H149" s="7"/>
      <c r="I149" s="7"/>
      <c r="J149" s="7"/>
    </row>
    <row r="150" spans="1:10" ht="16.5" hidden="1" thickTop="1">
      <c r="A150" s="383"/>
      <c r="B150" s="6"/>
      <c r="C150" s="254">
        <v>5833639</v>
      </c>
      <c r="D150" s="66" t="s">
        <v>161</v>
      </c>
      <c r="E150" s="326">
        <v>0</v>
      </c>
      <c r="F150" s="384"/>
      <c r="G150" s="65" t="s">
        <v>158</v>
      </c>
      <c r="H150" s="7"/>
      <c r="I150" s="12"/>
      <c r="J150" s="12"/>
    </row>
    <row r="151" spans="1:10" ht="15.75" hidden="1">
      <c r="A151" s="383"/>
      <c r="B151" s="383"/>
      <c r="C151" s="316">
        <f>C149-C150</f>
        <v>0</v>
      </c>
      <c r="D151" s="66" t="s">
        <v>87</v>
      </c>
      <c r="E151" s="325">
        <f>E149+E150+E135</f>
        <v>-211001.39219602916</v>
      </c>
      <c r="F151" s="384"/>
      <c r="G151" s="8">
        <f>(E135*(D152/12))+(E149*(D152/24))</f>
        <v>-219.05203575502432</v>
      </c>
      <c r="H151" s="7"/>
      <c r="I151" s="8"/>
      <c r="J151" s="10"/>
    </row>
    <row r="152" spans="1:10" ht="15.75" hidden="1">
      <c r="A152" s="383"/>
      <c r="B152" s="383"/>
      <c r="C152" s="50"/>
      <c r="D152" s="225">
        <v>0.01</v>
      </c>
      <c r="E152" s="327">
        <f>ROUND(((E135)+(E149)/2)*(D152/12),2)</f>
        <v>-219.05</v>
      </c>
      <c r="F152" s="384"/>
      <c r="G152" s="65"/>
      <c r="H152" s="7"/>
      <c r="I152" s="10"/>
      <c r="J152" s="10"/>
    </row>
    <row r="153" spans="1:10" ht="16.5" hidden="1" thickBot="1">
      <c r="A153" s="5"/>
      <c r="B153" s="5"/>
      <c r="C153" s="50" t="s">
        <v>1</v>
      </c>
      <c r="D153" s="143">
        <f>A138</f>
        <v>41394</v>
      </c>
      <c r="E153" s="328">
        <f>SUM(E151:E152)</f>
        <v>-211220.44219602915</v>
      </c>
      <c r="F153" s="384"/>
      <c r="G153" s="7"/>
      <c r="H153" s="7"/>
      <c r="I153" s="8"/>
      <c r="J153" s="7"/>
    </row>
    <row r="154" spans="1:10" s="383" customFormat="1" ht="16.5" hidden="1" thickTop="1" thickBot="1">
      <c r="E154" s="319"/>
    </row>
    <row r="155" spans="1:10" s="383" customFormat="1" ht="15.75" hidden="1">
      <c r="A155" s="73" t="s">
        <v>142</v>
      </c>
      <c r="B155" s="74"/>
      <c r="C155" s="75"/>
      <c r="D155" s="76"/>
      <c r="E155" s="320"/>
      <c r="G155" s="16"/>
      <c r="H155" s="5"/>
      <c r="I155" s="56"/>
      <c r="J155" s="56"/>
    </row>
    <row r="156" spans="1:10" s="383" customFormat="1" ht="15.75" hidden="1">
      <c r="A156" s="219">
        <v>41425</v>
      </c>
      <c r="B156" s="71"/>
      <c r="C156" s="16"/>
      <c r="D156" s="72" t="s">
        <v>23</v>
      </c>
      <c r="E156" s="321" t="s">
        <v>21</v>
      </c>
      <c r="G156" s="5"/>
      <c r="H156" s="5"/>
      <c r="I156" s="8"/>
      <c r="J156" s="10"/>
    </row>
    <row r="157" spans="1:10" s="383" customFormat="1" ht="16.5" hidden="1" thickBot="1">
      <c r="A157" s="14"/>
      <c r="B157" s="18"/>
      <c r="C157" s="131" t="s">
        <v>21</v>
      </c>
      <c r="D157" s="131" t="s">
        <v>22</v>
      </c>
      <c r="E157" s="322" t="s">
        <v>23</v>
      </c>
      <c r="F157" s="384"/>
      <c r="G157" s="7"/>
      <c r="H157" s="7"/>
      <c r="I157" s="10"/>
      <c r="J157" s="10"/>
    </row>
    <row r="158" spans="1:10" s="383" customFormat="1" ht="15.75" hidden="1">
      <c r="A158" s="2" t="s">
        <v>24</v>
      </c>
      <c r="B158" s="17">
        <v>101</v>
      </c>
      <c r="C158" s="251">
        <v>1886293</v>
      </c>
      <c r="D158" s="388">
        <v>1.7780000000000001E-2</v>
      </c>
      <c r="E158" s="323">
        <v>33538.289539999998</v>
      </c>
      <c r="F158" s="384"/>
      <c r="G158" s="7"/>
      <c r="H158" s="7"/>
      <c r="I158" s="8"/>
      <c r="J158" s="7"/>
    </row>
    <row r="159" spans="1:10" s="383" customFormat="1" ht="16.5" hidden="1" thickBot="1">
      <c r="A159" s="2" t="s">
        <v>24</v>
      </c>
      <c r="B159" s="17">
        <v>111</v>
      </c>
      <c r="C159" s="251">
        <v>1075171</v>
      </c>
      <c r="D159" s="388">
        <v>1.7780000000000001E-2</v>
      </c>
      <c r="E159" s="323">
        <v>19116.540380000002</v>
      </c>
      <c r="F159" s="384"/>
      <c r="G159" s="146">
        <f>A156</f>
        <v>41425</v>
      </c>
      <c r="H159" s="147"/>
      <c r="I159" s="147"/>
      <c r="J159" s="147"/>
    </row>
    <row r="160" spans="1:10" s="383" customFormat="1" ht="16.5" hidden="1" thickBot="1">
      <c r="A160" s="2" t="s">
        <v>24</v>
      </c>
      <c r="B160" s="17">
        <v>112</v>
      </c>
      <c r="C160" s="251"/>
      <c r="D160" s="388"/>
      <c r="E160" s="323">
        <v>0</v>
      </c>
      <c r="F160" s="384"/>
      <c r="G160" s="102" t="s">
        <v>25</v>
      </c>
      <c r="H160" s="148"/>
      <c r="I160" s="149" t="s">
        <v>18</v>
      </c>
      <c r="J160" s="150" t="s">
        <v>19</v>
      </c>
    </row>
    <row r="161" spans="1:10" s="383" customFormat="1" ht="15.75" hidden="1">
      <c r="A161" s="2" t="s">
        <v>24</v>
      </c>
      <c r="B161" s="17">
        <v>121</v>
      </c>
      <c r="C161" s="251"/>
      <c r="D161" s="220"/>
      <c r="E161" s="323">
        <v>0</v>
      </c>
      <c r="F161" s="384"/>
      <c r="G161" s="151" t="s">
        <v>28</v>
      </c>
      <c r="H161" s="152" t="s">
        <v>77</v>
      </c>
      <c r="I161" s="108"/>
      <c r="J161" s="393">
        <v>0</v>
      </c>
    </row>
    <row r="162" spans="1:10" s="383" customFormat="1" ht="15.75" hidden="1">
      <c r="A162" s="2" t="s">
        <v>24</v>
      </c>
      <c r="B162" s="17">
        <v>122</v>
      </c>
      <c r="C162" s="252"/>
      <c r="D162" s="220"/>
      <c r="E162" s="323">
        <v>0</v>
      </c>
      <c r="F162" s="384"/>
      <c r="G162" s="153" t="s">
        <v>29</v>
      </c>
      <c r="H162" s="7" t="s">
        <v>78</v>
      </c>
      <c r="I162" s="394">
        <f>-E170</f>
        <v>154.08000000000001</v>
      </c>
      <c r="J162" s="222"/>
    </row>
    <row r="163" spans="1:10" s="383" customFormat="1" ht="15.75" hidden="1">
      <c r="A163" s="2" t="s">
        <v>24</v>
      </c>
      <c r="B163" s="17">
        <v>131</v>
      </c>
      <c r="C163" s="251">
        <v>0</v>
      </c>
      <c r="D163" s="388">
        <v>1.6570000000000001E-2</v>
      </c>
      <c r="E163" s="323">
        <v>0</v>
      </c>
      <c r="F163" s="384"/>
      <c r="G163" s="153" t="s">
        <v>99</v>
      </c>
      <c r="H163" s="7" t="s">
        <v>60</v>
      </c>
      <c r="I163" s="8"/>
      <c r="J163" s="98">
        <f>-E167-E168</f>
        <v>-52654.829920000004</v>
      </c>
    </row>
    <row r="164" spans="1:10" s="383" customFormat="1" ht="15.75" hidden="1">
      <c r="A164" s="2" t="s">
        <v>24</v>
      </c>
      <c r="B164" s="17">
        <v>132</v>
      </c>
      <c r="C164" s="252"/>
      <c r="D164" s="121"/>
      <c r="E164" s="323">
        <v>0</v>
      </c>
      <c r="F164" s="384"/>
      <c r="G164" s="153" t="s">
        <v>10</v>
      </c>
      <c r="H164" s="7" t="s">
        <v>58</v>
      </c>
      <c r="I164" s="7">
        <v>0</v>
      </c>
      <c r="J164" s="109"/>
    </row>
    <row r="165" spans="1:10" s="383" customFormat="1" ht="16.5" hidden="1" thickBot="1">
      <c r="A165" s="2" t="s">
        <v>24</v>
      </c>
      <c r="B165" s="17" t="s">
        <v>61</v>
      </c>
      <c r="C165" s="252"/>
      <c r="D165" s="121"/>
      <c r="E165" s="323">
        <v>0</v>
      </c>
      <c r="F165" s="384"/>
      <c r="G165" s="154" t="s">
        <v>100</v>
      </c>
      <c r="H165" s="147" t="s">
        <v>62</v>
      </c>
      <c r="I165" s="110">
        <f>-E153+E171</f>
        <v>52500.749920000031</v>
      </c>
      <c r="J165" s="107">
        <v>0</v>
      </c>
    </row>
    <row r="166" spans="1:10" s="383" customFormat="1" ht="15.75" hidden="1">
      <c r="A166" s="2" t="s">
        <v>156</v>
      </c>
      <c r="B166" s="70"/>
      <c r="C166" s="250"/>
      <c r="D166" s="136"/>
      <c r="E166" s="324">
        <v>0</v>
      </c>
      <c r="F166" s="384"/>
      <c r="G166" s="7"/>
      <c r="H166" s="7"/>
      <c r="I166" s="8"/>
      <c r="J166" s="259">
        <f>ROUND(SUM(I161:J165),2)</f>
        <v>0</v>
      </c>
    </row>
    <row r="167" spans="1:10" s="383" customFormat="1" ht="16.5" hidden="1" thickBot="1">
      <c r="B167" s="6"/>
      <c r="C167" s="253">
        <f>SUM(C158:C166)</f>
        <v>2961464</v>
      </c>
      <c r="D167" s="155"/>
      <c r="E167" s="325">
        <f>SUM(E158:E166)</f>
        <v>52654.829920000004</v>
      </c>
      <c r="F167" s="384"/>
      <c r="G167" s="7"/>
      <c r="H167" s="7"/>
      <c r="I167" s="7"/>
      <c r="J167" s="7"/>
    </row>
    <row r="168" spans="1:10" s="383" customFormat="1" ht="16.5" hidden="1" thickTop="1">
      <c r="B168" s="6"/>
      <c r="C168" s="254">
        <v>2961464</v>
      </c>
      <c r="D168" s="66" t="s">
        <v>161</v>
      </c>
      <c r="E168" s="326">
        <v>0</v>
      </c>
      <c r="F168" s="384"/>
      <c r="G168" s="65" t="s">
        <v>158</v>
      </c>
      <c r="H168" s="7"/>
      <c r="I168" s="12"/>
      <c r="J168" s="12"/>
    </row>
    <row r="169" spans="1:10" s="383" customFormat="1" ht="15.75" hidden="1">
      <c r="C169" s="316">
        <f>C167-C168</f>
        <v>0</v>
      </c>
      <c r="D169" s="66" t="s">
        <v>87</v>
      </c>
      <c r="E169" s="325">
        <f>E167+E168+E153</f>
        <v>-158565.61227602913</v>
      </c>
      <c r="F169" s="384"/>
      <c r="G169" s="8">
        <f>(E153*(D170/12))+(E167*(D170/24))</f>
        <v>-154.07752269669095</v>
      </c>
      <c r="H169" s="7"/>
      <c r="I169" s="8"/>
      <c r="J169" s="10"/>
    </row>
    <row r="170" spans="1:10" s="383" customFormat="1" ht="15.75" hidden="1">
      <c r="C170" s="50"/>
      <c r="D170" s="225">
        <v>0.01</v>
      </c>
      <c r="E170" s="327">
        <f>ROUND(((E153)+(E167)/2)*(D170/12),2)</f>
        <v>-154.08000000000001</v>
      </c>
      <c r="F170" s="384"/>
      <c r="G170" s="65"/>
      <c r="H170" s="7"/>
      <c r="I170" s="10"/>
      <c r="J170" s="10"/>
    </row>
    <row r="171" spans="1:10" s="383" customFormat="1" ht="16.5" hidden="1" thickBot="1">
      <c r="A171" s="5"/>
      <c r="B171" s="5"/>
      <c r="C171" s="50" t="s">
        <v>1</v>
      </c>
      <c r="D171" s="143">
        <f>A156</f>
        <v>41425</v>
      </c>
      <c r="E171" s="328">
        <f>SUM(E169:E170)</f>
        <v>-158719.69227602912</v>
      </c>
      <c r="F171" s="384"/>
      <c r="G171" s="7"/>
      <c r="H171" s="7"/>
      <c r="I171" s="8"/>
      <c r="J171" s="7"/>
    </row>
    <row r="172" spans="1:10" s="383" customFormat="1" ht="16.5" hidden="1" thickTop="1" thickBot="1">
      <c r="E172" s="319"/>
    </row>
    <row r="173" spans="1:10" s="383" customFormat="1" ht="15.75" hidden="1">
      <c r="A173" s="73" t="s">
        <v>142</v>
      </c>
      <c r="B173" s="74"/>
      <c r="C173" s="75"/>
      <c r="D173" s="76"/>
      <c r="E173" s="320"/>
      <c r="G173" s="16"/>
      <c r="H173" s="5"/>
      <c r="I173" s="56"/>
      <c r="J173" s="56"/>
    </row>
    <row r="174" spans="1:10" s="383" customFormat="1" ht="15.75" hidden="1">
      <c r="A174" s="219">
        <v>41426</v>
      </c>
      <c r="B174" s="71"/>
      <c r="C174" s="16"/>
      <c r="D174" s="72" t="s">
        <v>23</v>
      </c>
      <c r="E174" s="321" t="s">
        <v>21</v>
      </c>
      <c r="G174" s="5"/>
      <c r="H174" s="5"/>
      <c r="I174" s="8"/>
      <c r="J174" s="10"/>
    </row>
    <row r="175" spans="1:10" s="383" customFormat="1" ht="16.5" hidden="1" thickBot="1">
      <c r="A175" s="14"/>
      <c r="B175" s="18"/>
      <c r="C175" s="131" t="s">
        <v>21</v>
      </c>
      <c r="D175" s="131" t="s">
        <v>22</v>
      </c>
      <c r="E175" s="322" t="s">
        <v>23</v>
      </c>
      <c r="F175" s="384"/>
      <c r="G175" s="7"/>
      <c r="H175" s="7"/>
      <c r="I175" s="10"/>
      <c r="J175" s="10"/>
    </row>
    <row r="176" spans="1:10" s="383" customFormat="1" ht="15.75" hidden="1">
      <c r="A176" s="2" t="s">
        <v>24</v>
      </c>
      <c r="B176" s="17">
        <v>101</v>
      </c>
      <c r="C176" s="251">
        <v>1322327</v>
      </c>
      <c r="D176" s="388">
        <v>1.7780000000000001E-2</v>
      </c>
      <c r="E176" s="323">
        <v>23510.97406</v>
      </c>
      <c r="F176" s="384"/>
      <c r="G176" s="7"/>
      <c r="H176" s="7"/>
      <c r="I176" s="8"/>
      <c r="J176" s="7"/>
    </row>
    <row r="177" spans="1:10" s="383" customFormat="1" ht="16.5" hidden="1" thickBot="1">
      <c r="A177" s="2" t="s">
        <v>24</v>
      </c>
      <c r="B177" s="17">
        <v>111</v>
      </c>
      <c r="C177" s="251">
        <v>1044472</v>
      </c>
      <c r="D177" s="388">
        <v>1.7780000000000001E-2</v>
      </c>
      <c r="E177" s="323">
        <v>18570.712159999999</v>
      </c>
      <c r="F177" s="384"/>
      <c r="G177" s="146">
        <f>A174</f>
        <v>41426</v>
      </c>
      <c r="H177" s="147"/>
      <c r="I177" s="147"/>
      <c r="J177" s="147"/>
    </row>
    <row r="178" spans="1:10" s="383" customFormat="1" ht="16.5" hidden="1" thickBot="1">
      <c r="A178" s="2" t="s">
        <v>24</v>
      </c>
      <c r="B178" s="17">
        <v>112</v>
      </c>
      <c r="C178" s="251"/>
      <c r="D178" s="388"/>
      <c r="E178" s="323">
        <v>0</v>
      </c>
      <c r="F178" s="384"/>
      <c r="G178" s="102" t="s">
        <v>25</v>
      </c>
      <c r="H178" s="148"/>
      <c r="I178" s="149" t="s">
        <v>18</v>
      </c>
      <c r="J178" s="150" t="s">
        <v>19</v>
      </c>
    </row>
    <row r="179" spans="1:10" s="383" customFormat="1" ht="15.75" hidden="1">
      <c r="A179" s="2" t="s">
        <v>24</v>
      </c>
      <c r="B179" s="17">
        <v>121</v>
      </c>
      <c r="C179" s="251"/>
      <c r="D179" s="220"/>
      <c r="E179" s="323">
        <v>0</v>
      </c>
      <c r="F179" s="384"/>
      <c r="G179" s="151" t="s">
        <v>28</v>
      </c>
      <c r="H179" s="152" t="s">
        <v>77</v>
      </c>
      <c r="I179" s="108"/>
      <c r="J179" s="393">
        <v>0</v>
      </c>
    </row>
    <row r="180" spans="1:10" s="383" customFormat="1" ht="15.75" hidden="1">
      <c r="A180" s="2" t="s">
        <v>24</v>
      </c>
      <c r="B180" s="17">
        <v>122</v>
      </c>
      <c r="C180" s="252"/>
      <c r="D180" s="220"/>
      <c r="E180" s="323">
        <v>0</v>
      </c>
      <c r="F180" s="384"/>
      <c r="G180" s="153" t="s">
        <v>29</v>
      </c>
      <c r="H180" s="7" t="s">
        <v>78</v>
      </c>
      <c r="I180" s="394">
        <f>-E188</f>
        <v>114.73</v>
      </c>
      <c r="J180" s="222"/>
    </row>
    <row r="181" spans="1:10" s="383" customFormat="1" ht="15.75" hidden="1">
      <c r="A181" s="2" t="s">
        <v>24</v>
      </c>
      <c r="B181" s="17">
        <v>131</v>
      </c>
      <c r="C181" s="251">
        <v>0</v>
      </c>
      <c r="D181" s="388">
        <v>1.6570000000000001E-2</v>
      </c>
      <c r="E181" s="323">
        <v>0</v>
      </c>
      <c r="F181" s="384"/>
      <c r="G181" s="153" t="s">
        <v>99</v>
      </c>
      <c r="H181" s="7" t="s">
        <v>60</v>
      </c>
      <c r="I181" s="8"/>
      <c r="J181" s="98">
        <f>-E185-E186</f>
        <v>-42081.686220000003</v>
      </c>
    </row>
    <row r="182" spans="1:10" s="383" customFormat="1" ht="15.75" hidden="1">
      <c r="A182" s="2" t="s">
        <v>24</v>
      </c>
      <c r="B182" s="17">
        <v>132</v>
      </c>
      <c r="C182" s="252"/>
      <c r="D182" s="121"/>
      <c r="E182" s="323">
        <v>0</v>
      </c>
      <c r="F182" s="384"/>
      <c r="G182" s="153" t="s">
        <v>10</v>
      </c>
      <c r="H182" s="7" t="s">
        <v>58</v>
      </c>
      <c r="I182" s="7">
        <v>0</v>
      </c>
      <c r="J182" s="109"/>
    </row>
    <row r="183" spans="1:10" s="383" customFormat="1" ht="16.5" hidden="1" thickBot="1">
      <c r="A183" s="2" t="s">
        <v>24</v>
      </c>
      <c r="B183" s="17" t="s">
        <v>61</v>
      </c>
      <c r="C183" s="252"/>
      <c r="D183" s="121"/>
      <c r="E183" s="323">
        <v>0</v>
      </c>
      <c r="F183" s="384"/>
      <c r="G183" s="154" t="s">
        <v>100</v>
      </c>
      <c r="H183" s="147" t="s">
        <v>62</v>
      </c>
      <c r="I183" s="110">
        <f>-E171+E189</f>
        <v>41966.956220000007</v>
      </c>
      <c r="J183" s="107">
        <v>0</v>
      </c>
    </row>
    <row r="184" spans="1:10" s="383" customFormat="1" ht="15.75" hidden="1">
      <c r="A184" s="2" t="s">
        <v>156</v>
      </c>
      <c r="B184" s="70"/>
      <c r="C184" s="250"/>
      <c r="D184" s="136"/>
      <c r="E184" s="324">
        <v>0</v>
      </c>
      <c r="F184" s="384"/>
      <c r="G184" s="7"/>
      <c r="H184" s="7"/>
      <c r="I184" s="8"/>
      <c r="J184" s="259">
        <f>ROUND(SUM(I179:J183),2)</f>
        <v>0</v>
      </c>
    </row>
    <row r="185" spans="1:10" s="383" customFormat="1" ht="16.5" hidden="1" thickBot="1">
      <c r="B185" s="6"/>
      <c r="C185" s="253">
        <f>SUM(C176:C184)</f>
        <v>2366799</v>
      </c>
      <c r="D185" s="155"/>
      <c r="E185" s="325">
        <f>SUM(E176:E184)</f>
        <v>42081.686220000003</v>
      </c>
      <c r="F185" s="384"/>
      <c r="G185" s="7"/>
      <c r="H185" s="7"/>
      <c r="I185" s="7"/>
      <c r="J185" s="7"/>
    </row>
    <row r="186" spans="1:10" s="383" customFormat="1" ht="16.5" hidden="1" thickTop="1">
      <c r="B186" s="6"/>
      <c r="C186" s="254">
        <v>2366799</v>
      </c>
      <c r="D186" s="66" t="s">
        <v>161</v>
      </c>
      <c r="E186" s="326">
        <v>0</v>
      </c>
      <c r="F186" s="384"/>
      <c r="G186" s="65" t="s">
        <v>158</v>
      </c>
      <c r="H186" s="7"/>
      <c r="I186" s="12"/>
      <c r="J186" s="12"/>
    </row>
    <row r="187" spans="1:10" s="383" customFormat="1" ht="15.75" hidden="1">
      <c r="C187" s="316">
        <f>C185-C186</f>
        <v>0</v>
      </c>
      <c r="D187" s="66" t="s">
        <v>87</v>
      </c>
      <c r="E187" s="325">
        <f>E185+E186+E171</f>
        <v>-116638.00605602912</v>
      </c>
      <c r="F187" s="384"/>
      <c r="G187" s="8">
        <f>(E171*(D188/12))+(E185*(D188/24))</f>
        <v>-114.73237430502427</v>
      </c>
      <c r="H187" s="7"/>
      <c r="I187" s="8"/>
      <c r="J187" s="10"/>
    </row>
    <row r="188" spans="1:10" s="383" customFormat="1" ht="15.75" hidden="1">
      <c r="C188" s="50"/>
      <c r="D188" s="225">
        <v>0.01</v>
      </c>
      <c r="E188" s="327">
        <f>ROUND(((E171)+(E185)/2)*(D188/12),2)</f>
        <v>-114.73</v>
      </c>
      <c r="F188" s="384"/>
      <c r="G188" s="65"/>
      <c r="H188" s="7"/>
      <c r="I188" s="10"/>
      <c r="J188" s="10"/>
    </row>
    <row r="189" spans="1:10" s="383" customFormat="1" ht="16.5" thickBot="1">
      <c r="A189" s="5"/>
      <c r="B189" s="5"/>
      <c r="C189" s="50" t="s">
        <v>1</v>
      </c>
      <c r="D189" s="143">
        <f>A174</f>
        <v>41426</v>
      </c>
      <c r="E189" s="328">
        <f>SUM(E187:E188)</f>
        <v>-116752.73605602911</v>
      </c>
      <c r="F189" s="384"/>
      <c r="G189" s="7"/>
      <c r="H189" s="7"/>
      <c r="I189" s="8"/>
      <c r="J189" s="7"/>
    </row>
    <row r="190" spans="1:10" s="383" customFormat="1" ht="16.5" thickTop="1" thickBot="1">
      <c r="E190" s="319"/>
    </row>
    <row r="191" spans="1:10" s="383" customFormat="1" ht="15.75">
      <c r="A191" s="73" t="s">
        <v>142</v>
      </c>
      <c r="B191" s="74"/>
      <c r="C191" s="75"/>
      <c r="D191" s="76"/>
      <c r="E191" s="320"/>
      <c r="G191" s="16"/>
      <c r="H191" s="5"/>
      <c r="I191" s="56"/>
      <c r="J191" s="56"/>
    </row>
    <row r="192" spans="1:10" s="383" customFormat="1" ht="15.75">
      <c r="A192" s="219">
        <v>41456</v>
      </c>
      <c r="B192" s="71"/>
      <c r="C192" s="16"/>
      <c r="D192" s="72" t="s">
        <v>23</v>
      </c>
      <c r="E192" s="321" t="s">
        <v>21</v>
      </c>
      <c r="G192" s="5"/>
      <c r="H192" s="5"/>
      <c r="I192" s="8"/>
      <c r="J192" s="10"/>
    </row>
    <row r="193" spans="1:10" s="383" customFormat="1" ht="16.5" thickBot="1">
      <c r="A193" s="14"/>
      <c r="B193" s="18"/>
      <c r="C193" s="131" t="s">
        <v>21</v>
      </c>
      <c r="D193" s="131" t="s">
        <v>22</v>
      </c>
      <c r="E193" s="322" t="s">
        <v>23</v>
      </c>
      <c r="F193" s="384"/>
      <c r="G193" s="7"/>
      <c r="H193" s="7"/>
      <c r="I193" s="10"/>
      <c r="J193" s="10"/>
    </row>
    <row r="194" spans="1:10" s="383" customFormat="1" ht="15.75">
      <c r="A194" s="2" t="s">
        <v>24</v>
      </c>
      <c r="B194" s="17">
        <v>101</v>
      </c>
      <c r="C194" s="251">
        <v>970543</v>
      </c>
      <c r="D194" s="388">
        <v>1.7780000000000001E-2</v>
      </c>
      <c r="E194" s="323">
        <v>17256.254540000002</v>
      </c>
      <c r="F194" s="384"/>
      <c r="G194" s="7"/>
      <c r="H194" s="7"/>
      <c r="I194" s="8"/>
      <c r="J194" s="7"/>
    </row>
    <row r="195" spans="1:10" s="383" customFormat="1" ht="16.5" thickBot="1">
      <c r="A195" s="2" t="s">
        <v>24</v>
      </c>
      <c r="B195" s="17">
        <v>111</v>
      </c>
      <c r="C195" s="251">
        <v>805059</v>
      </c>
      <c r="D195" s="388">
        <v>1.7780000000000001E-2</v>
      </c>
      <c r="E195" s="323">
        <v>14313.94902</v>
      </c>
      <c r="F195" s="384"/>
      <c r="G195" s="146">
        <f>A192</f>
        <v>41456</v>
      </c>
      <c r="H195" s="147"/>
      <c r="I195" s="147"/>
      <c r="J195" s="147"/>
    </row>
    <row r="196" spans="1:10" s="383" customFormat="1" ht="16.5" thickBot="1">
      <c r="A196" s="2" t="s">
        <v>24</v>
      </c>
      <c r="B196" s="17">
        <v>112</v>
      </c>
      <c r="C196" s="251"/>
      <c r="D196" s="388"/>
      <c r="E196" s="323">
        <v>0</v>
      </c>
      <c r="F196" s="384"/>
      <c r="G196" s="102" t="s">
        <v>25</v>
      </c>
      <c r="H196" s="148"/>
      <c r="I196" s="149" t="s">
        <v>18</v>
      </c>
      <c r="J196" s="150" t="s">
        <v>19</v>
      </c>
    </row>
    <row r="197" spans="1:10" s="383" customFormat="1" ht="15.75">
      <c r="A197" s="2" t="s">
        <v>24</v>
      </c>
      <c r="B197" s="17">
        <v>121</v>
      </c>
      <c r="C197" s="251"/>
      <c r="D197" s="220"/>
      <c r="E197" s="323">
        <v>0</v>
      </c>
      <c r="F197" s="384"/>
      <c r="G197" s="151" t="s">
        <v>28</v>
      </c>
      <c r="H197" s="152" t="s">
        <v>77</v>
      </c>
      <c r="I197" s="108"/>
      <c r="J197" s="393">
        <v>0</v>
      </c>
    </row>
    <row r="198" spans="1:10" s="383" customFormat="1" ht="15.75">
      <c r="A198" s="2" t="s">
        <v>24</v>
      </c>
      <c r="B198" s="17">
        <v>122</v>
      </c>
      <c r="C198" s="252"/>
      <c r="D198" s="220"/>
      <c r="E198" s="323">
        <v>0</v>
      </c>
      <c r="F198" s="384"/>
      <c r="G198" s="153" t="s">
        <v>29</v>
      </c>
      <c r="H198" s="7" t="s">
        <v>78</v>
      </c>
      <c r="I198" s="394">
        <f>-E206</f>
        <v>84.14</v>
      </c>
      <c r="J198" s="222"/>
    </row>
    <row r="199" spans="1:10" s="383" customFormat="1" ht="15.75">
      <c r="A199" s="2" t="s">
        <v>24</v>
      </c>
      <c r="B199" s="17">
        <v>131</v>
      </c>
      <c r="C199" s="251">
        <v>0</v>
      </c>
      <c r="D199" s="388">
        <v>1.6570000000000001E-2</v>
      </c>
      <c r="E199" s="323">
        <v>0</v>
      </c>
      <c r="F199" s="384"/>
      <c r="G199" s="153" t="s">
        <v>99</v>
      </c>
      <c r="H199" s="7" t="s">
        <v>60</v>
      </c>
      <c r="I199" s="8"/>
      <c r="J199" s="98">
        <f>-E203-E204</f>
        <v>-31570.203560000002</v>
      </c>
    </row>
    <row r="200" spans="1:10" s="383" customFormat="1" ht="15.75">
      <c r="A200" s="2" t="s">
        <v>24</v>
      </c>
      <c r="B200" s="17">
        <v>132</v>
      </c>
      <c r="C200" s="252"/>
      <c r="D200" s="121"/>
      <c r="E200" s="323">
        <v>0</v>
      </c>
      <c r="F200" s="384"/>
      <c r="G200" s="153" t="s">
        <v>10</v>
      </c>
      <c r="H200" s="7" t="s">
        <v>58</v>
      </c>
      <c r="I200" s="7">
        <v>0</v>
      </c>
      <c r="J200" s="109"/>
    </row>
    <row r="201" spans="1:10" s="383" customFormat="1" ht="16.5" thickBot="1">
      <c r="A201" s="2" t="s">
        <v>24</v>
      </c>
      <c r="B201" s="17" t="s">
        <v>61</v>
      </c>
      <c r="C201" s="252"/>
      <c r="D201" s="121"/>
      <c r="E201" s="323">
        <v>0</v>
      </c>
      <c r="F201" s="384"/>
      <c r="G201" s="154" t="s">
        <v>100</v>
      </c>
      <c r="H201" s="147" t="s">
        <v>62</v>
      </c>
      <c r="I201" s="110">
        <f>-E189+E207</f>
        <v>31486.06356000001</v>
      </c>
      <c r="J201" s="107">
        <v>0</v>
      </c>
    </row>
    <row r="202" spans="1:10" s="383" customFormat="1" ht="15.75">
      <c r="A202" s="2" t="s">
        <v>156</v>
      </c>
      <c r="B202" s="70"/>
      <c r="C202" s="250"/>
      <c r="D202" s="136"/>
      <c r="E202" s="324">
        <v>0</v>
      </c>
      <c r="F202" s="384"/>
      <c r="G202" s="7"/>
      <c r="H202" s="7"/>
      <c r="I202" s="8"/>
      <c r="J202" s="259">
        <f>ROUND(SUM(I197:J201),2)</f>
        <v>0</v>
      </c>
    </row>
    <row r="203" spans="1:10" s="383" customFormat="1" ht="16.5" thickBot="1">
      <c r="B203" s="6"/>
      <c r="C203" s="253">
        <f>SUM(C194:C202)</f>
        <v>1775602</v>
      </c>
      <c r="D203" s="155"/>
      <c r="E203" s="325">
        <f>SUM(E194:E202)</f>
        <v>31570.203560000002</v>
      </c>
      <c r="F203" s="384"/>
      <c r="G203" s="7"/>
      <c r="H203" s="7"/>
      <c r="I203" s="7"/>
      <c r="J203" s="7"/>
    </row>
    <row r="204" spans="1:10" s="383" customFormat="1" ht="16.5" thickTop="1">
      <c r="B204" s="6"/>
      <c r="C204" s="254">
        <v>1775602</v>
      </c>
      <c r="D204" s="66" t="s">
        <v>161</v>
      </c>
      <c r="E204" s="326">
        <v>0</v>
      </c>
      <c r="F204" s="384"/>
      <c r="G204" s="65" t="s">
        <v>158</v>
      </c>
      <c r="H204" s="7"/>
      <c r="I204" s="12"/>
      <c r="J204" s="12"/>
    </row>
    <row r="205" spans="1:10" s="383" customFormat="1" ht="15.75">
      <c r="C205" s="316">
        <f>C203-C204</f>
        <v>0</v>
      </c>
      <c r="D205" s="66" t="s">
        <v>87</v>
      </c>
      <c r="E205" s="325">
        <f>E203+E204+E189</f>
        <v>-85182.532496029104</v>
      </c>
      <c r="F205" s="384"/>
      <c r="G205" s="8">
        <f>(E189*(D206/12))+(E203*(D206/24))</f>
        <v>-84.139695230024259</v>
      </c>
      <c r="H205" s="7"/>
      <c r="I205" s="8"/>
      <c r="J205" s="10"/>
    </row>
    <row r="206" spans="1:10" s="383" customFormat="1" ht="15.75">
      <c r="C206" s="50"/>
      <c r="D206" s="225">
        <v>0.01</v>
      </c>
      <c r="E206" s="327">
        <f>ROUND(((E189)+(E203)/2)*(D206/12),2)</f>
        <v>-84.14</v>
      </c>
      <c r="F206" s="384"/>
      <c r="G206" s="65"/>
      <c r="H206" s="7"/>
      <c r="I206" s="10"/>
      <c r="J206" s="10"/>
    </row>
    <row r="207" spans="1:10" s="383" customFormat="1" ht="16.5" thickBot="1">
      <c r="A207" s="5"/>
      <c r="B207" s="5"/>
      <c r="C207" s="50" t="s">
        <v>1</v>
      </c>
      <c r="D207" s="143">
        <f>A192</f>
        <v>41456</v>
      </c>
      <c r="E207" s="328">
        <f>SUM(E205:E206)</f>
        <v>-85266.672496029103</v>
      </c>
      <c r="F207" s="384"/>
      <c r="G207" s="7"/>
      <c r="H207" s="7"/>
      <c r="I207" s="8"/>
      <c r="J207" s="7"/>
    </row>
    <row r="208" spans="1:10" ht="16.5" thickTop="1" thickBot="1"/>
    <row r="209" spans="1:10" s="383" customFormat="1" ht="15.75">
      <c r="A209" s="73" t="s">
        <v>142</v>
      </c>
      <c r="B209" s="74"/>
      <c r="C209" s="75"/>
      <c r="D209" s="76"/>
      <c r="E209" s="320"/>
      <c r="G209" s="16"/>
      <c r="H209" s="5"/>
      <c r="I209" s="56"/>
      <c r="J209" s="56"/>
    </row>
    <row r="210" spans="1:10" s="383" customFormat="1" ht="15.75">
      <c r="A210" s="219">
        <v>41487</v>
      </c>
      <c r="B210" s="71"/>
      <c r="C210" s="16"/>
      <c r="D210" s="72" t="s">
        <v>23</v>
      </c>
      <c r="E210" s="321" t="s">
        <v>21</v>
      </c>
      <c r="G210" s="5"/>
      <c r="H210" s="5"/>
      <c r="I210" s="8"/>
      <c r="J210" s="10"/>
    </row>
    <row r="211" spans="1:10" s="383" customFormat="1" ht="16.5" thickBot="1">
      <c r="A211" s="14"/>
      <c r="B211" s="18"/>
      <c r="C211" s="131" t="s">
        <v>21</v>
      </c>
      <c r="D211" s="131" t="s">
        <v>22</v>
      </c>
      <c r="E211" s="322" t="s">
        <v>23</v>
      </c>
      <c r="F211" s="384"/>
      <c r="G211" s="7"/>
      <c r="H211" s="7"/>
      <c r="I211" s="10"/>
      <c r="J211" s="10"/>
    </row>
    <row r="212" spans="1:10" s="383" customFormat="1" ht="15.75">
      <c r="A212" s="2" t="s">
        <v>24</v>
      </c>
      <c r="B212" s="17">
        <v>101</v>
      </c>
      <c r="C212" s="251">
        <v>985214</v>
      </c>
      <c r="D212" s="388">
        <v>1.7780000000000001E-2</v>
      </c>
      <c r="E212" s="323">
        <v>17517.104920000002</v>
      </c>
      <c r="F212" s="384"/>
      <c r="G212" s="7"/>
      <c r="H212" s="7"/>
      <c r="I212" s="8"/>
      <c r="J212" s="7"/>
    </row>
    <row r="213" spans="1:10" s="383" customFormat="1" ht="16.5" thickBot="1">
      <c r="A213" s="2" t="s">
        <v>24</v>
      </c>
      <c r="B213" s="17">
        <v>111</v>
      </c>
      <c r="C213" s="251">
        <v>994287</v>
      </c>
      <c r="D213" s="388">
        <v>1.7780000000000001E-2</v>
      </c>
      <c r="E213" s="323">
        <v>17678.422860000002</v>
      </c>
      <c r="F213" s="384"/>
      <c r="G213" s="146">
        <f>A210</f>
        <v>41487</v>
      </c>
      <c r="H213" s="147"/>
      <c r="I213" s="147"/>
      <c r="J213" s="147"/>
    </row>
    <row r="214" spans="1:10" s="383" customFormat="1" ht="16.5" thickBot="1">
      <c r="A214" s="2" t="s">
        <v>24</v>
      </c>
      <c r="B214" s="17">
        <v>112</v>
      </c>
      <c r="C214" s="251"/>
      <c r="D214" s="388"/>
      <c r="E214" s="323">
        <v>0</v>
      </c>
      <c r="F214" s="384"/>
      <c r="G214" s="102" t="s">
        <v>25</v>
      </c>
      <c r="H214" s="148"/>
      <c r="I214" s="149" t="s">
        <v>18</v>
      </c>
      <c r="J214" s="150" t="s">
        <v>19</v>
      </c>
    </row>
    <row r="215" spans="1:10" s="383" customFormat="1" ht="15.75">
      <c r="A215" s="2" t="s">
        <v>24</v>
      </c>
      <c r="B215" s="17">
        <v>121</v>
      </c>
      <c r="C215" s="251"/>
      <c r="D215" s="220"/>
      <c r="E215" s="323">
        <v>0</v>
      </c>
      <c r="F215" s="384"/>
      <c r="G215" s="151" t="s">
        <v>28</v>
      </c>
      <c r="H215" s="152" t="s">
        <v>77</v>
      </c>
      <c r="I215" s="108"/>
      <c r="J215" s="393">
        <v>0</v>
      </c>
    </row>
    <row r="216" spans="1:10" s="383" customFormat="1" ht="15.75">
      <c r="A216" s="2" t="s">
        <v>24</v>
      </c>
      <c r="B216" s="17">
        <v>122</v>
      </c>
      <c r="C216" s="252"/>
      <c r="D216" s="220"/>
      <c r="E216" s="323">
        <v>0</v>
      </c>
      <c r="F216" s="384"/>
      <c r="G216" s="153" t="s">
        <v>29</v>
      </c>
      <c r="H216" s="7" t="s">
        <v>78</v>
      </c>
      <c r="I216" s="394">
        <f>-E224</f>
        <v>56.39</v>
      </c>
      <c r="J216" s="222"/>
    </row>
    <row r="217" spans="1:10" s="383" customFormat="1" ht="15.75">
      <c r="A217" s="2" t="s">
        <v>24</v>
      </c>
      <c r="B217" s="17">
        <v>131</v>
      </c>
      <c r="C217" s="251">
        <v>0</v>
      </c>
      <c r="D217" s="388">
        <v>1.6570000000000001E-2</v>
      </c>
      <c r="E217" s="323">
        <v>0</v>
      </c>
      <c r="F217" s="384"/>
      <c r="G217" s="153" t="s">
        <v>99</v>
      </c>
      <c r="H217" s="7" t="s">
        <v>60</v>
      </c>
      <c r="I217" s="8"/>
      <c r="J217" s="98">
        <f>-E221-E222</f>
        <v>-35195.527780000004</v>
      </c>
    </row>
    <row r="218" spans="1:10" s="383" customFormat="1" ht="15.75">
      <c r="A218" s="2" t="s">
        <v>24</v>
      </c>
      <c r="B218" s="17">
        <v>132</v>
      </c>
      <c r="C218" s="252"/>
      <c r="D218" s="121"/>
      <c r="E218" s="323">
        <v>0</v>
      </c>
      <c r="F218" s="384"/>
      <c r="G218" s="153" t="s">
        <v>10</v>
      </c>
      <c r="H218" s="7" t="s">
        <v>58</v>
      </c>
      <c r="I218" s="7">
        <v>0</v>
      </c>
      <c r="J218" s="109"/>
    </row>
    <row r="219" spans="1:10" s="383" customFormat="1" ht="16.5" thickBot="1">
      <c r="A219" s="2" t="s">
        <v>24</v>
      </c>
      <c r="B219" s="17" t="s">
        <v>61</v>
      </c>
      <c r="C219" s="252"/>
      <c r="D219" s="121"/>
      <c r="E219" s="323">
        <v>0</v>
      </c>
      <c r="F219" s="384"/>
      <c r="G219" s="154" t="s">
        <v>100</v>
      </c>
      <c r="H219" s="147" t="s">
        <v>62</v>
      </c>
      <c r="I219" s="110">
        <f>-E207+E225</f>
        <v>35139.137780000005</v>
      </c>
      <c r="J219" s="107">
        <v>0</v>
      </c>
    </row>
    <row r="220" spans="1:10" s="383" customFormat="1" ht="15.75">
      <c r="A220" s="2" t="s">
        <v>156</v>
      </c>
      <c r="B220" s="70"/>
      <c r="C220" s="250"/>
      <c r="D220" s="136"/>
      <c r="E220" s="324">
        <v>0</v>
      </c>
      <c r="F220" s="384"/>
      <c r="G220" s="7"/>
      <c r="H220" s="7"/>
      <c r="I220" s="8"/>
      <c r="J220" s="259">
        <f>ROUND(SUM(I215:J219),2)</f>
        <v>0</v>
      </c>
    </row>
    <row r="221" spans="1:10" s="383" customFormat="1" ht="16.5" thickBot="1">
      <c r="B221" s="6"/>
      <c r="C221" s="253">
        <f>SUM(C212:C220)</f>
        <v>1979501</v>
      </c>
      <c r="D221" s="155"/>
      <c r="E221" s="325">
        <f>SUM(E212:E220)</f>
        <v>35195.527780000004</v>
      </c>
      <c r="F221" s="384"/>
      <c r="G221" s="7"/>
      <c r="H221" s="7"/>
      <c r="I221" s="7"/>
      <c r="J221" s="7"/>
    </row>
    <row r="222" spans="1:10" s="383" customFormat="1" ht="16.5" thickTop="1">
      <c r="B222" s="6"/>
      <c r="C222" s="254">
        <v>1979501</v>
      </c>
      <c r="D222" s="66" t="s">
        <v>161</v>
      </c>
      <c r="E222" s="326">
        <v>0</v>
      </c>
      <c r="F222" s="384"/>
      <c r="G222" s="65" t="s">
        <v>158</v>
      </c>
      <c r="H222" s="7"/>
      <c r="I222" s="12"/>
      <c r="J222" s="12"/>
    </row>
    <row r="223" spans="1:10" s="383" customFormat="1" ht="15.75">
      <c r="C223" s="316">
        <f>C221-C222</f>
        <v>0</v>
      </c>
      <c r="D223" s="66" t="s">
        <v>87</v>
      </c>
      <c r="E223" s="325">
        <f>E221+E222+E207</f>
        <v>-50071.144716029099</v>
      </c>
      <c r="F223" s="384"/>
      <c r="G223" s="8">
        <f>(E207*(D224/12))+(E221*(D224/24))</f>
        <v>-56.390757171690929</v>
      </c>
      <c r="H223" s="7"/>
      <c r="I223" s="8"/>
      <c r="J223" s="10"/>
    </row>
    <row r="224" spans="1:10" s="383" customFormat="1" ht="15.75">
      <c r="C224" s="50"/>
      <c r="D224" s="225">
        <v>0.01</v>
      </c>
      <c r="E224" s="327">
        <f>ROUND(((E207)+(E221)/2)*(D224/12),2)</f>
        <v>-56.39</v>
      </c>
      <c r="F224" s="384"/>
      <c r="G224" s="65"/>
      <c r="H224" s="7"/>
      <c r="I224" s="10"/>
      <c r="J224" s="10"/>
    </row>
    <row r="225" spans="1:10" s="383" customFormat="1" ht="16.5" thickBot="1">
      <c r="A225" s="5"/>
      <c r="B225" s="5"/>
      <c r="C225" s="50" t="s">
        <v>1</v>
      </c>
      <c r="D225" s="143">
        <f>A210</f>
        <v>41487</v>
      </c>
      <c r="E225" s="328">
        <f>SUM(E223:E224)</f>
        <v>-50127.534716029098</v>
      </c>
      <c r="F225" s="384"/>
      <c r="G225" s="7"/>
      <c r="H225" s="7"/>
      <c r="I225" s="8"/>
      <c r="J225" s="7"/>
    </row>
    <row r="226" spans="1:10" ht="16.5" thickTop="1" thickBot="1"/>
    <row r="227" spans="1:10" s="383" customFormat="1" ht="15.75">
      <c r="A227" s="73" t="s">
        <v>142</v>
      </c>
      <c r="B227" s="74"/>
      <c r="C227" s="75"/>
      <c r="D227" s="76"/>
      <c r="E227" s="320"/>
      <c r="G227" s="16"/>
      <c r="H227" s="5"/>
      <c r="I227" s="56"/>
      <c r="J227" s="56"/>
    </row>
    <row r="228" spans="1:10" s="383" customFormat="1" ht="15.75">
      <c r="A228" s="219">
        <v>41518</v>
      </c>
      <c r="B228" s="71"/>
      <c r="C228" s="16"/>
      <c r="D228" s="72" t="s">
        <v>23</v>
      </c>
      <c r="E228" s="321" t="s">
        <v>21</v>
      </c>
      <c r="G228" s="5"/>
      <c r="H228" s="5"/>
      <c r="I228" s="8"/>
      <c r="J228" s="10"/>
    </row>
    <row r="229" spans="1:10" s="383" customFormat="1" ht="16.5" thickBot="1">
      <c r="A229" s="14"/>
      <c r="B229" s="18"/>
      <c r="C229" s="131" t="s">
        <v>21</v>
      </c>
      <c r="D229" s="131" t="s">
        <v>22</v>
      </c>
      <c r="E229" s="322" t="s">
        <v>23</v>
      </c>
      <c r="F229" s="384"/>
      <c r="G229" s="7"/>
      <c r="H229" s="7"/>
      <c r="I229" s="10"/>
      <c r="J229" s="10"/>
    </row>
    <row r="230" spans="1:10" s="383" customFormat="1" ht="15.75">
      <c r="A230" s="2" t="s">
        <v>24</v>
      </c>
      <c r="B230" s="17">
        <v>101</v>
      </c>
      <c r="C230" s="251">
        <v>1338764</v>
      </c>
      <c r="D230" s="388">
        <v>1.7780000000000001E-2</v>
      </c>
      <c r="E230" s="323">
        <v>23803.22392</v>
      </c>
      <c r="F230" s="384"/>
      <c r="G230" s="7"/>
      <c r="H230" s="7"/>
      <c r="I230" s="8"/>
      <c r="J230" s="7"/>
    </row>
    <row r="231" spans="1:10" s="383" customFormat="1" ht="16.5" thickBot="1">
      <c r="A231" s="2" t="s">
        <v>24</v>
      </c>
      <c r="B231" s="17">
        <v>111</v>
      </c>
      <c r="C231" s="251">
        <v>1168974</v>
      </c>
      <c r="D231" s="388">
        <v>1.7780000000000001E-2</v>
      </c>
      <c r="E231" s="323">
        <v>20784.35772</v>
      </c>
      <c r="F231" s="384"/>
      <c r="G231" s="146">
        <f>A228</f>
        <v>41518</v>
      </c>
      <c r="H231" s="147"/>
      <c r="I231" s="147"/>
      <c r="J231" s="147"/>
    </row>
    <row r="232" spans="1:10" s="383" customFormat="1" ht="16.5" thickBot="1">
      <c r="A232" s="2" t="s">
        <v>24</v>
      </c>
      <c r="B232" s="17">
        <v>112</v>
      </c>
      <c r="C232" s="251"/>
      <c r="D232" s="388"/>
      <c r="E232" s="323">
        <v>0</v>
      </c>
      <c r="F232" s="384"/>
      <c r="G232" s="102" t="s">
        <v>25</v>
      </c>
      <c r="H232" s="148"/>
      <c r="I232" s="149" t="s">
        <v>18</v>
      </c>
      <c r="J232" s="150" t="s">
        <v>19</v>
      </c>
    </row>
    <row r="233" spans="1:10" s="383" customFormat="1" ht="15.75">
      <c r="A233" s="2" t="s">
        <v>24</v>
      </c>
      <c r="B233" s="17">
        <v>121</v>
      </c>
      <c r="C233" s="251"/>
      <c r="D233" s="220"/>
      <c r="E233" s="323">
        <v>0</v>
      </c>
      <c r="F233" s="384"/>
      <c r="G233" s="151" t="s">
        <v>28</v>
      </c>
      <c r="H233" s="152" t="s">
        <v>77</v>
      </c>
      <c r="I233" s="108"/>
      <c r="J233" s="393">
        <v>0</v>
      </c>
    </row>
    <row r="234" spans="1:10" s="383" customFormat="1" ht="15.75">
      <c r="A234" s="2" t="s">
        <v>24</v>
      </c>
      <c r="B234" s="17">
        <v>122</v>
      </c>
      <c r="C234" s="252"/>
      <c r="D234" s="220"/>
      <c r="E234" s="323">
        <v>0</v>
      </c>
      <c r="F234" s="384"/>
      <c r="G234" s="153" t="s">
        <v>29</v>
      </c>
      <c r="H234" s="7" t="s">
        <v>78</v>
      </c>
      <c r="I234" s="394">
        <f>-E242</f>
        <v>23.19</v>
      </c>
      <c r="J234" s="222"/>
    </row>
    <row r="235" spans="1:10" s="383" customFormat="1" ht="15.75">
      <c r="A235" s="2" t="s">
        <v>24</v>
      </c>
      <c r="B235" s="17">
        <v>131</v>
      </c>
      <c r="C235" s="251">
        <v>0</v>
      </c>
      <c r="D235" s="388">
        <v>1.6570000000000001E-2</v>
      </c>
      <c r="E235" s="323">
        <v>0</v>
      </c>
      <c r="F235" s="384"/>
      <c r="G235" s="153" t="s">
        <v>99</v>
      </c>
      <c r="H235" s="7" t="s">
        <v>60</v>
      </c>
      <c r="I235" s="8"/>
      <c r="J235" s="98">
        <f>-E239-E240</f>
        <v>-44587.581640000004</v>
      </c>
    </row>
    <row r="236" spans="1:10" s="383" customFormat="1" ht="15.75">
      <c r="A236" s="2" t="s">
        <v>24</v>
      </c>
      <c r="B236" s="17">
        <v>132</v>
      </c>
      <c r="C236" s="252"/>
      <c r="D236" s="121"/>
      <c r="E236" s="323">
        <v>0</v>
      </c>
      <c r="F236" s="384"/>
      <c r="G236" s="153" t="s">
        <v>10</v>
      </c>
      <c r="H236" s="7" t="s">
        <v>58</v>
      </c>
      <c r="I236" s="7">
        <v>0</v>
      </c>
      <c r="J236" s="109"/>
    </row>
    <row r="237" spans="1:10" s="383" customFormat="1" ht="16.5" thickBot="1">
      <c r="A237" s="2" t="s">
        <v>24</v>
      </c>
      <c r="B237" s="17" t="s">
        <v>61</v>
      </c>
      <c r="C237" s="252"/>
      <c r="D237" s="121"/>
      <c r="E237" s="323">
        <v>0</v>
      </c>
      <c r="F237" s="384"/>
      <c r="G237" s="154" t="s">
        <v>100</v>
      </c>
      <c r="H237" s="147" t="s">
        <v>62</v>
      </c>
      <c r="I237" s="110">
        <f>-E225+E243</f>
        <v>44564.391640000002</v>
      </c>
      <c r="J237" s="107">
        <v>0</v>
      </c>
    </row>
    <row r="238" spans="1:10" s="383" customFormat="1" ht="15.75">
      <c r="A238" s="2" t="s">
        <v>156</v>
      </c>
      <c r="B238" s="70"/>
      <c r="C238" s="250"/>
      <c r="D238" s="136"/>
      <c r="E238" s="324">
        <v>0</v>
      </c>
      <c r="F238" s="384"/>
      <c r="G238" s="7"/>
      <c r="H238" s="7"/>
      <c r="I238" s="8"/>
      <c r="J238" s="259">
        <f>ROUND(SUM(I233:J237),2)</f>
        <v>0</v>
      </c>
    </row>
    <row r="239" spans="1:10" s="383" customFormat="1" ht="16.5" thickBot="1">
      <c r="B239" s="6"/>
      <c r="C239" s="253">
        <f>SUM(C230:C238)</f>
        <v>2507738</v>
      </c>
      <c r="D239" s="155"/>
      <c r="E239" s="325">
        <f>SUM(E230:E238)</f>
        <v>44587.581640000004</v>
      </c>
      <c r="F239" s="384"/>
      <c r="G239" s="7"/>
      <c r="H239" s="7"/>
      <c r="I239" s="7"/>
      <c r="J239" s="7"/>
    </row>
    <row r="240" spans="1:10" s="383" customFormat="1" ht="16.5" thickTop="1">
      <c r="B240" s="6"/>
      <c r="C240" s="254">
        <v>2507738</v>
      </c>
      <c r="D240" s="66" t="s">
        <v>161</v>
      </c>
      <c r="E240" s="326">
        <v>0</v>
      </c>
      <c r="F240" s="384"/>
      <c r="G240" s="65" t="s">
        <v>158</v>
      </c>
      <c r="H240" s="7"/>
      <c r="I240" s="12"/>
      <c r="J240" s="12"/>
    </row>
    <row r="241" spans="1:10" s="383" customFormat="1" ht="15.75">
      <c r="C241" s="316">
        <f>C239-C240</f>
        <v>0</v>
      </c>
      <c r="D241" s="66" t="s">
        <v>87</v>
      </c>
      <c r="E241" s="325">
        <f>E239+E240+E225</f>
        <v>-5539.9530760290945</v>
      </c>
      <c r="F241" s="384"/>
      <c r="G241" s="8">
        <f>(E225*(D242/12))+(E239*(D242/24))</f>
        <v>-23.194786580024246</v>
      </c>
      <c r="H241" s="7"/>
      <c r="I241" s="8"/>
      <c r="J241" s="10"/>
    </row>
    <row r="242" spans="1:10" s="383" customFormat="1" ht="15.75">
      <c r="C242" s="50"/>
      <c r="D242" s="225">
        <v>0.01</v>
      </c>
      <c r="E242" s="327">
        <f>ROUND(((E225)+(E239)/2)*(D242/12),2)</f>
        <v>-23.19</v>
      </c>
      <c r="F242" s="384"/>
      <c r="G242" s="65"/>
      <c r="H242" s="7"/>
      <c r="I242" s="10"/>
      <c r="J242" s="10"/>
    </row>
    <row r="243" spans="1:10" s="383" customFormat="1" ht="15.75">
      <c r="A243" s="5"/>
      <c r="B243" s="5"/>
      <c r="C243" s="50" t="s">
        <v>1</v>
      </c>
      <c r="D243" s="143">
        <f>A228</f>
        <v>41518</v>
      </c>
      <c r="E243" s="327">
        <f>SUM(E241:E242)</f>
        <v>-5563.1430760290941</v>
      </c>
      <c r="F243" s="384"/>
      <c r="G243" s="7"/>
      <c r="H243" s="7"/>
      <c r="I243" s="8"/>
      <c r="J243" s="7"/>
    </row>
    <row r="244" spans="1:10" s="383" customFormat="1" ht="15.75">
      <c r="A244" s="5"/>
      <c r="B244" s="5"/>
      <c r="C244" s="50"/>
      <c r="D244" s="460" t="s">
        <v>225</v>
      </c>
      <c r="E244" s="462">
        <f>'ID Def 191010'!C131*-1</f>
        <v>108659.43754694135</v>
      </c>
      <c r="F244" s="384"/>
      <c r="G244" s="7"/>
      <c r="H244" s="7"/>
      <c r="I244" s="8"/>
      <c r="J244" s="7"/>
    </row>
    <row r="245" spans="1:10" s="383" customFormat="1" ht="16.5" thickBot="1">
      <c r="A245" s="5"/>
      <c r="B245" s="5"/>
      <c r="C245" s="50"/>
      <c r="D245" s="460" t="s">
        <v>226</v>
      </c>
      <c r="E245" s="463">
        <f>SUM(E243:E244)</f>
        <v>103096.29447091225</v>
      </c>
      <c r="F245" s="384"/>
      <c r="G245" s="7"/>
      <c r="H245" s="7"/>
      <c r="I245" s="8"/>
      <c r="J245" s="7"/>
    </row>
    <row r="246" spans="1:10" ht="16.5" thickTop="1" thickBot="1"/>
    <row r="247" spans="1:10" s="383" customFormat="1" ht="15.75">
      <c r="A247" s="73" t="s">
        <v>142</v>
      </c>
      <c r="B247" s="74"/>
      <c r="C247" s="75"/>
      <c r="D247" s="76"/>
      <c r="E247" s="320"/>
      <c r="G247" s="16"/>
      <c r="H247" s="5"/>
      <c r="I247" s="56"/>
      <c r="J247" s="56"/>
    </row>
    <row r="248" spans="1:10" s="383" customFormat="1" ht="15.75">
      <c r="A248" s="219">
        <v>41578</v>
      </c>
      <c r="B248" s="71"/>
      <c r="C248" s="16"/>
      <c r="D248" s="72" t="s">
        <v>23</v>
      </c>
      <c r="E248" s="321" t="s">
        <v>21</v>
      </c>
      <c r="G248" s="5"/>
      <c r="H248" s="5"/>
      <c r="I248" s="8"/>
      <c r="J248" s="10"/>
    </row>
    <row r="249" spans="1:10" s="383" customFormat="1" ht="16.5" thickBot="1">
      <c r="A249" s="14"/>
      <c r="B249" s="18"/>
      <c r="C249" s="131" t="s">
        <v>21</v>
      </c>
      <c r="D249" s="131" t="s">
        <v>22</v>
      </c>
      <c r="E249" s="322" t="s">
        <v>23</v>
      </c>
      <c r="F249" s="384"/>
      <c r="G249" s="7"/>
      <c r="H249" s="7"/>
      <c r="I249" s="10"/>
      <c r="J249" s="10"/>
    </row>
    <row r="250" spans="1:10" s="383" customFormat="1" ht="15.75">
      <c r="A250" s="2" t="s">
        <v>24</v>
      </c>
      <c r="B250" s="17">
        <v>101</v>
      </c>
      <c r="C250" s="251">
        <v>4291264</v>
      </c>
      <c r="D250" s="388" t="s">
        <v>187</v>
      </c>
      <c r="E250" s="323">
        <v>2709.04</v>
      </c>
      <c r="F250" s="384"/>
      <c r="G250" s="7"/>
      <c r="H250" s="7"/>
      <c r="I250" s="8"/>
      <c r="J250" s="7"/>
    </row>
    <row r="251" spans="1:10" s="383" customFormat="1" ht="16.5" thickBot="1">
      <c r="A251" s="2" t="s">
        <v>24</v>
      </c>
      <c r="B251" s="17">
        <v>111</v>
      </c>
      <c r="C251" s="251">
        <v>1602282</v>
      </c>
      <c r="D251" s="388" t="s">
        <v>187</v>
      </c>
      <c r="E251" s="323">
        <v>-3558.27</v>
      </c>
      <c r="F251" s="384"/>
      <c r="G251" s="146">
        <f>A248</f>
        <v>41578</v>
      </c>
      <c r="H251" s="147"/>
      <c r="I251" s="147"/>
      <c r="J251" s="147"/>
    </row>
    <row r="252" spans="1:10" s="383" customFormat="1" ht="16.5" thickBot="1">
      <c r="A252" s="2" t="s">
        <v>24</v>
      </c>
      <c r="B252" s="17">
        <v>112</v>
      </c>
      <c r="C252" s="251"/>
      <c r="D252" s="388"/>
      <c r="E252" s="323">
        <v>0</v>
      </c>
      <c r="F252" s="384"/>
      <c r="G252" s="102" t="s">
        <v>25</v>
      </c>
      <c r="H252" s="148"/>
      <c r="I252" s="149" t="s">
        <v>18</v>
      </c>
      <c r="J252" s="150" t="s">
        <v>19</v>
      </c>
    </row>
    <row r="253" spans="1:10" s="383" customFormat="1" ht="15.75">
      <c r="A253" s="2" t="s">
        <v>24</v>
      </c>
      <c r="B253" s="17">
        <v>121</v>
      </c>
      <c r="C253" s="251"/>
      <c r="D253" s="220"/>
      <c r="E253" s="323">
        <v>0</v>
      </c>
      <c r="F253" s="384"/>
      <c r="G253" s="151" t="s">
        <v>28</v>
      </c>
      <c r="H253" s="152" t="s">
        <v>77</v>
      </c>
      <c r="I253" s="108"/>
      <c r="J253" s="393">
        <f>IF(E262&gt;0,-E262,0)</f>
        <v>-93.84</v>
      </c>
    </row>
    <row r="254" spans="1:10" s="383" customFormat="1" ht="15.75">
      <c r="A254" s="2" t="s">
        <v>24</v>
      </c>
      <c r="B254" s="17">
        <v>122</v>
      </c>
      <c r="C254" s="252"/>
      <c r="D254" s="220"/>
      <c r="E254" s="323">
        <v>0</v>
      </c>
      <c r="F254" s="384"/>
      <c r="G254" s="153" t="s">
        <v>29</v>
      </c>
      <c r="H254" s="7" t="s">
        <v>78</v>
      </c>
      <c r="I254" s="394">
        <f>IF(E262&lt;0,-E262,0)</f>
        <v>0</v>
      </c>
      <c r="J254" s="222"/>
    </row>
    <row r="255" spans="1:10" s="383" customFormat="1" ht="15.75">
      <c r="A255" s="2" t="s">
        <v>24</v>
      </c>
      <c r="B255" s="17">
        <v>131</v>
      </c>
      <c r="C255" s="251">
        <v>0</v>
      </c>
      <c r="D255" s="388" t="s">
        <v>187</v>
      </c>
      <c r="E255" s="323">
        <v>0</v>
      </c>
      <c r="F255" s="384"/>
      <c r="G255" s="153" t="s">
        <v>99</v>
      </c>
      <c r="H255" s="7" t="s">
        <v>60</v>
      </c>
      <c r="I255" s="394">
        <f>IF((E245-E261)&gt;0,E245-E261,0)</f>
        <v>0</v>
      </c>
      <c r="J255" s="394">
        <f>IF((E245-E261)&lt;0,E245-E261,0)</f>
        <v>-19013.619999999995</v>
      </c>
    </row>
    <row r="256" spans="1:10" s="383" customFormat="1" ht="15.75">
      <c r="A256" s="2" t="s">
        <v>24</v>
      </c>
      <c r="B256" s="17">
        <v>132</v>
      </c>
      <c r="C256" s="252"/>
      <c r="D256" s="121"/>
      <c r="E256" s="323">
        <v>0</v>
      </c>
      <c r="F256" s="384"/>
      <c r="G256" s="153" t="s">
        <v>10</v>
      </c>
      <c r="H256" s="7" t="s">
        <v>58</v>
      </c>
      <c r="I256" s="7"/>
      <c r="J256" s="459"/>
    </row>
    <row r="257" spans="1:10" s="383" customFormat="1" ht="16.5" thickBot="1">
      <c r="A257" s="2" t="s">
        <v>24</v>
      </c>
      <c r="B257" s="17" t="s">
        <v>61</v>
      </c>
      <c r="C257" s="252"/>
      <c r="D257" s="121"/>
      <c r="E257" s="323">
        <v>0</v>
      </c>
      <c r="F257" s="384"/>
      <c r="G257" s="154" t="s">
        <v>100</v>
      </c>
      <c r="H257" s="147" t="s">
        <v>62</v>
      </c>
      <c r="I257" s="461">
        <f>IF((E263-E245)&gt;0,E263-E245,0)</f>
        <v>19107.459999999992</v>
      </c>
      <c r="J257" s="107">
        <f>IF((E263-E245)&lt;0,E263-E245,0)</f>
        <v>0</v>
      </c>
    </row>
    <row r="258" spans="1:10" s="383" customFormat="1" ht="15.75">
      <c r="A258" s="2" t="s">
        <v>156</v>
      </c>
      <c r="B258" s="70"/>
      <c r="C258" s="250"/>
      <c r="D258" s="136"/>
      <c r="E258" s="324">
        <v>19862.850000000002</v>
      </c>
      <c r="F258" s="384"/>
      <c r="G258" s="7"/>
      <c r="H258" s="7"/>
      <c r="I258" s="8"/>
      <c r="J258" s="259">
        <f>ROUND(SUM(I253:J257),2)</f>
        <v>0</v>
      </c>
    </row>
    <row r="259" spans="1:10" s="383" customFormat="1" ht="16.5" thickBot="1">
      <c r="B259" s="6"/>
      <c r="C259" s="253">
        <f>SUM(C250:C258)</f>
        <v>5893546</v>
      </c>
      <c r="D259" s="155"/>
      <c r="E259" s="325">
        <f>SUM(E250:E258)</f>
        <v>19013.620000000003</v>
      </c>
      <c r="F259" s="384"/>
      <c r="G259" s="7"/>
      <c r="H259" s="7"/>
      <c r="I259" s="7"/>
      <c r="J259" s="7"/>
    </row>
    <row r="260" spans="1:10" s="383" customFormat="1" ht="16.5" thickTop="1">
      <c r="B260" s="6"/>
      <c r="C260" s="254"/>
      <c r="D260" s="66" t="s">
        <v>161</v>
      </c>
      <c r="E260" s="326">
        <v>0</v>
      </c>
      <c r="F260" s="384">
        <f>E251+E250</f>
        <v>-849.23</v>
      </c>
      <c r="G260" s="65" t="s">
        <v>158</v>
      </c>
      <c r="H260" s="7"/>
      <c r="I260" s="12"/>
      <c r="J260" s="12"/>
    </row>
    <row r="261" spans="1:10" s="383" customFormat="1" ht="15.75">
      <c r="C261" s="316">
        <f>C259-C260</f>
        <v>5893546</v>
      </c>
      <c r="D261" s="66" t="s">
        <v>87</v>
      </c>
      <c r="E261" s="325">
        <f>E259+E260+E245</f>
        <v>122109.91447091225</v>
      </c>
      <c r="F261" s="384"/>
      <c r="G261" s="8">
        <f>(E243*(D262/12))+(E259*(D262/24))</f>
        <v>3.2863891033090891</v>
      </c>
      <c r="H261" s="7">
        <f>E262-G261</f>
        <v>90.553610896690913</v>
      </c>
      <c r="I261" s="8"/>
      <c r="J261" s="10"/>
    </row>
    <row r="262" spans="1:10" s="383" customFormat="1" ht="15.75">
      <c r="C262" s="50"/>
      <c r="D262" s="225">
        <v>0.01</v>
      </c>
      <c r="E262" s="327">
        <f>ROUND(((E245)+(E259)/2)*(D262/12),2)</f>
        <v>93.84</v>
      </c>
      <c r="F262" s="384"/>
      <c r="G262" s="65"/>
      <c r="H262" s="7"/>
      <c r="I262" s="10"/>
      <c r="J262" s="10"/>
    </row>
    <row r="263" spans="1:10" s="383" customFormat="1" ht="16.5" thickBot="1">
      <c r="A263" s="5"/>
      <c r="B263" s="5"/>
      <c r="C263" s="50" t="s">
        <v>1</v>
      </c>
      <c r="D263" s="143">
        <f>A248</f>
        <v>41578</v>
      </c>
      <c r="E263" s="328">
        <f>SUM(E261:E262)</f>
        <v>122203.75447091224</v>
      </c>
      <c r="F263" s="384"/>
      <c r="G263" s="7"/>
      <c r="H263" s="7"/>
      <c r="I263" s="8"/>
      <c r="J263" s="7"/>
    </row>
    <row r="264" spans="1:10" s="383" customFormat="1" ht="16.5" thickTop="1" thickBot="1">
      <c r="E264" s="319"/>
    </row>
    <row r="265" spans="1:10" s="383" customFormat="1" ht="15.75">
      <c r="A265" s="73" t="s">
        <v>142</v>
      </c>
      <c r="B265" s="74"/>
      <c r="C265" s="75"/>
      <c r="D265" s="76"/>
      <c r="E265" s="320"/>
      <c r="G265" s="16"/>
      <c r="H265" s="5"/>
      <c r="I265" s="56"/>
      <c r="J265" s="56"/>
    </row>
    <row r="266" spans="1:10" s="383" customFormat="1" ht="15.75">
      <c r="A266" s="219">
        <f>EOMONTH(A248,1)</f>
        <v>41608</v>
      </c>
      <c r="B266" s="71"/>
      <c r="C266" s="16"/>
      <c r="D266" s="72" t="s">
        <v>23</v>
      </c>
      <c r="E266" s="321" t="s">
        <v>21</v>
      </c>
      <c r="G266" s="5"/>
      <c r="H266" s="5"/>
      <c r="I266" s="8"/>
      <c r="J266" s="10"/>
    </row>
    <row r="267" spans="1:10" s="383" customFormat="1" ht="16.5" thickBot="1">
      <c r="A267" s="14"/>
      <c r="B267" s="18"/>
      <c r="C267" s="131" t="s">
        <v>21</v>
      </c>
      <c r="D267" s="131" t="s">
        <v>22</v>
      </c>
      <c r="E267" s="322" t="s">
        <v>23</v>
      </c>
      <c r="F267" s="384"/>
      <c r="G267" s="7"/>
      <c r="H267" s="7"/>
      <c r="I267" s="10"/>
      <c r="J267" s="10"/>
    </row>
    <row r="268" spans="1:10" s="383" customFormat="1" ht="15.75">
      <c r="A268" s="2" t="s">
        <v>24</v>
      </c>
      <c r="B268" s="17">
        <v>101</v>
      </c>
      <c r="C268" s="251">
        <v>7085932</v>
      </c>
      <c r="D268" s="388" t="s">
        <v>187</v>
      </c>
      <c r="E268" s="323">
        <v>-478.93</v>
      </c>
      <c r="F268" s="384"/>
      <c r="G268" s="7"/>
      <c r="H268" s="7"/>
      <c r="I268" s="8"/>
      <c r="J268" s="7"/>
    </row>
    <row r="269" spans="1:10" s="383" customFormat="1" ht="16.5" thickBot="1">
      <c r="A269" s="2" t="s">
        <v>24</v>
      </c>
      <c r="B269" s="17">
        <v>111</v>
      </c>
      <c r="C269" s="251">
        <v>2422167</v>
      </c>
      <c r="D269" s="388" t="s">
        <v>187</v>
      </c>
      <c r="E269" s="323">
        <v>80.569999999999993</v>
      </c>
      <c r="F269" s="384"/>
      <c r="G269" s="146">
        <f>A266</f>
        <v>41608</v>
      </c>
      <c r="H269" s="147"/>
      <c r="I269" s="147"/>
      <c r="J269" s="147"/>
    </row>
    <row r="270" spans="1:10" s="383" customFormat="1" ht="16.5" thickBot="1">
      <c r="A270" s="2" t="s">
        <v>24</v>
      </c>
      <c r="B270" s="17">
        <v>112</v>
      </c>
      <c r="C270" s="251"/>
      <c r="D270" s="388"/>
      <c r="E270" s="323">
        <v>0</v>
      </c>
      <c r="F270" s="384"/>
      <c r="G270" s="102" t="s">
        <v>25</v>
      </c>
      <c r="H270" s="148"/>
      <c r="I270" s="149" t="s">
        <v>18</v>
      </c>
      <c r="J270" s="150" t="s">
        <v>19</v>
      </c>
    </row>
    <row r="271" spans="1:10" s="383" customFormat="1" ht="15.75">
      <c r="A271" s="2" t="s">
        <v>24</v>
      </c>
      <c r="B271" s="17">
        <v>121</v>
      </c>
      <c r="C271" s="251"/>
      <c r="D271" s="220"/>
      <c r="E271" s="323">
        <v>0</v>
      </c>
      <c r="F271" s="384"/>
      <c r="G271" s="151" t="s">
        <v>28</v>
      </c>
      <c r="H271" s="152" t="s">
        <v>77</v>
      </c>
      <c r="I271" s="108"/>
      <c r="J271" s="393">
        <f>IF(E280&gt;0,-E280,0)</f>
        <v>-101.67</v>
      </c>
    </row>
    <row r="272" spans="1:10" s="383" customFormat="1" ht="15.75">
      <c r="A272" s="2" t="s">
        <v>24</v>
      </c>
      <c r="B272" s="17">
        <v>122</v>
      </c>
      <c r="C272" s="252"/>
      <c r="D272" s="220"/>
      <c r="E272" s="323">
        <v>0</v>
      </c>
      <c r="F272" s="384"/>
      <c r="G272" s="153" t="s">
        <v>29</v>
      </c>
      <c r="H272" s="7" t="s">
        <v>78</v>
      </c>
      <c r="I272" s="394">
        <f>IF(E280&lt;0,-E280,0)</f>
        <v>0</v>
      </c>
      <c r="J272" s="222"/>
    </row>
    <row r="273" spans="1:10" s="383" customFormat="1" ht="15.75">
      <c r="A273" s="2" t="s">
        <v>24</v>
      </c>
      <c r="B273" s="17">
        <v>131</v>
      </c>
      <c r="C273" s="251">
        <v>0</v>
      </c>
      <c r="D273" s="388" t="s">
        <v>187</v>
      </c>
      <c r="E273" s="323">
        <v>0</v>
      </c>
      <c r="F273" s="384"/>
      <c r="G273" s="153" t="s">
        <v>99</v>
      </c>
      <c r="H273" s="7" t="s">
        <v>60</v>
      </c>
      <c r="I273" s="394">
        <f>IF((E263-E279)&gt;0,E263-E279,0)</f>
        <v>398.36000000000058</v>
      </c>
      <c r="J273" s="394">
        <f>IF((E263-E279)&lt;0,E263-E279,0)</f>
        <v>0</v>
      </c>
    </row>
    <row r="274" spans="1:10" s="383" customFormat="1" ht="15.75">
      <c r="A274" s="2" t="s">
        <v>24</v>
      </c>
      <c r="B274" s="17">
        <v>132</v>
      </c>
      <c r="C274" s="252"/>
      <c r="D274" s="121"/>
      <c r="E274" s="323">
        <v>0</v>
      </c>
      <c r="F274" s="384"/>
      <c r="G274" s="153" t="s">
        <v>10</v>
      </c>
      <c r="H274" s="7" t="s">
        <v>58</v>
      </c>
      <c r="I274" s="7"/>
      <c r="J274" s="459"/>
    </row>
    <row r="275" spans="1:10" s="383" customFormat="1" ht="16.5" thickBot="1">
      <c r="A275" s="2" t="s">
        <v>24</v>
      </c>
      <c r="B275" s="17" t="s">
        <v>61</v>
      </c>
      <c r="C275" s="252"/>
      <c r="D275" s="121"/>
      <c r="E275" s="323">
        <v>0</v>
      </c>
      <c r="F275" s="384"/>
      <c r="G275" s="154" t="s">
        <v>100</v>
      </c>
      <c r="H275" s="147" t="s">
        <v>62</v>
      </c>
      <c r="I275" s="461">
        <f>IF((E281-E263)&gt;0,E281-E263,0)</f>
        <v>0</v>
      </c>
      <c r="J275" s="107">
        <f>IF((E281-E263)&lt;0,E281-E263,0)</f>
        <v>-296.69000000000233</v>
      </c>
    </row>
    <row r="276" spans="1:10" s="383" customFormat="1" ht="15.75">
      <c r="A276" s="2" t="s">
        <v>156</v>
      </c>
      <c r="B276" s="70"/>
      <c r="C276" s="250"/>
      <c r="D276" s="136"/>
      <c r="E276" s="324">
        <v>0</v>
      </c>
      <c r="F276" s="384"/>
      <c r="G276" s="7"/>
      <c r="H276" s="7"/>
      <c r="I276" s="8"/>
      <c r="J276" s="259">
        <f>ROUND(SUM(I271:J275),2)</f>
        <v>0</v>
      </c>
    </row>
    <row r="277" spans="1:10" s="383" customFormat="1" ht="16.5" thickBot="1">
      <c r="B277" s="6"/>
      <c r="C277" s="253">
        <f>SUM(C268:C276)</f>
        <v>9508099</v>
      </c>
      <c r="D277" s="155"/>
      <c r="E277" s="325">
        <f>SUM(E268:E276)</f>
        <v>-398.36</v>
      </c>
      <c r="F277" s="384"/>
      <c r="G277" s="7"/>
      <c r="H277" s="7"/>
      <c r="I277" s="7"/>
      <c r="J277" s="7"/>
    </row>
    <row r="278" spans="1:10" s="383" customFormat="1" ht="16.5" thickTop="1">
      <c r="B278" s="6"/>
      <c r="C278" s="254">
        <v>9508099</v>
      </c>
      <c r="D278" s="66" t="s">
        <v>161</v>
      </c>
      <c r="E278" s="326">
        <v>0</v>
      </c>
      <c r="F278" s="384"/>
      <c r="G278" s="65" t="s">
        <v>158</v>
      </c>
      <c r="H278" s="7"/>
      <c r="I278" s="12"/>
      <c r="J278" s="12"/>
    </row>
    <row r="279" spans="1:10" s="383" customFormat="1" ht="15.75">
      <c r="C279" s="316">
        <f>C277-C278</f>
        <v>0</v>
      </c>
      <c r="D279" s="66" t="s">
        <v>87</v>
      </c>
      <c r="E279" s="325">
        <f>E277+E278+E263</f>
        <v>121805.39447091224</v>
      </c>
      <c r="F279" s="384"/>
      <c r="G279" s="8">
        <f>(E261*(D280/12))+(E277*(D280/24))</f>
        <v>101.59227872576022</v>
      </c>
      <c r="H279" s="7">
        <f>E280-G279</f>
        <v>7.7721274239777927E-2</v>
      </c>
      <c r="I279" s="8"/>
      <c r="J279" s="10"/>
    </row>
    <row r="280" spans="1:10" s="383" customFormat="1" ht="15.75">
      <c r="C280" s="50"/>
      <c r="D280" s="225">
        <v>0.01</v>
      </c>
      <c r="E280" s="327">
        <f>ROUND(((E263)+(E277)/2)*(D280/12),2)</f>
        <v>101.67</v>
      </c>
      <c r="F280" s="384"/>
      <c r="G280" s="65"/>
      <c r="H280" s="7"/>
      <c r="I280" s="10"/>
      <c r="J280" s="10"/>
    </row>
    <row r="281" spans="1:10" s="383" customFormat="1" ht="16.5" thickBot="1">
      <c r="A281" s="5"/>
      <c r="B281" s="5"/>
      <c r="C281" s="50" t="s">
        <v>1</v>
      </c>
      <c r="D281" s="143">
        <f>A266</f>
        <v>41608</v>
      </c>
      <c r="E281" s="328">
        <f>SUM(E279:E280)</f>
        <v>121907.06447091224</v>
      </c>
      <c r="F281" s="384"/>
      <c r="G281" s="7"/>
      <c r="H281" s="7"/>
      <c r="I281" s="8"/>
      <c r="J281" s="7"/>
    </row>
    <row r="282" spans="1:10" s="383" customFormat="1" ht="16.5" thickTop="1" thickBot="1">
      <c r="E282" s="319"/>
    </row>
    <row r="283" spans="1:10" s="383" customFormat="1" ht="15.75">
      <c r="A283" s="73" t="s">
        <v>142</v>
      </c>
      <c r="B283" s="74"/>
      <c r="C283" s="75"/>
      <c r="D283" s="76"/>
      <c r="E283" s="320"/>
      <c r="G283" s="16"/>
      <c r="H283" s="5"/>
      <c r="I283" s="56"/>
      <c r="J283" s="56"/>
    </row>
    <row r="284" spans="1:10" s="383" customFormat="1" ht="15.75">
      <c r="A284" s="219">
        <f>EOMONTH(A266,1)</f>
        <v>41639</v>
      </c>
      <c r="B284" s="71"/>
      <c r="C284" s="16"/>
      <c r="D284" s="72" t="s">
        <v>23</v>
      </c>
      <c r="E284" s="321" t="s">
        <v>21</v>
      </c>
      <c r="G284" s="5"/>
      <c r="H284" s="5"/>
      <c r="I284" s="8"/>
      <c r="J284" s="10"/>
    </row>
    <row r="285" spans="1:10" s="383" customFormat="1" ht="16.5" thickBot="1">
      <c r="A285" s="14"/>
      <c r="B285" s="18"/>
      <c r="C285" s="131" t="s">
        <v>21</v>
      </c>
      <c r="D285" s="131" t="s">
        <v>22</v>
      </c>
      <c r="E285" s="322" t="s">
        <v>23</v>
      </c>
      <c r="F285" s="384"/>
      <c r="G285" s="7"/>
      <c r="H285" s="7"/>
      <c r="I285" s="10"/>
      <c r="J285" s="10"/>
    </row>
    <row r="286" spans="1:10" s="383" customFormat="1" ht="15.75">
      <c r="A286" s="2" t="s">
        <v>24</v>
      </c>
      <c r="B286" s="17">
        <v>101</v>
      </c>
      <c r="C286" s="251">
        <f>Jan!$K$23</f>
        <v>8822773</v>
      </c>
      <c r="D286" s="388">
        <v>-1.4999999999999999E-4</v>
      </c>
      <c r="E286" s="323">
        <f>C286*D286</f>
        <v>-1323.4159499999998</v>
      </c>
      <c r="F286" s="384"/>
      <c r="G286" s="7"/>
      <c r="H286" s="7"/>
      <c r="I286" s="8"/>
      <c r="J286" s="7"/>
    </row>
    <row r="287" spans="1:10" s="383" customFormat="1" ht="16.5" thickBot="1">
      <c r="A287" s="2" t="s">
        <v>24</v>
      </c>
      <c r="B287" s="17">
        <v>111</v>
      </c>
      <c r="C287" s="251">
        <f>Jan!$K$24</f>
        <v>2761366</v>
      </c>
      <c r="D287" s="388">
        <v>-1.4999999999999999E-4</v>
      </c>
      <c r="E287" s="323">
        <f t="shared" ref="E287:E293" si="5">C287*D287</f>
        <v>-414.20489999999995</v>
      </c>
      <c r="F287" s="384"/>
      <c r="G287" s="146">
        <f>A284</f>
        <v>41639</v>
      </c>
      <c r="H287" s="147"/>
      <c r="I287" s="147"/>
      <c r="J287" s="147"/>
    </row>
    <row r="288" spans="1:10" s="383" customFormat="1" ht="16.5" thickBot="1">
      <c r="A288" s="2" t="s">
        <v>24</v>
      </c>
      <c r="B288" s="17">
        <v>112</v>
      </c>
      <c r="C288" s="251"/>
      <c r="D288" s="388"/>
      <c r="E288" s="323">
        <f t="shared" si="5"/>
        <v>0</v>
      </c>
      <c r="F288" s="384"/>
      <c r="G288" s="102" t="s">
        <v>25</v>
      </c>
      <c r="H288" s="148"/>
      <c r="I288" s="149" t="s">
        <v>18</v>
      </c>
      <c r="J288" s="150" t="s">
        <v>19</v>
      </c>
    </row>
    <row r="289" spans="1:10" s="383" customFormat="1" ht="15.75">
      <c r="A289" s="2" t="s">
        <v>24</v>
      </c>
      <c r="B289" s="17">
        <v>121</v>
      </c>
      <c r="C289" s="251"/>
      <c r="D289" s="220"/>
      <c r="E289" s="323">
        <f t="shared" si="5"/>
        <v>0</v>
      </c>
      <c r="F289" s="384"/>
      <c r="G289" s="151" t="s">
        <v>28</v>
      </c>
      <c r="H289" s="152" t="s">
        <v>77</v>
      </c>
      <c r="I289" s="108"/>
      <c r="J289" s="393">
        <f>IF(E298&gt;0,-E298,0)</f>
        <v>-100.87</v>
      </c>
    </row>
    <row r="290" spans="1:10" s="383" customFormat="1" ht="15.75">
      <c r="A290" s="2" t="s">
        <v>24</v>
      </c>
      <c r="B290" s="17">
        <v>122</v>
      </c>
      <c r="C290" s="252"/>
      <c r="D290" s="220"/>
      <c r="E290" s="323">
        <f t="shared" si="5"/>
        <v>0</v>
      </c>
      <c r="F290" s="384"/>
      <c r="G290" s="153" t="s">
        <v>29</v>
      </c>
      <c r="H290" s="7" t="s">
        <v>78</v>
      </c>
      <c r="I290" s="394">
        <f>IF(E298&lt;0,-E298,0)</f>
        <v>0</v>
      </c>
      <c r="J290" s="222"/>
    </row>
    <row r="291" spans="1:10" s="383" customFormat="1" ht="15.75">
      <c r="A291" s="2" t="s">
        <v>24</v>
      </c>
      <c r="B291" s="17">
        <v>131</v>
      </c>
      <c r="C291" s="251">
        <f>Jan!$K$41</f>
        <v>0</v>
      </c>
      <c r="D291" s="388">
        <v>1.042E-2</v>
      </c>
      <c r="E291" s="323">
        <f t="shared" si="5"/>
        <v>0</v>
      </c>
      <c r="F291" s="384"/>
      <c r="G291" s="153" t="s">
        <v>99</v>
      </c>
      <c r="H291" s="7" t="s">
        <v>60</v>
      </c>
      <c r="I291" s="394">
        <f>IF((E281-E297)&gt;0,E281-E297,0)</f>
        <v>1737.6208500000066</v>
      </c>
      <c r="J291" s="394">
        <f>IF((E281-E297)&lt;0,E281-E297,0)</f>
        <v>0</v>
      </c>
    </row>
    <row r="292" spans="1:10" s="383" customFormat="1" ht="15.75">
      <c r="A292" s="2" t="s">
        <v>24</v>
      </c>
      <c r="B292" s="17">
        <v>132</v>
      </c>
      <c r="C292" s="252"/>
      <c r="D292" s="121"/>
      <c r="E292" s="323">
        <f t="shared" si="5"/>
        <v>0</v>
      </c>
      <c r="F292" s="384"/>
      <c r="G292" s="153" t="s">
        <v>10</v>
      </c>
      <c r="H292" s="7" t="s">
        <v>58</v>
      </c>
      <c r="I292" s="7"/>
      <c r="J292" s="459"/>
    </row>
    <row r="293" spans="1:10" s="383" customFormat="1" ht="16.5" thickBot="1">
      <c r="A293" s="2" t="s">
        <v>24</v>
      </c>
      <c r="B293" s="17" t="s">
        <v>61</v>
      </c>
      <c r="C293" s="252"/>
      <c r="D293" s="121"/>
      <c r="E293" s="323">
        <f t="shared" si="5"/>
        <v>0</v>
      </c>
      <c r="F293" s="384"/>
      <c r="G293" s="154" t="s">
        <v>100</v>
      </c>
      <c r="H293" s="147" t="s">
        <v>62</v>
      </c>
      <c r="I293" s="461">
        <f>IF((E299-E281)&gt;0,E299-E281,0)</f>
        <v>0</v>
      </c>
      <c r="J293" s="107">
        <f>IF((E299-E281)&lt;0,E299-E281,0)</f>
        <v>-1636.7508500000113</v>
      </c>
    </row>
    <row r="294" spans="1:10" s="383" customFormat="1" ht="15.75">
      <c r="A294" s="2" t="s">
        <v>156</v>
      </c>
      <c r="B294" s="70"/>
      <c r="C294" s="250"/>
      <c r="D294" s="136"/>
      <c r="E294" s="324">
        <v>0</v>
      </c>
      <c r="F294" s="384"/>
      <c r="G294" s="7"/>
      <c r="H294" s="7"/>
      <c r="I294" s="8"/>
      <c r="J294" s="259">
        <f>ROUND(SUM(I289:J293),2)</f>
        <v>0</v>
      </c>
    </row>
    <row r="295" spans="1:10" s="383" customFormat="1" ht="16.5" thickBot="1">
      <c r="B295" s="6"/>
      <c r="C295" s="253">
        <f>SUM(C286:C294)</f>
        <v>11584139</v>
      </c>
      <c r="D295" s="155"/>
      <c r="E295" s="325">
        <f>SUM(E286:E294)</f>
        <v>-1737.6208499999998</v>
      </c>
      <c r="F295" s="384"/>
      <c r="G295" s="7"/>
      <c r="H295" s="7"/>
      <c r="I295" s="7"/>
      <c r="J295" s="7"/>
    </row>
    <row r="296" spans="1:10" s="383" customFormat="1" ht="16.5" thickTop="1">
      <c r="B296" s="6"/>
      <c r="C296" s="254">
        <v>13760186</v>
      </c>
      <c r="D296" s="66" t="s">
        <v>161</v>
      </c>
      <c r="E296" s="326">
        <v>0</v>
      </c>
      <c r="F296" s="384"/>
      <c r="G296" s="65" t="s">
        <v>158</v>
      </c>
      <c r="H296" s="7"/>
      <c r="I296" s="12"/>
      <c r="J296" s="12"/>
    </row>
    <row r="297" spans="1:10" s="383" customFormat="1" ht="15.75">
      <c r="C297" s="316">
        <f>C295-C296</f>
        <v>-2176047</v>
      </c>
      <c r="D297" s="66" t="s">
        <v>87</v>
      </c>
      <c r="E297" s="325">
        <f>E295+E296+E281</f>
        <v>120169.44362091224</v>
      </c>
      <c r="F297" s="384"/>
      <c r="G297" s="8">
        <f>(E279*(D298/12))+(E295*(D298/24))</f>
        <v>100.78048670492687</v>
      </c>
      <c r="H297" s="7">
        <f>E298-G297</f>
        <v>8.9513295073132326E-2</v>
      </c>
      <c r="I297" s="8"/>
      <c r="J297" s="10"/>
    </row>
    <row r="298" spans="1:10" s="383" customFormat="1" ht="15.75">
      <c r="C298" s="50"/>
      <c r="D298" s="225">
        <v>0.01</v>
      </c>
      <c r="E298" s="327">
        <f>ROUND(((E281)+(E295)/2)*(D298/12),2)</f>
        <v>100.87</v>
      </c>
      <c r="F298" s="384"/>
      <c r="G298" s="65"/>
      <c r="H298" s="7"/>
      <c r="I298" s="10"/>
      <c r="J298" s="10"/>
    </row>
    <row r="299" spans="1:10" s="383" customFormat="1" ht="16.5" thickBot="1">
      <c r="A299" s="5"/>
      <c r="B299" s="5"/>
      <c r="C299" s="50" t="s">
        <v>1</v>
      </c>
      <c r="D299" s="143">
        <f>A284</f>
        <v>41639</v>
      </c>
      <c r="E299" s="328">
        <f>SUM(E297:E298)</f>
        <v>120270.31362091223</v>
      </c>
      <c r="F299" s="384"/>
      <c r="G299" s="474" t="s">
        <v>244</v>
      </c>
      <c r="H299" s="475" t="e">
        <f>_xll.Get_Balance(I299,"YTD","USD","Total","A","","001","191000","GD","ID","DL")-E299</f>
        <v>#VALUE!</v>
      </c>
      <c r="I299" s="476">
        <v>201312</v>
      </c>
      <c r="J299" s="7"/>
    </row>
    <row r="300" spans="1:10" ht="15.75" thickTop="1"/>
    <row r="355" spans="16:16">
      <c r="P355" s="1">
        <f>(C343*M354)/12+((C346+C349+C350)*M354)/24</f>
        <v>0</v>
      </c>
    </row>
  </sheetData>
  <phoneticPr fontId="0" type="noConversion"/>
  <conditionalFormatting sqref="C25">
    <cfRule type="cellIs" dxfId="163" priority="48" operator="notEqual">
      <formula>0</formula>
    </cfRule>
  </conditionalFormatting>
  <conditionalFormatting sqref="J22">
    <cfRule type="cellIs" dxfId="162" priority="46" stopIfTrue="1" operator="equal">
      <formula>0</formula>
    </cfRule>
    <cfRule type="cellIs" dxfId="161" priority="47" stopIfTrue="1" operator="notEqual">
      <formula>0</formula>
    </cfRule>
  </conditionalFormatting>
  <conditionalFormatting sqref="C43">
    <cfRule type="cellIs" dxfId="160" priority="45" operator="notEqual">
      <formula>0</formula>
    </cfRule>
  </conditionalFormatting>
  <conditionalFormatting sqref="J40">
    <cfRule type="cellIs" dxfId="159" priority="43" stopIfTrue="1" operator="equal">
      <formula>0</formula>
    </cfRule>
    <cfRule type="cellIs" dxfId="158" priority="44" stopIfTrue="1" operator="notEqual">
      <formula>0</formula>
    </cfRule>
  </conditionalFormatting>
  <conditionalFormatting sqref="C61">
    <cfRule type="cellIs" dxfId="157" priority="42" operator="notEqual">
      <formula>0</formula>
    </cfRule>
  </conditionalFormatting>
  <conditionalFormatting sqref="J58">
    <cfRule type="cellIs" dxfId="156" priority="40" stopIfTrue="1" operator="equal">
      <formula>0</formula>
    </cfRule>
    <cfRule type="cellIs" dxfId="155" priority="41" stopIfTrue="1" operator="notEqual">
      <formula>0</formula>
    </cfRule>
  </conditionalFormatting>
  <conditionalFormatting sqref="C79">
    <cfRule type="cellIs" dxfId="154" priority="39" operator="notEqual">
      <formula>0</formula>
    </cfRule>
  </conditionalFormatting>
  <conditionalFormatting sqref="J76">
    <cfRule type="cellIs" dxfId="153" priority="37" stopIfTrue="1" operator="equal">
      <formula>0</formula>
    </cfRule>
    <cfRule type="cellIs" dxfId="152" priority="38" stopIfTrue="1" operator="notEqual">
      <formula>0</formula>
    </cfRule>
  </conditionalFormatting>
  <conditionalFormatting sqref="C97">
    <cfRule type="cellIs" dxfId="151" priority="36" operator="notEqual">
      <formula>0</formula>
    </cfRule>
  </conditionalFormatting>
  <conditionalFormatting sqref="J94">
    <cfRule type="cellIs" dxfId="150" priority="34" stopIfTrue="1" operator="equal">
      <formula>0</formula>
    </cfRule>
    <cfRule type="cellIs" dxfId="149" priority="35" stopIfTrue="1" operator="notEqual">
      <formula>0</formula>
    </cfRule>
  </conditionalFormatting>
  <conditionalFormatting sqref="C115">
    <cfRule type="cellIs" dxfId="148" priority="33" operator="notEqual">
      <formula>0</formula>
    </cfRule>
  </conditionalFormatting>
  <conditionalFormatting sqref="J112">
    <cfRule type="cellIs" dxfId="147" priority="31" stopIfTrue="1" operator="equal">
      <formula>0</formula>
    </cfRule>
    <cfRule type="cellIs" dxfId="146" priority="32" stopIfTrue="1" operator="notEqual">
      <formula>0</formula>
    </cfRule>
  </conditionalFormatting>
  <conditionalFormatting sqref="C133">
    <cfRule type="cellIs" dxfId="145" priority="30" operator="notEqual">
      <formula>0</formula>
    </cfRule>
  </conditionalFormatting>
  <conditionalFormatting sqref="J130">
    <cfRule type="cellIs" dxfId="144" priority="28" stopIfTrue="1" operator="equal">
      <formula>0</formula>
    </cfRule>
    <cfRule type="cellIs" dxfId="143" priority="29" stopIfTrue="1" operator="notEqual">
      <formula>0</formula>
    </cfRule>
  </conditionalFormatting>
  <conditionalFormatting sqref="C151">
    <cfRule type="cellIs" dxfId="142" priority="27" operator="notEqual">
      <formula>0</formula>
    </cfRule>
  </conditionalFormatting>
  <conditionalFormatting sqref="J148">
    <cfRule type="cellIs" dxfId="141" priority="25" stopIfTrue="1" operator="equal">
      <formula>0</formula>
    </cfRule>
    <cfRule type="cellIs" dxfId="140" priority="26" stopIfTrue="1" operator="notEqual">
      <formula>0</formula>
    </cfRule>
  </conditionalFormatting>
  <conditionalFormatting sqref="C169">
    <cfRule type="cellIs" dxfId="139" priority="24" operator="notEqual">
      <formula>0</formula>
    </cfRule>
  </conditionalFormatting>
  <conditionalFormatting sqref="J166">
    <cfRule type="cellIs" dxfId="138" priority="22" stopIfTrue="1" operator="equal">
      <formula>0</formula>
    </cfRule>
    <cfRule type="cellIs" dxfId="137" priority="23" stopIfTrue="1" operator="notEqual">
      <formula>0</formula>
    </cfRule>
  </conditionalFormatting>
  <conditionalFormatting sqref="C187">
    <cfRule type="cellIs" dxfId="136" priority="21" operator="notEqual">
      <formula>0</formula>
    </cfRule>
  </conditionalFormatting>
  <conditionalFormatting sqref="J184">
    <cfRule type="cellIs" dxfId="135" priority="19" stopIfTrue="1" operator="equal">
      <formula>0</formula>
    </cfRule>
    <cfRule type="cellIs" dxfId="134" priority="20" stopIfTrue="1" operator="notEqual">
      <formula>0</formula>
    </cfRule>
  </conditionalFormatting>
  <conditionalFormatting sqref="C205">
    <cfRule type="cellIs" dxfId="133" priority="18" operator="notEqual">
      <formula>0</formula>
    </cfRule>
  </conditionalFormatting>
  <conditionalFormatting sqref="J202">
    <cfRule type="cellIs" dxfId="132" priority="16" stopIfTrue="1" operator="equal">
      <formula>0</formula>
    </cfRule>
    <cfRule type="cellIs" dxfId="131" priority="17" stopIfTrue="1" operator="notEqual">
      <formula>0</formula>
    </cfRule>
  </conditionalFormatting>
  <conditionalFormatting sqref="C223">
    <cfRule type="cellIs" dxfId="130" priority="15" operator="notEqual">
      <formula>0</formula>
    </cfRule>
  </conditionalFormatting>
  <conditionalFormatting sqref="J220">
    <cfRule type="cellIs" dxfId="129" priority="13" stopIfTrue="1" operator="equal">
      <formula>0</formula>
    </cfRule>
    <cfRule type="cellIs" dxfId="128" priority="14" stopIfTrue="1" operator="notEqual">
      <formula>0</formula>
    </cfRule>
  </conditionalFormatting>
  <conditionalFormatting sqref="C241">
    <cfRule type="cellIs" dxfId="127" priority="12" operator="notEqual">
      <formula>0</formula>
    </cfRule>
  </conditionalFormatting>
  <conditionalFormatting sqref="J238">
    <cfRule type="cellIs" dxfId="126" priority="10" stopIfTrue="1" operator="equal">
      <formula>0</formula>
    </cfRule>
    <cfRule type="cellIs" dxfId="125" priority="11" stopIfTrue="1" operator="notEqual">
      <formula>0</formula>
    </cfRule>
  </conditionalFormatting>
  <conditionalFormatting sqref="C261">
    <cfRule type="cellIs" dxfId="124" priority="9" operator="notEqual">
      <formula>0</formula>
    </cfRule>
  </conditionalFormatting>
  <conditionalFormatting sqref="J258">
    <cfRule type="cellIs" dxfId="123" priority="7" stopIfTrue="1" operator="equal">
      <formula>0</formula>
    </cfRule>
    <cfRule type="cellIs" dxfId="122" priority="8" stopIfTrue="1" operator="notEqual">
      <formula>0</formula>
    </cfRule>
  </conditionalFormatting>
  <conditionalFormatting sqref="C279">
    <cfRule type="cellIs" dxfId="121" priority="6" operator="notEqual">
      <formula>0</formula>
    </cfRule>
  </conditionalFormatting>
  <conditionalFormatting sqref="J276">
    <cfRule type="cellIs" dxfId="120" priority="4" stopIfTrue="1" operator="equal">
      <formula>0</formula>
    </cfRule>
    <cfRule type="cellIs" dxfId="119" priority="5" stopIfTrue="1" operator="notEqual">
      <formula>0</formula>
    </cfRule>
  </conditionalFormatting>
  <conditionalFormatting sqref="C297">
    <cfRule type="cellIs" dxfId="118" priority="3" operator="notEqual">
      <formula>0</formula>
    </cfRule>
  </conditionalFormatting>
  <conditionalFormatting sqref="J294">
    <cfRule type="cellIs" dxfId="117" priority="1" stopIfTrue="1" operator="equal">
      <formula>0</formula>
    </cfRule>
    <cfRule type="cellIs" dxfId="116" priority="2" stopIfTrue="1" operator="notEqual">
      <formula>0</formula>
    </cfRule>
  </conditionalFormatting>
  <printOptions gridLinesSet="0"/>
  <pageMargins left="0.5" right="0.5" top="1.04" bottom="0.5" header="0.25" footer="0.25"/>
  <pageSetup scale="36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  <customProperties>
    <customPr name="xxe4aP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FFFF00"/>
    <pageSetUpPr fitToPage="1"/>
  </sheetPr>
  <dimension ref="A1:R1010"/>
  <sheetViews>
    <sheetView showGridLines="0" view="pageBreakPreview" topLeftCell="A109" zoomScaleNormal="100" zoomScaleSheetLayoutView="100" workbookViewId="0">
      <selection activeCell="E128" sqref="E128"/>
    </sheetView>
  </sheetViews>
  <sheetFormatPr defaultColWidth="9.85546875" defaultRowHeight="15"/>
  <cols>
    <col min="1" max="1" width="12.42578125" style="53" customWidth="1"/>
    <col min="2" max="2" width="39.85546875" style="1" customWidth="1"/>
    <col min="3" max="3" width="24.85546875" style="1" customWidth="1"/>
    <col min="4" max="4" width="20.140625" style="1" bestFit="1" customWidth="1"/>
    <col min="5" max="5" width="19.7109375" style="1" customWidth="1"/>
    <col min="6" max="6" width="16.7109375" style="1" customWidth="1"/>
    <col min="7" max="7" width="16.7109375" style="1" hidden="1" customWidth="1"/>
    <col min="8" max="8" width="13.140625" style="1" hidden="1" customWidth="1"/>
    <col min="9" max="9" width="14.28515625" style="1" hidden="1" customWidth="1"/>
    <col min="10" max="10" width="16" style="1" hidden="1" customWidth="1"/>
    <col min="11" max="11" width="11.28515625" style="1" hidden="1" customWidth="1"/>
    <col min="12" max="12" width="25.7109375" style="1" bestFit="1" customWidth="1"/>
    <col min="13" max="13" width="18" style="52" customWidth="1"/>
    <col min="14" max="14" width="3.140625" style="1" customWidth="1"/>
    <col min="15" max="15" width="25.85546875" style="1" customWidth="1"/>
    <col min="16" max="16" width="20.28515625" style="1" customWidth="1"/>
    <col min="17" max="17" width="19.85546875" style="1" customWidth="1"/>
    <col min="18" max="18" width="20" style="1" customWidth="1"/>
    <col min="19" max="16384" width="9.85546875" style="1"/>
  </cols>
  <sheetData>
    <row r="1" spans="1:18" ht="18.75" customHeight="1">
      <c r="A1" s="51" t="s">
        <v>13</v>
      </c>
    </row>
    <row r="2" spans="1:18" ht="15.75">
      <c r="A2" s="51" t="s">
        <v>0</v>
      </c>
    </row>
    <row r="3" spans="1:18" ht="15.75">
      <c r="A3" s="51" t="s">
        <v>15</v>
      </c>
    </row>
    <row r="4" spans="1:18" ht="15.75">
      <c r="A4" s="51" t="s">
        <v>104</v>
      </c>
    </row>
    <row r="5" spans="1:18" ht="15.75">
      <c r="C5" s="55" t="s">
        <v>21</v>
      </c>
      <c r="D5" s="55" t="s">
        <v>2</v>
      </c>
      <c r="E5" s="55" t="s">
        <v>3</v>
      </c>
      <c r="F5" s="55"/>
      <c r="J5" s="46"/>
    </row>
    <row r="6" spans="1:18" ht="15.75">
      <c r="A6" s="62"/>
      <c r="B6" s="69"/>
      <c r="C6" s="55" t="s">
        <v>16</v>
      </c>
      <c r="D6" s="55" t="s">
        <v>7</v>
      </c>
      <c r="E6" s="55" t="s">
        <v>7</v>
      </c>
      <c r="F6" s="55" t="s">
        <v>4</v>
      </c>
      <c r="O6" s="92"/>
      <c r="P6" s="91"/>
      <c r="Q6" s="19"/>
      <c r="R6" s="19"/>
    </row>
    <row r="7" spans="1:18" ht="15.75">
      <c r="A7" s="62"/>
      <c r="B7" s="69"/>
      <c r="C7" s="55"/>
      <c r="D7" s="55"/>
      <c r="E7" s="55"/>
      <c r="O7" s="92"/>
      <c r="P7" s="91"/>
      <c r="Q7" s="19"/>
      <c r="R7" s="19"/>
    </row>
    <row r="8" spans="1:18" s="330" customFormat="1" ht="16.5" thickBot="1">
      <c r="A8" s="103">
        <v>41183</v>
      </c>
      <c r="B8" s="50" t="s">
        <v>56</v>
      </c>
      <c r="C8" s="158">
        <v>-6056575.765431677</v>
      </c>
      <c r="D8" s="158">
        <v>-6691252.0927546788</v>
      </c>
      <c r="E8" s="158">
        <v>809169.36732299952</v>
      </c>
      <c r="F8" s="158">
        <v>-174493.04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57"/>
      <c r="N8" s="332"/>
      <c r="O8" s="332"/>
      <c r="P8" s="332"/>
      <c r="Q8" s="332"/>
      <c r="R8" s="19"/>
    </row>
    <row r="9" spans="1:18" s="383" customFormat="1" ht="16.5" thickTop="1">
      <c r="A9" s="103"/>
      <c r="B9" s="50"/>
      <c r="C9" s="11"/>
      <c r="D9" s="11"/>
      <c r="E9" s="11"/>
      <c r="F9" s="11"/>
      <c r="G9" s="11"/>
      <c r="H9" s="11"/>
      <c r="I9" s="11"/>
      <c r="J9" s="11"/>
      <c r="K9" s="11"/>
      <c r="L9" s="11"/>
      <c r="M9" s="57"/>
      <c r="N9" s="384"/>
      <c r="O9" s="384"/>
      <c r="P9" s="384"/>
      <c r="Q9" s="384"/>
      <c r="R9" s="384"/>
    </row>
    <row r="10" spans="1:18" s="383" customFormat="1" ht="15.75">
      <c r="A10" s="255"/>
      <c r="B10" s="161" t="s">
        <v>11</v>
      </c>
      <c r="C10" s="203">
        <v>7340824.0093394704</v>
      </c>
      <c r="D10" s="203">
        <v>4103157.0665184702</v>
      </c>
      <c r="E10" s="203">
        <v>3134193.9628209998</v>
      </c>
      <c r="F10" s="203">
        <v>103472.98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/>
      <c r="N10" s="203"/>
      <c r="O10" s="202"/>
      <c r="P10" s="202"/>
      <c r="Q10" s="202"/>
      <c r="R10" s="202"/>
    </row>
    <row r="11" spans="1:18" s="383" customFormat="1" ht="16.5" thickBot="1">
      <c r="A11" s="255"/>
      <c r="B11" s="161" t="s">
        <v>210</v>
      </c>
      <c r="C11" s="389">
        <f>SUM(C8:C10)</f>
        <v>1284248.2439077934</v>
      </c>
      <c r="D11" s="389">
        <f>SUM(D8:D10)</f>
        <v>-2588095.0262362086</v>
      </c>
      <c r="E11" s="389">
        <f>SUM(E8:E10)</f>
        <v>3943363.3301439993</v>
      </c>
      <c r="F11" s="389">
        <f>SUM(F8:F10)</f>
        <v>-71020.060000000012</v>
      </c>
      <c r="G11" s="389">
        <v>0</v>
      </c>
      <c r="H11" s="389">
        <v>0</v>
      </c>
      <c r="I11" s="389">
        <v>0</v>
      </c>
      <c r="J11" s="389">
        <v>0</v>
      </c>
      <c r="K11" s="389">
        <v>0</v>
      </c>
      <c r="L11" s="389">
        <f>SUM(L8:L10)</f>
        <v>0</v>
      </c>
      <c r="M11" s="389"/>
      <c r="N11" s="389"/>
      <c r="O11" s="202"/>
      <c r="P11" s="202"/>
      <c r="Q11" s="202"/>
      <c r="R11" s="202"/>
    </row>
    <row r="12" spans="1:18" ht="16.5" thickTop="1" thickBot="1"/>
    <row r="13" spans="1:18" s="383" customFormat="1" ht="16.5" thickBot="1">
      <c r="A13" s="58">
        <v>41243</v>
      </c>
      <c r="B13" s="59" t="s">
        <v>84</v>
      </c>
      <c r="C13" s="50">
        <f>SUM(D13:L13)</f>
        <v>1615352.97</v>
      </c>
      <c r="D13" s="243">
        <v>1685691.83</v>
      </c>
      <c r="E13" s="243">
        <v>-70338.86</v>
      </c>
      <c r="F13" s="161">
        <v>0</v>
      </c>
      <c r="G13" s="161"/>
      <c r="H13" s="161"/>
      <c r="I13" s="161"/>
      <c r="J13" s="387"/>
      <c r="K13" s="161"/>
      <c r="L13" s="161">
        <v>0</v>
      </c>
      <c r="M13" s="133"/>
      <c r="N13" s="50"/>
      <c r="O13" s="335" t="s">
        <v>106</v>
      </c>
      <c r="P13" s="93"/>
      <c r="Q13" s="93"/>
      <c r="R13" s="94"/>
    </row>
    <row r="14" spans="1:18" s="383" customFormat="1" ht="15.75">
      <c r="A14" s="58"/>
      <c r="B14" s="59" t="s">
        <v>148</v>
      </c>
      <c r="C14" s="50">
        <f>SUM(D14:F14)</f>
        <v>0</v>
      </c>
      <c r="D14" s="240"/>
      <c r="E14" s="240">
        <v>0</v>
      </c>
      <c r="F14" s="161"/>
      <c r="G14" s="161"/>
      <c r="H14" s="161"/>
      <c r="I14" s="161"/>
      <c r="J14" s="161"/>
      <c r="K14" s="161"/>
      <c r="L14" s="161"/>
      <c r="M14" s="133"/>
      <c r="N14" s="50"/>
      <c r="O14" s="346" t="s">
        <v>211</v>
      </c>
      <c r="P14" s="338" t="s">
        <v>27</v>
      </c>
      <c r="Q14" s="334">
        <v>0</v>
      </c>
      <c r="R14" s="336">
        <f>-C10</f>
        <v>-7340824.0093394704</v>
      </c>
    </row>
    <row r="15" spans="1:18" s="383" customFormat="1" ht="15.75">
      <c r="A15" s="58"/>
      <c r="B15" s="20" t="s">
        <v>157</v>
      </c>
      <c r="C15" s="50">
        <f>SUM(D15:L15)</f>
        <v>0</v>
      </c>
      <c r="D15" s="241">
        <v>0</v>
      </c>
      <c r="E15" s="240"/>
      <c r="F15" s="161"/>
      <c r="G15" s="161"/>
      <c r="H15" s="161"/>
      <c r="I15" s="161"/>
      <c r="J15" s="161"/>
      <c r="K15" s="161"/>
      <c r="L15" s="161"/>
      <c r="M15" s="133"/>
      <c r="N15" s="50"/>
      <c r="O15" s="333" t="s">
        <v>79</v>
      </c>
      <c r="P15" s="338" t="s">
        <v>17</v>
      </c>
      <c r="Q15" s="334">
        <f>IF((-C8+C19)&gt;0,(-C8+C19),0)</f>
        <v>8961842.60933947</v>
      </c>
      <c r="R15" s="336">
        <f>IF((-C8+C19)&lt;0,(-C8+C19),0)</f>
        <v>0</v>
      </c>
    </row>
    <row r="16" spans="1:18" s="383" customFormat="1" ht="15.75">
      <c r="A16" s="58"/>
      <c r="B16" s="59" t="s">
        <v>49</v>
      </c>
      <c r="C16" s="50">
        <f>SUM(D16:L16)</f>
        <v>0</v>
      </c>
      <c r="D16" s="161"/>
      <c r="E16" s="161"/>
      <c r="F16" s="161"/>
      <c r="G16" s="161"/>
      <c r="H16" s="161"/>
      <c r="I16" s="161"/>
      <c r="J16" s="161"/>
      <c r="K16" s="161"/>
      <c r="L16" s="242">
        <v>0</v>
      </c>
      <c r="M16" s="134"/>
      <c r="N16" s="50"/>
      <c r="O16" s="339" t="s">
        <v>80</v>
      </c>
      <c r="P16" s="338" t="s">
        <v>20</v>
      </c>
      <c r="Q16" s="112">
        <f>IF((C13+C14)&lt;0,(-C13-C14),0)</f>
        <v>0</v>
      </c>
      <c r="R16" s="336">
        <f>IF((C13+C14)&gt;0,(-C13-C14),0)</f>
        <v>-1615352.97</v>
      </c>
    </row>
    <row r="17" spans="1:18" s="383" customFormat="1" ht="15.75">
      <c r="A17" s="58"/>
      <c r="B17" s="59" t="s">
        <v>144</v>
      </c>
      <c r="C17" s="50">
        <f>SUM(D17:L17)</f>
        <v>0</v>
      </c>
      <c r="D17" s="161"/>
      <c r="E17" s="161"/>
      <c r="F17" s="161"/>
      <c r="G17" s="161"/>
      <c r="H17" s="161"/>
      <c r="I17" s="161"/>
      <c r="J17" s="161"/>
      <c r="K17" s="161"/>
      <c r="L17" s="242">
        <v>0</v>
      </c>
      <c r="M17" s="134"/>
      <c r="N17" s="50"/>
      <c r="O17" s="341" t="s">
        <v>82</v>
      </c>
      <c r="P17" s="338" t="s">
        <v>75</v>
      </c>
      <c r="Q17" s="343">
        <v>0</v>
      </c>
      <c r="R17" s="336">
        <f>IF(C18&gt;0,-C18,0)</f>
        <v>-5665.63</v>
      </c>
    </row>
    <row r="18" spans="1:18" s="383" customFormat="1" ht="16.5" thickBot="1">
      <c r="A18" s="61"/>
      <c r="B18" s="59" t="s">
        <v>12</v>
      </c>
      <c r="C18" s="50">
        <f>SUM(D18:L18)</f>
        <v>5665.63</v>
      </c>
      <c r="D18" s="161"/>
      <c r="E18" s="161"/>
      <c r="F18" s="161">
        <v>5665.63</v>
      </c>
      <c r="G18" s="161"/>
      <c r="H18" s="161"/>
      <c r="I18" s="161"/>
      <c r="J18" s="161"/>
      <c r="K18" s="161"/>
      <c r="L18" s="244"/>
      <c r="M18" s="237">
        <v>3.2500000000000001E-2</v>
      </c>
      <c r="N18" s="50"/>
      <c r="O18" s="342" t="s">
        <v>83</v>
      </c>
      <c r="P18" s="340" t="s">
        <v>76</v>
      </c>
      <c r="Q18" s="116">
        <f>IF(-C18&gt;0,-C18,0)</f>
        <v>0</v>
      </c>
      <c r="R18" s="116">
        <f>IF(C18&gt;0,0,0)</f>
        <v>0</v>
      </c>
    </row>
    <row r="19" spans="1:18" s="383" customFormat="1" ht="16.5" thickBot="1">
      <c r="A19" s="103">
        <f>A13</f>
        <v>41243</v>
      </c>
      <c r="B19" s="50" t="s">
        <v>56</v>
      </c>
      <c r="C19" s="158">
        <f>SUM(C11:C18)</f>
        <v>2905266.8439077931</v>
      </c>
      <c r="D19" s="158">
        <f>SUM(D11:D18)</f>
        <v>-902403.19623620855</v>
      </c>
      <c r="E19" s="158">
        <f>SUM(E11:E18)</f>
        <v>3873024.4701439994</v>
      </c>
      <c r="F19" s="158">
        <f>SUM(F11:F18)</f>
        <v>-65354.430000000015</v>
      </c>
      <c r="G19" s="158">
        <f>SUM(G8:G18)</f>
        <v>0</v>
      </c>
      <c r="H19" s="158">
        <f>SUM(H8:H18)</f>
        <v>0</v>
      </c>
      <c r="I19" s="158">
        <f>SUM(I8:I18)</f>
        <v>0</v>
      </c>
      <c r="J19" s="158">
        <f>SUM(J8:J18)</f>
        <v>0</v>
      </c>
      <c r="K19" s="158">
        <f>SUM(K8:K18)</f>
        <v>0</v>
      </c>
      <c r="L19" s="158">
        <f>SUM(L11:L18)</f>
        <v>0</v>
      </c>
      <c r="M19" s="57"/>
      <c r="N19" s="384"/>
      <c r="O19" s="384"/>
      <c r="P19" s="384"/>
      <c r="Q19" s="384"/>
      <c r="R19" s="337">
        <f>ROUND(SUM(Q14:R18),2)</f>
        <v>0</v>
      </c>
    </row>
    <row r="20" spans="1:18" ht="16.5" thickTop="1" thickBot="1"/>
    <row r="21" spans="1:18" s="383" customFormat="1" ht="16.5" thickBot="1">
      <c r="A21" s="58">
        <v>41274</v>
      </c>
      <c r="B21" s="59" t="s">
        <v>84</v>
      </c>
      <c r="C21" s="50">
        <f>SUM(D21:L21)</f>
        <v>338391.8734309976</v>
      </c>
      <c r="D21" s="243">
        <v>1143938.5575779974</v>
      </c>
      <c r="E21" s="243">
        <v>-805546.68414699985</v>
      </c>
      <c r="F21" s="161">
        <v>0</v>
      </c>
      <c r="G21" s="161"/>
      <c r="H21" s="161"/>
      <c r="I21" s="161"/>
      <c r="J21" s="387"/>
      <c r="K21" s="161"/>
      <c r="L21" s="161">
        <v>0</v>
      </c>
      <c r="M21" s="133"/>
      <c r="N21" s="50"/>
      <c r="O21" s="335" t="s">
        <v>106</v>
      </c>
      <c r="P21" s="93"/>
      <c r="Q21" s="93"/>
      <c r="R21" s="94"/>
    </row>
    <row r="22" spans="1:18" s="383" customFormat="1" ht="15.75">
      <c r="A22" s="58"/>
      <c r="B22" s="59" t="s">
        <v>148</v>
      </c>
      <c r="C22" s="50">
        <f>SUM(D22:F22)</f>
        <v>0</v>
      </c>
      <c r="D22" s="240"/>
      <c r="E22" s="240">
        <v>0</v>
      </c>
      <c r="F22" s="161"/>
      <c r="G22" s="161"/>
      <c r="H22" s="161"/>
      <c r="I22" s="161"/>
      <c r="J22" s="161"/>
      <c r="K22" s="161"/>
      <c r="L22" s="161"/>
      <c r="M22" s="133"/>
      <c r="N22" s="50"/>
      <c r="O22" s="346" t="s">
        <v>211</v>
      </c>
      <c r="P22" s="338" t="s">
        <v>27</v>
      </c>
      <c r="Q22" s="334">
        <v>0</v>
      </c>
      <c r="R22" s="336">
        <v>0</v>
      </c>
    </row>
    <row r="23" spans="1:18" s="383" customFormat="1" ht="15.75">
      <c r="A23" s="58"/>
      <c r="B23" s="20" t="s">
        <v>157</v>
      </c>
      <c r="C23" s="50">
        <f>SUM(D23:L23)</f>
        <v>0</v>
      </c>
      <c r="D23" s="241">
        <v>0</v>
      </c>
      <c r="E23" s="240"/>
      <c r="F23" s="161"/>
      <c r="G23" s="161"/>
      <c r="H23" s="161"/>
      <c r="I23" s="161"/>
      <c r="J23" s="161"/>
      <c r="K23" s="161"/>
      <c r="L23" s="161"/>
      <c r="M23" s="133"/>
      <c r="N23" s="50"/>
      <c r="O23" s="333" t="s">
        <v>79</v>
      </c>
      <c r="P23" s="338" t="s">
        <v>17</v>
      </c>
      <c r="Q23" s="334">
        <f>IF((-C19+C27)&gt;0,(-C19+C27),0)</f>
        <v>346718.54343099752</v>
      </c>
      <c r="R23" s="336">
        <f>IF((-C16+C27)&lt;0,(-C16+C27),0)</f>
        <v>0</v>
      </c>
    </row>
    <row r="24" spans="1:18" s="383" customFormat="1" ht="15.75">
      <c r="A24" s="58"/>
      <c r="B24" s="59" t="s">
        <v>49</v>
      </c>
      <c r="C24" s="50">
        <f>SUM(D24:L24)</f>
        <v>0</v>
      </c>
      <c r="D24" s="161"/>
      <c r="E24" s="161"/>
      <c r="F24" s="161"/>
      <c r="G24" s="161"/>
      <c r="H24" s="161"/>
      <c r="I24" s="161"/>
      <c r="J24" s="161"/>
      <c r="K24" s="161"/>
      <c r="L24" s="242">
        <v>0</v>
      </c>
      <c r="M24" s="134"/>
      <c r="N24" s="50"/>
      <c r="O24" s="339" t="s">
        <v>80</v>
      </c>
      <c r="P24" s="338" t="s">
        <v>20</v>
      </c>
      <c r="Q24" s="112">
        <f>IF((C21+C22)&lt;0,(-C21-C22),0)</f>
        <v>0</v>
      </c>
      <c r="R24" s="336">
        <f>IF((C21+C22)&gt;0,(-C21-C22),0)</f>
        <v>-338391.8734309976</v>
      </c>
    </row>
    <row r="25" spans="1:18" s="383" customFormat="1" ht="15.75">
      <c r="A25" s="58"/>
      <c r="B25" s="59" t="s">
        <v>144</v>
      </c>
      <c r="C25" s="50">
        <f>SUM(D25:L25)</f>
        <v>0</v>
      </c>
      <c r="D25" s="161"/>
      <c r="E25" s="161"/>
      <c r="F25" s="161"/>
      <c r="G25" s="161"/>
      <c r="H25" s="161"/>
      <c r="I25" s="161"/>
      <c r="J25" s="161"/>
      <c r="K25" s="161"/>
      <c r="L25" s="242">
        <v>0</v>
      </c>
      <c r="M25" s="134"/>
      <c r="N25" s="50"/>
      <c r="O25" s="341" t="s">
        <v>82</v>
      </c>
      <c r="P25" s="338" t="s">
        <v>75</v>
      </c>
      <c r="Q25" s="343">
        <v>0</v>
      </c>
      <c r="R25" s="336">
        <f>IF(C26&gt;0,-C26,0)</f>
        <v>-8326.67</v>
      </c>
    </row>
    <row r="26" spans="1:18" s="383" customFormat="1" ht="16.5" thickBot="1">
      <c r="A26" s="61"/>
      <c r="B26" s="59" t="s">
        <v>12</v>
      </c>
      <c r="C26" s="50">
        <f>SUM(D26:L26)</f>
        <v>8326.67</v>
      </c>
      <c r="D26" s="161"/>
      <c r="E26" s="161"/>
      <c r="F26" s="161">
        <v>8326.67</v>
      </c>
      <c r="G26" s="161"/>
      <c r="H26" s="161"/>
      <c r="I26" s="161"/>
      <c r="J26" s="161"/>
      <c r="K26" s="161"/>
      <c r="L26" s="244"/>
      <c r="M26" s="237">
        <v>3.2500000000000001E-2</v>
      </c>
      <c r="N26" s="50"/>
      <c r="O26" s="342" t="s">
        <v>83</v>
      </c>
      <c r="P26" s="340" t="s">
        <v>76</v>
      </c>
      <c r="Q26" s="116">
        <f>IF(-C26&gt;0,-C26,0)</f>
        <v>0</v>
      </c>
      <c r="R26" s="116">
        <f>IF(C26&gt;0,0,0)</f>
        <v>0</v>
      </c>
    </row>
    <row r="27" spans="1:18" s="383" customFormat="1" ht="16.5" thickBot="1">
      <c r="A27" s="103">
        <f>A21</f>
        <v>41274</v>
      </c>
      <c r="B27" s="50" t="s">
        <v>56</v>
      </c>
      <c r="C27" s="158">
        <f>SUM(C19:C26)</f>
        <v>3251985.3873387906</v>
      </c>
      <c r="D27" s="158">
        <f>SUM(D19:D26)</f>
        <v>241535.3613417889</v>
      </c>
      <c r="E27" s="158">
        <f>SUM(E19:E26)</f>
        <v>3067477.7859969996</v>
      </c>
      <c r="F27" s="158">
        <f>SUM(F19:F26)</f>
        <v>-57027.760000000017</v>
      </c>
      <c r="G27" s="158">
        <f t="shared" ref="G27:K27" si="0">SUM(G16:G26)</f>
        <v>0</v>
      </c>
      <c r="H27" s="158">
        <f t="shared" si="0"/>
        <v>0</v>
      </c>
      <c r="I27" s="158">
        <f t="shared" si="0"/>
        <v>0</v>
      </c>
      <c r="J27" s="158">
        <f t="shared" si="0"/>
        <v>0</v>
      </c>
      <c r="K27" s="158">
        <f t="shared" si="0"/>
        <v>0</v>
      </c>
      <c r="L27" s="158">
        <f>SUM(L19:L26)</f>
        <v>0</v>
      </c>
      <c r="M27" s="57"/>
      <c r="N27" s="384"/>
      <c r="O27" s="384"/>
      <c r="P27" s="384"/>
      <c r="Q27" s="384"/>
      <c r="R27" s="337">
        <f>ROUND(SUM(Q22:R26),2)</f>
        <v>0</v>
      </c>
    </row>
    <row r="28" spans="1:18" s="383" customFormat="1" ht="16.5" thickTop="1" thickBot="1">
      <c r="A28" s="53"/>
      <c r="M28" s="52"/>
    </row>
    <row r="29" spans="1:18" s="383" customFormat="1" ht="16.5" thickBot="1">
      <c r="A29" s="58">
        <v>41305</v>
      </c>
      <c r="B29" s="59" t="s">
        <v>84</v>
      </c>
      <c r="C29" s="50">
        <f>SUM(D29:L29)</f>
        <v>-3227933.8735419996</v>
      </c>
      <c r="D29" s="243">
        <v>-1853906.027032</v>
      </c>
      <c r="E29" s="243">
        <v>-1374027.8465099994</v>
      </c>
      <c r="F29" s="161">
        <v>0</v>
      </c>
      <c r="G29" s="161"/>
      <c r="H29" s="161"/>
      <c r="I29" s="161"/>
      <c r="J29" s="387"/>
      <c r="K29" s="161"/>
      <c r="L29" s="161">
        <v>0</v>
      </c>
      <c r="M29" s="133"/>
      <c r="N29" s="50"/>
      <c r="O29" s="335" t="s">
        <v>106</v>
      </c>
      <c r="P29" s="93"/>
      <c r="Q29" s="93"/>
      <c r="R29" s="94"/>
    </row>
    <row r="30" spans="1:18" s="383" customFormat="1" ht="15.75">
      <c r="A30" s="58"/>
      <c r="B30" s="59" t="s">
        <v>148</v>
      </c>
      <c r="C30" s="50">
        <f>SUM(D30:F30)</f>
        <v>0</v>
      </c>
      <c r="D30" s="240"/>
      <c r="E30" s="240">
        <v>0</v>
      </c>
      <c r="F30" s="161"/>
      <c r="G30" s="161"/>
      <c r="H30" s="161"/>
      <c r="I30" s="161"/>
      <c r="J30" s="161"/>
      <c r="K30" s="161"/>
      <c r="L30" s="161"/>
      <c r="M30" s="133"/>
      <c r="N30" s="50"/>
      <c r="O30" s="346" t="s">
        <v>211</v>
      </c>
      <c r="P30" s="338" t="s">
        <v>27</v>
      </c>
      <c r="Q30" s="334">
        <v>0</v>
      </c>
      <c r="R30" s="336">
        <v>0</v>
      </c>
    </row>
    <row r="31" spans="1:18" s="383" customFormat="1" ht="15.75">
      <c r="A31" s="58"/>
      <c r="B31" s="20" t="s">
        <v>157</v>
      </c>
      <c r="C31" s="50">
        <f>SUM(D31:L31)</f>
        <v>0</v>
      </c>
      <c r="D31" s="241">
        <v>0</v>
      </c>
      <c r="E31" s="240"/>
      <c r="F31" s="161"/>
      <c r="G31" s="161"/>
      <c r="H31" s="161"/>
      <c r="I31" s="161"/>
      <c r="J31" s="161"/>
      <c r="K31" s="161"/>
      <c r="L31" s="161"/>
      <c r="M31" s="133"/>
      <c r="N31" s="50"/>
      <c r="O31" s="333" t="s">
        <v>79</v>
      </c>
      <c r="P31" s="338" t="s">
        <v>17</v>
      </c>
      <c r="Q31" s="334">
        <f>IF((-C27+C35)&gt;0,(-C27+C35),0)</f>
        <v>0</v>
      </c>
      <c r="R31" s="336">
        <f>IF((-C27+C35)&lt;0,(-C27+C35),0)</f>
        <v>-3223497.5735419998</v>
      </c>
    </row>
    <row r="32" spans="1:18" s="383" customFormat="1" ht="15.75">
      <c r="A32" s="58"/>
      <c r="B32" s="59" t="s">
        <v>49</v>
      </c>
      <c r="C32" s="50">
        <f>SUM(D32:L32)</f>
        <v>0</v>
      </c>
      <c r="D32" s="161"/>
      <c r="E32" s="161"/>
      <c r="F32" s="161"/>
      <c r="G32" s="161"/>
      <c r="H32" s="161"/>
      <c r="I32" s="161"/>
      <c r="J32" s="161"/>
      <c r="K32" s="161"/>
      <c r="L32" s="242">
        <v>0</v>
      </c>
      <c r="M32" s="134"/>
      <c r="N32" s="50"/>
      <c r="O32" s="339" t="s">
        <v>80</v>
      </c>
      <c r="P32" s="338" t="s">
        <v>20</v>
      </c>
      <c r="Q32" s="112">
        <f>IF((C29+C30)&lt;0,(-C29-C30),0)</f>
        <v>3227933.8735419996</v>
      </c>
      <c r="R32" s="336">
        <f>IF((C29+C30)&gt;0,(-C29-C30),0)</f>
        <v>0</v>
      </c>
    </row>
    <row r="33" spans="1:18" s="383" customFormat="1" ht="15.75">
      <c r="A33" s="58"/>
      <c r="B33" s="59" t="s">
        <v>144</v>
      </c>
      <c r="C33" s="50">
        <f>SUM(D33:L33)</f>
        <v>0</v>
      </c>
      <c r="D33" s="161"/>
      <c r="E33" s="161"/>
      <c r="F33" s="161"/>
      <c r="G33" s="161"/>
      <c r="H33" s="161"/>
      <c r="I33" s="161"/>
      <c r="J33" s="161"/>
      <c r="K33" s="161"/>
      <c r="L33" s="242">
        <v>0</v>
      </c>
      <c r="M33" s="134"/>
      <c r="N33" s="50"/>
      <c r="O33" s="341" t="s">
        <v>82</v>
      </c>
      <c r="P33" s="338" t="s">
        <v>75</v>
      </c>
      <c r="Q33" s="343">
        <v>0</v>
      </c>
      <c r="R33" s="336">
        <f>IF(C34&gt;0,-C34,0)</f>
        <v>-4436.3</v>
      </c>
    </row>
    <row r="34" spans="1:18" s="383" customFormat="1" ht="16.5" thickBot="1">
      <c r="A34" s="61"/>
      <c r="B34" s="59" t="s">
        <v>12</v>
      </c>
      <c r="C34" s="50">
        <f>SUM(D34:L34)</f>
        <v>4436.3</v>
      </c>
      <c r="D34" s="161"/>
      <c r="E34" s="161"/>
      <c r="F34" s="161">
        <v>4436.3</v>
      </c>
      <c r="G34" s="161"/>
      <c r="H34" s="161"/>
      <c r="I34" s="161"/>
      <c r="J34" s="161"/>
      <c r="K34" s="161"/>
      <c r="L34" s="244"/>
      <c r="M34" s="237">
        <v>3.2500000000000001E-2</v>
      </c>
      <c r="N34" s="50"/>
      <c r="O34" s="342" t="s">
        <v>83</v>
      </c>
      <c r="P34" s="340" t="s">
        <v>76</v>
      </c>
      <c r="Q34" s="116">
        <f>IF(-C34&gt;0,-C34,0)</f>
        <v>0</v>
      </c>
      <c r="R34" s="116">
        <f>IF(C34&gt;0,0,0)</f>
        <v>0</v>
      </c>
    </row>
    <row r="35" spans="1:18" s="383" customFormat="1" ht="16.5" thickBot="1">
      <c r="A35" s="103">
        <f>A29</f>
        <v>41305</v>
      </c>
      <c r="B35" s="50" t="s">
        <v>56</v>
      </c>
      <c r="C35" s="158">
        <f>SUM(C27:C34)</f>
        <v>28487.813796790968</v>
      </c>
      <c r="D35" s="158">
        <f>SUM(D27:D34)</f>
        <v>-1612370.6656902111</v>
      </c>
      <c r="E35" s="158">
        <f>SUM(E27:E34)</f>
        <v>1693449.9394870002</v>
      </c>
      <c r="F35" s="158">
        <f>SUM(F27:F34)</f>
        <v>-52591.460000000014</v>
      </c>
      <c r="G35" s="158">
        <f t="shared" ref="G35:K35" si="1">SUM(G24:G34)</f>
        <v>0</v>
      </c>
      <c r="H35" s="158">
        <f t="shared" si="1"/>
        <v>0</v>
      </c>
      <c r="I35" s="158">
        <f t="shared" si="1"/>
        <v>0</v>
      </c>
      <c r="J35" s="158">
        <f t="shared" si="1"/>
        <v>0</v>
      </c>
      <c r="K35" s="158">
        <f t="shared" si="1"/>
        <v>0</v>
      </c>
      <c r="L35" s="158">
        <f>SUM(L27:L34)</f>
        <v>0</v>
      </c>
      <c r="M35" s="57"/>
      <c r="N35" s="384"/>
      <c r="O35" s="384"/>
      <c r="P35" s="384"/>
      <c r="Q35" s="384"/>
      <c r="R35" s="337">
        <f>ROUND(SUM(Q30:R34),2)</f>
        <v>0</v>
      </c>
    </row>
    <row r="36" spans="1:18" s="383" customFormat="1" ht="16.5" thickTop="1" thickBot="1">
      <c r="A36" s="53"/>
      <c r="M36" s="52"/>
    </row>
    <row r="37" spans="1:18" s="383" customFormat="1" ht="16.5" thickBot="1">
      <c r="A37" s="58">
        <v>41333</v>
      </c>
      <c r="B37" s="59" t="s">
        <v>84</v>
      </c>
      <c r="C37" s="50">
        <f>SUM(D37:L37)</f>
        <v>227268.08091399889</v>
      </c>
      <c r="D37" s="243">
        <v>964027.88181999885</v>
      </c>
      <c r="E37" s="243">
        <v>-736759.80090599996</v>
      </c>
      <c r="F37" s="161">
        <v>0</v>
      </c>
      <c r="G37" s="161"/>
      <c r="H37" s="161"/>
      <c r="I37" s="161"/>
      <c r="J37" s="387"/>
      <c r="K37" s="161"/>
      <c r="L37" s="161">
        <v>0</v>
      </c>
      <c r="M37" s="133"/>
      <c r="N37" s="50"/>
      <c r="O37" s="335" t="s">
        <v>106</v>
      </c>
      <c r="P37" s="93"/>
      <c r="Q37" s="93"/>
      <c r="R37" s="94"/>
    </row>
    <row r="38" spans="1:18" s="383" customFormat="1" ht="15.75">
      <c r="A38" s="58"/>
      <c r="B38" s="59" t="s">
        <v>148</v>
      </c>
      <c r="C38" s="50">
        <f>SUM(D38:F38)</f>
        <v>0</v>
      </c>
      <c r="D38" s="240"/>
      <c r="E38" s="240">
        <v>0</v>
      </c>
      <c r="F38" s="161"/>
      <c r="G38" s="161"/>
      <c r="H38" s="161"/>
      <c r="I38" s="161"/>
      <c r="J38" s="161"/>
      <c r="K38" s="161"/>
      <c r="L38" s="161"/>
      <c r="M38" s="133"/>
      <c r="N38" s="50"/>
      <c r="O38" s="346" t="s">
        <v>211</v>
      </c>
      <c r="P38" s="338" t="s">
        <v>27</v>
      </c>
      <c r="Q38" s="334">
        <v>0</v>
      </c>
      <c r="R38" s="336">
        <v>0</v>
      </c>
    </row>
    <row r="39" spans="1:18" s="383" customFormat="1" ht="15.75">
      <c r="A39" s="58"/>
      <c r="B39" s="20" t="s">
        <v>157</v>
      </c>
      <c r="C39" s="50">
        <f>SUM(D39:L39)</f>
        <v>0</v>
      </c>
      <c r="D39" s="241">
        <v>0</v>
      </c>
      <c r="E39" s="240"/>
      <c r="F39" s="161"/>
      <c r="G39" s="161"/>
      <c r="H39" s="161"/>
      <c r="I39" s="161"/>
      <c r="J39" s="161"/>
      <c r="K39" s="161"/>
      <c r="L39" s="161"/>
      <c r="M39" s="133"/>
      <c r="N39" s="50"/>
      <c r="O39" s="333" t="s">
        <v>79</v>
      </c>
      <c r="P39" s="338" t="s">
        <v>17</v>
      </c>
      <c r="Q39" s="334">
        <f>IF((-C35+C43)&gt;0,(-C35+C43),0)</f>
        <v>227652.99091399889</v>
      </c>
      <c r="R39" s="336">
        <f>IF((-C35+C43)&lt;0,(-C35+C43),0)</f>
        <v>0</v>
      </c>
    </row>
    <row r="40" spans="1:18" s="383" customFormat="1" ht="15.75">
      <c r="A40" s="58"/>
      <c r="B40" s="59" t="s">
        <v>49</v>
      </c>
      <c r="C40" s="50">
        <f>SUM(D40:L40)</f>
        <v>0</v>
      </c>
      <c r="D40" s="161"/>
      <c r="E40" s="161"/>
      <c r="F40" s="161"/>
      <c r="G40" s="161"/>
      <c r="H40" s="161"/>
      <c r="I40" s="161"/>
      <c r="J40" s="161"/>
      <c r="K40" s="161"/>
      <c r="L40" s="242">
        <v>0</v>
      </c>
      <c r="M40" s="134"/>
      <c r="N40" s="50"/>
      <c r="O40" s="339" t="s">
        <v>80</v>
      </c>
      <c r="P40" s="338" t="s">
        <v>20</v>
      </c>
      <c r="Q40" s="112">
        <f>IF((C37+C38)&lt;0,(-C37-C38),0)</f>
        <v>0</v>
      </c>
      <c r="R40" s="336">
        <f>IF((C37+C38)&gt;0,(-C37-C38),0)</f>
        <v>-227268.08091399889</v>
      </c>
    </row>
    <row r="41" spans="1:18" s="383" customFormat="1" ht="15.75">
      <c r="A41" s="58"/>
      <c r="B41" s="59" t="s">
        <v>144</v>
      </c>
      <c r="C41" s="50">
        <f>SUM(D41:L41)</f>
        <v>0</v>
      </c>
      <c r="D41" s="161"/>
      <c r="E41" s="161"/>
      <c r="F41" s="161"/>
      <c r="G41" s="161"/>
      <c r="H41" s="161"/>
      <c r="I41" s="161"/>
      <c r="J41" s="161"/>
      <c r="K41" s="161"/>
      <c r="L41" s="242">
        <v>0</v>
      </c>
      <c r="M41" s="134"/>
      <c r="N41" s="50"/>
      <c r="O41" s="341" t="s">
        <v>82</v>
      </c>
      <c r="P41" s="338" t="s">
        <v>75</v>
      </c>
      <c r="Q41" s="343">
        <v>0</v>
      </c>
      <c r="R41" s="336">
        <f>IF(C42&gt;0,-C42,0)</f>
        <v>-384.91</v>
      </c>
    </row>
    <row r="42" spans="1:18" s="383" customFormat="1" ht="16.5" thickBot="1">
      <c r="A42" s="61"/>
      <c r="B42" s="59" t="s">
        <v>12</v>
      </c>
      <c r="C42" s="50">
        <f>SUM(D42:L42)</f>
        <v>384.91</v>
      </c>
      <c r="D42" s="161"/>
      <c r="E42" s="161"/>
      <c r="F42" s="161">
        <v>384.91</v>
      </c>
      <c r="G42" s="161"/>
      <c r="H42" s="161"/>
      <c r="I42" s="161"/>
      <c r="J42" s="161"/>
      <c r="K42" s="161"/>
      <c r="L42" s="244"/>
      <c r="M42" s="237">
        <v>3.2500000000000001E-2</v>
      </c>
      <c r="N42" s="50"/>
      <c r="O42" s="342" t="s">
        <v>83</v>
      </c>
      <c r="P42" s="340" t="s">
        <v>76</v>
      </c>
      <c r="Q42" s="116">
        <f>IF(-C42&gt;0,-C42,0)</f>
        <v>0</v>
      </c>
      <c r="R42" s="116">
        <f>IF(C42&gt;0,0,0)</f>
        <v>0</v>
      </c>
    </row>
    <row r="43" spans="1:18" s="383" customFormat="1" ht="16.5" thickBot="1">
      <c r="A43" s="103">
        <f>A37</f>
        <v>41333</v>
      </c>
      <c r="B43" s="50" t="s">
        <v>56</v>
      </c>
      <c r="C43" s="158">
        <f>SUM(C35:C42)</f>
        <v>256140.80471078985</v>
      </c>
      <c r="D43" s="158">
        <f>SUM(D35:D42)</f>
        <v>-648342.78387021227</v>
      </c>
      <c r="E43" s="158">
        <f>SUM(E35:E42)</f>
        <v>956690.13858100027</v>
      </c>
      <c r="F43" s="158">
        <f>SUM(F35:F42)</f>
        <v>-52206.55000000001</v>
      </c>
      <c r="G43" s="158">
        <f t="shared" ref="G43:K43" si="2">SUM(G32:G42)</f>
        <v>0</v>
      </c>
      <c r="H43" s="158">
        <f t="shared" si="2"/>
        <v>0</v>
      </c>
      <c r="I43" s="158">
        <f t="shared" si="2"/>
        <v>0</v>
      </c>
      <c r="J43" s="158">
        <f t="shared" si="2"/>
        <v>0</v>
      </c>
      <c r="K43" s="158">
        <f t="shared" si="2"/>
        <v>0</v>
      </c>
      <c r="L43" s="158">
        <f>SUM(L35:L42)</f>
        <v>0</v>
      </c>
      <c r="M43" s="57"/>
      <c r="N43" s="384"/>
      <c r="O43" s="384"/>
      <c r="P43" s="384"/>
      <c r="Q43" s="384"/>
      <c r="R43" s="337">
        <f>ROUND(SUM(Q38:R42),2)</f>
        <v>0</v>
      </c>
    </row>
    <row r="44" spans="1:18" s="383" customFormat="1" ht="16.5" thickTop="1" thickBot="1">
      <c r="A44" s="53"/>
      <c r="M44" s="52"/>
    </row>
    <row r="45" spans="1:18" s="383" customFormat="1" ht="16.5" thickBot="1">
      <c r="A45" s="58">
        <v>41364</v>
      </c>
      <c r="B45" s="59" t="s">
        <v>84</v>
      </c>
      <c r="C45" s="50">
        <f>SUM(D45:L45)</f>
        <v>-83754.106502999784</v>
      </c>
      <c r="D45" s="243">
        <v>311623.77906699944</v>
      </c>
      <c r="E45" s="243">
        <v>-395377.88556999923</v>
      </c>
      <c r="F45" s="161">
        <v>0</v>
      </c>
      <c r="G45" s="161"/>
      <c r="H45" s="161"/>
      <c r="I45" s="161"/>
      <c r="J45" s="387"/>
      <c r="K45" s="161"/>
      <c r="L45" s="161">
        <v>0</v>
      </c>
      <c r="M45" s="133"/>
      <c r="N45" s="50"/>
      <c r="O45" s="335" t="s">
        <v>106</v>
      </c>
      <c r="P45" s="93"/>
      <c r="Q45" s="93"/>
      <c r="R45" s="94"/>
    </row>
    <row r="46" spans="1:18" s="383" customFormat="1" ht="15.75">
      <c r="A46" s="58"/>
      <c r="B46" s="59" t="s">
        <v>148</v>
      </c>
      <c r="C46" s="50">
        <f>SUM(D46:F46)</f>
        <v>0</v>
      </c>
      <c r="D46" s="240"/>
      <c r="E46" s="240">
        <v>0</v>
      </c>
      <c r="F46" s="161"/>
      <c r="G46" s="161"/>
      <c r="H46" s="161"/>
      <c r="I46" s="161"/>
      <c r="J46" s="161"/>
      <c r="K46" s="161"/>
      <c r="L46" s="161"/>
      <c r="M46" s="133"/>
      <c r="N46" s="50"/>
      <c r="O46" s="346" t="s">
        <v>211</v>
      </c>
      <c r="P46" s="338" t="s">
        <v>27</v>
      </c>
      <c r="Q46" s="334">
        <v>0</v>
      </c>
      <c r="R46" s="336">
        <v>0</v>
      </c>
    </row>
    <row r="47" spans="1:18" s="383" customFormat="1" ht="15.75">
      <c r="A47" s="58"/>
      <c r="B47" s="20" t="s">
        <v>157</v>
      </c>
      <c r="C47" s="50">
        <f>SUM(D47:L47)</f>
        <v>0</v>
      </c>
      <c r="D47" s="241">
        <v>0</v>
      </c>
      <c r="E47" s="240"/>
      <c r="F47" s="161"/>
      <c r="G47" s="161"/>
      <c r="H47" s="161"/>
      <c r="I47" s="161"/>
      <c r="J47" s="161"/>
      <c r="K47" s="161"/>
      <c r="L47" s="161"/>
      <c r="M47" s="133"/>
      <c r="N47" s="50"/>
      <c r="O47" s="333" t="s">
        <v>79</v>
      </c>
      <c r="P47" s="338" t="s">
        <v>17</v>
      </c>
      <c r="Q47" s="334">
        <f>IF((-C43+C51)&gt;0,(-C43+C51),0)</f>
        <v>0</v>
      </c>
      <c r="R47" s="336">
        <f>IF((-C43+C51)&lt;0,(-C43+C51),0)</f>
        <v>-83173.806502999796</v>
      </c>
    </row>
    <row r="48" spans="1:18" s="383" customFormat="1" ht="15.75">
      <c r="A48" s="58"/>
      <c r="B48" s="59" t="s">
        <v>49</v>
      </c>
      <c r="C48" s="50">
        <f>SUM(D48:L48)</f>
        <v>0</v>
      </c>
      <c r="D48" s="161"/>
      <c r="E48" s="161"/>
      <c r="F48" s="161"/>
      <c r="G48" s="161"/>
      <c r="H48" s="161"/>
      <c r="I48" s="161"/>
      <c r="J48" s="161"/>
      <c r="K48" s="161"/>
      <c r="L48" s="242">
        <v>0</v>
      </c>
      <c r="M48" s="134"/>
      <c r="N48" s="50"/>
      <c r="O48" s="339" t="s">
        <v>80</v>
      </c>
      <c r="P48" s="338" t="s">
        <v>20</v>
      </c>
      <c r="Q48" s="112">
        <f>IF((C45+C46)&lt;0,(-C45-C46),0)</f>
        <v>83754.106502999784</v>
      </c>
      <c r="R48" s="336">
        <f>IF((C45+C46)&gt;0,(-C45-C46),0)</f>
        <v>0</v>
      </c>
    </row>
    <row r="49" spans="1:18" s="383" customFormat="1" ht="15.75">
      <c r="A49" s="58"/>
      <c r="B49" s="59" t="s">
        <v>144</v>
      </c>
      <c r="C49" s="50">
        <f>SUM(D49:L49)</f>
        <v>0</v>
      </c>
      <c r="D49" s="161"/>
      <c r="E49" s="161"/>
      <c r="F49" s="161"/>
      <c r="G49" s="161"/>
      <c r="H49" s="161"/>
      <c r="I49" s="161"/>
      <c r="J49" s="161"/>
      <c r="K49" s="161"/>
      <c r="L49" s="242">
        <v>0</v>
      </c>
      <c r="M49" s="134"/>
      <c r="N49" s="50"/>
      <c r="O49" s="341" t="s">
        <v>82</v>
      </c>
      <c r="P49" s="338" t="s">
        <v>75</v>
      </c>
      <c r="Q49" s="343">
        <v>0</v>
      </c>
      <c r="R49" s="336">
        <f>IF(C50&gt;0,-C50,0)</f>
        <v>-580.29999999999995</v>
      </c>
    </row>
    <row r="50" spans="1:18" s="383" customFormat="1" ht="16.5" thickBot="1">
      <c r="A50" s="61"/>
      <c r="B50" s="59" t="s">
        <v>12</v>
      </c>
      <c r="C50" s="50">
        <f>SUM(D50:L50)</f>
        <v>580.29999999999995</v>
      </c>
      <c r="D50" s="161"/>
      <c r="E50" s="161"/>
      <c r="F50" s="161">
        <v>580.29999999999995</v>
      </c>
      <c r="G50" s="161"/>
      <c r="H50" s="161"/>
      <c r="I50" s="161"/>
      <c r="J50" s="161"/>
      <c r="K50" s="161"/>
      <c r="L50" s="244"/>
      <c r="M50" s="237">
        <v>3.2500000000000001E-2</v>
      </c>
      <c r="N50" s="50"/>
      <c r="O50" s="342" t="s">
        <v>83</v>
      </c>
      <c r="P50" s="340" t="s">
        <v>76</v>
      </c>
      <c r="Q50" s="116">
        <f>IF(-C50&gt;0,-C50,0)</f>
        <v>0</v>
      </c>
      <c r="R50" s="116">
        <f>IF(C50&gt;0,0,0)</f>
        <v>0</v>
      </c>
    </row>
    <row r="51" spans="1:18" s="383" customFormat="1" ht="16.5" thickBot="1">
      <c r="A51" s="103">
        <f>A45</f>
        <v>41364</v>
      </c>
      <c r="B51" s="50" t="s">
        <v>56</v>
      </c>
      <c r="C51" s="158">
        <f>SUM(C43:C50)</f>
        <v>172966.99820779005</v>
      </c>
      <c r="D51" s="158">
        <f>SUM(D43:D50)</f>
        <v>-336719.00480321283</v>
      </c>
      <c r="E51" s="158">
        <f>SUM(E43:E50)</f>
        <v>561312.25301100104</v>
      </c>
      <c r="F51" s="158">
        <f>SUM(F43:F50)</f>
        <v>-51626.250000000007</v>
      </c>
      <c r="G51" s="158">
        <f t="shared" ref="G51:K51" si="3">SUM(G40:G50)</f>
        <v>0</v>
      </c>
      <c r="H51" s="158">
        <f t="shared" si="3"/>
        <v>0</v>
      </c>
      <c r="I51" s="158">
        <f t="shared" si="3"/>
        <v>0</v>
      </c>
      <c r="J51" s="158">
        <f t="shared" si="3"/>
        <v>0</v>
      </c>
      <c r="K51" s="158">
        <f t="shared" si="3"/>
        <v>0</v>
      </c>
      <c r="L51" s="158">
        <f>SUM(L43:L50)</f>
        <v>0</v>
      </c>
      <c r="M51" s="57"/>
      <c r="N51" s="384"/>
      <c r="O51" s="384"/>
      <c r="P51" s="384"/>
      <c r="Q51" s="384"/>
      <c r="R51" s="337">
        <f>ROUND(SUM(Q46:R50),2)</f>
        <v>0</v>
      </c>
    </row>
    <row r="52" spans="1:18" ht="16.5" thickTop="1" thickBot="1"/>
    <row r="53" spans="1:18" s="383" customFormat="1" ht="16.5" thickBot="1">
      <c r="A53" s="58">
        <v>41365</v>
      </c>
      <c r="B53" s="59" t="s">
        <v>84</v>
      </c>
      <c r="C53" s="50">
        <f>SUM(D53:L53)</f>
        <v>-160377.30866600084</v>
      </c>
      <c r="D53" s="243">
        <v>-294475.16016600048</v>
      </c>
      <c r="E53" s="243">
        <v>134097.85149999964</v>
      </c>
      <c r="F53" s="161">
        <v>0</v>
      </c>
      <c r="G53" s="161"/>
      <c r="H53" s="161"/>
      <c r="I53" s="161"/>
      <c r="J53" s="387"/>
      <c r="K53" s="161"/>
      <c r="L53" s="161">
        <v>0</v>
      </c>
      <c r="M53" s="133"/>
      <c r="N53" s="50"/>
      <c r="O53" s="335" t="s">
        <v>106</v>
      </c>
      <c r="P53" s="93"/>
      <c r="Q53" s="93"/>
      <c r="R53" s="94"/>
    </row>
    <row r="54" spans="1:18" s="383" customFormat="1" ht="15.75">
      <c r="A54" s="58"/>
      <c r="B54" s="59" t="s">
        <v>148</v>
      </c>
      <c r="C54" s="50">
        <f>SUM(D54:F54)</f>
        <v>0</v>
      </c>
      <c r="D54" s="240"/>
      <c r="E54" s="240">
        <v>0</v>
      </c>
      <c r="F54" s="161"/>
      <c r="G54" s="161"/>
      <c r="H54" s="161"/>
      <c r="I54" s="161"/>
      <c r="J54" s="161"/>
      <c r="K54" s="161"/>
      <c r="L54" s="161"/>
      <c r="M54" s="133"/>
      <c r="N54" s="50"/>
      <c r="O54" s="346" t="s">
        <v>211</v>
      </c>
      <c r="P54" s="338" t="s">
        <v>27</v>
      </c>
      <c r="Q54" s="334">
        <v>0</v>
      </c>
      <c r="R54" s="336">
        <v>0</v>
      </c>
    </row>
    <row r="55" spans="1:18" s="383" customFormat="1" ht="15.75">
      <c r="A55" s="58"/>
      <c r="B55" s="20" t="s">
        <v>157</v>
      </c>
      <c r="C55" s="50">
        <f>SUM(D55:L55)</f>
        <v>0</v>
      </c>
      <c r="D55" s="241">
        <v>0</v>
      </c>
      <c r="E55" s="240"/>
      <c r="F55" s="161"/>
      <c r="G55" s="161"/>
      <c r="H55" s="161"/>
      <c r="I55" s="161"/>
      <c r="J55" s="161"/>
      <c r="K55" s="161"/>
      <c r="L55" s="161"/>
      <c r="M55" s="133"/>
      <c r="N55" s="50"/>
      <c r="O55" s="333" t="s">
        <v>79</v>
      </c>
      <c r="P55" s="338" t="s">
        <v>17</v>
      </c>
      <c r="Q55" s="334">
        <f>IF((-C51+C59)&gt;0,(-C51+C59),0)</f>
        <v>0</v>
      </c>
      <c r="R55" s="336">
        <f>IF((-C51+C59)&lt;0,(-C51+C59),0)</f>
        <v>-160126.03866600085</v>
      </c>
    </row>
    <row r="56" spans="1:18" s="383" customFormat="1" ht="15.75">
      <c r="A56" s="58"/>
      <c r="B56" s="59" t="s">
        <v>49</v>
      </c>
      <c r="C56" s="50">
        <f>SUM(D56:L56)</f>
        <v>0</v>
      </c>
      <c r="D56" s="161"/>
      <c r="E56" s="161"/>
      <c r="F56" s="161"/>
      <c r="G56" s="161"/>
      <c r="H56" s="161"/>
      <c r="I56" s="161"/>
      <c r="J56" s="161"/>
      <c r="K56" s="161"/>
      <c r="L56" s="242">
        <v>0</v>
      </c>
      <c r="M56" s="134"/>
      <c r="N56" s="50"/>
      <c r="O56" s="339" t="s">
        <v>80</v>
      </c>
      <c r="P56" s="338" t="s">
        <v>20</v>
      </c>
      <c r="Q56" s="112">
        <f>IF((C53+C54)&lt;0,(-C53-C54),0)</f>
        <v>160377.30866600084</v>
      </c>
      <c r="R56" s="336">
        <f>IF((C53+C54)&gt;0,(-C53-C54),0)</f>
        <v>0</v>
      </c>
    </row>
    <row r="57" spans="1:18" s="383" customFormat="1" ht="15.75">
      <c r="A57" s="58"/>
      <c r="B57" s="59" t="s">
        <v>144</v>
      </c>
      <c r="C57" s="50">
        <f>SUM(D57:L57)</f>
        <v>0</v>
      </c>
      <c r="D57" s="161"/>
      <c r="E57" s="161"/>
      <c r="F57" s="161"/>
      <c r="G57" s="161"/>
      <c r="H57" s="161"/>
      <c r="I57" s="161"/>
      <c r="J57" s="161"/>
      <c r="K57" s="161"/>
      <c r="L57" s="242">
        <v>0</v>
      </c>
      <c r="M57" s="134"/>
      <c r="N57" s="50"/>
      <c r="O57" s="341" t="s">
        <v>82</v>
      </c>
      <c r="P57" s="338" t="s">
        <v>75</v>
      </c>
      <c r="Q57" s="343">
        <v>0</v>
      </c>
      <c r="R57" s="336">
        <f>IF(C58&gt;0,-C58,0)</f>
        <v>-251.27</v>
      </c>
    </row>
    <row r="58" spans="1:18" s="383" customFormat="1" ht="16.5" thickBot="1">
      <c r="A58" s="61"/>
      <c r="B58" s="59" t="s">
        <v>12</v>
      </c>
      <c r="C58" s="50">
        <f>SUM(D58:L58)</f>
        <v>251.27</v>
      </c>
      <c r="D58" s="161"/>
      <c r="E58" s="161"/>
      <c r="F58" s="161">
        <v>251.27</v>
      </c>
      <c r="G58" s="161"/>
      <c r="H58" s="161"/>
      <c r="I58" s="161"/>
      <c r="J58" s="161"/>
      <c r="K58" s="161"/>
      <c r="L58" s="244"/>
      <c r="M58" s="237">
        <v>3.2500000000000001E-2</v>
      </c>
      <c r="N58" s="50"/>
      <c r="O58" s="342" t="s">
        <v>83</v>
      </c>
      <c r="P58" s="340" t="s">
        <v>76</v>
      </c>
      <c r="Q58" s="116">
        <f>IF(-C58&gt;0,-C58,0)</f>
        <v>0</v>
      </c>
      <c r="R58" s="116">
        <f>IF(C58&gt;0,0,0)</f>
        <v>0</v>
      </c>
    </row>
    <row r="59" spans="1:18" s="383" customFormat="1" ht="16.5" thickBot="1">
      <c r="A59" s="103">
        <f>A53</f>
        <v>41365</v>
      </c>
      <c r="B59" s="50" t="s">
        <v>56</v>
      </c>
      <c r="C59" s="158">
        <f>SUM(C51:C58)</f>
        <v>12840.959541789209</v>
      </c>
      <c r="D59" s="158">
        <f>SUM(D51:D58)</f>
        <v>-631194.16496921331</v>
      </c>
      <c r="E59" s="158">
        <f>SUM(E51:E58)</f>
        <v>695410.10451100068</v>
      </c>
      <c r="F59" s="158">
        <f>SUM(F51:F58)</f>
        <v>-51374.98000000001</v>
      </c>
      <c r="G59" s="158">
        <f t="shared" ref="G59:K59" si="4">SUM(G48:G58)</f>
        <v>0</v>
      </c>
      <c r="H59" s="158">
        <f t="shared" si="4"/>
        <v>0</v>
      </c>
      <c r="I59" s="158">
        <f t="shared" si="4"/>
        <v>0</v>
      </c>
      <c r="J59" s="158">
        <f t="shared" si="4"/>
        <v>0</v>
      </c>
      <c r="K59" s="158">
        <f t="shared" si="4"/>
        <v>0</v>
      </c>
      <c r="L59" s="158">
        <f>SUM(L51:L58)</f>
        <v>0</v>
      </c>
      <c r="M59" s="57"/>
      <c r="N59" s="384"/>
      <c r="O59" s="384"/>
      <c r="P59" s="384"/>
      <c r="Q59" s="384"/>
      <c r="R59" s="337">
        <f>ROUND(SUM(Q54:R58),2)</f>
        <v>0</v>
      </c>
    </row>
    <row r="60" spans="1:18" s="383" customFormat="1" ht="16.5" thickTop="1" thickBot="1">
      <c r="A60" s="53"/>
      <c r="C60" s="384"/>
      <c r="M60" s="52"/>
    </row>
    <row r="61" spans="1:18" s="383" customFormat="1" ht="16.5" thickBot="1">
      <c r="A61" s="58">
        <v>41425</v>
      </c>
      <c r="B61" s="59" t="s">
        <v>84</v>
      </c>
      <c r="C61" s="50">
        <f>SUM(D61:L61)</f>
        <v>291085.24359799817</v>
      </c>
      <c r="D61" s="243">
        <v>-577860.59273000155</v>
      </c>
      <c r="E61" s="243">
        <v>868945.83632799971</v>
      </c>
      <c r="F61" s="161">
        <v>0</v>
      </c>
      <c r="G61" s="161"/>
      <c r="H61" s="161"/>
      <c r="I61" s="161"/>
      <c r="J61" s="387"/>
      <c r="K61" s="161"/>
      <c r="L61" s="161">
        <v>0</v>
      </c>
      <c r="M61" s="133"/>
      <c r="N61" s="50"/>
      <c r="O61" s="335" t="s">
        <v>106</v>
      </c>
      <c r="P61" s="93"/>
      <c r="Q61" s="93"/>
      <c r="R61" s="94"/>
    </row>
    <row r="62" spans="1:18" s="383" customFormat="1" ht="15.75">
      <c r="A62" s="58"/>
      <c r="B62" s="59" t="s">
        <v>148</v>
      </c>
      <c r="C62" s="50">
        <f>SUM(D62:F62)</f>
        <v>0</v>
      </c>
      <c r="D62" s="240"/>
      <c r="E62" s="240">
        <v>0</v>
      </c>
      <c r="F62" s="161"/>
      <c r="G62" s="161"/>
      <c r="H62" s="161"/>
      <c r="I62" s="161"/>
      <c r="J62" s="161"/>
      <c r="K62" s="161"/>
      <c r="L62" s="161"/>
      <c r="M62" s="133"/>
      <c r="N62" s="50"/>
      <c r="O62" s="346" t="s">
        <v>211</v>
      </c>
      <c r="P62" s="338" t="s">
        <v>27</v>
      </c>
      <c r="Q62" s="334">
        <v>0</v>
      </c>
      <c r="R62" s="336">
        <v>0</v>
      </c>
    </row>
    <row r="63" spans="1:18" s="383" customFormat="1" ht="15.75">
      <c r="A63" s="58"/>
      <c r="B63" s="20" t="s">
        <v>157</v>
      </c>
      <c r="C63" s="50">
        <f>SUM(D63:L63)</f>
        <v>0</v>
      </c>
      <c r="D63" s="241">
        <v>0</v>
      </c>
      <c r="E63" s="240"/>
      <c r="F63" s="161"/>
      <c r="G63" s="161"/>
      <c r="H63" s="161"/>
      <c r="I63" s="161"/>
      <c r="J63" s="161"/>
      <c r="K63" s="161"/>
      <c r="L63" s="161"/>
      <c r="M63" s="133"/>
      <c r="N63" s="50"/>
      <c r="O63" s="333" t="s">
        <v>79</v>
      </c>
      <c r="P63" s="338" t="s">
        <v>17</v>
      </c>
      <c r="Q63" s="334">
        <f>IF((-C59+C67)&gt;0,(-C59+C67),0)</f>
        <v>291514.20359799819</v>
      </c>
      <c r="R63" s="336">
        <f>IF((-C59+C67)&lt;0,(-C59+C67),0)</f>
        <v>0</v>
      </c>
    </row>
    <row r="64" spans="1:18" s="383" customFormat="1" ht="15.75">
      <c r="A64" s="58"/>
      <c r="B64" s="59" t="s">
        <v>49</v>
      </c>
      <c r="C64" s="50">
        <f>SUM(D64:L64)</f>
        <v>0</v>
      </c>
      <c r="D64" s="161"/>
      <c r="E64" s="161"/>
      <c r="F64" s="161"/>
      <c r="G64" s="161"/>
      <c r="H64" s="161"/>
      <c r="I64" s="161"/>
      <c r="J64" s="161"/>
      <c r="K64" s="161"/>
      <c r="L64" s="242">
        <v>0</v>
      </c>
      <c r="M64" s="134"/>
      <c r="N64" s="50"/>
      <c r="O64" s="339" t="s">
        <v>80</v>
      </c>
      <c r="P64" s="338" t="s">
        <v>20</v>
      </c>
      <c r="Q64" s="112">
        <f>IF((C61+C62)&lt;0,(-C61-C62),0)</f>
        <v>0</v>
      </c>
      <c r="R64" s="336">
        <f>IF((C61+C62)&gt;0,(-C61-C62),0)</f>
        <v>-291085.24359799817</v>
      </c>
    </row>
    <row r="65" spans="1:18" s="383" customFormat="1" ht="15.75">
      <c r="A65" s="58"/>
      <c r="B65" s="59" t="s">
        <v>144</v>
      </c>
      <c r="C65" s="50">
        <f>SUM(D65:L65)</f>
        <v>0</v>
      </c>
      <c r="D65" s="161"/>
      <c r="E65" s="161"/>
      <c r="F65" s="161"/>
      <c r="G65" s="161"/>
      <c r="H65" s="161"/>
      <c r="I65" s="161"/>
      <c r="J65" s="161"/>
      <c r="K65" s="161"/>
      <c r="L65" s="242">
        <v>0</v>
      </c>
      <c r="M65" s="134"/>
      <c r="N65" s="50"/>
      <c r="O65" s="341" t="s">
        <v>82</v>
      </c>
      <c r="P65" s="338" t="s">
        <v>75</v>
      </c>
      <c r="Q65" s="343">
        <v>0</v>
      </c>
      <c r="R65" s="336">
        <f>IF(C66&gt;0,-C66,0)</f>
        <v>-428.96</v>
      </c>
    </row>
    <row r="66" spans="1:18" s="383" customFormat="1" ht="16.5" thickBot="1">
      <c r="A66" s="61"/>
      <c r="B66" s="59" t="s">
        <v>12</v>
      </c>
      <c r="C66" s="50">
        <f>SUM(D66:L66)</f>
        <v>428.96</v>
      </c>
      <c r="D66" s="161"/>
      <c r="E66" s="161"/>
      <c r="F66" s="161">
        <v>428.96</v>
      </c>
      <c r="G66" s="161"/>
      <c r="H66" s="161"/>
      <c r="I66" s="161"/>
      <c r="J66" s="161"/>
      <c r="K66" s="161"/>
      <c r="L66" s="244"/>
      <c r="M66" s="237">
        <v>3.2500000000000001E-2</v>
      </c>
      <c r="N66" s="50"/>
      <c r="O66" s="342" t="s">
        <v>83</v>
      </c>
      <c r="P66" s="340" t="s">
        <v>76</v>
      </c>
      <c r="Q66" s="116">
        <f>IF(-C66&gt;0,-C66,0)</f>
        <v>0</v>
      </c>
      <c r="R66" s="116">
        <f>IF(C66&gt;0,0,0)</f>
        <v>0</v>
      </c>
    </row>
    <row r="67" spans="1:18" s="383" customFormat="1" ht="16.5" thickBot="1">
      <c r="A67" s="103">
        <f>A61</f>
        <v>41425</v>
      </c>
      <c r="B67" s="50" t="s">
        <v>56</v>
      </c>
      <c r="C67" s="158">
        <f>SUM(C59:C66)</f>
        <v>304355.16313978739</v>
      </c>
      <c r="D67" s="158">
        <f>SUM(D59:D66)</f>
        <v>-1209054.7576992149</v>
      </c>
      <c r="E67" s="158">
        <f>SUM(E59:E66)</f>
        <v>1564355.9408390005</v>
      </c>
      <c r="F67" s="158">
        <f>SUM(F59:F66)</f>
        <v>-50946.020000000011</v>
      </c>
      <c r="G67" s="158">
        <f t="shared" ref="G67:K67" si="5">SUM(G56:G66)</f>
        <v>0</v>
      </c>
      <c r="H67" s="158">
        <f t="shared" si="5"/>
        <v>0</v>
      </c>
      <c r="I67" s="158">
        <f t="shared" si="5"/>
        <v>0</v>
      </c>
      <c r="J67" s="158">
        <f t="shared" si="5"/>
        <v>0</v>
      </c>
      <c r="K67" s="158">
        <f t="shared" si="5"/>
        <v>0</v>
      </c>
      <c r="L67" s="158">
        <f>SUM(L59:L66)</f>
        <v>0</v>
      </c>
      <c r="M67" s="57"/>
      <c r="N67" s="384"/>
      <c r="O67" s="384"/>
      <c r="P67" s="384"/>
      <c r="Q67" s="384"/>
      <c r="R67" s="337">
        <f>ROUND(SUM(Q62:R66),2)</f>
        <v>0</v>
      </c>
    </row>
    <row r="68" spans="1:18" s="383" customFormat="1" ht="16.5" thickTop="1" thickBot="1">
      <c r="A68" s="53"/>
      <c r="C68" s="384"/>
      <c r="M68" s="52"/>
    </row>
    <row r="69" spans="1:18" s="383" customFormat="1" ht="16.5" thickBot="1">
      <c r="A69" s="58">
        <v>41426</v>
      </c>
      <c r="B69" s="59" t="s">
        <v>84</v>
      </c>
      <c r="C69" s="50">
        <f>SUM(D69:L69)</f>
        <v>839471.48552700132</v>
      </c>
      <c r="D69" s="243">
        <v>-173993.23901399877</v>
      </c>
      <c r="E69" s="243">
        <v>1013464.7245410001</v>
      </c>
      <c r="F69" s="161">
        <v>0</v>
      </c>
      <c r="G69" s="161"/>
      <c r="H69" s="161"/>
      <c r="I69" s="161"/>
      <c r="J69" s="387"/>
      <c r="K69" s="161"/>
      <c r="L69" s="161">
        <v>0</v>
      </c>
      <c r="M69" s="133"/>
      <c r="N69" s="50"/>
      <c r="O69" s="335" t="s">
        <v>106</v>
      </c>
      <c r="P69" s="93"/>
      <c r="Q69" s="93"/>
      <c r="R69" s="94"/>
    </row>
    <row r="70" spans="1:18" s="383" customFormat="1" ht="15.75">
      <c r="A70" s="58"/>
      <c r="B70" s="59" t="s">
        <v>148</v>
      </c>
      <c r="C70" s="50">
        <f>SUM(D70:F70)</f>
        <v>0</v>
      </c>
      <c r="D70" s="240"/>
      <c r="E70" s="240">
        <v>0</v>
      </c>
      <c r="F70" s="161"/>
      <c r="G70" s="161"/>
      <c r="H70" s="161"/>
      <c r="I70" s="161"/>
      <c r="J70" s="161"/>
      <c r="K70" s="161"/>
      <c r="L70" s="161"/>
      <c r="M70" s="133"/>
      <c r="N70" s="50"/>
      <c r="O70" s="346" t="s">
        <v>211</v>
      </c>
      <c r="P70" s="338" t="s">
        <v>27</v>
      </c>
      <c r="Q70" s="334">
        <v>0</v>
      </c>
      <c r="R70" s="336">
        <v>0</v>
      </c>
    </row>
    <row r="71" spans="1:18" s="383" customFormat="1" ht="15.75">
      <c r="A71" s="58"/>
      <c r="B71" s="20" t="s">
        <v>157</v>
      </c>
      <c r="C71" s="50">
        <f>SUM(D71:L71)</f>
        <v>0</v>
      </c>
      <c r="D71" s="241">
        <v>0</v>
      </c>
      <c r="E71" s="240"/>
      <c r="F71" s="161"/>
      <c r="G71" s="161"/>
      <c r="H71" s="161"/>
      <c r="I71" s="161"/>
      <c r="J71" s="161"/>
      <c r="K71" s="161"/>
      <c r="L71" s="161"/>
      <c r="M71" s="133"/>
      <c r="N71" s="50"/>
      <c r="O71" s="333" t="s">
        <v>79</v>
      </c>
      <c r="P71" s="338" t="s">
        <v>17</v>
      </c>
      <c r="Q71" s="334">
        <f>IF((-C67+C75)&gt;0,(-C67+C75),0)</f>
        <v>841432.56552700151</v>
      </c>
      <c r="R71" s="336">
        <f>IF((-C67+C75)&lt;0,(-C67+C75),0)</f>
        <v>0</v>
      </c>
    </row>
    <row r="72" spans="1:18" s="383" customFormat="1" ht="15.75">
      <c r="A72" s="58"/>
      <c r="B72" s="59" t="s">
        <v>49</v>
      </c>
      <c r="C72" s="50">
        <f>SUM(D72:L72)</f>
        <v>0</v>
      </c>
      <c r="D72" s="161"/>
      <c r="E72" s="161"/>
      <c r="F72" s="161"/>
      <c r="G72" s="161"/>
      <c r="H72" s="161"/>
      <c r="I72" s="161"/>
      <c r="J72" s="161"/>
      <c r="K72" s="161"/>
      <c r="L72" s="242">
        <v>0</v>
      </c>
      <c r="M72" s="134"/>
      <c r="N72" s="50"/>
      <c r="O72" s="339" t="s">
        <v>80</v>
      </c>
      <c r="P72" s="338" t="s">
        <v>20</v>
      </c>
      <c r="Q72" s="112">
        <f>IF((C69+C70)&lt;0,(-C69-C70),0)</f>
        <v>0</v>
      </c>
      <c r="R72" s="336">
        <f>IF((C69+C70)&gt;0,(-C69-C70),0)</f>
        <v>-839471.48552700132</v>
      </c>
    </row>
    <row r="73" spans="1:18" s="383" customFormat="1" ht="15.75">
      <c r="A73" s="58"/>
      <c r="B73" s="59" t="s">
        <v>144</v>
      </c>
      <c r="C73" s="50">
        <f>SUM(D73:L73)</f>
        <v>0</v>
      </c>
      <c r="D73" s="161"/>
      <c r="E73" s="161"/>
      <c r="F73" s="161"/>
      <c r="G73" s="161"/>
      <c r="H73" s="161"/>
      <c r="I73" s="161"/>
      <c r="J73" s="161"/>
      <c r="K73" s="161"/>
      <c r="L73" s="242">
        <v>0</v>
      </c>
      <c r="M73" s="134"/>
      <c r="N73" s="50"/>
      <c r="O73" s="341" t="s">
        <v>82</v>
      </c>
      <c r="P73" s="338" t="s">
        <v>75</v>
      </c>
      <c r="Q73" s="343">
        <v>0</v>
      </c>
      <c r="R73" s="336">
        <f>IF(C74&gt;0,-C74,0)</f>
        <v>-1961.08</v>
      </c>
    </row>
    <row r="74" spans="1:18" s="383" customFormat="1" ht="16.5" thickBot="1">
      <c r="A74" s="61"/>
      <c r="B74" s="59" t="s">
        <v>12</v>
      </c>
      <c r="C74" s="50">
        <f>SUM(D74:L74)</f>
        <v>1961.08</v>
      </c>
      <c r="D74" s="161"/>
      <c r="E74" s="161"/>
      <c r="F74" s="161">
        <v>1961.08</v>
      </c>
      <c r="G74" s="161"/>
      <c r="H74" s="161"/>
      <c r="I74" s="161"/>
      <c r="J74" s="161"/>
      <c r="K74" s="161"/>
      <c r="L74" s="244"/>
      <c r="M74" s="237">
        <v>3.2500000000000001E-2</v>
      </c>
      <c r="N74" s="50"/>
      <c r="O74" s="342" t="s">
        <v>83</v>
      </c>
      <c r="P74" s="340" t="s">
        <v>76</v>
      </c>
      <c r="Q74" s="116">
        <f>IF(-C74&gt;0,-C74,0)</f>
        <v>0</v>
      </c>
      <c r="R74" s="116">
        <f>IF(C74&gt;0,0,0)</f>
        <v>0</v>
      </c>
    </row>
    <row r="75" spans="1:18" s="383" customFormat="1" ht="16.5" thickBot="1">
      <c r="A75" s="103">
        <f>A69</f>
        <v>41426</v>
      </c>
      <c r="B75" s="50" t="s">
        <v>56</v>
      </c>
      <c r="C75" s="158">
        <f>SUM(C67:C74)</f>
        <v>1145787.7286667889</v>
      </c>
      <c r="D75" s="158">
        <f>SUM(D67:D74)</f>
        <v>-1383047.9967132136</v>
      </c>
      <c r="E75" s="158">
        <f>SUM(E67:E74)</f>
        <v>2577820.6653800006</v>
      </c>
      <c r="F75" s="158">
        <f>SUM(F67:F74)</f>
        <v>-48984.94000000001</v>
      </c>
      <c r="G75" s="158">
        <f t="shared" ref="G75:K75" si="6">SUM(G64:G74)</f>
        <v>0</v>
      </c>
      <c r="H75" s="158">
        <f t="shared" si="6"/>
        <v>0</v>
      </c>
      <c r="I75" s="158">
        <f t="shared" si="6"/>
        <v>0</v>
      </c>
      <c r="J75" s="158">
        <f t="shared" si="6"/>
        <v>0</v>
      </c>
      <c r="K75" s="158">
        <f t="shared" si="6"/>
        <v>0</v>
      </c>
      <c r="L75" s="158">
        <f>SUM(L67:L74)</f>
        <v>0</v>
      </c>
      <c r="M75" s="57"/>
      <c r="N75" s="384"/>
      <c r="O75" s="384"/>
      <c r="P75" s="384"/>
      <c r="Q75" s="384"/>
      <c r="R75" s="337">
        <f>ROUND(SUM(Q70:R74),2)</f>
        <v>0</v>
      </c>
    </row>
    <row r="76" spans="1:18" ht="16.5" thickTop="1" thickBot="1"/>
    <row r="77" spans="1:18" s="383" customFormat="1" ht="16.5" thickBot="1">
      <c r="A77" s="58">
        <v>41456</v>
      </c>
      <c r="B77" s="59" t="s">
        <v>84</v>
      </c>
      <c r="C77" s="50">
        <f>SUM(D77:L77)</f>
        <v>777094.91390700196</v>
      </c>
      <c r="D77" s="243">
        <v>-494523.11633399874</v>
      </c>
      <c r="E77" s="243">
        <v>1271618.0302410007</v>
      </c>
      <c r="F77" s="161">
        <v>0</v>
      </c>
      <c r="G77" s="161"/>
      <c r="H77" s="161"/>
      <c r="I77" s="161"/>
      <c r="J77" s="387"/>
      <c r="K77" s="161"/>
      <c r="L77" s="161">
        <v>0</v>
      </c>
      <c r="M77" s="133"/>
      <c r="N77" s="50"/>
      <c r="O77" s="335" t="s">
        <v>106</v>
      </c>
      <c r="P77" s="93"/>
      <c r="Q77" s="93"/>
      <c r="R77" s="94"/>
    </row>
    <row r="78" spans="1:18" s="383" customFormat="1" ht="15.75">
      <c r="A78" s="58"/>
      <c r="B78" s="59" t="s">
        <v>148</v>
      </c>
      <c r="C78" s="50">
        <f>SUM(D78:F78)</f>
        <v>0</v>
      </c>
      <c r="D78" s="240"/>
      <c r="E78" s="240">
        <v>0</v>
      </c>
      <c r="F78" s="161"/>
      <c r="G78" s="161"/>
      <c r="H78" s="161"/>
      <c r="I78" s="161"/>
      <c r="J78" s="161"/>
      <c r="K78" s="161"/>
      <c r="L78" s="161"/>
      <c r="M78" s="133"/>
      <c r="N78" s="50"/>
      <c r="O78" s="346" t="s">
        <v>211</v>
      </c>
      <c r="P78" s="338" t="s">
        <v>27</v>
      </c>
      <c r="Q78" s="334">
        <v>0</v>
      </c>
      <c r="R78" s="336">
        <v>0</v>
      </c>
    </row>
    <row r="79" spans="1:18" s="383" customFormat="1" ht="15.75">
      <c r="A79" s="58"/>
      <c r="B79" s="20" t="s">
        <v>157</v>
      </c>
      <c r="C79" s="50">
        <f>SUM(D79:L79)</f>
        <v>0</v>
      </c>
      <c r="D79" s="241">
        <v>0</v>
      </c>
      <c r="E79" s="240"/>
      <c r="F79" s="161"/>
      <c r="G79" s="161"/>
      <c r="H79" s="161"/>
      <c r="I79" s="161"/>
      <c r="J79" s="161"/>
      <c r="K79" s="161"/>
      <c r="L79" s="161"/>
      <c r="M79" s="133"/>
      <c r="N79" s="50"/>
      <c r="O79" s="333" t="s">
        <v>79</v>
      </c>
      <c r="P79" s="338" t="s">
        <v>17</v>
      </c>
      <c r="Q79" s="334">
        <f>IF((-C75+C83)&gt;0,(-C75+C83),0)</f>
        <v>781250.40390700195</v>
      </c>
      <c r="R79" s="336">
        <f>IF((-C75+C83)&lt;0,(-C75+C83),0)</f>
        <v>0</v>
      </c>
    </row>
    <row r="80" spans="1:18" s="383" customFormat="1" ht="15.75">
      <c r="A80" s="58"/>
      <c r="B80" s="59" t="s">
        <v>49</v>
      </c>
      <c r="C80" s="50">
        <f>SUM(D80:L80)</f>
        <v>0</v>
      </c>
      <c r="D80" s="161"/>
      <c r="E80" s="161"/>
      <c r="F80" s="161"/>
      <c r="G80" s="161"/>
      <c r="H80" s="161"/>
      <c r="I80" s="161"/>
      <c r="J80" s="161"/>
      <c r="K80" s="161"/>
      <c r="L80" s="242">
        <v>0</v>
      </c>
      <c r="M80" s="134"/>
      <c r="N80" s="50"/>
      <c r="O80" s="339" t="s">
        <v>80</v>
      </c>
      <c r="P80" s="338" t="s">
        <v>20</v>
      </c>
      <c r="Q80" s="112">
        <f>IF((C77+C78)&lt;0,(-C77-C78),0)</f>
        <v>0</v>
      </c>
      <c r="R80" s="336">
        <f>IF((C77+C78)&gt;0,(-C77-C78),0)</f>
        <v>-777094.91390700196</v>
      </c>
    </row>
    <row r="81" spans="1:18" s="383" customFormat="1" ht="15.75">
      <c r="A81" s="58"/>
      <c r="B81" s="59" t="s">
        <v>144</v>
      </c>
      <c r="C81" s="50">
        <f>SUM(D81:L81)</f>
        <v>0</v>
      </c>
      <c r="D81" s="161"/>
      <c r="E81" s="161"/>
      <c r="F81" s="161"/>
      <c r="G81" s="161"/>
      <c r="H81" s="161"/>
      <c r="I81" s="161"/>
      <c r="J81" s="161"/>
      <c r="K81" s="161"/>
      <c r="L81" s="242">
        <v>0</v>
      </c>
      <c r="M81" s="134"/>
      <c r="N81" s="50"/>
      <c r="O81" s="341" t="s">
        <v>82</v>
      </c>
      <c r="P81" s="338" t="s">
        <v>75</v>
      </c>
      <c r="Q81" s="343">
        <v>0</v>
      </c>
      <c r="R81" s="336">
        <f>IF(C82&gt;0,-C82,0)</f>
        <v>-4155.49</v>
      </c>
    </row>
    <row r="82" spans="1:18" s="383" customFormat="1" ht="16.5" thickBot="1">
      <c r="A82" s="61"/>
      <c r="B82" s="59" t="s">
        <v>12</v>
      </c>
      <c r="C82" s="50">
        <f>SUM(D82:L82)</f>
        <v>4155.49</v>
      </c>
      <c r="D82" s="161"/>
      <c r="E82" s="161"/>
      <c r="F82" s="161">
        <v>4155.49</v>
      </c>
      <c r="G82" s="161"/>
      <c r="H82" s="161"/>
      <c r="I82" s="161"/>
      <c r="J82" s="161"/>
      <c r="K82" s="161"/>
      <c r="L82" s="244"/>
      <c r="M82" s="237">
        <v>3.2500000000000001E-2</v>
      </c>
      <c r="N82" s="50"/>
      <c r="O82" s="342" t="s">
        <v>83</v>
      </c>
      <c r="P82" s="340" t="s">
        <v>76</v>
      </c>
      <c r="Q82" s="116">
        <f>IF(-C82&gt;0,-C82,0)</f>
        <v>0</v>
      </c>
      <c r="R82" s="116">
        <f>IF(C82&gt;0,0,0)</f>
        <v>0</v>
      </c>
    </row>
    <row r="83" spans="1:18" s="383" customFormat="1" ht="16.5" thickBot="1">
      <c r="A83" s="103">
        <f>A77</f>
        <v>41456</v>
      </c>
      <c r="B83" s="50" t="s">
        <v>56</v>
      </c>
      <c r="C83" s="158">
        <f>SUM(C75:C82)</f>
        <v>1927038.1325737908</v>
      </c>
      <c r="D83" s="158">
        <f>SUM(D75:D82)</f>
        <v>-1877571.1130472124</v>
      </c>
      <c r="E83" s="158">
        <f>SUM(E75:E82)</f>
        <v>3849438.6956210015</v>
      </c>
      <c r="F83" s="158">
        <f>SUM(F75:F82)</f>
        <v>-44829.450000000012</v>
      </c>
      <c r="G83" s="158">
        <f t="shared" ref="G83:K83" si="7">SUM(G72:G82)</f>
        <v>0</v>
      </c>
      <c r="H83" s="158">
        <f t="shared" si="7"/>
        <v>0</v>
      </c>
      <c r="I83" s="158">
        <f t="shared" si="7"/>
        <v>0</v>
      </c>
      <c r="J83" s="158">
        <f t="shared" si="7"/>
        <v>0</v>
      </c>
      <c r="K83" s="158">
        <f t="shared" si="7"/>
        <v>0</v>
      </c>
      <c r="L83" s="158">
        <f>SUM(L75:L82)</f>
        <v>0</v>
      </c>
      <c r="M83" s="57"/>
      <c r="N83" s="384"/>
      <c r="O83" s="384"/>
      <c r="P83" s="384"/>
      <c r="Q83" s="384"/>
      <c r="R83" s="337">
        <f>ROUND(SUM(Q78:R82),2)</f>
        <v>0</v>
      </c>
    </row>
    <row r="84" spans="1:18" ht="16.5" thickTop="1" thickBot="1"/>
    <row r="85" spans="1:18" s="383" customFormat="1" ht="16.5" thickBot="1">
      <c r="A85" s="58">
        <v>41487</v>
      </c>
      <c r="B85" s="59" t="s">
        <v>84</v>
      </c>
      <c r="C85" s="50">
        <f>SUM(D85:L85)</f>
        <v>564000.44398000068</v>
      </c>
      <c r="D85" s="243">
        <v>-646266.22842499963</v>
      </c>
      <c r="E85" s="243">
        <v>1210266.6724050003</v>
      </c>
      <c r="F85" s="161">
        <v>0</v>
      </c>
      <c r="G85" s="161"/>
      <c r="H85" s="161"/>
      <c r="I85" s="161"/>
      <c r="J85" s="387"/>
      <c r="K85" s="161"/>
      <c r="L85" s="161">
        <v>0</v>
      </c>
      <c r="M85" s="133"/>
      <c r="N85" s="50"/>
      <c r="O85" s="335" t="s">
        <v>106</v>
      </c>
      <c r="P85" s="93"/>
      <c r="Q85" s="93"/>
      <c r="R85" s="94"/>
    </row>
    <row r="86" spans="1:18" s="383" customFormat="1" ht="15.75">
      <c r="A86" s="58"/>
      <c r="B86" s="59" t="s">
        <v>148</v>
      </c>
      <c r="C86" s="50">
        <f>SUM(D86:F86)</f>
        <v>0</v>
      </c>
      <c r="D86" s="240"/>
      <c r="E86" s="240">
        <v>0</v>
      </c>
      <c r="F86" s="161"/>
      <c r="G86" s="161"/>
      <c r="H86" s="161"/>
      <c r="I86" s="161"/>
      <c r="J86" s="161"/>
      <c r="K86" s="161"/>
      <c r="L86" s="161"/>
      <c r="M86" s="133"/>
      <c r="N86" s="50"/>
      <c r="O86" s="346" t="s">
        <v>211</v>
      </c>
      <c r="P86" s="338" t="s">
        <v>27</v>
      </c>
      <c r="Q86" s="334">
        <v>0</v>
      </c>
      <c r="R86" s="336">
        <v>0</v>
      </c>
    </row>
    <row r="87" spans="1:18" s="383" customFormat="1" ht="15.75">
      <c r="A87" s="58"/>
      <c r="B87" s="20" t="s">
        <v>157</v>
      </c>
      <c r="C87" s="50">
        <f>SUM(D87:L87)</f>
        <v>0</v>
      </c>
      <c r="D87" s="241">
        <v>0</v>
      </c>
      <c r="E87" s="240"/>
      <c r="F87" s="161"/>
      <c r="G87" s="161"/>
      <c r="H87" s="161"/>
      <c r="I87" s="161"/>
      <c r="J87" s="161"/>
      <c r="K87" s="161"/>
      <c r="L87" s="161"/>
      <c r="M87" s="133"/>
      <c r="N87" s="50"/>
      <c r="O87" s="333" t="s">
        <v>79</v>
      </c>
      <c r="P87" s="338" t="s">
        <v>17</v>
      </c>
      <c r="Q87" s="334">
        <f>IF((-C83+C91)&gt;0,(-C83+C91),0)</f>
        <v>569983.25398000097</v>
      </c>
      <c r="R87" s="336">
        <f>IF((-C83+C91)&lt;0,(-C83+C91),0)</f>
        <v>0</v>
      </c>
    </row>
    <row r="88" spans="1:18" s="383" customFormat="1" ht="15.75">
      <c r="A88" s="58"/>
      <c r="B88" s="59" t="s">
        <v>49</v>
      </c>
      <c r="C88" s="50">
        <f>SUM(D88:L88)</f>
        <v>0</v>
      </c>
      <c r="D88" s="161"/>
      <c r="E88" s="161"/>
      <c r="F88" s="161"/>
      <c r="G88" s="161"/>
      <c r="H88" s="161"/>
      <c r="I88" s="161"/>
      <c r="J88" s="161"/>
      <c r="K88" s="161"/>
      <c r="L88" s="242">
        <v>0</v>
      </c>
      <c r="M88" s="134"/>
      <c r="N88" s="50"/>
      <c r="O88" s="339" t="s">
        <v>80</v>
      </c>
      <c r="P88" s="338" t="s">
        <v>20</v>
      </c>
      <c r="Q88" s="112">
        <f>IF((C85+C86)&lt;0,(-C85-C86),0)</f>
        <v>0</v>
      </c>
      <c r="R88" s="336">
        <f>IF((C85+C86)&gt;0,(-C85-C86),0)</f>
        <v>-564000.44398000068</v>
      </c>
    </row>
    <row r="89" spans="1:18" s="383" customFormat="1" ht="15.75">
      <c r="A89" s="58"/>
      <c r="B89" s="59" t="s">
        <v>144</v>
      </c>
      <c r="C89" s="50">
        <f>SUM(D89:L89)</f>
        <v>0</v>
      </c>
      <c r="D89" s="161"/>
      <c r="E89" s="161"/>
      <c r="F89" s="161"/>
      <c r="G89" s="161"/>
      <c r="H89" s="161"/>
      <c r="I89" s="161"/>
      <c r="J89" s="161"/>
      <c r="K89" s="161"/>
      <c r="L89" s="242">
        <v>0</v>
      </c>
      <c r="M89" s="134"/>
      <c r="N89" s="50"/>
      <c r="O89" s="341" t="s">
        <v>82</v>
      </c>
      <c r="P89" s="338" t="s">
        <v>75</v>
      </c>
      <c r="Q89" s="343">
        <v>0</v>
      </c>
      <c r="R89" s="336">
        <f>IF(C90&gt;0,-C90,0)</f>
        <v>-5982.81</v>
      </c>
    </row>
    <row r="90" spans="1:18" s="383" customFormat="1" ht="16.5" thickBot="1">
      <c r="A90" s="61"/>
      <c r="B90" s="59" t="s">
        <v>12</v>
      </c>
      <c r="C90" s="50">
        <f>SUM(D90:L90)</f>
        <v>5982.81</v>
      </c>
      <c r="D90" s="161"/>
      <c r="E90" s="161"/>
      <c r="F90" s="161">
        <v>5982.81</v>
      </c>
      <c r="G90" s="161"/>
      <c r="H90" s="161"/>
      <c r="I90" s="161"/>
      <c r="J90" s="161"/>
      <c r="K90" s="161"/>
      <c r="L90" s="244"/>
      <c r="M90" s="237">
        <v>3.2500000000000001E-2</v>
      </c>
      <c r="N90" s="50"/>
      <c r="O90" s="342" t="s">
        <v>83</v>
      </c>
      <c r="P90" s="340" t="s">
        <v>76</v>
      </c>
      <c r="Q90" s="116">
        <f>IF(-C90&gt;0,-C90,0)</f>
        <v>0</v>
      </c>
      <c r="R90" s="116">
        <f>IF(C90&gt;0,0,0)</f>
        <v>0</v>
      </c>
    </row>
    <row r="91" spans="1:18" s="383" customFormat="1" ht="16.5" thickBot="1">
      <c r="A91" s="103">
        <f>A85</f>
        <v>41487</v>
      </c>
      <c r="B91" s="50" t="s">
        <v>56</v>
      </c>
      <c r="C91" s="158">
        <f>SUM(C83:C90)</f>
        <v>2497021.3865537918</v>
      </c>
      <c r="D91" s="158">
        <f>SUM(D83:D90)</f>
        <v>-2523837.3414722122</v>
      </c>
      <c r="E91" s="158">
        <f>SUM(E83:E90)</f>
        <v>5059705.3680260014</v>
      </c>
      <c r="F91" s="158">
        <f>SUM(F83:F90)</f>
        <v>-38846.640000000014</v>
      </c>
      <c r="G91" s="158">
        <f t="shared" ref="G91:K91" si="8">SUM(G80:G90)</f>
        <v>0</v>
      </c>
      <c r="H91" s="158">
        <f t="shared" si="8"/>
        <v>0</v>
      </c>
      <c r="I91" s="158">
        <f t="shared" si="8"/>
        <v>0</v>
      </c>
      <c r="J91" s="158">
        <f t="shared" si="8"/>
        <v>0</v>
      </c>
      <c r="K91" s="158">
        <f t="shared" si="8"/>
        <v>0</v>
      </c>
      <c r="L91" s="158">
        <f>SUM(L83:L90)</f>
        <v>0</v>
      </c>
      <c r="M91" s="57"/>
      <c r="N91" s="384"/>
      <c r="O91" s="384"/>
      <c r="P91" s="384"/>
      <c r="Q91" s="384"/>
      <c r="R91" s="337">
        <f>ROUND(SUM(Q86:R90),2)</f>
        <v>0</v>
      </c>
    </row>
    <row r="92" spans="1:18" s="383" customFormat="1" ht="16.5" thickTop="1" thickBot="1">
      <c r="A92" s="53"/>
      <c r="M92" s="52"/>
    </row>
    <row r="93" spans="1:18" s="383" customFormat="1" ht="16.5" thickBot="1">
      <c r="A93" s="58">
        <v>41518</v>
      </c>
      <c r="B93" s="59" t="s">
        <v>84</v>
      </c>
      <c r="C93" s="50">
        <f>SUM(D93:L93)</f>
        <v>208713.47537599935</v>
      </c>
      <c r="D93" s="243">
        <v>-814688.68566800107</v>
      </c>
      <c r="E93" s="243">
        <v>1023402.1610440004</v>
      </c>
      <c r="F93" s="161">
        <v>0</v>
      </c>
      <c r="G93" s="161"/>
      <c r="H93" s="161"/>
      <c r="I93" s="161"/>
      <c r="J93" s="387"/>
      <c r="K93" s="161"/>
      <c r="L93" s="161">
        <v>0</v>
      </c>
      <c r="M93" s="133"/>
      <c r="N93" s="50"/>
      <c r="O93" s="335" t="s">
        <v>106</v>
      </c>
      <c r="P93" s="93"/>
      <c r="Q93" s="93"/>
      <c r="R93" s="94"/>
    </row>
    <row r="94" spans="1:18" s="383" customFormat="1" ht="15.75">
      <c r="A94" s="58"/>
      <c r="B94" s="59" t="s">
        <v>148</v>
      </c>
      <c r="C94" s="50">
        <f>SUM(D94:F94)</f>
        <v>0</v>
      </c>
      <c r="D94" s="240"/>
      <c r="E94" s="240">
        <v>0</v>
      </c>
      <c r="F94" s="161"/>
      <c r="G94" s="161"/>
      <c r="H94" s="161"/>
      <c r="I94" s="161"/>
      <c r="J94" s="161"/>
      <c r="K94" s="161"/>
      <c r="L94" s="161"/>
      <c r="M94" s="133"/>
      <c r="N94" s="50"/>
      <c r="O94" s="346" t="s">
        <v>211</v>
      </c>
      <c r="P94" s="338" t="s">
        <v>27</v>
      </c>
      <c r="Q94" s="334">
        <v>0</v>
      </c>
      <c r="R94" s="336">
        <v>0</v>
      </c>
    </row>
    <row r="95" spans="1:18" s="383" customFormat="1" ht="15.75">
      <c r="A95" s="58"/>
      <c r="B95" s="20" t="s">
        <v>157</v>
      </c>
      <c r="C95" s="50">
        <f>SUM(D95:L95)</f>
        <v>0</v>
      </c>
      <c r="D95" s="241">
        <v>0</v>
      </c>
      <c r="E95" s="240"/>
      <c r="F95" s="161"/>
      <c r="G95" s="161"/>
      <c r="H95" s="161"/>
      <c r="I95" s="161"/>
      <c r="J95" s="161"/>
      <c r="K95" s="161"/>
      <c r="L95" s="161"/>
      <c r="M95" s="133"/>
      <c r="N95" s="50"/>
      <c r="O95" s="333" t="s">
        <v>79</v>
      </c>
      <c r="P95" s="338" t="s">
        <v>17</v>
      </c>
      <c r="Q95" s="334">
        <f>IF((-C91+C99)&gt;0,(-C91+C99),0)</f>
        <v>215758.87537599914</v>
      </c>
      <c r="R95" s="336">
        <f>IF((-C91+C99)&lt;0,(-C91+C99),0)</f>
        <v>0</v>
      </c>
    </row>
    <row r="96" spans="1:18" s="383" customFormat="1" ht="15.75">
      <c r="A96" s="58"/>
      <c r="B96" s="59" t="s">
        <v>49</v>
      </c>
      <c r="C96" s="50">
        <f>SUM(D96:L96)</f>
        <v>0</v>
      </c>
      <c r="D96" s="161"/>
      <c r="E96" s="161"/>
      <c r="F96" s="161"/>
      <c r="G96" s="161"/>
      <c r="H96" s="161"/>
      <c r="I96" s="161"/>
      <c r="J96" s="161"/>
      <c r="K96" s="161"/>
      <c r="L96" s="242">
        <v>0</v>
      </c>
      <c r="M96" s="134"/>
      <c r="N96" s="50"/>
      <c r="O96" s="339" t="s">
        <v>80</v>
      </c>
      <c r="P96" s="338" t="s">
        <v>20</v>
      </c>
      <c r="Q96" s="112">
        <f>IF((C93+C94)&lt;0,(-C93-C94),0)</f>
        <v>0</v>
      </c>
      <c r="R96" s="336">
        <f>IF((C93+C94)&gt;0,(-C93-C94),0)</f>
        <v>-208713.47537599935</v>
      </c>
    </row>
    <row r="97" spans="1:18" s="383" customFormat="1" ht="15.75">
      <c r="A97" s="58"/>
      <c r="B97" s="59" t="s">
        <v>144</v>
      </c>
      <c r="C97" s="50">
        <f>SUM(D97:L97)</f>
        <v>0</v>
      </c>
      <c r="D97" s="161"/>
      <c r="E97" s="161"/>
      <c r="F97" s="161"/>
      <c r="G97" s="161"/>
      <c r="H97" s="161"/>
      <c r="I97" s="161"/>
      <c r="J97" s="161"/>
      <c r="K97" s="161"/>
      <c r="L97" s="242">
        <v>0</v>
      </c>
      <c r="M97" s="134"/>
      <c r="N97" s="50"/>
      <c r="O97" s="341" t="s">
        <v>82</v>
      </c>
      <c r="P97" s="338" t="s">
        <v>75</v>
      </c>
      <c r="Q97" s="343">
        <v>0</v>
      </c>
      <c r="R97" s="336">
        <f>IF(C98&gt;0,-C98,0)</f>
        <v>-7045.4</v>
      </c>
    </row>
    <row r="98" spans="1:18" s="383" customFormat="1" ht="16.5" thickBot="1">
      <c r="A98" s="61"/>
      <c r="B98" s="59" t="s">
        <v>12</v>
      </c>
      <c r="C98" s="50">
        <f>SUM(D98:L98)</f>
        <v>7045.4</v>
      </c>
      <c r="D98" s="161"/>
      <c r="E98" s="161"/>
      <c r="F98" s="161">
        <v>7045.4</v>
      </c>
      <c r="G98" s="161"/>
      <c r="H98" s="161"/>
      <c r="I98" s="161"/>
      <c r="J98" s="161"/>
      <c r="K98" s="161"/>
      <c r="L98" s="244"/>
      <c r="M98" s="237">
        <v>3.2500000000000001E-2</v>
      </c>
      <c r="N98" s="50"/>
      <c r="O98" s="342" t="s">
        <v>83</v>
      </c>
      <c r="P98" s="340" t="s">
        <v>76</v>
      </c>
      <c r="Q98" s="116">
        <f>IF(-C98&gt;0,-C98,0)</f>
        <v>0</v>
      </c>
      <c r="R98" s="116">
        <f>IF(C98&gt;0,0,0)</f>
        <v>0</v>
      </c>
    </row>
    <row r="99" spans="1:18" s="383" customFormat="1" ht="16.5" thickBot="1">
      <c r="A99" s="103">
        <f>A93</f>
        <v>41518</v>
      </c>
      <c r="B99" s="50" t="s">
        <v>56</v>
      </c>
      <c r="C99" s="158">
        <f>SUM(C91:C98)</f>
        <v>2712780.261929791</v>
      </c>
      <c r="D99" s="158">
        <f>SUM(D91:D98)</f>
        <v>-3338526.0271402132</v>
      </c>
      <c r="E99" s="158">
        <f>SUM(E91:E98)</f>
        <v>6083107.529070002</v>
      </c>
      <c r="F99" s="158">
        <f>SUM(F91:F98)</f>
        <v>-31801.240000000013</v>
      </c>
      <c r="G99" s="158">
        <f t="shared" ref="G99:K99" si="9">SUM(G88:G98)</f>
        <v>0</v>
      </c>
      <c r="H99" s="158">
        <f t="shared" si="9"/>
        <v>0</v>
      </c>
      <c r="I99" s="158">
        <f t="shared" si="9"/>
        <v>0</v>
      </c>
      <c r="J99" s="158">
        <f t="shared" si="9"/>
        <v>0</v>
      </c>
      <c r="K99" s="158">
        <f t="shared" si="9"/>
        <v>0</v>
      </c>
      <c r="L99" s="158">
        <f>SUM(L91:L98)</f>
        <v>0</v>
      </c>
      <c r="M99" s="57"/>
      <c r="N99" s="384"/>
      <c r="O99" s="384"/>
      <c r="P99" s="384"/>
      <c r="Q99" s="384"/>
      <c r="R99" s="337">
        <f>ROUND(SUM(Q94:R98),2)</f>
        <v>0</v>
      </c>
    </row>
    <row r="100" spans="1:18" ht="16.5" thickTop="1" thickBot="1"/>
    <row r="101" spans="1:18" s="383" customFormat="1" ht="16.5" thickBot="1">
      <c r="A101" s="58">
        <v>41578</v>
      </c>
      <c r="B101" s="59" t="s">
        <v>84</v>
      </c>
      <c r="C101" s="50">
        <f>SUM(D101:L101)</f>
        <v>-464484.39013699861</v>
      </c>
      <c r="D101" s="243">
        <v>-726195.13553999923</v>
      </c>
      <c r="E101" s="243">
        <v>261710.74540300062</v>
      </c>
      <c r="F101" s="161">
        <v>0</v>
      </c>
      <c r="G101" s="161"/>
      <c r="H101" s="161"/>
      <c r="I101" s="161"/>
      <c r="J101" s="387"/>
      <c r="K101" s="161"/>
      <c r="L101" s="161">
        <v>0</v>
      </c>
      <c r="M101" s="133"/>
      <c r="N101" s="50"/>
      <c r="O101" s="335" t="s">
        <v>106</v>
      </c>
      <c r="P101" s="93"/>
      <c r="Q101" s="93"/>
      <c r="R101" s="94"/>
    </row>
    <row r="102" spans="1:18" s="383" customFormat="1" ht="15.75">
      <c r="A102" s="58"/>
      <c r="B102" s="59" t="s">
        <v>148</v>
      </c>
      <c r="C102" s="50">
        <f>SUM(D102:F102)</f>
        <v>0</v>
      </c>
      <c r="D102" s="240"/>
      <c r="E102" s="240">
        <v>0</v>
      </c>
      <c r="F102" s="161"/>
      <c r="G102" s="161"/>
      <c r="H102" s="161"/>
      <c r="I102" s="161"/>
      <c r="J102" s="161"/>
      <c r="K102" s="161"/>
      <c r="L102" s="161"/>
      <c r="M102" s="133"/>
      <c r="N102" s="50"/>
      <c r="O102" s="346" t="s">
        <v>211</v>
      </c>
      <c r="P102" s="338" t="s">
        <v>27</v>
      </c>
      <c r="Q102" s="334">
        <v>0</v>
      </c>
      <c r="R102" s="336">
        <v>0</v>
      </c>
    </row>
    <row r="103" spans="1:18" s="383" customFormat="1" ht="15.75">
      <c r="A103" s="58"/>
      <c r="B103" s="20" t="s">
        <v>157</v>
      </c>
      <c r="C103" s="50">
        <f>SUM(D103:L103)</f>
        <v>0</v>
      </c>
      <c r="D103" s="241">
        <v>0</v>
      </c>
      <c r="E103" s="240"/>
      <c r="F103" s="161"/>
      <c r="G103" s="161"/>
      <c r="H103" s="161"/>
      <c r="I103" s="161"/>
      <c r="J103" s="161"/>
      <c r="K103" s="161"/>
      <c r="L103" s="161"/>
      <c r="M103" s="133"/>
      <c r="N103" s="50"/>
      <c r="O103" s="333" t="s">
        <v>79</v>
      </c>
      <c r="P103" s="338" t="s">
        <v>17</v>
      </c>
      <c r="Q103" s="334">
        <f>IF((-C99+C107)&gt;0,(-C99+C107),0)</f>
        <v>0</v>
      </c>
      <c r="R103" s="336">
        <f>IF((-C99+C107)&lt;0,(-C99+C107),0)</f>
        <v>-457766.2701369985</v>
      </c>
    </row>
    <row r="104" spans="1:18" s="383" customFormat="1" ht="15.75">
      <c r="A104" s="58"/>
      <c r="B104" s="59" t="s">
        <v>49</v>
      </c>
      <c r="C104" s="50">
        <f>SUM(D104:L104)</f>
        <v>0</v>
      </c>
      <c r="D104" s="161"/>
      <c r="E104" s="161"/>
      <c r="F104" s="161"/>
      <c r="G104" s="161"/>
      <c r="H104" s="161"/>
      <c r="I104" s="161"/>
      <c r="J104" s="161"/>
      <c r="K104" s="161"/>
      <c r="L104" s="242">
        <v>0</v>
      </c>
      <c r="M104" s="134"/>
      <c r="N104" s="50"/>
      <c r="O104" s="339" t="s">
        <v>80</v>
      </c>
      <c r="P104" s="338" t="s">
        <v>20</v>
      </c>
      <c r="Q104" s="112">
        <f>IF((C101+C102)&lt;0,(-C101-C102),0)</f>
        <v>464484.39013699861</v>
      </c>
      <c r="R104" s="336">
        <f>IF((C101+C102)&gt;0,(-C101-C102),0)</f>
        <v>0</v>
      </c>
    </row>
    <row r="105" spans="1:18" s="383" customFormat="1" ht="15.75">
      <c r="A105" s="58"/>
      <c r="B105" s="59" t="s">
        <v>144</v>
      </c>
      <c r="C105" s="50">
        <f>SUM(D105:L105)</f>
        <v>0</v>
      </c>
      <c r="D105" s="161"/>
      <c r="E105" s="161"/>
      <c r="F105" s="161"/>
      <c r="G105" s="161"/>
      <c r="H105" s="161"/>
      <c r="I105" s="161"/>
      <c r="J105" s="161"/>
      <c r="K105" s="161"/>
      <c r="L105" s="242">
        <v>0</v>
      </c>
      <c r="M105" s="134"/>
      <c r="N105" s="50"/>
      <c r="O105" s="341" t="s">
        <v>82</v>
      </c>
      <c r="P105" s="338" t="s">
        <v>75</v>
      </c>
      <c r="Q105" s="343">
        <v>0</v>
      </c>
      <c r="R105" s="336">
        <f>IF(C106&gt;0,-C106,0)</f>
        <v>-6718.12</v>
      </c>
    </row>
    <row r="106" spans="1:18" s="383" customFormat="1" ht="16.5" thickBot="1">
      <c r="A106" s="61"/>
      <c r="B106" s="59" t="s">
        <v>12</v>
      </c>
      <c r="C106" s="50">
        <f>SUM(D106:L106)</f>
        <v>6718.12</v>
      </c>
      <c r="D106" s="161"/>
      <c r="E106" s="161"/>
      <c r="F106" s="161">
        <v>6718.12</v>
      </c>
      <c r="G106" s="161"/>
      <c r="H106" s="161"/>
      <c r="I106" s="161"/>
      <c r="J106" s="161"/>
      <c r="K106" s="161"/>
      <c r="L106" s="244"/>
      <c r="M106" s="237">
        <v>3.2500000000000001E-2</v>
      </c>
      <c r="N106" s="50"/>
      <c r="O106" s="342" t="s">
        <v>83</v>
      </c>
      <c r="P106" s="340" t="s">
        <v>76</v>
      </c>
      <c r="Q106" s="116">
        <f>IF(-C106&gt;0,-C106,0)</f>
        <v>0</v>
      </c>
      <c r="R106" s="116">
        <f>IF(C106&gt;0,0,0)</f>
        <v>0</v>
      </c>
    </row>
    <row r="107" spans="1:18" s="383" customFormat="1" ht="16.5" thickBot="1">
      <c r="A107" s="103">
        <f>A101</f>
        <v>41578</v>
      </c>
      <c r="B107" s="50" t="s">
        <v>56</v>
      </c>
      <c r="C107" s="158">
        <f>SUM(C99:C106)</f>
        <v>2255013.9917927925</v>
      </c>
      <c r="D107" s="158">
        <f>SUM(D99:D106)</f>
        <v>-4064721.1626802124</v>
      </c>
      <c r="E107" s="158">
        <f>SUM(E99:E106)</f>
        <v>6344818.2744730022</v>
      </c>
      <c r="F107" s="158">
        <f>SUM(F99:F106)</f>
        <v>-25083.120000000014</v>
      </c>
      <c r="G107" s="158">
        <f t="shared" ref="G107:K107" si="10">SUM(G96:G106)</f>
        <v>0</v>
      </c>
      <c r="H107" s="158">
        <f t="shared" si="10"/>
        <v>0</v>
      </c>
      <c r="I107" s="158">
        <f t="shared" si="10"/>
        <v>0</v>
      </c>
      <c r="J107" s="158">
        <f t="shared" si="10"/>
        <v>0</v>
      </c>
      <c r="K107" s="158">
        <f t="shared" si="10"/>
        <v>0</v>
      </c>
      <c r="L107" s="158">
        <f>SUM(L99:L106)</f>
        <v>0</v>
      </c>
      <c r="M107" s="57"/>
      <c r="N107" s="384"/>
      <c r="O107" s="384"/>
      <c r="P107" s="384"/>
      <c r="Q107" s="384"/>
      <c r="R107" s="337">
        <f>ROUND(SUM(Q102:R106),2)</f>
        <v>0</v>
      </c>
    </row>
    <row r="108" spans="1:18" s="383" customFormat="1" ht="15.75" thickTop="1">
      <c r="A108" s="53"/>
      <c r="M108" s="52"/>
    </row>
    <row r="109" spans="1:18" s="383" customFormat="1" ht="15.75">
      <c r="A109" s="103">
        <v>41579</v>
      </c>
      <c r="B109" s="2" t="s">
        <v>230</v>
      </c>
      <c r="C109" s="50">
        <f>SUM(D109:L109)</f>
        <v>-1145801.7486667871</v>
      </c>
      <c r="D109" s="161">
        <f>-D75</f>
        <v>1383047.9967132136</v>
      </c>
      <c r="E109" s="161">
        <f>-E75</f>
        <v>-2577820.6653800006</v>
      </c>
      <c r="F109" s="161">
        <f>-F75-14.02</f>
        <v>48970.920000000013</v>
      </c>
      <c r="G109" s="161"/>
      <c r="H109" s="161"/>
      <c r="I109" s="161"/>
      <c r="J109" s="161"/>
      <c r="K109" s="161"/>
      <c r="L109" s="244"/>
      <c r="M109" s="52"/>
    </row>
    <row r="110" spans="1:18" s="383" customFormat="1" ht="16.5" thickBot="1">
      <c r="A110" s="103"/>
      <c r="B110" s="2" t="s">
        <v>233</v>
      </c>
      <c r="C110" s="158">
        <f>SUM(C107:C109)</f>
        <v>1109212.2431260054</v>
      </c>
      <c r="D110" s="158">
        <f>SUM(D107:D109)</f>
        <v>-2681673.1659669988</v>
      </c>
      <c r="E110" s="158">
        <f>SUM(E107:E109)</f>
        <v>3766997.6090930016</v>
      </c>
      <c r="F110" s="158">
        <f>SUM(F107:F109)</f>
        <v>23887.8</v>
      </c>
      <c r="G110" s="158"/>
      <c r="H110" s="158"/>
      <c r="I110" s="158"/>
      <c r="J110" s="158"/>
      <c r="K110" s="158"/>
      <c r="L110" s="158">
        <f>SUM(L107:L109)</f>
        <v>0</v>
      </c>
      <c r="M110" s="52"/>
    </row>
    <row r="111" spans="1:18" s="383" customFormat="1" ht="16.5" thickTop="1" thickBot="1">
      <c r="A111" s="53"/>
      <c r="M111" s="52"/>
    </row>
    <row r="112" spans="1:18" s="383" customFormat="1" ht="16.5" thickBot="1">
      <c r="A112" s="58">
        <f>EOMONTH(A101,1)</f>
        <v>41608</v>
      </c>
      <c r="B112" s="59" t="s">
        <v>84</v>
      </c>
      <c r="C112" s="50">
        <f>SUM(D112:L112)</f>
        <v>-1144165.7052559927</v>
      </c>
      <c r="D112" s="243">
        <v>-363626.86552299373</v>
      </c>
      <c r="E112" s="243">
        <v>-780538.83973299898</v>
      </c>
      <c r="F112" s="161">
        <v>0</v>
      </c>
      <c r="G112" s="161"/>
      <c r="H112" s="161"/>
      <c r="I112" s="161"/>
      <c r="J112" s="387"/>
      <c r="K112" s="161"/>
      <c r="L112" s="161">
        <v>0</v>
      </c>
      <c r="M112" s="133"/>
      <c r="N112" s="50"/>
      <c r="O112" s="335" t="s">
        <v>106</v>
      </c>
      <c r="P112" s="93"/>
      <c r="Q112" s="93"/>
      <c r="R112" s="94"/>
    </row>
    <row r="113" spans="1:18" s="383" customFormat="1" ht="15.75">
      <c r="A113" s="58"/>
      <c r="B113" s="59" t="s">
        <v>148</v>
      </c>
      <c r="C113" s="50">
        <f>SUM(D113:F113)</f>
        <v>0</v>
      </c>
      <c r="D113" s="240"/>
      <c r="E113" s="240">
        <v>0</v>
      </c>
      <c r="F113" s="161"/>
      <c r="G113" s="161"/>
      <c r="H113" s="161"/>
      <c r="I113" s="161"/>
      <c r="J113" s="161"/>
      <c r="K113" s="161"/>
      <c r="L113" s="161"/>
      <c r="M113" s="133"/>
      <c r="N113" s="50"/>
      <c r="O113" s="346" t="s">
        <v>232</v>
      </c>
      <c r="P113" s="338" t="s">
        <v>27</v>
      </c>
      <c r="Q113" s="334">
        <f>-C109</f>
        <v>1145801.7486667871</v>
      </c>
      <c r="R113" s="336">
        <v>0</v>
      </c>
    </row>
    <row r="114" spans="1:18" s="383" customFormat="1" ht="15.75">
      <c r="A114" s="58"/>
      <c r="B114" s="20" t="s">
        <v>157</v>
      </c>
      <c r="C114" s="50">
        <f>SUM(D114:L114)</f>
        <v>0</v>
      </c>
      <c r="D114" s="241">
        <v>0</v>
      </c>
      <c r="E114" s="240"/>
      <c r="F114" s="161"/>
      <c r="G114" s="161"/>
      <c r="H114" s="161"/>
      <c r="I114" s="161"/>
      <c r="J114" s="161"/>
      <c r="K114" s="161"/>
      <c r="L114" s="161"/>
      <c r="M114" s="133"/>
      <c r="N114" s="50"/>
      <c r="O114" s="333" t="s">
        <v>79</v>
      </c>
      <c r="P114" s="338" t="s">
        <v>17</v>
      </c>
      <c r="Q114" s="334">
        <f>IF((-C107+C118)&gt;0,(-C107+C118),0)</f>
        <v>0</v>
      </c>
      <c r="R114" s="336">
        <f>IF((-C107+C118)&lt;0,(-C107+C118),0)</f>
        <v>-2288512.7239227798</v>
      </c>
    </row>
    <row r="115" spans="1:18" s="383" customFormat="1" ht="15.75">
      <c r="A115" s="58"/>
      <c r="B115" s="59" t="s">
        <v>49</v>
      </c>
      <c r="C115" s="50">
        <f>SUM(D115:L115)</f>
        <v>0</v>
      </c>
      <c r="D115" s="161"/>
      <c r="E115" s="161"/>
      <c r="F115" s="161"/>
      <c r="G115" s="161"/>
      <c r="H115" s="161"/>
      <c r="I115" s="161"/>
      <c r="J115" s="161"/>
      <c r="K115" s="161"/>
      <c r="L115" s="242">
        <v>0</v>
      </c>
      <c r="M115" s="134"/>
      <c r="N115" s="50"/>
      <c r="O115" s="339" t="s">
        <v>80</v>
      </c>
      <c r="P115" s="338" t="s">
        <v>20</v>
      </c>
      <c r="Q115" s="112">
        <f>IF((C112+C113)&lt;0,(-C112-C113),0)</f>
        <v>1144165.7052559927</v>
      </c>
      <c r="R115" s="336">
        <f>IF((C112+C113)&gt;0,(-C112-C113),0)</f>
        <v>0</v>
      </c>
    </row>
    <row r="116" spans="1:18" s="383" customFormat="1" ht="15.75">
      <c r="A116" s="58"/>
      <c r="B116" s="59" t="s">
        <v>144</v>
      </c>
      <c r="C116" s="50">
        <f>SUM(D116:L116)</f>
        <v>0</v>
      </c>
      <c r="D116" s="161"/>
      <c r="E116" s="161"/>
      <c r="F116" s="161"/>
      <c r="G116" s="161"/>
      <c r="H116" s="161"/>
      <c r="I116" s="161"/>
      <c r="J116" s="161"/>
      <c r="K116" s="161"/>
      <c r="L116" s="242">
        <v>0</v>
      </c>
      <c r="M116" s="134"/>
      <c r="N116" s="50"/>
      <c r="O116" s="341" t="s">
        <v>82</v>
      </c>
      <c r="P116" s="338" t="s">
        <v>75</v>
      </c>
      <c r="Q116" s="343">
        <v>0</v>
      </c>
      <c r="R116" s="336">
        <f>IF(C117&gt;0,-C117,0)</f>
        <v>-1454.73</v>
      </c>
    </row>
    <row r="117" spans="1:18" s="383" customFormat="1" ht="16.5" thickBot="1">
      <c r="A117" s="61"/>
      <c r="B117" s="59" t="s">
        <v>12</v>
      </c>
      <c r="C117" s="50">
        <f>SUM(D117:L117)</f>
        <v>1454.73</v>
      </c>
      <c r="D117" s="161"/>
      <c r="E117" s="161"/>
      <c r="F117" s="161">
        <v>1454.73</v>
      </c>
      <c r="G117" s="161"/>
      <c r="H117" s="161"/>
      <c r="I117" s="161"/>
      <c r="J117" s="161"/>
      <c r="K117" s="161"/>
      <c r="L117" s="244"/>
      <c r="M117" s="237">
        <v>3.2500000000000001E-2</v>
      </c>
      <c r="N117" s="50"/>
      <c r="O117" s="342" t="s">
        <v>83</v>
      </c>
      <c r="P117" s="340" t="s">
        <v>76</v>
      </c>
      <c r="Q117" s="116">
        <f>IF(-C117&gt;0,-C117,0)</f>
        <v>0</v>
      </c>
      <c r="R117" s="116">
        <f>IF(C117&gt;0,0,0)</f>
        <v>0</v>
      </c>
    </row>
    <row r="118" spans="1:18" s="383" customFormat="1" ht="16.5" thickBot="1">
      <c r="A118" s="103">
        <f>A112</f>
        <v>41608</v>
      </c>
      <c r="B118" s="50" t="s">
        <v>56</v>
      </c>
      <c r="C118" s="158">
        <f>SUM(C110:C117)</f>
        <v>-33498.732129987307</v>
      </c>
      <c r="D118" s="158">
        <f>SUM(D110:D117)</f>
        <v>-3045300.0314899925</v>
      </c>
      <c r="E118" s="158">
        <f>SUM(E110:E117)</f>
        <v>2986458.7693600026</v>
      </c>
      <c r="F118" s="158">
        <f>SUM(F110:F117)</f>
        <v>25342.53</v>
      </c>
      <c r="G118" s="158">
        <f t="shared" ref="G118:K118" si="11">SUM(G104:G117)</f>
        <v>0</v>
      </c>
      <c r="H118" s="158">
        <f t="shared" si="11"/>
        <v>0</v>
      </c>
      <c r="I118" s="158">
        <f t="shared" si="11"/>
        <v>0</v>
      </c>
      <c r="J118" s="158">
        <f t="shared" si="11"/>
        <v>0</v>
      </c>
      <c r="K118" s="158">
        <f t="shared" si="11"/>
        <v>0</v>
      </c>
      <c r="L118" s="158">
        <f>SUM(L107:L117)</f>
        <v>0</v>
      </c>
      <c r="M118" s="57"/>
      <c r="N118" s="384"/>
      <c r="O118" s="384"/>
      <c r="P118" s="384"/>
      <c r="Q118" s="384"/>
      <c r="R118" s="337">
        <f>ROUND(SUM(Q113:R117),2)</f>
        <v>0</v>
      </c>
    </row>
    <row r="119" spans="1:18" s="383" customFormat="1" ht="16.5" thickTop="1" thickBot="1">
      <c r="A119" s="53"/>
      <c r="M119" s="52"/>
    </row>
    <row r="120" spans="1:18" s="383" customFormat="1" ht="16.5" thickBot="1">
      <c r="A120" s="58">
        <f>EOMONTH(A112,1)</f>
        <v>41639</v>
      </c>
      <c r="B120" s="59" t="s">
        <v>84</v>
      </c>
      <c r="C120" s="50">
        <f>SUM(D120:L120)</f>
        <v>-2074592.3562550019</v>
      </c>
      <c r="D120" s="243">
        <f>Jan!$H$55</f>
        <v>-743591.89883300196</v>
      </c>
      <c r="E120" s="243">
        <f>Jan!$I$55</f>
        <v>-1331000.4574219999</v>
      </c>
      <c r="F120" s="161">
        <v>0</v>
      </c>
      <c r="G120" s="161"/>
      <c r="H120" s="161"/>
      <c r="I120" s="161"/>
      <c r="J120" s="387"/>
      <c r="K120" s="161"/>
      <c r="L120" s="161">
        <v>0</v>
      </c>
      <c r="M120" s="133"/>
      <c r="N120" s="50"/>
      <c r="O120" s="335" t="s">
        <v>235</v>
      </c>
      <c r="P120" s="93"/>
      <c r="Q120" s="93"/>
      <c r="R120" s="94"/>
    </row>
    <row r="121" spans="1:18" s="383" customFormat="1" ht="15.75">
      <c r="A121" s="58"/>
      <c r="B121" s="59" t="s">
        <v>148</v>
      </c>
      <c r="C121" s="50">
        <f>SUM(D121:F121)</f>
        <v>0</v>
      </c>
      <c r="D121" s="240"/>
      <c r="E121" s="240">
        <v>0</v>
      </c>
      <c r="F121" s="161"/>
      <c r="G121" s="161"/>
      <c r="H121" s="161"/>
      <c r="I121" s="161"/>
      <c r="J121" s="161"/>
      <c r="K121" s="161"/>
      <c r="L121" s="161"/>
      <c r="M121" s="133"/>
      <c r="N121" s="50"/>
      <c r="O121" s="346" t="s">
        <v>232</v>
      </c>
      <c r="P121" s="338" t="s">
        <v>27</v>
      </c>
      <c r="Q121" s="334">
        <v>0</v>
      </c>
      <c r="R121" s="336">
        <v>0</v>
      </c>
    </row>
    <row r="122" spans="1:18" s="383" customFormat="1" ht="15.75">
      <c r="A122" s="58"/>
      <c r="B122" s="20" t="s">
        <v>157</v>
      </c>
      <c r="C122" s="50">
        <f>SUM(D122:L122)</f>
        <v>0</v>
      </c>
      <c r="D122" s="241">
        <v>0</v>
      </c>
      <c r="E122" s="240"/>
      <c r="F122" s="161"/>
      <c r="G122" s="161"/>
      <c r="H122" s="161"/>
      <c r="I122" s="161"/>
      <c r="J122" s="161"/>
      <c r="K122" s="161"/>
      <c r="L122" s="161"/>
      <c r="M122" s="133"/>
      <c r="N122" s="50"/>
      <c r="O122" s="333" t="s">
        <v>79</v>
      </c>
      <c r="P122" s="338" t="s">
        <v>17</v>
      </c>
      <c r="Q122" s="334">
        <f>IF((-C115+C126)&gt;0,(-C115+C126),0)</f>
        <v>0</v>
      </c>
      <c r="R122" s="336">
        <f>IF((-C118+C126)&lt;0,(-C118+C126),0)-C121</f>
        <v>-2077492.4262550017</v>
      </c>
    </row>
    <row r="123" spans="1:18" s="383" customFormat="1" ht="15.75">
      <c r="A123" s="58"/>
      <c r="B123" s="59" t="s">
        <v>49</v>
      </c>
      <c r="C123" s="50">
        <f>SUM(D123:L123)</f>
        <v>0</v>
      </c>
      <c r="D123" s="161"/>
      <c r="E123" s="161"/>
      <c r="F123" s="161"/>
      <c r="G123" s="161"/>
      <c r="H123" s="161"/>
      <c r="I123" s="161"/>
      <c r="J123" s="161"/>
      <c r="K123" s="161"/>
      <c r="L123" s="242">
        <v>0</v>
      </c>
      <c r="M123" s="134"/>
      <c r="N123" s="50"/>
      <c r="O123" s="339" t="s">
        <v>80</v>
      </c>
      <c r="P123" s="338" t="s">
        <v>20</v>
      </c>
      <c r="Q123" s="112">
        <f>IF((C120)&lt;0,(-C120),0)</f>
        <v>2074592.3562550019</v>
      </c>
      <c r="R123" s="336">
        <f>IF((C120+C121)&gt;0,(-C120-C121),0)</f>
        <v>0</v>
      </c>
    </row>
    <row r="124" spans="1:18" s="383" customFormat="1" ht="15.75">
      <c r="A124" s="58"/>
      <c r="B124" s="59" t="s">
        <v>144</v>
      </c>
      <c r="C124" s="50">
        <f>SUM(D124:L124)</f>
        <v>0</v>
      </c>
      <c r="D124" s="161"/>
      <c r="E124" s="161"/>
      <c r="F124" s="161"/>
      <c r="G124" s="161"/>
      <c r="H124" s="161"/>
      <c r="I124" s="161"/>
      <c r="J124" s="161"/>
      <c r="K124" s="161"/>
      <c r="L124" s="242">
        <v>0</v>
      </c>
      <c r="M124" s="134"/>
      <c r="N124" s="50"/>
      <c r="O124" s="341" t="s">
        <v>82</v>
      </c>
      <c r="P124" s="338" t="s">
        <v>75</v>
      </c>
      <c r="Q124" s="343">
        <v>0</v>
      </c>
      <c r="R124" s="336">
        <f>IF(C125&gt;0,-C125,0)</f>
        <v>0</v>
      </c>
    </row>
    <row r="125" spans="1:18" s="383" customFormat="1" ht="16.5" thickBot="1">
      <c r="A125" s="61"/>
      <c r="B125" s="59" t="s">
        <v>12</v>
      </c>
      <c r="C125" s="50">
        <f>SUM(D125:L125)</f>
        <v>-2900.07</v>
      </c>
      <c r="D125" s="161"/>
      <c r="E125" s="161"/>
      <c r="F125" s="161">
        <f>ROUND(((C118)+(C120)/2)*(M125/12),2)</f>
        <v>-2900.07</v>
      </c>
      <c r="G125" s="161"/>
      <c r="H125" s="161"/>
      <c r="I125" s="161"/>
      <c r="J125" s="161"/>
      <c r="K125" s="161"/>
      <c r="L125" s="244"/>
      <c r="M125" s="237">
        <v>3.2500000000000001E-2</v>
      </c>
      <c r="N125" s="50"/>
      <c r="O125" s="342" t="s">
        <v>83</v>
      </c>
      <c r="P125" s="340" t="s">
        <v>76</v>
      </c>
      <c r="Q125" s="116">
        <f>IF(-C125&gt;0,-C125,0)</f>
        <v>2900.07</v>
      </c>
      <c r="R125" s="116">
        <f>IF(C125&gt;0,0,0)</f>
        <v>0</v>
      </c>
    </row>
    <row r="126" spans="1:18" s="383" customFormat="1" ht="16.5" thickBot="1">
      <c r="A126" s="103">
        <f>A120</f>
        <v>41639</v>
      </c>
      <c r="B126" s="50" t="s">
        <v>56</v>
      </c>
      <c r="C126" s="158">
        <f>SUM(C120:C125,C118)</f>
        <v>-2110991.158384989</v>
      </c>
      <c r="D126" s="158">
        <f>SUM(D120:D125,D118)</f>
        <v>-3788891.9303229945</v>
      </c>
      <c r="E126" s="158">
        <f>SUM(E120:E125,E118)</f>
        <v>1655458.3119380027</v>
      </c>
      <c r="F126" s="158">
        <f>SUM(F120:F125,F118)</f>
        <v>22442.46</v>
      </c>
      <c r="G126" s="158">
        <f t="shared" ref="G126:K126" si="12">SUM(G112:G125)</f>
        <v>0</v>
      </c>
      <c r="H126" s="158">
        <f t="shared" si="12"/>
        <v>0</v>
      </c>
      <c r="I126" s="158">
        <f t="shared" si="12"/>
        <v>0</v>
      </c>
      <c r="J126" s="158">
        <f t="shared" si="12"/>
        <v>0</v>
      </c>
      <c r="K126" s="158">
        <f t="shared" si="12"/>
        <v>0</v>
      </c>
      <c r="L126" s="158">
        <f>SUM(L120:L125,L118)</f>
        <v>0</v>
      </c>
      <c r="M126" s="57"/>
      <c r="N126" s="384"/>
      <c r="O126" s="384"/>
      <c r="P126" s="384"/>
      <c r="Q126" s="66"/>
      <c r="R126" s="337">
        <f>ROUND(SUM(Q121:R125),2)</f>
        <v>0</v>
      </c>
    </row>
    <row r="127" spans="1:18" ht="17.25" thickTop="1" thickBot="1">
      <c r="A127" s="144"/>
      <c r="B127" s="9" t="s">
        <v>247</v>
      </c>
      <c r="C127" s="1">
        <f>SUM(D127:L127)</f>
        <v>-1156793.8500000001</v>
      </c>
      <c r="D127" s="383"/>
      <c r="E127" s="383">
        <v>-1111877.48</v>
      </c>
      <c r="F127" s="383">
        <v>-44916.37</v>
      </c>
      <c r="G127" s="161"/>
      <c r="H127" s="161"/>
      <c r="I127" s="161"/>
      <c r="J127" s="387"/>
      <c r="K127" s="161"/>
      <c r="L127" s="161"/>
    </row>
    <row r="128" spans="1:18" ht="16.5" thickBot="1">
      <c r="B128" s="9" t="s">
        <v>241</v>
      </c>
      <c r="C128" s="473">
        <f>SUM(C126:C127)</f>
        <v>-3267785.0083849891</v>
      </c>
      <c r="D128" s="473">
        <f>SUM(D126:D127)</f>
        <v>-3788891.9303229945</v>
      </c>
      <c r="E128" s="473">
        <f>SUM(E126:E127)</f>
        <v>543580.83193800272</v>
      </c>
      <c r="F128" s="473">
        <f>SUM(F126:F127)</f>
        <v>-22473.910000000003</v>
      </c>
      <c r="G128" s="473"/>
      <c r="H128" s="473"/>
      <c r="I128" s="473"/>
      <c r="J128" s="473"/>
      <c r="K128" s="473"/>
      <c r="L128" s="473">
        <f>SUM(L126:L127)</f>
        <v>0</v>
      </c>
      <c r="O128" s="335" t="s">
        <v>236</v>
      </c>
      <c r="P128" s="93"/>
      <c r="Q128" s="93"/>
      <c r="R128" s="94"/>
    </row>
    <row r="129" spans="2:18" ht="15.75">
      <c r="B129" s="9" t="s">
        <v>242</v>
      </c>
      <c r="C129" s="1" t="e">
        <f>_xll.Get_Balance("201312","YTD","USD","Total","A","","001","191010","GD","WA","DL")</f>
        <v>#VALUE!</v>
      </c>
      <c r="D129" s="383"/>
      <c r="E129" s="383"/>
      <c r="F129" s="383"/>
      <c r="G129" s="383"/>
      <c r="H129" s="383"/>
      <c r="I129" s="383"/>
      <c r="J129" s="383"/>
      <c r="K129" s="383"/>
      <c r="L129" s="383"/>
      <c r="O129" s="346" t="s">
        <v>232</v>
      </c>
      <c r="P129" s="338" t="s">
        <v>27</v>
      </c>
      <c r="Q129" s="334">
        <v>0</v>
      </c>
      <c r="R129" s="336">
        <v>0</v>
      </c>
    </row>
    <row r="130" spans="2:18" ht="16.5" thickBot="1">
      <c r="B130" s="9" t="s">
        <v>243</v>
      </c>
      <c r="C130" s="158" t="e">
        <f>C128-C129</f>
        <v>#VALUE!</v>
      </c>
      <c r="D130" s="383"/>
      <c r="E130" s="383"/>
      <c r="F130" s="383"/>
      <c r="G130" s="383"/>
      <c r="H130" s="383"/>
      <c r="I130" s="383"/>
      <c r="J130" s="383"/>
      <c r="K130" s="383"/>
      <c r="L130" s="383"/>
      <c r="O130" s="333" t="s">
        <v>79</v>
      </c>
      <c r="P130" s="338" t="s">
        <v>17</v>
      </c>
      <c r="Q130" s="334">
        <f>IF((-C123+C134)&gt;0,(-C123+C134),0)</f>
        <v>0</v>
      </c>
      <c r="R130" s="336">
        <v>-4133742.32</v>
      </c>
    </row>
    <row r="131" spans="2:18" ht="15.75" thickTop="1">
      <c r="D131" s="383"/>
      <c r="E131" s="383"/>
      <c r="F131" s="383"/>
      <c r="G131" s="383"/>
      <c r="H131" s="383"/>
      <c r="I131" s="383"/>
      <c r="J131" s="383"/>
      <c r="K131" s="383"/>
      <c r="L131" s="383"/>
      <c r="O131" s="339" t="s">
        <v>80</v>
      </c>
      <c r="P131" s="338" t="s">
        <v>20</v>
      </c>
      <c r="Q131" s="112">
        <v>4128061.51</v>
      </c>
      <c r="R131" s="336" t="e">
        <f>IF((C128+C129)&gt;0,(-C128-C129),0)</f>
        <v>#VALUE!</v>
      </c>
    </row>
    <row r="132" spans="2:18">
      <c r="D132" s="383"/>
      <c r="E132" s="383"/>
      <c r="F132" s="383"/>
      <c r="G132" s="383"/>
      <c r="H132" s="383"/>
      <c r="I132" s="383"/>
      <c r="J132" s="383"/>
      <c r="K132" s="383"/>
      <c r="L132" s="383"/>
      <c r="O132" s="341" t="s">
        <v>82</v>
      </c>
      <c r="P132" s="338" t="s">
        <v>75</v>
      </c>
      <c r="Q132" s="343">
        <v>0</v>
      </c>
      <c r="R132" s="336">
        <f>IF(C133&gt;0,-C133,0)</f>
        <v>0</v>
      </c>
    </row>
    <row r="133" spans="2:18" ht="15.75" thickBot="1">
      <c r="O133" s="342" t="s">
        <v>83</v>
      </c>
      <c r="P133" s="340" t="s">
        <v>76</v>
      </c>
      <c r="Q133" s="116">
        <v>5680.81</v>
      </c>
      <c r="R133" s="116">
        <f>IF(C133&gt;0,0,0)</f>
        <v>0</v>
      </c>
    </row>
    <row r="134" spans="2:18">
      <c r="B134" s="383"/>
      <c r="C134" s="383"/>
      <c r="D134" s="383"/>
      <c r="E134" s="383"/>
      <c r="F134" s="383"/>
      <c r="G134" s="383"/>
      <c r="H134" s="383"/>
      <c r="I134" s="383"/>
      <c r="J134" s="383"/>
      <c r="K134" s="383"/>
      <c r="L134" s="383"/>
      <c r="O134" s="384"/>
      <c r="P134" s="384"/>
      <c r="Q134" s="66"/>
      <c r="R134" s="337" t="e">
        <f>ROUND(SUM(Q129:R133),2)</f>
        <v>#VALUE!</v>
      </c>
    </row>
    <row r="135" spans="2:18" ht="15.75" thickBot="1">
      <c r="B135" s="383"/>
      <c r="C135" s="383"/>
      <c r="D135" s="383"/>
      <c r="E135" s="383"/>
      <c r="F135" s="383"/>
      <c r="G135" s="383"/>
      <c r="H135" s="383"/>
      <c r="I135" s="383"/>
      <c r="J135" s="383"/>
      <c r="K135" s="383"/>
      <c r="L135" s="383"/>
    </row>
    <row r="136" spans="2:18" ht="15.75" thickBot="1">
      <c r="O136" s="335" t="s">
        <v>237</v>
      </c>
      <c r="P136" s="93"/>
      <c r="Q136" s="93"/>
      <c r="R136" s="94"/>
    </row>
    <row r="137" spans="2:18">
      <c r="O137" s="346" t="s">
        <v>232</v>
      </c>
      <c r="P137" s="338" t="s">
        <v>27</v>
      </c>
      <c r="Q137" s="334">
        <v>0</v>
      </c>
      <c r="R137" s="336">
        <v>0</v>
      </c>
    </row>
    <row r="138" spans="2:18">
      <c r="O138" s="333" t="s">
        <v>79</v>
      </c>
      <c r="P138" s="338" t="s">
        <v>17</v>
      </c>
      <c r="Q138" s="334">
        <f>R122-R130</f>
        <v>2056249.8937449981</v>
      </c>
      <c r="R138" s="336">
        <v>0</v>
      </c>
    </row>
    <row r="139" spans="2:18">
      <c r="O139" s="339" t="s">
        <v>80</v>
      </c>
      <c r="P139" s="338" t="s">
        <v>20</v>
      </c>
      <c r="Q139" s="112">
        <v>0</v>
      </c>
      <c r="R139" s="336">
        <f>Q123-Q131</f>
        <v>-2053469.1537449979</v>
      </c>
    </row>
    <row r="140" spans="2:18">
      <c r="O140" s="341" t="s">
        <v>82</v>
      </c>
      <c r="P140" s="338" t="s">
        <v>75</v>
      </c>
      <c r="Q140" s="343">
        <v>0</v>
      </c>
      <c r="R140" s="336">
        <f>IF(C141&gt;0,-C141,0)</f>
        <v>0</v>
      </c>
    </row>
    <row r="141" spans="2:18" ht="15.75" thickBot="1">
      <c r="O141" s="342" t="s">
        <v>83</v>
      </c>
      <c r="P141" s="340" t="s">
        <v>76</v>
      </c>
      <c r="Q141" s="116">
        <f>IF(-C141&gt;0,-C141,0)</f>
        <v>0</v>
      </c>
      <c r="R141" s="116">
        <f>Q125-Q133</f>
        <v>-2780.7400000000002</v>
      </c>
    </row>
    <row r="142" spans="2:18">
      <c r="O142" s="384"/>
      <c r="P142" s="384"/>
      <c r="Q142" s="66"/>
      <c r="R142" s="337">
        <f>ROUND(SUM(Q137:R141),2)</f>
        <v>0</v>
      </c>
    </row>
    <row r="1002" spans="3:3">
      <c r="C1002" s="1">
        <v>-2130</v>
      </c>
    </row>
    <row r="1010" spans="3:3">
      <c r="C1010" s="1">
        <f>7004298-2130</f>
        <v>7002168</v>
      </c>
    </row>
  </sheetData>
  <phoneticPr fontId="0" type="noConversion"/>
  <conditionalFormatting sqref="R19 R27 R43 R35 R51 R59 R67 R75 R83 R91 R99 R107 R118 R126">
    <cfRule type="cellIs" dxfId="115" priority="183" stopIfTrue="1" operator="equal">
      <formula>0</formula>
    </cfRule>
    <cfRule type="cellIs" dxfId="114" priority="184" stopIfTrue="1" operator="notEqual">
      <formula>0</formula>
    </cfRule>
  </conditionalFormatting>
  <conditionalFormatting sqref="R134">
    <cfRule type="cellIs" dxfId="113" priority="3" stopIfTrue="1" operator="equal">
      <formula>0</formula>
    </cfRule>
    <cfRule type="cellIs" dxfId="112" priority="4" stopIfTrue="1" operator="notEqual">
      <formula>0</formula>
    </cfRule>
  </conditionalFormatting>
  <conditionalFormatting sqref="R142">
    <cfRule type="cellIs" dxfId="111" priority="1" stopIfTrue="1" operator="equal">
      <formula>0</formula>
    </cfRule>
    <cfRule type="cellIs" dxfId="110" priority="2" stopIfTrue="1" operator="notEqual">
      <formula>0</formula>
    </cfRule>
  </conditionalFormatting>
  <printOptions gridLinesSet="0"/>
  <pageMargins left="0.18" right="0.18" top="0.5" bottom="0.55000000000000004" header="0.5" footer="0.5"/>
  <pageSetup scale="23" orientation="landscape" horizontalDpi="300" verticalDpi="300" r:id="rId1"/>
  <headerFooter alignWithMargins="0">
    <oddFooter>&amp;L&amp;F&amp;C&amp;A&amp;R&amp;D &amp;T</oddFooter>
  </headerFooter>
  <customProperties>
    <customPr name="xxe4aP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FFFF00"/>
    <pageSetUpPr fitToPage="1"/>
  </sheetPr>
  <dimension ref="A1:U1066"/>
  <sheetViews>
    <sheetView showGridLines="0" view="pageBreakPreview" zoomScaleNormal="100" zoomScaleSheetLayoutView="100" workbookViewId="0">
      <pane ySplit="7" topLeftCell="A126" activePane="bottomLeft" state="frozen"/>
      <selection activeCell="G51" sqref="G51:J55"/>
      <selection pane="bottomLeft" activeCell="A51" sqref="A51"/>
    </sheetView>
  </sheetViews>
  <sheetFormatPr defaultColWidth="9.7109375" defaultRowHeight="15"/>
  <cols>
    <col min="1" max="1" width="11.42578125" style="53" customWidth="1"/>
    <col min="2" max="2" width="40.140625" style="1" bestFit="1" customWidth="1"/>
    <col min="3" max="3" width="18.42578125" style="1" customWidth="1"/>
    <col min="4" max="4" width="19.140625" style="1" bestFit="1" customWidth="1"/>
    <col min="5" max="5" width="19.42578125" style="1" bestFit="1" customWidth="1"/>
    <col min="6" max="7" width="13.140625" style="1" customWidth="1"/>
    <col min="8" max="8" width="16.7109375" style="1" bestFit="1" customWidth="1"/>
    <col min="9" max="9" width="14.42578125" style="1" hidden="1" customWidth="1"/>
    <col min="10" max="10" width="13.28515625" style="1" hidden="1" customWidth="1"/>
    <col min="11" max="11" width="15.140625" style="1" hidden="1" customWidth="1"/>
    <col min="12" max="12" width="18.140625" style="1" hidden="1" customWidth="1"/>
    <col min="13" max="13" width="15.7109375" style="1" bestFit="1" customWidth="1"/>
    <col min="14" max="14" width="12.5703125" style="1" customWidth="1"/>
    <col min="15" max="15" width="11.28515625" style="1" customWidth="1"/>
    <col min="16" max="16" width="2.28515625" style="1" customWidth="1"/>
    <col min="17" max="17" width="26.85546875" style="1" customWidth="1"/>
    <col min="18" max="18" width="16.42578125" style="1" customWidth="1"/>
    <col min="19" max="19" width="17" style="1" customWidth="1"/>
    <col min="20" max="20" width="22.5703125" style="1" customWidth="1"/>
    <col min="21" max="16384" width="9.7109375" style="1"/>
  </cols>
  <sheetData>
    <row r="1" spans="1:21" ht="15.75">
      <c r="A1" s="51" t="s">
        <v>13</v>
      </c>
      <c r="M1" s="41"/>
    </row>
    <row r="2" spans="1:21" ht="15.75">
      <c r="A2" s="51" t="s">
        <v>46</v>
      </c>
    </row>
    <row r="3" spans="1:21" ht="15.75">
      <c r="A3" s="51" t="s">
        <v>47</v>
      </c>
    </row>
    <row r="4" spans="1:21" ht="15.75">
      <c r="A4" s="51" t="s">
        <v>104</v>
      </c>
    </row>
    <row r="5" spans="1:21">
      <c r="Q5" s="264"/>
      <c r="R5" s="5"/>
      <c r="S5" s="5"/>
      <c r="T5" s="5"/>
    </row>
    <row r="6" spans="1:21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1" s="55" customFormat="1" ht="15.75" customHeight="1">
      <c r="A7" s="54"/>
      <c r="C7" s="55" t="s">
        <v>16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1" s="330" customFormat="1" ht="16.5" thickBot="1">
      <c r="A8" s="104">
        <v>41153</v>
      </c>
      <c r="B8" s="50" t="s">
        <v>56</v>
      </c>
      <c r="C8" s="158">
        <v>-3561203.4705467741</v>
      </c>
      <c r="D8" s="158">
        <v>-3313366.0104997735</v>
      </c>
      <c r="E8" s="158">
        <v>-222352.0300469994</v>
      </c>
      <c r="F8" s="158">
        <v>0</v>
      </c>
      <c r="G8" s="158">
        <v>0</v>
      </c>
      <c r="H8" s="158">
        <v>-25485.43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50"/>
      <c r="P8" s="50"/>
      <c r="Q8" s="383"/>
      <c r="R8" s="383"/>
      <c r="S8" s="383"/>
      <c r="T8" s="383"/>
      <c r="U8" s="383"/>
    </row>
    <row r="9" spans="1:21" ht="15.75" thickTop="1">
      <c r="S9" s="383"/>
      <c r="T9" s="383"/>
      <c r="U9" s="383"/>
    </row>
    <row r="10" spans="1:21" s="202" customFormat="1" ht="15.75">
      <c r="A10" s="255"/>
      <c r="B10" s="161" t="s">
        <v>205</v>
      </c>
      <c r="C10" s="221">
        <v>1550000</v>
      </c>
      <c r="D10" s="221">
        <f>887740.8-((887740.8/1550000)*H10)</f>
        <v>883736.20005990437</v>
      </c>
      <c r="E10" s="221">
        <f>662259.2-((662259.2/1550000)*H10)</f>
        <v>659271.7478600872</v>
      </c>
      <c r="F10" s="221"/>
      <c r="G10" s="221"/>
      <c r="H10" s="221">
        <f>16564.81*(C10/(C10+C11))</f>
        <v>6992.0520800084523</v>
      </c>
      <c r="I10" s="221"/>
      <c r="J10" s="221"/>
      <c r="K10" s="221"/>
      <c r="L10" s="221"/>
      <c r="M10" s="221"/>
      <c r="N10" s="221"/>
      <c r="T10" s="256"/>
    </row>
    <row r="11" spans="1:21" s="202" customFormat="1" ht="15.75">
      <c r="A11" s="255"/>
      <c r="B11" s="161" t="s">
        <v>206</v>
      </c>
      <c r="C11" s="221">
        <v>2122091.5699999998</v>
      </c>
      <c r="D11" s="221">
        <f>1215398.23-((1215398.23/2122091.57)*H11)</f>
        <v>1209915.5669534774</v>
      </c>
      <c r="E11" s="221">
        <f>906693.34-((906693.34/2122091.57)*H11)</f>
        <v>902603.24512653111</v>
      </c>
      <c r="F11" s="221"/>
      <c r="G11" s="221"/>
      <c r="H11" s="387">
        <f>16564.81*(C11/(C10+C11))</f>
        <v>9572.757919991549</v>
      </c>
      <c r="I11" s="221"/>
      <c r="J11" s="221"/>
      <c r="K11" s="221"/>
      <c r="L11" s="221"/>
      <c r="M11" s="221"/>
      <c r="N11" s="221"/>
      <c r="T11" s="256"/>
    </row>
    <row r="12" spans="1:21" s="202" customFormat="1" ht="16.5" thickBot="1">
      <c r="A12" s="255"/>
      <c r="B12" s="161" t="s">
        <v>204</v>
      </c>
      <c r="C12" s="389">
        <f t="shared" ref="C12:H12" si="0">SUM(C8:C11)</f>
        <v>110888.09945322573</v>
      </c>
      <c r="D12" s="257">
        <f t="shared" si="0"/>
        <v>-1219714.2434863918</v>
      </c>
      <c r="E12" s="389">
        <f t="shared" si="0"/>
        <v>1339522.9629396189</v>
      </c>
      <c r="F12" s="389">
        <f t="shared" si="0"/>
        <v>0</v>
      </c>
      <c r="G12" s="389">
        <f t="shared" si="0"/>
        <v>0</v>
      </c>
      <c r="H12" s="389">
        <f t="shared" si="0"/>
        <v>-8920.619999999999</v>
      </c>
      <c r="I12" s="257">
        <v>0</v>
      </c>
      <c r="J12" s="257">
        <v>0</v>
      </c>
      <c r="K12" s="257">
        <v>0</v>
      </c>
      <c r="L12" s="257">
        <v>0</v>
      </c>
      <c r="M12" s="389">
        <f>SUM(M8:M11)</f>
        <v>0</v>
      </c>
      <c r="N12" s="389">
        <f>SUM(N8:N11)</f>
        <v>0</v>
      </c>
      <c r="T12" s="256"/>
    </row>
    <row r="13" spans="1:21" s="330" customFormat="1" ht="15.75" thickTop="1">
      <c r="A13" s="53"/>
      <c r="T13" s="383"/>
    </row>
    <row r="14" spans="1:21" s="330" customFormat="1" ht="15.75" thickBot="1">
      <c r="A14" s="53"/>
      <c r="T14" s="383"/>
    </row>
    <row r="15" spans="1:21" s="330" customFormat="1" ht="16.5" thickBot="1">
      <c r="A15" s="58"/>
      <c r="Q15" s="335" t="s">
        <v>107</v>
      </c>
      <c r="R15" s="331"/>
      <c r="S15" s="331"/>
      <c r="T15" s="228"/>
    </row>
    <row r="16" spans="1:21" s="330" customFormat="1" ht="15.75">
      <c r="A16" s="58">
        <v>41213</v>
      </c>
      <c r="B16" s="59" t="s">
        <v>84</v>
      </c>
      <c r="C16" s="50">
        <f>SUM(D16:N16)</f>
        <v>114978.85263290035</v>
      </c>
      <c r="D16" s="240">
        <v>-28954.004801100353</v>
      </c>
      <c r="E16" s="240">
        <v>143932.8574340007</v>
      </c>
      <c r="F16" s="241">
        <v>0</v>
      </c>
      <c r="G16" s="241">
        <v>0</v>
      </c>
      <c r="H16" s="50">
        <v>0</v>
      </c>
      <c r="I16" s="50"/>
      <c r="J16" s="50"/>
      <c r="K16" s="50"/>
      <c r="L16" s="50"/>
      <c r="M16" s="50"/>
      <c r="N16" s="50">
        <v>0</v>
      </c>
      <c r="O16" s="106"/>
      <c r="P16" s="50"/>
      <c r="Q16" s="344" t="s">
        <v>81</v>
      </c>
      <c r="R16" s="345" t="s">
        <v>58</v>
      </c>
      <c r="S16" s="112">
        <f>C10+C11+C16+C19+C17</f>
        <v>3781223.9826329001</v>
      </c>
      <c r="T16" s="117">
        <f>IF((-C12+C20)&lt;0,(-C8+C20),0)</f>
        <v>0</v>
      </c>
    </row>
    <row r="17" spans="1:20" s="330" customFormat="1" ht="15.75">
      <c r="A17" s="62"/>
      <c r="B17" s="59" t="s">
        <v>148</v>
      </c>
      <c r="C17" s="50">
        <f>SUM(D17:N17)</f>
        <v>-5986.75</v>
      </c>
      <c r="D17" s="241">
        <v>-5986.75</v>
      </c>
      <c r="E17" s="241">
        <v>0</v>
      </c>
      <c r="F17" s="241"/>
      <c r="G17" s="242"/>
      <c r="H17" s="60"/>
      <c r="I17" s="50"/>
      <c r="J17" s="87"/>
      <c r="K17" s="87"/>
      <c r="L17" s="50"/>
      <c r="M17" s="50"/>
      <c r="N17" s="50"/>
      <c r="O17" s="106"/>
      <c r="P17" s="50"/>
      <c r="Q17" s="346" t="s">
        <v>11</v>
      </c>
      <c r="R17" s="347" t="s">
        <v>62</v>
      </c>
      <c r="S17" s="112">
        <v>0</v>
      </c>
      <c r="T17" s="227">
        <f>-C11</f>
        <v>-2122091.5699999998</v>
      </c>
    </row>
    <row r="18" spans="1:20" s="330" customFormat="1" ht="15.75">
      <c r="A18" s="62"/>
      <c r="B18" s="59" t="s">
        <v>144</v>
      </c>
      <c r="C18" s="50">
        <f>SUM(D18:N18)</f>
        <v>0</v>
      </c>
      <c r="D18" s="161">
        <v>0</v>
      </c>
      <c r="E18" s="161"/>
      <c r="F18" s="161"/>
      <c r="G18" s="241">
        <v>0</v>
      </c>
      <c r="H18" s="105"/>
      <c r="I18" s="50"/>
      <c r="J18" s="87"/>
      <c r="K18" s="50"/>
      <c r="L18" s="50"/>
      <c r="M18" s="50"/>
      <c r="N18" s="50"/>
      <c r="O18" s="106"/>
      <c r="P18" s="50"/>
      <c r="Q18" s="346" t="s">
        <v>11</v>
      </c>
      <c r="R18" s="347" t="s">
        <v>207</v>
      </c>
      <c r="S18" s="112">
        <v>0</v>
      </c>
      <c r="T18" s="227">
        <f>-C10</f>
        <v>-1550000</v>
      </c>
    </row>
    <row r="19" spans="1:20" s="330" customFormat="1" ht="15.75">
      <c r="A19" s="62"/>
      <c r="B19" s="59" t="s">
        <v>57</v>
      </c>
      <c r="C19" s="64">
        <f>SUM(D19:N19)</f>
        <v>140.31</v>
      </c>
      <c r="D19" s="64"/>
      <c r="E19" s="64"/>
      <c r="F19" s="64"/>
      <c r="G19" s="64"/>
      <c r="H19" s="64">
        <v>140.31</v>
      </c>
      <c r="I19" s="64"/>
      <c r="J19" s="64"/>
      <c r="K19" s="64"/>
      <c r="L19" s="64"/>
      <c r="M19" s="64"/>
      <c r="N19" s="64"/>
      <c r="O19" s="99">
        <v>0.01</v>
      </c>
      <c r="P19" s="50"/>
      <c r="Q19" s="339" t="s">
        <v>80</v>
      </c>
      <c r="R19" s="338" t="s">
        <v>59</v>
      </c>
      <c r="S19" s="88">
        <f>IF((-C16-C17-C18)&gt;0,(-C16-C17-C18),0)</f>
        <v>0</v>
      </c>
      <c r="T19" s="89">
        <f>IF((-C16-C17-C18)&lt;0,(-C16-C17-C18),0)</f>
        <v>-108992.10263290035</v>
      </c>
    </row>
    <row r="20" spans="1:20" s="330" customFormat="1" ht="16.5" thickBot="1">
      <c r="A20" s="104">
        <f>A16</f>
        <v>41213</v>
      </c>
      <c r="B20" s="50" t="s">
        <v>56</v>
      </c>
      <c r="C20" s="158">
        <f>SUM(C12:C19)</f>
        <v>220020.51208612608</v>
      </c>
      <c r="D20" s="158">
        <f>SUM(D12:D19)</f>
        <v>-1254654.9982874922</v>
      </c>
      <c r="E20" s="158">
        <f>SUM(E12:E19)</f>
        <v>1483455.8203736194</v>
      </c>
      <c r="F20" s="158">
        <f t="shared" ref="F20:G20" si="1">SUM(F12:F19)</f>
        <v>0</v>
      </c>
      <c r="G20" s="158">
        <f t="shared" si="1"/>
        <v>0</v>
      </c>
      <c r="H20" s="158">
        <f>SUM(H12:H19)</f>
        <v>-8780.31</v>
      </c>
      <c r="I20" s="158">
        <f>SUM(I8:I19)</f>
        <v>0</v>
      </c>
      <c r="J20" s="158">
        <f>SUM(J8:J19)</f>
        <v>0</v>
      </c>
      <c r="K20" s="158">
        <f>SUM(K8:K19)</f>
        <v>0</v>
      </c>
      <c r="L20" s="158">
        <f>SUM(L8:L19)</f>
        <v>0</v>
      </c>
      <c r="M20" s="158">
        <f>SUM(M12:M19)</f>
        <v>0</v>
      </c>
      <c r="N20" s="158">
        <f>SUM(N12:N19)</f>
        <v>0</v>
      </c>
      <c r="O20" s="50"/>
      <c r="P20" s="50"/>
      <c r="Q20" s="341" t="s">
        <v>154</v>
      </c>
      <c r="R20" s="338" t="s">
        <v>77</v>
      </c>
      <c r="S20" s="88">
        <f>IF(C19&lt;0,C19,0)</f>
        <v>0</v>
      </c>
      <c r="T20" s="89">
        <f>IF(-C19&lt;0,-C19,0)</f>
        <v>-140.31</v>
      </c>
    </row>
    <row r="21" spans="1:20" s="330" customFormat="1" ht="16.5" thickTop="1" thickBot="1">
      <c r="A21" s="53"/>
      <c r="Q21" s="342" t="s">
        <v>83</v>
      </c>
      <c r="R21" s="340" t="s">
        <v>78</v>
      </c>
      <c r="S21" s="118">
        <f>IF(-C19&gt;0,-C19,0)</f>
        <v>0</v>
      </c>
      <c r="T21" s="111"/>
    </row>
    <row r="22" spans="1:20">
      <c r="Q22" s="330"/>
      <c r="R22" s="330"/>
      <c r="S22" s="330"/>
      <c r="T22" s="337">
        <f>ROUND(SUM(S16:T21),2)</f>
        <v>0</v>
      </c>
    </row>
    <row r="23" spans="1:20" ht="15.75" thickBot="1"/>
    <row r="24" spans="1:20" s="383" customFormat="1" ht="16.5" thickBot="1">
      <c r="A24" s="58"/>
      <c r="Q24" s="335" t="s">
        <v>216</v>
      </c>
      <c r="R24" s="331"/>
      <c r="S24" s="331"/>
      <c r="T24" s="228"/>
    </row>
    <row r="25" spans="1:20" s="383" customFormat="1" ht="15.75">
      <c r="A25" s="58">
        <v>41243</v>
      </c>
      <c r="B25" s="59" t="s">
        <v>84</v>
      </c>
      <c r="C25" s="50">
        <f>SUM(D25:N25)</f>
        <v>873005.70846981579</v>
      </c>
      <c r="D25" s="240">
        <v>893965.62064781552</v>
      </c>
      <c r="E25" s="240">
        <v>-20959.912177999737</v>
      </c>
      <c r="F25" s="241">
        <v>0</v>
      </c>
      <c r="G25" s="241">
        <v>0</v>
      </c>
      <c r="H25" s="50">
        <v>0</v>
      </c>
      <c r="I25" s="50"/>
      <c r="J25" s="50"/>
      <c r="K25" s="50"/>
      <c r="L25" s="50"/>
      <c r="M25" s="50"/>
      <c r="N25" s="50">
        <v>0</v>
      </c>
      <c r="O25" s="106"/>
      <c r="P25" s="50"/>
      <c r="Q25" s="344" t="s">
        <v>81</v>
      </c>
      <c r="R25" s="345" t="s">
        <v>58</v>
      </c>
      <c r="S25" s="112">
        <v>873552.80846981588</v>
      </c>
      <c r="T25" s="117">
        <v>0</v>
      </c>
    </row>
    <row r="26" spans="1:20" s="383" customFormat="1" ht="15.75">
      <c r="A26" s="62"/>
      <c r="B26" s="59" t="s">
        <v>148</v>
      </c>
      <c r="C26" s="50">
        <v>0</v>
      </c>
      <c r="D26" s="241">
        <v>0</v>
      </c>
      <c r="E26" s="241">
        <v>0</v>
      </c>
      <c r="F26" s="241"/>
      <c r="G26" s="242"/>
      <c r="H26" s="60"/>
      <c r="I26" s="50"/>
      <c r="J26" s="87"/>
      <c r="K26" s="87"/>
      <c r="L26" s="50"/>
      <c r="M26" s="50"/>
      <c r="N26" s="50"/>
      <c r="O26" s="106"/>
      <c r="P26" s="50"/>
      <c r="Q26" s="346" t="s">
        <v>11</v>
      </c>
      <c r="R26" s="347" t="s">
        <v>62</v>
      </c>
      <c r="S26" s="112">
        <v>0</v>
      </c>
      <c r="T26" s="227">
        <v>0</v>
      </c>
    </row>
    <row r="27" spans="1:20" s="383" customFormat="1" ht="15.75">
      <c r="A27" s="62"/>
      <c r="B27" s="59" t="s">
        <v>144</v>
      </c>
      <c r="C27" s="50">
        <f>SUM(D27:N27)</f>
        <v>0</v>
      </c>
      <c r="D27" s="161">
        <v>0</v>
      </c>
      <c r="E27" s="161"/>
      <c r="F27" s="161"/>
      <c r="G27" s="241">
        <v>0</v>
      </c>
      <c r="H27" s="105"/>
      <c r="I27" s="50"/>
      <c r="J27" s="87"/>
      <c r="K27" s="50"/>
      <c r="L27" s="50"/>
      <c r="M27" s="50"/>
      <c r="N27" s="50"/>
      <c r="O27" s="106"/>
      <c r="P27" s="50"/>
      <c r="Q27" s="346" t="s">
        <v>11</v>
      </c>
      <c r="R27" s="347" t="s">
        <v>207</v>
      </c>
      <c r="S27" s="112">
        <v>0</v>
      </c>
      <c r="T27" s="227">
        <v>0</v>
      </c>
    </row>
    <row r="28" spans="1:20" s="383" customFormat="1" ht="15.75">
      <c r="A28" s="62"/>
      <c r="B28" s="59" t="s">
        <v>57</v>
      </c>
      <c r="C28" s="64">
        <f>SUM(D28:N28)</f>
        <v>547.1</v>
      </c>
      <c r="D28" s="64"/>
      <c r="E28" s="64"/>
      <c r="F28" s="64"/>
      <c r="G28" s="64"/>
      <c r="H28" s="64">
        <v>547.1</v>
      </c>
      <c r="I28" s="64"/>
      <c r="J28" s="64"/>
      <c r="K28" s="64"/>
      <c r="L28" s="64"/>
      <c r="M28" s="64"/>
      <c r="N28" s="64"/>
      <c r="O28" s="99">
        <v>0.01</v>
      </c>
      <c r="P28" s="50"/>
      <c r="Q28" s="339" t="s">
        <v>80</v>
      </c>
      <c r="R28" s="338" t="s">
        <v>59</v>
      </c>
      <c r="S28" s="88">
        <v>0</v>
      </c>
      <c r="T28" s="89">
        <v>-873005.70846981579</v>
      </c>
    </row>
    <row r="29" spans="1:20" s="383" customFormat="1" ht="16.5" thickBot="1">
      <c r="A29" s="104">
        <f>A25</f>
        <v>41243</v>
      </c>
      <c r="B29" s="50" t="s">
        <v>56</v>
      </c>
      <c r="C29" s="158">
        <f t="shared" ref="C29:H29" si="2">SUM(C20:C28)</f>
        <v>1093573.3205559419</v>
      </c>
      <c r="D29" s="158">
        <f t="shared" si="2"/>
        <v>-360689.37763967668</v>
      </c>
      <c r="E29" s="158">
        <f t="shared" si="2"/>
        <v>1462495.9081956197</v>
      </c>
      <c r="F29" s="158">
        <f t="shared" si="2"/>
        <v>0</v>
      </c>
      <c r="G29" s="158">
        <f t="shared" si="2"/>
        <v>0</v>
      </c>
      <c r="H29" s="158">
        <f t="shared" si="2"/>
        <v>-8233.2099999999991</v>
      </c>
      <c r="I29" s="158">
        <f t="shared" ref="I29:L29" si="3">SUM(I13:I28)</f>
        <v>0</v>
      </c>
      <c r="J29" s="158">
        <f t="shared" si="3"/>
        <v>0</v>
      </c>
      <c r="K29" s="158">
        <f t="shared" si="3"/>
        <v>0</v>
      </c>
      <c r="L29" s="158">
        <f t="shared" si="3"/>
        <v>0</v>
      </c>
      <c r="M29" s="158">
        <f>SUM(M20:M28)</f>
        <v>0</v>
      </c>
      <c r="N29" s="158">
        <f>SUM(N20:N28)</f>
        <v>0</v>
      </c>
      <c r="O29" s="50"/>
      <c r="P29" s="50"/>
      <c r="Q29" s="341" t="s">
        <v>154</v>
      </c>
      <c r="R29" s="338" t="s">
        <v>77</v>
      </c>
      <c r="S29" s="88">
        <v>0</v>
      </c>
      <c r="T29" s="89">
        <v>-547.1</v>
      </c>
    </row>
    <row r="30" spans="1:20" s="383" customFormat="1" ht="16.5" thickTop="1" thickBot="1">
      <c r="A30" s="53"/>
      <c r="Q30" s="342" t="s">
        <v>83</v>
      </c>
      <c r="R30" s="340" t="s">
        <v>78</v>
      </c>
      <c r="S30" s="118">
        <v>0</v>
      </c>
      <c r="T30" s="111"/>
    </row>
    <row r="31" spans="1:20" s="383" customFormat="1">
      <c r="A31" s="53"/>
      <c r="T31" s="337">
        <f>ROUND(SUM(S25:T30),2)</f>
        <v>0</v>
      </c>
    </row>
    <row r="32" spans="1:20" ht="16.5" thickBot="1">
      <c r="A32" s="696" t="s">
        <v>213</v>
      </c>
      <c r="B32" s="696"/>
      <c r="C32" s="696"/>
      <c r="D32" s="696"/>
      <c r="E32" s="696"/>
      <c r="F32" s="696"/>
      <c r="G32" s="696"/>
      <c r="H32" s="696"/>
      <c r="I32" s="696"/>
      <c r="J32" s="696"/>
      <c r="K32" s="696"/>
      <c r="L32" s="696"/>
      <c r="M32" s="696"/>
      <c r="N32" s="696"/>
      <c r="O32" s="696"/>
      <c r="P32" s="202"/>
      <c r="Q32" s="202"/>
      <c r="R32" s="202"/>
      <c r="S32" s="202"/>
      <c r="T32" s="202"/>
    </row>
    <row r="33" spans="1:20" ht="15.75" thickBot="1">
      <c r="A33" s="255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417" t="s">
        <v>217</v>
      </c>
      <c r="R33" s="401"/>
      <c r="S33" s="401"/>
      <c r="T33" s="418"/>
    </row>
    <row r="34" spans="1:20" ht="15.75">
      <c r="A34" s="419">
        <v>41243</v>
      </c>
      <c r="B34" s="420" t="s">
        <v>84</v>
      </c>
      <c r="C34" s="161">
        <f>SUM(D34:N34)</f>
        <v>700985.36846981547</v>
      </c>
      <c r="D34" s="240">
        <v>760588.19064781535</v>
      </c>
      <c r="E34" s="240">
        <v>-59602.822177999886</v>
      </c>
      <c r="F34" s="241">
        <v>0</v>
      </c>
      <c r="G34" s="241">
        <v>0</v>
      </c>
      <c r="H34" s="161">
        <v>0</v>
      </c>
      <c r="I34" s="161"/>
      <c r="J34" s="161"/>
      <c r="K34" s="161"/>
      <c r="L34" s="161"/>
      <c r="M34" s="161"/>
      <c r="N34" s="161">
        <v>0</v>
      </c>
      <c r="O34" s="421"/>
      <c r="P34" s="202"/>
      <c r="Q34" s="422" t="s">
        <v>81</v>
      </c>
      <c r="R34" s="423" t="s">
        <v>58</v>
      </c>
      <c r="S34" s="424">
        <v>0</v>
      </c>
      <c r="T34" s="425">
        <f>C34+C37-S25</f>
        <v>-172092.01000000036</v>
      </c>
    </row>
    <row r="35" spans="1:20" ht="15.75">
      <c r="A35" s="426"/>
      <c r="B35" s="420" t="s">
        <v>148</v>
      </c>
      <c r="C35" s="161">
        <v>0</v>
      </c>
      <c r="D35" s="241">
        <v>0</v>
      </c>
      <c r="E35" s="241">
        <v>0</v>
      </c>
      <c r="F35" s="241"/>
      <c r="G35" s="242"/>
      <c r="H35" s="241"/>
      <c r="I35" s="161"/>
      <c r="J35" s="242"/>
      <c r="K35" s="242"/>
      <c r="L35" s="161"/>
      <c r="M35" s="161"/>
      <c r="N35" s="161"/>
      <c r="O35" s="421"/>
      <c r="P35" s="202"/>
      <c r="Q35" s="427" t="s">
        <v>11</v>
      </c>
      <c r="R35" s="428" t="s">
        <v>62</v>
      </c>
      <c r="S35" s="424">
        <v>0</v>
      </c>
      <c r="T35" s="429">
        <v>0</v>
      </c>
    </row>
    <row r="36" spans="1:20" ht="15.75">
      <c r="A36" s="426"/>
      <c r="B36" s="420" t="s">
        <v>144</v>
      </c>
      <c r="C36" s="161">
        <f>SUM(D36:N36)</f>
        <v>0</v>
      </c>
      <c r="D36" s="161">
        <v>0</v>
      </c>
      <c r="E36" s="161"/>
      <c r="F36" s="161"/>
      <c r="G36" s="241">
        <v>0</v>
      </c>
      <c r="H36" s="430"/>
      <c r="I36" s="161"/>
      <c r="J36" s="242"/>
      <c r="K36" s="161"/>
      <c r="L36" s="161"/>
      <c r="M36" s="161"/>
      <c r="N36" s="161"/>
      <c r="O36" s="421"/>
      <c r="P36" s="202"/>
      <c r="Q36" s="427" t="s">
        <v>11</v>
      </c>
      <c r="R36" s="428" t="s">
        <v>207</v>
      </c>
      <c r="S36" s="424">
        <v>0</v>
      </c>
      <c r="T36" s="429">
        <v>0</v>
      </c>
    </row>
    <row r="37" spans="1:20" ht="15.75">
      <c r="A37" s="426"/>
      <c r="B37" s="420" t="s">
        <v>57</v>
      </c>
      <c r="C37" s="203">
        <f>SUM(D37:N37)</f>
        <v>475.43</v>
      </c>
      <c r="D37" s="203"/>
      <c r="E37" s="203"/>
      <c r="F37" s="203"/>
      <c r="G37" s="203"/>
      <c r="H37" s="203">
        <v>475.43</v>
      </c>
      <c r="I37" s="203"/>
      <c r="J37" s="203"/>
      <c r="K37" s="203"/>
      <c r="L37" s="203"/>
      <c r="M37" s="203"/>
      <c r="N37" s="203"/>
      <c r="O37" s="431">
        <v>0.01</v>
      </c>
      <c r="P37" s="202"/>
      <c r="Q37" s="432" t="s">
        <v>80</v>
      </c>
      <c r="R37" s="433" t="s">
        <v>59</v>
      </c>
      <c r="S37" s="434">
        <f>-T28-C34</f>
        <v>172020.34000000032</v>
      </c>
      <c r="T37" s="435">
        <v>0</v>
      </c>
    </row>
    <row r="38" spans="1:20" ht="16.5" thickBot="1">
      <c r="A38" s="436">
        <f>A34</f>
        <v>41243</v>
      </c>
      <c r="B38" s="161" t="s">
        <v>56</v>
      </c>
      <c r="C38" s="389">
        <f t="shared" ref="C38:H38" si="4">SUM(C34:C37,C20)</f>
        <v>921481.31055594166</v>
      </c>
      <c r="D38" s="389">
        <f t="shared" si="4"/>
        <v>-494066.80763967684</v>
      </c>
      <c r="E38" s="389">
        <f t="shared" si="4"/>
        <v>1423852.9981956196</v>
      </c>
      <c r="F38" s="389">
        <f t="shared" si="4"/>
        <v>0</v>
      </c>
      <c r="G38" s="389">
        <f t="shared" si="4"/>
        <v>0</v>
      </c>
      <c r="H38" s="389">
        <f t="shared" si="4"/>
        <v>-8304.8799999999992</v>
      </c>
      <c r="I38" s="389">
        <f t="shared" ref="I38:L38" si="5">SUM(I29:I37)</f>
        <v>0</v>
      </c>
      <c r="J38" s="389">
        <f t="shared" si="5"/>
        <v>0</v>
      </c>
      <c r="K38" s="389">
        <f t="shared" si="5"/>
        <v>0</v>
      </c>
      <c r="L38" s="389">
        <f t="shared" si="5"/>
        <v>0</v>
      </c>
      <c r="M38" s="389">
        <f>SUM(M32:M37)</f>
        <v>0</v>
      </c>
      <c r="N38" s="389">
        <f>SUM(N32:N37)</f>
        <v>0</v>
      </c>
      <c r="O38" s="161"/>
      <c r="P38" s="202"/>
      <c r="Q38" s="437" t="s">
        <v>154</v>
      </c>
      <c r="R38" s="433" t="s">
        <v>77</v>
      </c>
      <c r="S38" s="434">
        <f>C28-C37</f>
        <v>71.670000000000016</v>
      </c>
      <c r="T38" s="435">
        <v>0</v>
      </c>
    </row>
    <row r="39" spans="1:20" ht="16.5" thickTop="1" thickBot="1">
      <c r="A39" s="255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438" t="s">
        <v>83</v>
      </c>
      <c r="R39" s="439" t="s">
        <v>78</v>
      </c>
      <c r="S39" s="440">
        <v>0</v>
      </c>
      <c r="T39" s="441">
        <v>0</v>
      </c>
    </row>
    <row r="40" spans="1:20">
      <c r="A40" s="255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337">
        <f>ROUND(SUM(S34:T39),2)</f>
        <v>0</v>
      </c>
    </row>
    <row r="41" spans="1:20" s="383" customFormat="1" ht="15.75" thickBot="1">
      <c r="A41" s="53"/>
    </row>
    <row r="42" spans="1:20" s="383" customFormat="1" ht="16.5" thickBot="1">
      <c r="A42" s="58"/>
      <c r="Q42" s="335" t="s">
        <v>107</v>
      </c>
      <c r="R42" s="331"/>
      <c r="S42" s="331"/>
      <c r="T42" s="228"/>
    </row>
    <row r="43" spans="1:20" s="383" customFormat="1" ht="15.75">
      <c r="A43" s="58">
        <v>41274</v>
      </c>
      <c r="B43" s="59" t="s">
        <v>84</v>
      </c>
      <c r="C43" s="50">
        <f>SUM(D43:N43)</f>
        <v>134368.12753900047</v>
      </c>
      <c r="D43" s="240">
        <v>505847.59770200029</v>
      </c>
      <c r="E43" s="240">
        <v>-371479.47016299982</v>
      </c>
      <c r="F43" s="241">
        <v>0</v>
      </c>
      <c r="G43" s="241">
        <v>0</v>
      </c>
      <c r="H43" s="50">
        <v>0</v>
      </c>
      <c r="I43" s="50"/>
      <c r="J43" s="50"/>
      <c r="K43" s="50"/>
      <c r="L43" s="50"/>
      <c r="M43" s="50"/>
      <c r="N43" s="50">
        <v>0</v>
      </c>
      <c r="O43" s="106"/>
      <c r="P43" s="50"/>
      <c r="Q43" s="344" t="s">
        <v>81</v>
      </c>
      <c r="R43" s="345" t="s">
        <v>58</v>
      </c>
      <c r="S43" s="112">
        <f>IF((-C38+C47)&gt;0,(-C38+C47),0)</f>
        <v>135192.01753900037</v>
      </c>
      <c r="T43" s="117">
        <f>IF((-C38+C47)&lt;0,(-C38+C47),0)</f>
        <v>0</v>
      </c>
    </row>
    <row r="44" spans="1:20" s="383" customFormat="1" ht="15.75">
      <c r="A44" s="62"/>
      <c r="B44" s="59" t="s">
        <v>148</v>
      </c>
      <c r="C44" s="50">
        <v>0</v>
      </c>
      <c r="D44" s="241">
        <v>0</v>
      </c>
      <c r="E44" s="241">
        <v>0</v>
      </c>
      <c r="F44" s="241"/>
      <c r="G44" s="242"/>
      <c r="H44" s="60"/>
      <c r="I44" s="50"/>
      <c r="J44" s="87"/>
      <c r="K44" s="87"/>
      <c r="L44" s="50"/>
      <c r="M44" s="50"/>
      <c r="N44" s="50"/>
      <c r="O44" s="106"/>
      <c r="P44" s="50"/>
      <c r="Q44" s="346" t="s">
        <v>11</v>
      </c>
      <c r="R44" s="347" t="s">
        <v>62</v>
      </c>
      <c r="S44" s="112">
        <v>0</v>
      </c>
      <c r="T44" s="227">
        <v>0</v>
      </c>
    </row>
    <row r="45" spans="1:20" s="383" customFormat="1" ht="15.75">
      <c r="A45" s="62"/>
      <c r="B45" s="59" t="s">
        <v>144</v>
      </c>
      <c r="C45" s="50">
        <f>SUM(D45:N45)</f>
        <v>0</v>
      </c>
      <c r="D45" s="161">
        <v>0</v>
      </c>
      <c r="E45" s="161"/>
      <c r="F45" s="161"/>
      <c r="G45" s="241">
        <v>0</v>
      </c>
      <c r="H45" s="105"/>
      <c r="I45" s="50"/>
      <c r="J45" s="87"/>
      <c r="K45" s="50"/>
      <c r="L45" s="50"/>
      <c r="M45" s="50"/>
      <c r="N45" s="50"/>
      <c r="O45" s="106"/>
      <c r="P45" s="50"/>
      <c r="Q45" s="346" t="s">
        <v>11</v>
      </c>
      <c r="R45" s="347" t="s">
        <v>207</v>
      </c>
      <c r="S45" s="112">
        <v>0</v>
      </c>
      <c r="T45" s="227">
        <v>0</v>
      </c>
    </row>
    <row r="46" spans="1:20" s="383" customFormat="1" ht="15.75">
      <c r="A46" s="62"/>
      <c r="B46" s="59" t="s">
        <v>57</v>
      </c>
      <c r="C46" s="64">
        <f>SUM(D46:N46)</f>
        <v>823.89</v>
      </c>
      <c r="D46" s="64"/>
      <c r="E46" s="64"/>
      <c r="F46" s="64"/>
      <c r="G46" s="64"/>
      <c r="H46" s="64">
        <f>ROUND(((C38)+(C43)/2)*(O46/12),2)</f>
        <v>823.89</v>
      </c>
      <c r="I46" s="64"/>
      <c r="J46" s="64"/>
      <c r="K46" s="64"/>
      <c r="L46" s="64"/>
      <c r="M46" s="64"/>
      <c r="N46" s="64"/>
      <c r="O46" s="99">
        <v>0.01</v>
      </c>
      <c r="P46" s="50"/>
      <c r="Q46" s="339" t="s">
        <v>80</v>
      </c>
      <c r="R46" s="338" t="s">
        <v>59</v>
      </c>
      <c r="S46" s="88">
        <f>IF((-C43-C44-C45)&gt;0,(-C43-C44-C45),0)</f>
        <v>0</v>
      </c>
      <c r="T46" s="89">
        <f>IF((-C43-C44-C45)&lt;0,(-C43-C44-C45),0)</f>
        <v>-134368.12753900047</v>
      </c>
    </row>
    <row r="47" spans="1:20" s="383" customFormat="1" ht="16.5" thickBot="1">
      <c r="A47" s="104">
        <f>A43</f>
        <v>41274</v>
      </c>
      <c r="B47" s="50" t="s">
        <v>56</v>
      </c>
      <c r="C47" s="158">
        <f>SUM(C38:C46)</f>
        <v>1056673.328094942</v>
      </c>
      <c r="D47" s="158">
        <f>SUM(D38:D46)</f>
        <v>11780.790062323445</v>
      </c>
      <c r="E47" s="158">
        <f>SUM(E38:E46)</f>
        <v>1052373.5280326197</v>
      </c>
      <c r="F47" s="158">
        <f t="shared" ref="F47:G47" si="6">SUM(F38:F46)</f>
        <v>0</v>
      </c>
      <c r="G47" s="158">
        <f t="shared" si="6"/>
        <v>0</v>
      </c>
      <c r="H47" s="158">
        <f>SUM(H38:H46)</f>
        <v>-7480.9899999999989</v>
      </c>
      <c r="I47" s="158">
        <f>SUM(I32:I46)</f>
        <v>0</v>
      </c>
      <c r="J47" s="158">
        <f>SUM(J32:J46)</f>
        <v>0</v>
      </c>
      <c r="K47" s="158">
        <f>SUM(K32:K46)</f>
        <v>0</v>
      </c>
      <c r="L47" s="158">
        <f>SUM(L32:L46)</f>
        <v>0</v>
      </c>
      <c r="M47" s="158">
        <f>SUM(M38:M46)</f>
        <v>0</v>
      </c>
      <c r="N47" s="158">
        <f>SUM(N38:N46)</f>
        <v>0</v>
      </c>
      <c r="O47" s="50"/>
      <c r="P47" s="50"/>
      <c r="Q47" s="341" t="s">
        <v>154</v>
      </c>
      <c r="R47" s="338" t="s">
        <v>77</v>
      </c>
      <c r="S47" s="88">
        <f>IF(C46&lt;0,C46,0)</f>
        <v>0</v>
      </c>
      <c r="T47" s="89">
        <f>IF(-C46&lt;0,-C46,0)</f>
        <v>-823.89</v>
      </c>
    </row>
    <row r="48" spans="1:20" s="383" customFormat="1" ht="16.5" thickTop="1" thickBot="1">
      <c r="A48" s="53"/>
      <c r="Q48" s="342" t="s">
        <v>83</v>
      </c>
      <c r="R48" s="340" t="s">
        <v>78</v>
      </c>
      <c r="S48" s="118">
        <f>IF(-C46&gt;0,-C46,0)</f>
        <v>0</v>
      </c>
      <c r="T48" s="111"/>
    </row>
    <row r="49" spans="1:20" s="383" customFormat="1">
      <c r="A49" s="53"/>
      <c r="T49" s="337">
        <f>ROUND(SUM(S43:T48),2)</f>
        <v>0</v>
      </c>
    </row>
    <row r="50" spans="1:20" ht="15.75" thickBot="1"/>
    <row r="51" spans="1:20" s="383" customFormat="1" ht="16.5" thickBot="1">
      <c r="A51" s="58"/>
      <c r="Q51" s="335" t="s">
        <v>107</v>
      </c>
      <c r="R51" s="331"/>
      <c r="S51" s="331"/>
      <c r="T51" s="228"/>
    </row>
    <row r="52" spans="1:20" s="383" customFormat="1" ht="15.75">
      <c r="A52" s="58">
        <v>41275</v>
      </c>
      <c r="B52" s="59" t="s">
        <v>84</v>
      </c>
      <c r="C52" s="50">
        <f>SUM(D52:N52)</f>
        <v>-1358486.1640380016</v>
      </c>
      <c r="D52" s="240">
        <v>-794093.61202800181</v>
      </c>
      <c r="E52" s="240">
        <v>-564392.55200999975</v>
      </c>
      <c r="F52" s="241">
        <v>0</v>
      </c>
      <c r="G52" s="241">
        <v>0</v>
      </c>
      <c r="H52" s="50">
        <v>0</v>
      </c>
      <c r="I52" s="50"/>
      <c r="J52" s="50"/>
      <c r="K52" s="50"/>
      <c r="L52" s="50"/>
      <c r="M52" s="50"/>
      <c r="N52" s="50">
        <v>0</v>
      </c>
      <c r="O52" s="106"/>
      <c r="P52" s="50"/>
      <c r="Q52" s="344" t="s">
        <v>81</v>
      </c>
      <c r="R52" s="345" t="s">
        <v>58</v>
      </c>
      <c r="S52" s="112">
        <f>IF((-C47+C56)&gt;0,(-C47+C56),0)</f>
        <v>0</v>
      </c>
      <c r="T52" s="117">
        <f>IF((-C47+C56)&lt;0,(-C47+C56),0)</f>
        <v>-1358171.6340380015</v>
      </c>
    </row>
    <row r="53" spans="1:20" s="383" customFormat="1" ht="15.75">
      <c r="A53" s="62"/>
      <c r="B53" s="59" t="s">
        <v>148</v>
      </c>
      <c r="C53" s="50">
        <v>0</v>
      </c>
      <c r="D53" s="241">
        <v>0</v>
      </c>
      <c r="E53" s="241">
        <v>0</v>
      </c>
      <c r="F53" s="241"/>
      <c r="G53" s="242"/>
      <c r="H53" s="60"/>
      <c r="I53" s="50"/>
      <c r="J53" s="87"/>
      <c r="K53" s="87"/>
      <c r="L53" s="50"/>
      <c r="M53" s="50"/>
      <c r="N53" s="50"/>
      <c r="O53" s="106"/>
      <c r="P53" s="50"/>
      <c r="Q53" s="346" t="s">
        <v>11</v>
      </c>
      <c r="R53" s="347" t="s">
        <v>62</v>
      </c>
      <c r="S53" s="112">
        <v>0</v>
      </c>
      <c r="T53" s="227">
        <v>0</v>
      </c>
    </row>
    <row r="54" spans="1:20" s="383" customFormat="1" ht="15.75">
      <c r="A54" s="62"/>
      <c r="B54" s="59" t="s">
        <v>144</v>
      </c>
      <c r="C54" s="50">
        <f>SUM(D54:N54)</f>
        <v>0</v>
      </c>
      <c r="D54" s="161">
        <v>0</v>
      </c>
      <c r="E54" s="161"/>
      <c r="F54" s="161"/>
      <c r="G54" s="241">
        <v>0</v>
      </c>
      <c r="H54" s="105"/>
      <c r="I54" s="50"/>
      <c r="J54" s="87"/>
      <c r="K54" s="50"/>
      <c r="L54" s="50"/>
      <c r="M54" s="50"/>
      <c r="N54" s="50"/>
      <c r="O54" s="106"/>
      <c r="P54" s="50"/>
      <c r="Q54" s="346" t="s">
        <v>11</v>
      </c>
      <c r="R54" s="347" t="s">
        <v>207</v>
      </c>
      <c r="S54" s="112">
        <v>0</v>
      </c>
      <c r="T54" s="227">
        <v>0</v>
      </c>
    </row>
    <row r="55" spans="1:20" s="383" customFormat="1" ht="15.75">
      <c r="A55" s="62"/>
      <c r="B55" s="59" t="s">
        <v>57</v>
      </c>
      <c r="C55" s="64">
        <f>SUM(D55:N55)</f>
        <v>314.52999999999997</v>
      </c>
      <c r="D55" s="64"/>
      <c r="E55" s="64"/>
      <c r="F55" s="64"/>
      <c r="G55" s="64"/>
      <c r="H55" s="64">
        <f>ROUND(((C47)+(C52)/2)*(O55/12),2)</f>
        <v>314.52999999999997</v>
      </c>
      <c r="I55" s="64"/>
      <c r="J55" s="64"/>
      <c r="K55" s="64"/>
      <c r="L55" s="64"/>
      <c r="M55" s="64"/>
      <c r="N55" s="64"/>
      <c r="O55" s="99">
        <v>0.01</v>
      </c>
      <c r="P55" s="50"/>
      <c r="Q55" s="339" t="s">
        <v>80</v>
      </c>
      <c r="R55" s="338" t="s">
        <v>59</v>
      </c>
      <c r="S55" s="88">
        <f>IF((-C52-C53-C54)&gt;0,(-C52-C53-C54),0)</f>
        <v>1358486.1640380016</v>
      </c>
      <c r="T55" s="89">
        <f>IF((-C52-C53-C54)&lt;0,(-C52-C53-C54),0)</f>
        <v>0</v>
      </c>
    </row>
    <row r="56" spans="1:20" s="383" customFormat="1" ht="16.5" thickBot="1">
      <c r="A56" s="104">
        <f>A52</f>
        <v>41275</v>
      </c>
      <c r="B56" s="50" t="s">
        <v>56</v>
      </c>
      <c r="C56" s="158">
        <f t="shared" ref="C56:H56" si="7">SUM(C47:C55)</f>
        <v>-301498.3059430595</v>
      </c>
      <c r="D56" s="158">
        <f t="shared" si="7"/>
        <v>-782312.82196567836</v>
      </c>
      <c r="E56" s="158">
        <f t="shared" si="7"/>
        <v>487980.97602261999</v>
      </c>
      <c r="F56" s="158">
        <f t="shared" si="7"/>
        <v>0</v>
      </c>
      <c r="G56" s="158">
        <f t="shared" si="7"/>
        <v>0</v>
      </c>
      <c r="H56" s="158">
        <f t="shared" si="7"/>
        <v>-7166.4599999999991</v>
      </c>
      <c r="I56" s="158">
        <f>SUM(I41:I55)</f>
        <v>0</v>
      </c>
      <c r="J56" s="158">
        <f>SUM(J41:J55)</f>
        <v>0</v>
      </c>
      <c r="K56" s="158">
        <f>SUM(K41:K55)</f>
        <v>0</v>
      </c>
      <c r="L56" s="158">
        <f>SUM(L41:L55)</f>
        <v>0</v>
      </c>
      <c r="M56" s="158">
        <f>SUM(M47:M55)</f>
        <v>0</v>
      </c>
      <c r="N56" s="158">
        <f>SUM(N47:N55)</f>
        <v>0</v>
      </c>
      <c r="O56" s="50"/>
      <c r="P56" s="50"/>
      <c r="Q56" s="341" t="s">
        <v>154</v>
      </c>
      <c r="R56" s="338" t="s">
        <v>77</v>
      </c>
      <c r="S56" s="88">
        <f>IF(C55&lt;0,C55,0)</f>
        <v>0</v>
      </c>
      <c r="T56" s="89">
        <f>IF(-C55&lt;0,-C55,0)</f>
        <v>-314.52999999999997</v>
      </c>
    </row>
    <row r="57" spans="1:20" s="383" customFormat="1" ht="16.5" thickTop="1" thickBot="1">
      <c r="A57" s="53"/>
      <c r="Q57" s="342" t="s">
        <v>83</v>
      </c>
      <c r="R57" s="340" t="s">
        <v>78</v>
      </c>
      <c r="S57" s="118">
        <f>IF(-C55&gt;0,-C55,0)</f>
        <v>0</v>
      </c>
      <c r="T57" s="111"/>
    </row>
    <row r="58" spans="1:20" s="383" customFormat="1">
      <c r="A58" s="53"/>
      <c r="T58" s="337">
        <f>ROUND(SUM(S52:T57),2)</f>
        <v>0</v>
      </c>
    </row>
    <row r="59" spans="1:20" s="383" customFormat="1" ht="15.75" thickBot="1">
      <c r="A59" s="53"/>
    </row>
    <row r="60" spans="1:20" s="383" customFormat="1" ht="16.5" thickBot="1">
      <c r="A60" s="58"/>
      <c r="Q60" s="335" t="s">
        <v>107</v>
      </c>
      <c r="R60" s="331"/>
      <c r="S60" s="331"/>
      <c r="T60" s="228"/>
    </row>
    <row r="61" spans="1:20" s="383" customFormat="1" ht="15.75">
      <c r="A61" s="58">
        <v>41333</v>
      </c>
      <c r="B61" s="59" t="s">
        <v>84</v>
      </c>
      <c r="C61" s="50">
        <f>SUM(D61:N61)</f>
        <v>187567.52458600083</v>
      </c>
      <c r="D61" s="240">
        <v>369349.48148000054</v>
      </c>
      <c r="E61" s="240">
        <v>-181781.95689399971</v>
      </c>
      <c r="F61" s="241">
        <v>0</v>
      </c>
      <c r="G61" s="241">
        <v>0</v>
      </c>
      <c r="H61" s="50">
        <v>0</v>
      </c>
      <c r="I61" s="50"/>
      <c r="J61" s="50"/>
      <c r="K61" s="50"/>
      <c r="L61" s="50"/>
      <c r="M61" s="50"/>
      <c r="N61" s="50">
        <v>0</v>
      </c>
      <c r="O61" s="106"/>
      <c r="P61" s="50"/>
      <c r="Q61" s="344" t="s">
        <v>81</v>
      </c>
      <c r="R61" s="345" t="s">
        <v>58</v>
      </c>
      <c r="S61" s="112">
        <f>IF((-C56+C65)&gt;0,(-C56+C65),0)</f>
        <v>187394.42458600082</v>
      </c>
      <c r="T61" s="117">
        <f>IF((-C56+C65)&lt;0,(-C56+C65),0)</f>
        <v>0</v>
      </c>
    </row>
    <row r="62" spans="1:20" s="383" customFormat="1" ht="15.75">
      <c r="A62" s="62"/>
      <c r="B62" s="59" t="s">
        <v>148</v>
      </c>
      <c r="C62" s="50">
        <v>0</v>
      </c>
      <c r="D62" s="241">
        <v>0</v>
      </c>
      <c r="E62" s="241">
        <v>0</v>
      </c>
      <c r="F62" s="241"/>
      <c r="G62" s="242"/>
      <c r="H62" s="60"/>
      <c r="I62" s="50"/>
      <c r="J62" s="87"/>
      <c r="K62" s="87"/>
      <c r="L62" s="50"/>
      <c r="M62" s="50"/>
      <c r="N62" s="50"/>
      <c r="O62" s="106"/>
      <c r="P62" s="50"/>
      <c r="Q62" s="346" t="s">
        <v>11</v>
      </c>
      <c r="R62" s="347" t="s">
        <v>62</v>
      </c>
      <c r="S62" s="112">
        <v>0</v>
      </c>
      <c r="T62" s="227">
        <v>0</v>
      </c>
    </row>
    <row r="63" spans="1:20" s="383" customFormat="1" ht="15.75">
      <c r="A63" s="62"/>
      <c r="B63" s="59" t="s">
        <v>144</v>
      </c>
      <c r="C63" s="50">
        <f>SUM(D63:N63)</f>
        <v>0</v>
      </c>
      <c r="D63" s="161">
        <v>0</v>
      </c>
      <c r="E63" s="161"/>
      <c r="F63" s="161"/>
      <c r="G63" s="241">
        <v>0</v>
      </c>
      <c r="H63" s="105"/>
      <c r="I63" s="50"/>
      <c r="J63" s="87"/>
      <c r="K63" s="50"/>
      <c r="L63" s="50"/>
      <c r="M63" s="50"/>
      <c r="N63" s="50"/>
      <c r="O63" s="106"/>
      <c r="P63" s="50"/>
      <c r="Q63" s="346" t="s">
        <v>11</v>
      </c>
      <c r="R63" s="347" t="s">
        <v>207</v>
      </c>
      <c r="S63" s="112">
        <v>0</v>
      </c>
      <c r="T63" s="227">
        <v>0</v>
      </c>
    </row>
    <row r="64" spans="1:20" s="383" customFormat="1" ht="15.75">
      <c r="A64" s="62"/>
      <c r="B64" s="59" t="s">
        <v>57</v>
      </c>
      <c r="C64" s="64">
        <f>SUM(D64:N64)</f>
        <v>-173.1</v>
      </c>
      <c r="D64" s="64"/>
      <c r="E64" s="64"/>
      <c r="F64" s="64"/>
      <c r="G64" s="64"/>
      <c r="H64" s="64">
        <f>ROUND(((C56)+(C61)/2)*(O64/12),2)</f>
        <v>-173.1</v>
      </c>
      <c r="I64" s="64"/>
      <c r="J64" s="64"/>
      <c r="K64" s="64"/>
      <c r="L64" s="64"/>
      <c r="M64" s="64"/>
      <c r="N64" s="64"/>
      <c r="O64" s="99">
        <v>0.01</v>
      </c>
      <c r="P64" s="50"/>
      <c r="Q64" s="339" t="s">
        <v>80</v>
      </c>
      <c r="R64" s="338" t="s">
        <v>59</v>
      </c>
      <c r="S64" s="88">
        <f>IF((-C61-C62-C63)&gt;0,(-C61-C62-C63),0)</f>
        <v>0</v>
      </c>
      <c r="T64" s="89">
        <f>IF((-C61-C62-C63)&lt;0,(-C61-C62-C63),0)</f>
        <v>-187567.52458600083</v>
      </c>
    </row>
    <row r="65" spans="1:20" s="383" customFormat="1" ht="16.5" thickBot="1">
      <c r="A65" s="104">
        <f>A61</f>
        <v>41333</v>
      </c>
      <c r="B65" s="50" t="s">
        <v>56</v>
      </c>
      <c r="C65" s="158">
        <f>SUM(C56:C64)</f>
        <v>-114103.88135705868</v>
      </c>
      <c r="D65" s="158">
        <f>SUM(D56:D64)</f>
        <v>-412963.34048567782</v>
      </c>
      <c r="E65" s="158">
        <f>SUM(E56:E64)</f>
        <v>306199.01912862028</v>
      </c>
      <c r="F65" s="158">
        <f t="shared" ref="F65" si="8">SUM(F56:F64)</f>
        <v>0</v>
      </c>
      <c r="G65" s="158">
        <f t="shared" ref="G65" si="9">SUM(G56:G64)</f>
        <v>0</v>
      </c>
      <c r="H65" s="158">
        <f>SUM(H56:H64)</f>
        <v>-7339.5599999999995</v>
      </c>
      <c r="I65" s="158">
        <f>SUM(I50:I64)</f>
        <v>0</v>
      </c>
      <c r="J65" s="158">
        <f>SUM(J50:J64)</f>
        <v>0</v>
      </c>
      <c r="K65" s="158">
        <f>SUM(K50:K64)</f>
        <v>0</v>
      </c>
      <c r="L65" s="158">
        <f>SUM(L50:L64)</f>
        <v>0</v>
      </c>
      <c r="M65" s="158">
        <f>SUM(M56:M64)</f>
        <v>0</v>
      </c>
      <c r="N65" s="158">
        <f>SUM(N56:N64)</f>
        <v>0</v>
      </c>
      <c r="O65" s="50"/>
      <c r="P65" s="50"/>
      <c r="Q65" s="341" t="s">
        <v>154</v>
      </c>
      <c r="R65" s="338" t="s">
        <v>77</v>
      </c>
      <c r="S65" s="88">
        <f>IF(-C64&lt;0,C64,0)</f>
        <v>0</v>
      </c>
      <c r="T65" s="89">
        <f>IF(-C64&lt;0,-C64,0)</f>
        <v>0</v>
      </c>
    </row>
    <row r="66" spans="1:20" s="383" customFormat="1" ht="16.5" thickTop="1" thickBot="1">
      <c r="A66" s="53"/>
      <c r="Q66" s="342" t="s">
        <v>83</v>
      </c>
      <c r="R66" s="340" t="s">
        <v>78</v>
      </c>
      <c r="S66" s="118">
        <f>IF(-C64&gt;0,-C64,0)</f>
        <v>173.1</v>
      </c>
      <c r="T66" s="111">
        <f>IF(-C64&lt;0,-C64,0)</f>
        <v>0</v>
      </c>
    </row>
    <row r="67" spans="1:20" s="383" customFormat="1">
      <c r="A67" s="53"/>
      <c r="T67" s="337">
        <f>ROUND(SUM(S61:T66),2)</f>
        <v>0</v>
      </c>
    </row>
    <row r="68" spans="1:20" s="383" customFormat="1" ht="15.75" thickBot="1">
      <c r="A68" s="53"/>
    </row>
    <row r="69" spans="1:20" s="383" customFormat="1" ht="16.5" thickBot="1">
      <c r="A69" s="58"/>
      <c r="Q69" s="335" t="s">
        <v>107</v>
      </c>
      <c r="R69" s="331"/>
      <c r="S69" s="331"/>
      <c r="T69" s="228"/>
    </row>
    <row r="70" spans="1:20" s="383" customFormat="1" ht="15.75">
      <c r="A70" s="58">
        <v>41364</v>
      </c>
      <c r="B70" s="59" t="s">
        <v>84</v>
      </c>
      <c r="C70" s="50">
        <f>SUM(D70:N70)</f>
        <v>-70192.864177000942</v>
      </c>
      <c r="D70" s="240">
        <v>140554.57549299859</v>
      </c>
      <c r="E70" s="240">
        <v>-210747.43966999953</v>
      </c>
      <c r="F70" s="241">
        <v>0</v>
      </c>
      <c r="G70" s="241">
        <v>0</v>
      </c>
      <c r="H70" s="50">
        <v>0</v>
      </c>
      <c r="I70" s="50"/>
      <c r="J70" s="50"/>
      <c r="K70" s="50"/>
      <c r="L70" s="50"/>
      <c r="M70" s="50"/>
      <c r="N70" s="50">
        <v>0</v>
      </c>
      <c r="O70" s="106"/>
      <c r="P70" s="50"/>
      <c r="Q70" s="344" t="s">
        <v>81</v>
      </c>
      <c r="R70" s="345" t="s">
        <v>58</v>
      </c>
      <c r="S70" s="112">
        <f>IF((-C65+C74)&gt;0,(-C65+C74),0)</f>
        <v>0</v>
      </c>
      <c r="T70" s="117">
        <f>IF((-C65+C74)&lt;0,(-C65+C74),0)</f>
        <v>-70317.194177000929</v>
      </c>
    </row>
    <row r="71" spans="1:20" s="383" customFormat="1" ht="15.75">
      <c r="A71" s="62"/>
      <c r="B71" s="59" t="s">
        <v>148</v>
      </c>
      <c r="C71" s="50">
        <v>0</v>
      </c>
      <c r="D71" s="241">
        <v>0</v>
      </c>
      <c r="E71" s="241">
        <v>0</v>
      </c>
      <c r="F71" s="241"/>
      <c r="G71" s="242"/>
      <c r="H71" s="60"/>
      <c r="I71" s="50"/>
      <c r="J71" s="87"/>
      <c r="K71" s="87"/>
      <c r="L71" s="50"/>
      <c r="M71" s="50"/>
      <c r="N71" s="50"/>
      <c r="O71" s="106"/>
      <c r="P71" s="50"/>
      <c r="Q71" s="346" t="s">
        <v>11</v>
      </c>
      <c r="R71" s="347" t="s">
        <v>62</v>
      </c>
      <c r="S71" s="112">
        <v>0</v>
      </c>
      <c r="T71" s="227">
        <v>0</v>
      </c>
    </row>
    <row r="72" spans="1:20" s="383" customFormat="1" ht="15.75">
      <c r="A72" s="62"/>
      <c r="B72" s="59" t="s">
        <v>144</v>
      </c>
      <c r="C72" s="50">
        <f>SUM(D72:N72)</f>
        <v>0</v>
      </c>
      <c r="D72" s="161">
        <v>0</v>
      </c>
      <c r="E72" s="161"/>
      <c r="F72" s="161"/>
      <c r="G72" s="241">
        <v>0</v>
      </c>
      <c r="H72" s="105"/>
      <c r="I72" s="50"/>
      <c r="J72" s="87"/>
      <c r="K72" s="50"/>
      <c r="L72" s="50"/>
      <c r="M72" s="50"/>
      <c r="N72" s="50"/>
      <c r="O72" s="106"/>
      <c r="P72" s="50"/>
      <c r="Q72" s="346" t="s">
        <v>11</v>
      </c>
      <c r="R72" s="347" t="s">
        <v>207</v>
      </c>
      <c r="S72" s="112">
        <v>0</v>
      </c>
      <c r="T72" s="227">
        <v>0</v>
      </c>
    </row>
    <row r="73" spans="1:20" s="383" customFormat="1" ht="15.75">
      <c r="A73" s="62"/>
      <c r="B73" s="59" t="s">
        <v>57</v>
      </c>
      <c r="C73" s="64">
        <f>SUM(D73:N73)</f>
        <v>-124.33</v>
      </c>
      <c r="D73" s="64"/>
      <c r="E73" s="64"/>
      <c r="F73" s="64"/>
      <c r="G73" s="64"/>
      <c r="H73" s="64">
        <v>-124.33</v>
      </c>
      <c r="I73" s="64"/>
      <c r="J73" s="64"/>
      <c r="K73" s="64"/>
      <c r="L73" s="64"/>
      <c r="M73" s="64"/>
      <c r="N73" s="64"/>
      <c r="O73" s="99">
        <v>0.01</v>
      </c>
      <c r="P73" s="50"/>
      <c r="Q73" s="339" t="s">
        <v>80</v>
      </c>
      <c r="R73" s="338" t="s">
        <v>59</v>
      </c>
      <c r="S73" s="88">
        <f>IF((-C70-C71-C72)&gt;0,(-C70-C71-C72),0)</f>
        <v>70192.864177000942</v>
      </c>
      <c r="T73" s="89">
        <f>IF((-C70-C71-C72)&lt;0,(-C70-C71-C72),0)</f>
        <v>0</v>
      </c>
    </row>
    <row r="74" spans="1:20" s="383" customFormat="1" ht="16.5" thickBot="1">
      <c r="A74" s="104">
        <f>A70</f>
        <v>41364</v>
      </c>
      <c r="B74" s="50" t="s">
        <v>56</v>
      </c>
      <c r="C74" s="158">
        <f>SUM(C65:C73)</f>
        <v>-184421.07553405961</v>
      </c>
      <c r="D74" s="158">
        <f>SUM(D65:D73)</f>
        <v>-272408.76499267924</v>
      </c>
      <c r="E74" s="158">
        <f>SUM(E65:E73)</f>
        <v>95451.579458620748</v>
      </c>
      <c r="F74" s="158">
        <f t="shared" ref="F74:G74" si="10">SUM(F65:F73)</f>
        <v>0</v>
      </c>
      <c r="G74" s="158">
        <f t="shared" si="10"/>
        <v>0</v>
      </c>
      <c r="H74" s="158">
        <f>SUM(H65:H73)</f>
        <v>-7463.8899999999994</v>
      </c>
      <c r="I74" s="158">
        <f>SUM(I59:I73)</f>
        <v>0</v>
      </c>
      <c r="J74" s="158">
        <f>SUM(J59:J73)</f>
        <v>0</v>
      </c>
      <c r="K74" s="158">
        <f>SUM(K59:K73)</f>
        <v>0</v>
      </c>
      <c r="L74" s="158">
        <f>SUM(L59:L73)</f>
        <v>0</v>
      </c>
      <c r="M74" s="158">
        <f>SUM(M65:M73)</f>
        <v>0</v>
      </c>
      <c r="N74" s="158">
        <f>SUM(N65:N73)</f>
        <v>0</v>
      </c>
      <c r="O74" s="50"/>
      <c r="P74" s="50"/>
      <c r="Q74" s="341" t="s">
        <v>154</v>
      </c>
      <c r="R74" s="338" t="s">
        <v>77</v>
      </c>
      <c r="S74" s="88">
        <f>IF(-C73&lt;0,C73,0)</f>
        <v>0</v>
      </c>
      <c r="T74" s="89">
        <f>IF(-C73&lt;0,-C73,0)</f>
        <v>0</v>
      </c>
    </row>
    <row r="75" spans="1:20" s="383" customFormat="1" ht="16.5" thickTop="1" thickBot="1">
      <c r="A75" s="53"/>
      <c r="Q75" s="342" t="s">
        <v>83</v>
      </c>
      <c r="R75" s="340" t="s">
        <v>78</v>
      </c>
      <c r="S75" s="118">
        <f>IF(-C73&gt;0,-C73,0)</f>
        <v>124.33</v>
      </c>
      <c r="T75" s="111">
        <f>IF(-C73&lt;0,-C73,0)</f>
        <v>0</v>
      </c>
    </row>
    <row r="76" spans="1:20" s="383" customFormat="1">
      <c r="A76" s="53"/>
      <c r="T76" s="337">
        <f>ROUND(SUM(S70:T75),2)</f>
        <v>0</v>
      </c>
    </row>
    <row r="77" spans="1:20" s="383" customFormat="1" ht="15.75" thickBot="1">
      <c r="A77" s="53"/>
    </row>
    <row r="78" spans="1:20" s="383" customFormat="1" ht="16.5" thickBot="1">
      <c r="A78" s="58"/>
      <c r="Q78" s="335" t="s">
        <v>107</v>
      </c>
      <c r="R78" s="331"/>
      <c r="S78" s="331"/>
      <c r="T78" s="228"/>
    </row>
    <row r="79" spans="1:20" s="383" customFormat="1" ht="15.75">
      <c r="A79" s="58">
        <v>41394</v>
      </c>
      <c r="B79" s="59" t="s">
        <v>84</v>
      </c>
      <c r="C79" s="50">
        <f>SUM(D79:N79)</f>
        <v>-119237.76640399999</v>
      </c>
      <c r="D79" s="240">
        <v>-143506.72479399992</v>
      </c>
      <c r="E79" s="240">
        <v>24268.958389999927</v>
      </c>
      <c r="F79" s="241">
        <v>0</v>
      </c>
      <c r="G79" s="241">
        <v>0</v>
      </c>
      <c r="H79" s="50">
        <v>0</v>
      </c>
      <c r="I79" s="50"/>
      <c r="J79" s="50"/>
      <c r="K79" s="50"/>
      <c r="L79" s="50"/>
      <c r="M79" s="50"/>
      <c r="N79" s="50">
        <v>0</v>
      </c>
      <c r="O79" s="106"/>
      <c r="P79" s="50"/>
      <c r="Q79" s="344" t="s">
        <v>81</v>
      </c>
      <c r="R79" s="345" t="s">
        <v>58</v>
      </c>
      <c r="S79" s="112">
        <f>IF((-C74+C83)&gt;0,(-C74+C83),0)</f>
        <v>0</v>
      </c>
      <c r="T79" s="117">
        <f>IF((-C74+C83)&lt;0,(-C74+C83),0)</f>
        <v>-119441.13640399999</v>
      </c>
    </row>
    <row r="80" spans="1:20" s="383" customFormat="1" ht="15.75">
      <c r="A80" s="62"/>
      <c r="B80" s="59" t="s">
        <v>148</v>
      </c>
      <c r="C80" s="50">
        <v>0</v>
      </c>
      <c r="D80" s="241">
        <v>0</v>
      </c>
      <c r="E80" s="241">
        <v>0</v>
      </c>
      <c r="F80" s="241"/>
      <c r="G80" s="242"/>
      <c r="H80" s="60"/>
      <c r="I80" s="50"/>
      <c r="J80" s="87"/>
      <c r="K80" s="87"/>
      <c r="L80" s="50"/>
      <c r="M80" s="50"/>
      <c r="N80" s="50"/>
      <c r="O80" s="106"/>
      <c r="P80" s="50"/>
      <c r="Q80" s="346" t="s">
        <v>11</v>
      </c>
      <c r="R80" s="347" t="s">
        <v>62</v>
      </c>
      <c r="S80" s="112">
        <v>0</v>
      </c>
      <c r="T80" s="227">
        <v>0</v>
      </c>
    </row>
    <row r="81" spans="1:20" s="383" customFormat="1" ht="15.75">
      <c r="A81" s="62"/>
      <c r="B81" s="59" t="s">
        <v>144</v>
      </c>
      <c r="C81" s="50">
        <f>SUM(D81:N81)</f>
        <v>0</v>
      </c>
      <c r="D81" s="161">
        <v>0</v>
      </c>
      <c r="E81" s="161"/>
      <c r="F81" s="161"/>
      <c r="G81" s="241">
        <v>0</v>
      </c>
      <c r="H81" s="105"/>
      <c r="I81" s="50"/>
      <c r="J81" s="87"/>
      <c r="K81" s="50"/>
      <c r="L81" s="50"/>
      <c r="M81" s="50"/>
      <c r="N81" s="50"/>
      <c r="O81" s="106"/>
      <c r="P81" s="50"/>
      <c r="Q81" s="346" t="s">
        <v>11</v>
      </c>
      <c r="R81" s="347" t="s">
        <v>207</v>
      </c>
      <c r="S81" s="112">
        <v>0</v>
      </c>
      <c r="T81" s="227">
        <v>0</v>
      </c>
    </row>
    <row r="82" spans="1:20" s="383" customFormat="1" ht="15.75">
      <c r="A82" s="62"/>
      <c r="B82" s="59" t="s">
        <v>57</v>
      </c>
      <c r="C82" s="64">
        <f>SUM(D82:N82)</f>
        <v>-203.37</v>
      </c>
      <c r="D82" s="64"/>
      <c r="E82" s="64"/>
      <c r="F82" s="64"/>
      <c r="G82" s="64"/>
      <c r="H82" s="64">
        <v>-203.37</v>
      </c>
      <c r="I82" s="64"/>
      <c r="J82" s="64"/>
      <c r="K82" s="64"/>
      <c r="L82" s="64"/>
      <c r="M82" s="64"/>
      <c r="N82" s="64"/>
      <c r="O82" s="99">
        <v>0.01</v>
      </c>
      <c r="P82" s="50"/>
      <c r="Q82" s="339" t="s">
        <v>80</v>
      </c>
      <c r="R82" s="338" t="s">
        <v>59</v>
      </c>
      <c r="S82" s="88">
        <f>IF((-C79-C80-C81)&gt;0,(-C79-C80-C81),0)</f>
        <v>119237.76640399999</v>
      </c>
      <c r="T82" s="89">
        <f>IF((-C79-C80-C81)&lt;0,(-C79-C80-C81),0)</f>
        <v>0</v>
      </c>
    </row>
    <row r="83" spans="1:20" s="383" customFormat="1" ht="16.5" thickBot="1">
      <c r="A83" s="104">
        <f>A79</f>
        <v>41394</v>
      </c>
      <c r="B83" s="50" t="s">
        <v>56</v>
      </c>
      <c r="C83" s="158">
        <f>SUM(C74:C82)</f>
        <v>-303862.2119380596</v>
      </c>
      <c r="D83" s="158">
        <f>SUM(D74:D82)</f>
        <v>-415915.48978667916</v>
      </c>
      <c r="E83" s="158">
        <f>SUM(E74:E82)</f>
        <v>119720.53784862068</v>
      </c>
      <c r="F83" s="158">
        <f t="shared" ref="F83:G83" si="11">SUM(F74:F82)</f>
        <v>0</v>
      </c>
      <c r="G83" s="158">
        <f t="shared" si="11"/>
        <v>0</v>
      </c>
      <c r="H83" s="158">
        <f>SUM(H74:H82)</f>
        <v>-7667.2599999999993</v>
      </c>
      <c r="I83" s="158">
        <f>SUM(I68:I82)</f>
        <v>0</v>
      </c>
      <c r="J83" s="158">
        <f>SUM(J68:J82)</f>
        <v>0</v>
      </c>
      <c r="K83" s="158">
        <f>SUM(K68:K82)</f>
        <v>0</v>
      </c>
      <c r="L83" s="158">
        <f>SUM(L68:L82)</f>
        <v>0</v>
      </c>
      <c r="M83" s="158">
        <f>SUM(M74:M82)</f>
        <v>0</v>
      </c>
      <c r="N83" s="158">
        <f>SUM(N74:N82)</f>
        <v>0</v>
      </c>
      <c r="O83" s="50"/>
      <c r="P83" s="50"/>
      <c r="Q83" s="341" t="s">
        <v>154</v>
      </c>
      <c r="R83" s="338" t="s">
        <v>77</v>
      </c>
      <c r="S83" s="88">
        <f>IF(-C82&lt;0,C82,0)</f>
        <v>0</v>
      </c>
      <c r="T83" s="89">
        <f>IF(-C82&lt;0,-C82,0)</f>
        <v>0</v>
      </c>
    </row>
    <row r="84" spans="1:20" s="383" customFormat="1" ht="16.5" thickTop="1" thickBot="1">
      <c r="A84" s="53"/>
      <c r="C84" s="384"/>
      <c r="Q84" s="342" t="s">
        <v>83</v>
      </c>
      <c r="R84" s="340" t="s">
        <v>78</v>
      </c>
      <c r="S84" s="118">
        <f>IF(-C82&gt;0,-C82,0)</f>
        <v>203.37</v>
      </c>
      <c r="T84" s="111">
        <f>IF(-C82&lt;0,-C82,0)</f>
        <v>0</v>
      </c>
    </row>
    <row r="85" spans="1:20" s="383" customFormat="1">
      <c r="A85" s="53"/>
      <c r="T85" s="337">
        <f>ROUND(SUM(S79:T84),2)</f>
        <v>0</v>
      </c>
    </row>
    <row r="86" spans="1:20" s="383" customFormat="1" ht="15.75" thickBot="1">
      <c r="A86" s="53"/>
    </row>
    <row r="87" spans="1:20" s="383" customFormat="1" ht="16.5" thickBot="1">
      <c r="A87" s="58"/>
      <c r="Q87" s="335" t="s">
        <v>107</v>
      </c>
      <c r="R87" s="331"/>
      <c r="S87" s="331"/>
      <c r="T87" s="228"/>
    </row>
    <row r="88" spans="1:20" s="383" customFormat="1" ht="15.75">
      <c r="A88" s="58">
        <v>41425</v>
      </c>
      <c r="B88" s="59" t="s">
        <v>84</v>
      </c>
      <c r="C88" s="50">
        <f>SUM(D88:N88)</f>
        <v>96129.565981999214</v>
      </c>
      <c r="D88" s="240">
        <v>-261363.31669000082</v>
      </c>
      <c r="E88" s="240">
        <v>357492.88267200004</v>
      </c>
      <c r="F88" s="241">
        <v>0</v>
      </c>
      <c r="G88" s="241">
        <v>0</v>
      </c>
      <c r="H88" s="50">
        <v>0</v>
      </c>
      <c r="I88" s="50"/>
      <c r="J88" s="50"/>
      <c r="K88" s="50"/>
      <c r="L88" s="50"/>
      <c r="M88" s="50"/>
      <c r="N88" s="50">
        <v>0</v>
      </c>
      <c r="O88" s="106"/>
      <c r="P88" s="50"/>
      <c r="Q88" s="344" t="s">
        <v>81</v>
      </c>
      <c r="R88" s="345" t="s">
        <v>58</v>
      </c>
      <c r="S88" s="112">
        <f>IF((-C83+C92)&gt;0,(-C83+C92),0)</f>
        <v>95916.405981999211</v>
      </c>
      <c r="T88" s="117">
        <f>IF((-C83+C92)&lt;0,(-C83+C92),0)</f>
        <v>0</v>
      </c>
    </row>
    <row r="89" spans="1:20" s="383" customFormat="1" ht="15.75">
      <c r="A89" s="62"/>
      <c r="B89" s="59" t="s">
        <v>148</v>
      </c>
      <c r="C89" s="50">
        <v>0</v>
      </c>
      <c r="D89" s="241">
        <v>0</v>
      </c>
      <c r="E89" s="241">
        <v>0</v>
      </c>
      <c r="F89" s="241"/>
      <c r="G89" s="242"/>
      <c r="H89" s="60"/>
      <c r="I89" s="50"/>
      <c r="J89" s="87"/>
      <c r="K89" s="87"/>
      <c r="L89" s="50"/>
      <c r="M89" s="50"/>
      <c r="N89" s="50"/>
      <c r="O89" s="106"/>
      <c r="P89" s="50"/>
      <c r="Q89" s="346" t="s">
        <v>11</v>
      </c>
      <c r="R89" s="347" t="s">
        <v>62</v>
      </c>
      <c r="S89" s="112">
        <v>0</v>
      </c>
      <c r="T89" s="227">
        <v>0</v>
      </c>
    </row>
    <row r="90" spans="1:20" s="383" customFormat="1" ht="15.75">
      <c r="A90" s="62"/>
      <c r="B90" s="59" t="s">
        <v>144</v>
      </c>
      <c r="C90" s="50">
        <f>SUM(D90:N90)</f>
        <v>0</v>
      </c>
      <c r="D90" s="161">
        <v>0</v>
      </c>
      <c r="E90" s="161"/>
      <c r="F90" s="161"/>
      <c r="G90" s="241">
        <v>0</v>
      </c>
      <c r="H90" s="105"/>
      <c r="I90" s="50"/>
      <c r="J90" s="87"/>
      <c r="K90" s="50"/>
      <c r="L90" s="50"/>
      <c r="M90" s="50"/>
      <c r="N90" s="50"/>
      <c r="O90" s="106"/>
      <c r="P90" s="50"/>
      <c r="Q90" s="346" t="s">
        <v>11</v>
      </c>
      <c r="R90" s="347" t="s">
        <v>207</v>
      </c>
      <c r="S90" s="112">
        <v>0</v>
      </c>
      <c r="T90" s="227">
        <v>0</v>
      </c>
    </row>
    <row r="91" spans="1:20" s="383" customFormat="1" ht="15.75">
      <c r="A91" s="62"/>
      <c r="B91" s="59" t="s">
        <v>57</v>
      </c>
      <c r="C91" s="64">
        <f>SUM(D91:N91)</f>
        <v>-213.16</v>
      </c>
      <c r="D91" s="64"/>
      <c r="E91" s="64"/>
      <c r="F91" s="64"/>
      <c r="G91" s="64"/>
      <c r="H91" s="64">
        <v>-213.16</v>
      </c>
      <c r="I91" s="64"/>
      <c r="J91" s="64"/>
      <c r="K91" s="64"/>
      <c r="L91" s="64"/>
      <c r="M91" s="64"/>
      <c r="N91" s="64"/>
      <c r="O91" s="99">
        <v>0.01</v>
      </c>
      <c r="P91" s="50"/>
      <c r="Q91" s="339" t="s">
        <v>80</v>
      </c>
      <c r="R91" s="338" t="s">
        <v>59</v>
      </c>
      <c r="S91" s="88">
        <f>IF((-C88-C89-C90)&gt;0,(-C88-C89-C90),0)</f>
        <v>0</v>
      </c>
      <c r="T91" s="89">
        <f>IF((-C88-C89-C90)&lt;0,(-C88-C89-C90),0)</f>
        <v>-96129.565981999214</v>
      </c>
    </row>
    <row r="92" spans="1:20" s="383" customFormat="1" ht="16.5" thickBot="1">
      <c r="A92" s="104">
        <f>A88</f>
        <v>41425</v>
      </c>
      <c r="B92" s="50" t="s">
        <v>56</v>
      </c>
      <c r="C92" s="158">
        <f t="shared" ref="C92:H92" si="12">SUM(C83:C91)</f>
        <v>-207945.80595606039</v>
      </c>
      <c r="D92" s="158">
        <f t="shared" si="12"/>
        <v>-677278.80647667998</v>
      </c>
      <c r="E92" s="158">
        <f t="shared" si="12"/>
        <v>477213.42052062071</v>
      </c>
      <c r="F92" s="158">
        <f t="shared" si="12"/>
        <v>0</v>
      </c>
      <c r="G92" s="158">
        <f t="shared" si="12"/>
        <v>0</v>
      </c>
      <c r="H92" s="158">
        <f t="shared" si="12"/>
        <v>-7880.4199999999992</v>
      </c>
      <c r="I92" s="158">
        <f>SUM(I77:I91)</f>
        <v>0</v>
      </c>
      <c r="J92" s="158">
        <f>SUM(J77:J91)</f>
        <v>0</v>
      </c>
      <c r="K92" s="158">
        <f>SUM(K77:K91)</f>
        <v>0</v>
      </c>
      <c r="L92" s="158">
        <f>SUM(L77:L91)</f>
        <v>0</v>
      </c>
      <c r="M92" s="158">
        <f>SUM(M83:M91)</f>
        <v>0</v>
      </c>
      <c r="N92" s="158">
        <f>SUM(N83:N91)</f>
        <v>0</v>
      </c>
      <c r="O92" s="50"/>
      <c r="P92" s="50"/>
      <c r="Q92" s="341" t="s">
        <v>154</v>
      </c>
      <c r="R92" s="338" t="s">
        <v>77</v>
      </c>
      <c r="S92" s="88">
        <f>IF(-C91&lt;0,C91,0)</f>
        <v>0</v>
      </c>
      <c r="T92" s="89">
        <f>IF(-C91&lt;0,-C91,0)</f>
        <v>0</v>
      </c>
    </row>
    <row r="93" spans="1:20" s="383" customFormat="1" ht="16.5" thickTop="1" thickBot="1">
      <c r="A93" s="53"/>
      <c r="Q93" s="342" t="s">
        <v>83</v>
      </c>
      <c r="R93" s="340" t="s">
        <v>78</v>
      </c>
      <c r="S93" s="118">
        <f>IF(-C91&gt;0,-C91,0)</f>
        <v>213.16</v>
      </c>
      <c r="T93" s="111">
        <f>IF(-C91&lt;0,-C91,0)</f>
        <v>0</v>
      </c>
    </row>
    <row r="94" spans="1:20" s="383" customFormat="1">
      <c r="A94" s="53"/>
      <c r="T94" s="337">
        <f>ROUND(SUM(S88:T93),2)</f>
        <v>0</v>
      </c>
    </row>
    <row r="95" spans="1:20" s="383" customFormat="1" ht="15.75" thickBot="1">
      <c r="A95" s="53"/>
    </row>
    <row r="96" spans="1:20" s="383" customFormat="1" ht="16.5" thickBot="1">
      <c r="A96" s="58"/>
      <c r="Q96" s="335" t="s">
        <v>107</v>
      </c>
      <c r="R96" s="331"/>
      <c r="S96" s="331"/>
      <c r="T96" s="228"/>
    </row>
    <row r="97" spans="1:20" s="383" customFormat="1" ht="15.75">
      <c r="A97" s="58">
        <v>41426</v>
      </c>
      <c r="B97" s="59" t="s">
        <v>84</v>
      </c>
      <c r="C97" s="50">
        <f>SUM(D97:N97)</f>
        <v>316646.56350300065</v>
      </c>
      <c r="D97" s="240">
        <v>-87258.97678599949</v>
      </c>
      <c r="E97" s="240">
        <v>403905.54028900014</v>
      </c>
      <c r="F97" s="241">
        <v>0</v>
      </c>
      <c r="G97" s="241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44" t="s">
        <v>81</v>
      </c>
      <c r="R97" s="345" t="s">
        <v>58</v>
      </c>
      <c r="S97" s="112">
        <f>IF((-C92+C101)&gt;0,(-C92+C101),0)</f>
        <v>316605.21350300068</v>
      </c>
      <c r="T97" s="117">
        <f>IF((-C92+C101)&lt;0,(-C92+C101),0)</f>
        <v>0</v>
      </c>
    </row>
    <row r="98" spans="1:20" s="383" customFormat="1" ht="15.75">
      <c r="A98" s="62"/>
      <c r="B98" s="59" t="s">
        <v>148</v>
      </c>
      <c r="C98" s="50">
        <v>0</v>
      </c>
      <c r="D98" s="241">
        <v>0</v>
      </c>
      <c r="E98" s="241">
        <v>0</v>
      </c>
      <c r="F98" s="241"/>
      <c r="G98" s="242"/>
      <c r="H98" s="60"/>
      <c r="I98" s="50"/>
      <c r="J98" s="87"/>
      <c r="K98" s="87"/>
      <c r="L98" s="50"/>
      <c r="M98" s="50"/>
      <c r="N98" s="50"/>
      <c r="O98" s="106"/>
      <c r="P98" s="50"/>
      <c r="Q98" s="346" t="s">
        <v>11</v>
      </c>
      <c r="R98" s="347" t="s">
        <v>62</v>
      </c>
      <c r="S98" s="112">
        <v>0</v>
      </c>
      <c r="T98" s="227">
        <v>0</v>
      </c>
    </row>
    <row r="99" spans="1:20" s="383" customFormat="1" ht="15.75">
      <c r="A99" s="62"/>
      <c r="B99" s="59" t="s">
        <v>144</v>
      </c>
      <c r="C99" s="50">
        <f>SUM(D99:N99)</f>
        <v>0</v>
      </c>
      <c r="D99" s="161">
        <v>0</v>
      </c>
      <c r="E99" s="161"/>
      <c r="F99" s="161"/>
      <c r="G99" s="241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46" t="s">
        <v>11</v>
      </c>
      <c r="R99" s="347" t="s">
        <v>207</v>
      </c>
      <c r="S99" s="112">
        <v>0</v>
      </c>
      <c r="T99" s="227">
        <v>0</v>
      </c>
    </row>
    <row r="100" spans="1:20" s="383" customFormat="1" ht="15.75">
      <c r="A100" s="62"/>
      <c r="B100" s="59" t="s">
        <v>57</v>
      </c>
      <c r="C100" s="64">
        <f>SUM(D100:N100)</f>
        <v>-41.35</v>
      </c>
      <c r="D100" s="64"/>
      <c r="E100" s="64"/>
      <c r="F100" s="64"/>
      <c r="G100" s="64"/>
      <c r="H100" s="64">
        <f>ROUND(((C92)+(C97)/2)*(O100/12),2)</f>
        <v>-41.35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39" t="s">
        <v>80</v>
      </c>
      <c r="R100" s="338" t="s">
        <v>59</v>
      </c>
      <c r="S100" s="88">
        <f>IF((-C97-C98-C99)&gt;0,(-C97-C98-C99),0)</f>
        <v>0</v>
      </c>
      <c r="T100" s="89">
        <f>IF((-C97-C98-C99)&lt;0,(-C97-C98-C99),0)</f>
        <v>-316646.56350300065</v>
      </c>
    </row>
    <row r="101" spans="1:20" s="383" customFormat="1" ht="16.5" thickBot="1">
      <c r="A101" s="104">
        <f>A97</f>
        <v>41426</v>
      </c>
      <c r="B101" s="50" t="s">
        <v>56</v>
      </c>
      <c r="C101" s="158">
        <f>SUM(C92:C100)</f>
        <v>108659.40754694026</v>
      </c>
      <c r="D101" s="158">
        <f>SUM(D92:D100)</f>
        <v>-764537.78326267947</v>
      </c>
      <c r="E101" s="158">
        <f>SUM(E92:E100)</f>
        <v>881118.9608096208</v>
      </c>
      <c r="F101" s="158">
        <f t="shared" ref="F101" si="13">SUM(F92:F100)</f>
        <v>0</v>
      </c>
      <c r="G101" s="158">
        <f t="shared" ref="G101" si="14">SUM(G92:G100)</f>
        <v>0</v>
      </c>
      <c r="H101" s="158">
        <f t="shared" ref="H101" si="15">SUM(H92:H100)</f>
        <v>-7921.7699999999995</v>
      </c>
      <c r="I101" s="158">
        <f>SUM(I86:I100)</f>
        <v>0</v>
      </c>
      <c r="J101" s="158">
        <f>SUM(J86:J100)</f>
        <v>0</v>
      </c>
      <c r="K101" s="158">
        <f>SUM(K86:K100)</f>
        <v>0</v>
      </c>
      <c r="L101" s="158">
        <f>SUM(L86:L100)</f>
        <v>0</v>
      </c>
      <c r="M101" s="158">
        <f>SUM(M92:M100)</f>
        <v>0</v>
      </c>
      <c r="N101" s="158">
        <f>SUM(N92:N100)</f>
        <v>0</v>
      </c>
      <c r="O101" s="50"/>
      <c r="P101" s="50"/>
      <c r="Q101" s="341" t="s">
        <v>154</v>
      </c>
      <c r="R101" s="338" t="s">
        <v>77</v>
      </c>
      <c r="S101" s="88">
        <f>IF(-C100&lt;0,C100,0)</f>
        <v>0</v>
      </c>
      <c r="T101" s="89">
        <f>IF(-C100&lt;0,-C100,0)</f>
        <v>0</v>
      </c>
    </row>
    <row r="102" spans="1:20" s="383" customFormat="1" ht="16.5" thickTop="1" thickBot="1">
      <c r="A102" s="53"/>
      <c r="Q102" s="342" t="s">
        <v>83</v>
      </c>
      <c r="R102" s="340" t="s">
        <v>78</v>
      </c>
      <c r="S102" s="118">
        <f>IF(-C100&gt;0,-C100,0)</f>
        <v>41.35</v>
      </c>
      <c r="T102" s="111">
        <f>IF(-C100&lt;0,-C100,0)</f>
        <v>0</v>
      </c>
    </row>
    <row r="103" spans="1:20" s="383" customFormat="1">
      <c r="A103" s="53"/>
      <c r="T103" s="337">
        <f>ROUND(SUM(S97:T102),2)</f>
        <v>0</v>
      </c>
    </row>
    <row r="104" spans="1:20" ht="15.75" thickBot="1"/>
    <row r="105" spans="1:20" s="383" customFormat="1" ht="16.5" thickBot="1">
      <c r="A105" s="58"/>
      <c r="Q105" s="335" t="s">
        <v>107</v>
      </c>
      <c r="R105" s="331"/>
      <c r="S105" s="331"/>
      <c r="T105" s="228"/>
    </row>
    <row r="106" spans="1:20" s="383" customFormat="1" ht="15.75">
      <c r="A106" s="58">
        <v>41456</v>
      </c>
      <c r="B106" s="59" t="s">
        <v>84</v>
      </c>
      <c r="C106" s="50">
        <f>SUM(D106:N106)</f>
        <v>269453.32351300115</v>
      </c>
      <c r="D106" s="240">
        <v>-247183.18822599918</v>
      </c>
      <c r="E106" s="240">
        <v>516636.51173900033</v>
      </c>
      <c r="F106" s="241">
        <v>0</v>
      </c>
      <c r="G106" s="241">
        <v>0</v>
      </c>
      <c r="H106" s="50">
        <v>0</v>
      </c>
      <c r="I106" s="50"/>
      <c r="J106" s="50"/>
      <c r="K106" s="50"/>
      <c r="L106" s="50"/>
      <c r="M106" s="50"/>
      <c r="N106" s="50">
        <v>0</v>
      </c>
      <c r="O106" s="106"/>
      <c r="P106" s="50"/>
      <c r="Q106" s="344" t="s">
        <v>81</v>
      </c>
      <c r="R106" s="345" t="s">
        <v>58</v>
      </c>
      <c r="S106" s="112">
        <f>IF((-C101+C110)&gt;0,(-C101+C110),0)</f>
        <v>269656.14351300115</v>
      </c>
      <c r="T106" s="117">
        <f>IF((-C101+C110)&lt;0,(-C101+C110),0)</f>
        <v>0</v>
      </c>
    </row>
    <row r="107" spans="1:20" s="383" customFormat="1" ht="15.75">
      <c r="A107" s="62"/>
      <c r="B107" s="59" t="s">
        <v>148</v>
      </c>
      <c r="C107" s="50">
        <v>0</v>
      </c>
      <c r="D107" s="241">
        <v>0</v>
      </c>
      <c r="E107" s="241">
        <v>0</v>
      </c>
      <c r="F107" s="241"/>
      <c r="G107" s="242"/>
      <c r="H107" s="60"/>
      <c r="I107" s="50"/>
      <c r="J107" s="87"/>
      <c r="K107" s="87"/>
      <c r="L107" s="50"/>
      <c r="M107" s="50"/>
      <c r="N107" s="50"/>
      <c r="O107" s="106"/>
      <c r="P107" s="50"/>
      <c r="Q107" s="346" t="s">
        <v>11</v>
      </c>
      <c r="R107" s="347" t="s">
        <v>62</v>
      </c>
      <c r="S107" s="112">
        <v>0</v>
      </c>
      <c r="T107" s="227">
        <v>0</v>
      </c>
    </row>
    <row r="108" spans="1:20" s="383" customFormat="1" ht="15.75">
      <c r="A108" s="62"/>
      <c r="B108" s="59" t="s">
        <v>144</v>
      </c>
      <c r="C108" s="50">
        <f>SUM(D108:N108)</f>
        <v>0</v>
      </c>
      <c r="D108" s="161">
        <v>0</v>
      </c>
      <c r="E108" s="161"/>
      <c r="F108" s="161"/>
      <c r="G108" s="241">
        <v>0</v>
      </c>
      <c r="H108" s="105"/>
      <c r="I108" s="50"/>
      <c r="J108" s="87"/>
      <c r="K108" s="50"/>
      <c r="L108" s="50"/>
      <c r="M108" s="50"/>
      <c r="N108" s="50"/>
      <c r="O108" s="106"/>
      <c r="P108" s="50"/>
      <c r="Q108" s="346" t="s">
        <v>11</v>
      </c>
      <c r="R108" s="347" t="s">
        <v>207</v>
      </c>
      <c r="S108" s="112">
        <v>0</v>
      </c>
      <c r="T108" s="227">
        <v>0</v>
      </c>
    </row>
    <row r="109" spans="1:20" s="383" customFormat="1" ht="15.75">
      <c r="A109" s="62"/>
      <c r="B109" s="59" t="s">
        <v>57</v>
      </c>
      <c r="C109" s="64">
        <f>SUM(D109:N109)</f>
        <v>202.82</v>
      </c>
      <c r="D109" s="64"/>
      <c r="E109" s="64"/>
      <c r="F109" s="64"/>
      <c r="G109" s="64"/>
      <c r="H109" s="64">
        <v>202.82</v>
      </c>
      <c r="I109" s="64"/>
      <c r="J109" s="64"/>
      <c r="K109" s="64"/>
      <c r="L109" s="64"/>
      <c r="M109" s="64"/>
      <c r="N109" s="64"/>
      <c r="O109" s="99">
        <v>0.01</v>
      </c>
      <c r="P109" s="50"/>
      <c r="Q109" s="339" t="s">
        <v>80</v>
      </c>
      <c r="R109" s="338" t="s">
        <v>59</v>
      </c>
      <c r="S109" s="88">
        <f>IF((-C106-C107-C108)&gt;0,(-C106-C107-C108),0)</f>
        <v>0</v>
      </c>
      <c r="T109" s="89">
        <f>IF((-C106-C107-C108)&lt;0,(-C106-C107-C108),0)</f>
        <v>-269453.32351300115</v>
      </c>
    </row>
    <row r="110" spans="1:20" s="383" customFormat="1" ht="16.5" thickBot="1">
      <c r="A110" s="104">
        <f>A106</f>
        <v>41456</v>
      </c>
      <c r="B110" s="50" t="s">
        <v>56</v>
      </c>
      <c r="C110" s="158">
        <f>SUM(C101:C109)</f>
        <v>378315.55105994141</v>
      </c>
      <c r="D110" s="158">
        <f>SUM(D101:D109)</f>
        <v>-1011720.9714886786</v>
      </c>
      <c r="E110" s="158">
        <f>SUM(E101:E109)</f>
        <v>1397755.4725486212</v>
      </c>
      <c r="F110" s="158">
        <f t="shared" ref="F110:H110" si="16">SUM(F101:F109)</f>
        <v>0</v>
      </c>
      <c r="G110" s="158">
        <f t="shared" si="16"/>
        <v>0</v>
      </c>
      <c r="H110" s="158">
        <f t="shared" si="16"/>
        <v>-7718.95</v>
      </c>
      <c r="I110" s="158">
        <f>SUM(I95:I109)</f>
        <v>0</v>
      </c>
      <c r="J110" s="158">
        <f>SUM(J95:J109)</f>
        <v>0</v>
      </c>
      <c r="K110" s="158">
        <f>SUM(K95:K109)</f>
        <v>0</v>
      </c>
      <c r="L110" s="158">
        <f>SUM(L95:L109)</f>
        <v>0</v>
      </c>
      <c r="M110" s="158">
        <f>SUM(M101:M109)</f>
        <v>0</v>
      </c>
      <c r="N110" s="158">
        <f>SUM(N101:N109)</f>
        <v>0</v>
      </c>
      <c r="O110" s="50"/>
      <c r="P110" s="50"/>
      <c r="Q110" s="341" t="s">
        <v>154</v>
      </c>
      <c r="R110" s="338" t="s">
        <v>77</v>
      </c>
      <c r="S110" s="88">
        <v>0</v>
      </c>
      <c r="T110" s="89">
        <f>IF(-C109&lt;0,-C109,0)</f>
        <v>-202.82</v>
      </c>
    </row>
    <row r="111" spans="1:20" s="383" customFormat="1" ht="16.5" thickTop="1" thickBot="1">
      <c r="A111" s="53"/>
      <c r="Q111" s="342" t="s">
        <v>83</v>
      </c>
      <c r="R111" s="340" t="s">
        <v>78</v>
      </c>
      <c r="S111" s="118">
        <f>IF(-C109&gt;0,-C109,0)</f>
        <v>0</v>
      </c>
      <c r="T111" s="111">
        <v>0</v>
      </c>
    </row>
    <row r="112" spans="1:20" s="383" customFormat="1">
      <c r="A112" s="53"/>
      <c r="T112" s="337">
        <f>ROUND(SUM(S106:T111),2)</f>
        <v>0</v>
      </c>
    </row>
    <row r="113" spans="1:20" ht="15.75" thickBot="1"/>
    <row r="114" spans="1:20" s="383" customFormat="1" ht="16.5" thickBot="1">
      <c r="A114" s="58"/>
      <c r="Q114" s="335" t="s">
        <v>107</v>
      </c>
      <c r="R114" s="331"/>
      <c r="S114" s="331"/>
      <c r="T114" s="228"/>
    </row>
    <row r="115" spans="1:20" s="383" customFormat="1" ht="15.75">
      <c r="A115" s="58">
        <v>41487</v>
      </c>
      <c r="B115" s="59" t="s">
        <v>84</v>
      </c>
      <c r="C115" s="50">
        <f>SUM(D115:N115)</f>
        <v>112699.18364000041</v>
      </c>
      <c r="D115" s="240">
        <v>-357404.51535499981</v>
      </c>
      <c r="E115" s="240">
        <v>470103.69899500022</v>
      </c>
      <c r="F115" s="241">
        <v>0</v>
      </c>
      <c r="G115" s="241">
        <v>0</v>
      </c>
      <c r="H115" s="50">
        <v>0</v>
      </c>
      <c r="I115" s="50"/>
      <c r="J115" s="50"/>
      <c r="K115" s="50"/>
      <c r="L115" s="50"/>
      <c r="M115" s="50"/>
      <c r="N115" s="50">
        <v>0</v>
      </c>
      <c r="O115" s="106"/>
      <c r="P115" s="50"/>
      <c r="Q115" s="344" t="s">
        <v>81</v>
      </c>
      <c r="R115" s="345" t="s">
        <v>58</v>
      </c>
      <c r="S115" s="112">
        <f>IF((-C110+C119)&gt;0,(-C110+C119),0)</f>
        <v>113061.40364000038</v>
      </c>
      <c r="T115" s="117">
        <f>IF((-C110+C119)&lt;0,(-C110+C119),0)</f>
        <v>0</v>
      </c>
    </row>
    <row r="116" spans="1:20" s="383" customFormat="1" ht="15.75">
      <c r="A116" s="62"/>
      <c r="B116" s="59" t="s">
        <v>148</v>
      </c>
      <c r="C116" s="50">
        <v>0</v>
      </c>
      <c r="D116" s="241">
        <v>0</v>
      </c>
      <c r="E116" s="241">
        <v>0</v>
      </c>
      <c r="F116" s="241"/>
      <c r="G116" s="242"/>
      <c r="H116" s="60"/>
      <c r="I116" s="50"/>
      <c r="J116" s="87"/>
      <c r="K116" s="87"/>
      <c r="L116" s="50"/>
      <c r="M116" s="50"/>
      <c r="N116" s="50"/>
      <c r="O116" s="106"/>
      <c r="P116" s="50"/>
      <c r="Q116" s="346" t="s">
        <v>11</v>
      </c>
      <c r="R116" s="347" t="s">
        <v>62</v>
      </c>
      <c r="S116" s="112">
        <v>0</v>
      </c>
      <c r="T116" s="227">
        <v>0</v>
      </c>
    </row>
    <row r="117" spans="1:20" s="383" customFormat="1" ht="15.75">
      <c r="A117" s="62"/>
      <c r="B117" s="59" t="s">
        <v>144</v>
      </c>
      <c r="C117" s="50">
        <f>SUM(D117:N117)</f>
        <v>0</v>
      </c>
      <c r="D117" s="161">
        <v>0</v>
      </c>
      <c r="E117" s="161"/>
      <c r="F117" s="161"/>
      <c r="G117" s="241">
        <v>0</v>
      </c>
      <c r="H117" s="105"/>
      <c r="I117" s="50"/>
      <c r="J117" s="87"/>
      <c r="K117" s="50"/>
      <c r="L117" s="50"/>
      <c r="M117" s="50"/>
      <c r="N117" s="50"/>
      <c r="O117" s="106"/>
      <c r="P117" s="50"/>
      <c r="Q117" s="346" t="s">
        <v>11</v>
      </c>
      <c r="R117" s="347" t="s">
        <v>207</v>
      </c>
      <c r="S117" s="112">
        <v>0</v>
      </c>
      <c r="T117" s="227">
        <v>0</v>
      </c>
    </row>
    <row r="118" spans="1:20" s="383" customFormat="1" ht="15.75">
      <c r="A118" s="62"/>
      <c r="B118" s="59" t="s">
        <v>57</v>
      </c>
      <c r="C118" s="64">
        <f>SUM(D118:N118)</f>
        <v>362.22</v>
      </c>
      <c r="D118" s="64"/>
      <c r="E118" s="64"/>
      <c r="F118" s="64"/>
      <c r="G118" s="64"/>
      <c r="H118" s="64">
        <v>362.22</v>
      </c>
      <c r="I118" s="64"/>
      <c r="J118" s="64"/>
      <c r="K118" s="64"/>
      <c r="L118" s="64"/>
      <c r="M118" s="64"/>
      <c r="N118" s="64"/>
      <c r="O118" s="99">
        <v>0.01</v>
      </c>
      <c r="P118" s="50"/>
      <c r="Q118" s="339" t="s">
        <v>80</v>
      </c>
      <c r="R118" s="338" t="s">
        <v>59</v>
      </c>
      <c r="S118" s="88">
        <f>IF((-C115-C116-C117)&gt;0,(-C115-C116-C117),0)</f>
        <v>0</v>
      </c>
      <c r="T118" s="89">
        <f>IF((-C115-C116-C117)&lt;0,(-C115-C116-C117),0)</f>
        <v>-112699.18364000041</v>
      </c>
    </row>
    <row r="119" spans="1:20" s="383" customFormat="1" ht="16.5" thickBot="1">
      <c r="A119" s="104">
        <f>A115</f>
        <v>41487</v>
      </c>
      <c r="B119" s="50" t="s">
        <v>56</v>
      </c>
      <c r="C119" s="158">
        <f>SUM(C110:C118)</f>
        <v>491376.95469994179</v>
      </c>
      <c r="D119" s="158">
        <f>SUM(D110:D118)</f>
        <v>-1369125.4868436784</v>
      </c>
      <c r="E119" s="158">
        <f>SUM(E110:E118)</f>
        <v>1867859.1715436215</v>
      </c>
      <c r="F119" s="158">
        <f t="shared" ref="F119:H119" si="17">SUM(F110:F118)</f>
        <v>0</v>
      </c>
      <c r="G119" s="158">
        <f t="shared" si="17"/>
        <v>0</v>
      </c>
      <c r="H119" s="158">
        <f t="shared" si="17"/>
        <v>-7356.73</v>
      </c>
      <c r="I119" s="158">
        <f>SUM(I104:I118)</f>
        <v>0</v>
      </c>
      <c r="J119" s="158">
        <f>SUM(J104:J118)</f>
        <v>0</v>
      </c>
      <c r="K119" s="158">
        <f>SUM(K104:K118)</f>
        <v>0</v>
      </c>
      <c r="L119" s="158">
        <f>SUM(L104:L118)</f>
        <v>0</v>
      </c>
      <c r="M119" s="158">
        <f>SUM(M110:M118)</f>
        <v>0</v>
      </c>
      <c r="N119" s="158">
        <f>SUM(N110:N118)</f>
        <v>0</v>
      </c>
      <c r="O119" s="50"/>
      <c r="P119" s="50"/>
      <c r="Q119" s="341" t="s">
        <v>154</v>
      </c>
      <c r="R119" s="338" t="s">
        <v>77</v>
      </c>
      <c r="S119" s="88">
        <v>0</v>
      </c>
      <c r="T119" s="89">
        <f>IF(-C118&lt;0,-C118,0)</f>
        <v>-362.22</v>
      </c>
    </row>
    <row r="120" spans="1:20" s="383" customFormat="1" ht="16.5" thickTop="1" thickBot="1">
      <c r="A120" s="53"/>
      <c r="Q120" s="342" t="s">
        <v>83</v>
      </c>
      <c r="R120" s="340" t="s">
        <v>78</v>
      </c>
      <c r="S120" s="118">
        <f>IF(-C118&gt;0,-C118,0)</f>
        <v>0</v>
      </c>
      <c r="T120" s="111">
        <v>0</v>
      </c>
    </row>
    <row r="121" spans="1:20" s="383" customFormat="1">
      <c r="A121" s="53"/>
      <c r="T121" s="337">
        <f>ROUND(SUM(S115:T120),2)</f>
        <v>0</v>
      </c>
    </row>
    <row r="122" spans="1:20" ht="15.75" thickBot="1"/>
    <row r="123" spans="1:20" s="383" customFormat="1" ht="16.5" thickBot="1">
      <c r="A123" s="58"/>
      <c r="Q123" s="335" t="s">
        <v>107</v>
      </c>
      <c r="R123" s="331"/>
      <c r="S123" s="331"/>
      <c r="T123" s="228"/>
    </row>
    <row r="124" spans="1:20" s="383" customFormat="1" ht="15.75">
      <c r="A124" s="58">
        <v>41518</v>
      </c>
      <c r="B124" s="59" t="s">
        <v>84</v>
      </c>
      <c r="C124" s="50">
        <f>SUM(D124:N124)</f>
        <v>-78276.439306000422</v>
      </c>
      <c r="D124" s="240">
        <v>-455176.44495200075</v>
      </c>
      <c r="E124" s="240">
        <v>376900.00564600033</v>
      </c>
      <c r="F124" s="241">
        <v>0</v>
      </c>
      <c r="G124" s="241">
        <v>0</v>
      </c>
      <c r="H124" s="50">
        <v>0</v>
      </c>
      <c r="I124" s="50"/>
      <c r="J124" s="50"/>
      <c r="K124" s="50"/>
      <c r="L124" s="50"/>
      <c r="M124" s="50"/>
      <c r="N124" s="50">
        <v>0</v>
      </c>
      <c r="O124" s="106"/>
      <c r="P124" s="50"/>
      <c r="Q124" s="344" t="s">
        <v>81</v>
      </c>
      <c r="R124" s="345" t="s">
        <v>58</v>
      </c>
      <c r="S124" s="112">
        <f>IF((-C119+C128)&gt;0,(-C119+C128),0)</f>
        <v>0</v>
      </c>
      <c r="T124" s="117">
        <f>IF((-C119+C128)&lt;0,(-C119+C128),0)</f>
        <v>-77899.569306000427</v>
      </c>
    </row>
    <row r="125" spans="1:20" s="383" customFormat="1" ht="15.75">
      <c r="A125" s="62"/>
      <c r="B125" s="59" t="s">
        <v>148</v>
      </c>
      <c r="C125" s="50">
        <v>0</v>
      </c>
      <c r="D125" s="241">
        <v>0</v>
      </c>
      <c r="E125" s="241">
        <v>0</v>
      </c>
      <c r="F125" s="241"/>
      <c r="G125" s="242"/>
      <c r="H125" s="60"/>
      <c r="I125" s="50"/>
      <c r="J125" s="87"/>
      <c r="K125" s="87"/>
      <c r="L125" s="50"/>
      <c r="M125" s="50"/>
      <c r="N125" s="50"/>
      <c r="O125" s="106"/>
      <c r="P125" s="50"/>
      <c r="Q125" s="346" t="s">
        <v>11</v>
      </c>
      <c r="R125" s="347" t="s">
        <v>62</v>
      </c>
      <c r="S125" s="112">
        <v>0</v>
      </c>
      <c r="T125" s="227">
        <v>0</v>
      </c>
    </row>
    <row r="126" spans="1:20" s="383" customFormat="1" ht="15.75">
      <c r="A126" s="62"/>
      <c r="B126" s="59" t="s">
        <v>144</v>
      </c>
      <c r="C126" s="50">
        <f>SUM(D126:N126)</f>
        <v>0</v>
      </c>
      <c r="D126" s="161">
        <v>0</v>
      </c>
      <c r="E126" s="161"/>
      <c r="F126" s="161"/>
      <c r="G126" s="241">
        <v>0</v>
      </c>
      <c r="H126" s="105"/>
      <c r="I126" s="50"/>
      <c r="J126" s="87"/>
      <c r="K126" s="50"/>
      <c r="L126" s="50"/>
      <c r="M126" s="50"/>
      <c r="N126" s="50"/>
      <c r="O126" s="106"/>
      <c r="P126" s="50"/>
      <c r="Q126" s="346" t="s">
        <v>11</v>
      </c>
      <c r="R126" s="347" t="s">
        <v>207</v>
      </c>
      <c r="S126" s="112">
        <v>0</v>
      </c>
      <c r="T126" s="227">
        <v>0</v>
      </c>
    </row>
    <row r="127" spans="1:20" s="383" customFormat="1" ht="15.75">
      <c r="A127" s="62"/>
      <c r="B127" s="59" t="s">
        <v>57</v>
      </c>
      <c r="C127" s="64">
        <f>SUM(D127:N127)</f>
        <v>376.87</v>
      </c>
      <c r="D127" s="64"/>
      <c r="E127" s="64"/>
      <c r="F127" s="64"/>
      <c r="G127" s="64"/>
      <c r="H127" s="64">
        <f>ROUND(((C119)+(C124)/2)*(O127/12),2)</f>
        <v>376.87</v>
      </c>
      <c r="I127" s="64"/>
      <c r="J127" s="64"/>
      <c r="K127" s="64"/>
      <c r="L127" s="64"/>
      <c r="M127" s="64"/>
      <c r="N127" s="64"/>
      <c r="O127" s="99">
        <v>0.01</v>
      </c>
      <c r="P127" s="50"/>
      <c r="Q127" s="339" t="s">
        <v>80</v>
      </c>
      <c r="R127" s="338" t="s">
        <v>59</v>
      </c>
      <c r="S127" s="88">
        <f>IF((-C124-C125-C126)&gt;0,(-C124-C125-C126),0)</f>
        <v>78276.439306000422</v>
      </c>
      <c r="T127" s="89">
        <f>IF((-C124-C125-C126)&lt;0,(-C124-C125-C126),0)</f>
        <v>0</v>
      </c>
    </row>
    <row r="128" spans="1:20" s="383" customFormat="1" ht="16.5" thickBot="1">
      <c r="A128" s="104">
        <f>A124</f>
        <v>41518</v>
      </c>
      <c r="B128" s="50" t="s">
        <v>56</v>
      </c>
      <c r="C128" s="158">
        <f>SUM(C119:C127)</f>
        <v>413477.38539394137</v>
      </c>
      <c r="D128" s="158">
        <f>SUM(D119:D127)</f>
        <v>-1824301.931795679</v>
      </c>
      <c r="E128" s="158">
        <f>SUM(E119:E127)</f>
        <v>2244759.1771896216</v>
      </c>
      <c r="F128" s="158">
        <f t="shared" ref="F128:H128" si="18">SUM(F119:F127)</f>
        <v>0</v>
      </c>
      <c r="G128" s="158">
        <f t="shared" si="18"/>
        <v>0</v>
      </c>
      <c r="H128" s="158">
        <f t="shared" si="18"/>
        <v>-6979.86</v>
      </c>
      <c r="I128" s="158">
        <f>SUM(I113:I127)</f>
        <v>0</v>
      </c>
      <c r="J128" s="158">
        <f>SUM(J113:J127)</f>
        <v>0</v>
      </c>
      <c r="K128" s="158">
        <f>SUM(K113:K127)</f>
        <v>0</v>
      </c>
      <c r="L128" s="158">
        <f>SUM(L113:L127)</f>
        <v>0</v>
      </c>
      <c r="M128" s="158">
        <f>SUM(M119:M127)</f>
        <v>0</v>
      </c>
      <c r="N128" s="158">
        <f>SUM(N119:N127)</f>
        <v>0</v>
      </c>
      <c r="O128" s="50"/>
      <c r="P128" s="50"/>
      <c r="Q128" s="341" t="s">
        <v>154</v>
      </c>
      <c r="R128" s="338" t="s">
        <v>77</v>
      </c>
      <c r="S128" s="88">
        <v>0</v>
      </c>
      <c r="T128" s="89">
        <f>IF(-C127&lt;0,-C127,0)</f>
        <v>-376.87</v>
      </c>
    </row>
    <row r="129" spans="1:20" s="383" customFormat="1" ht="16.5" thickTop="1" thickBot="1">
      <c r="A129" s="53"/>
      <c r="Q129" s="342" t="s">
        <v>83</v>
      </c>
      <c r="R129" s="340" t="s">
        <v>78</v>
      </c>
      <c r="S129" s="118">
        <f>IF(-C127&gt;0,-C127,0)</f>
        <v>0</v>
      </c>
      <c r="T129" s="111">
        <v>0</v>
      </c>
    </row>
    <row r="130" spans="1:20" s="383" customFormat="1">
      <c r="A130" s="53"/>
      <c r="T130" s="337">
        <f>ROUND(SUM(S124:T129),2)</f>
        <v>0</v>
      </c>
    </row>
    <row r="131" spans="1:20" ht="15.75">
      <c r="B131" s="2" t="s">
        <v>11</v>
      </c>
      <c r="C131" s="50">
        <f>SUM(D131:H131)</f>
        <v>-108659.43754694135</v>
      </c>
      <c r="D131" s="241">
        <f>-D101</f>
        <v>764537.78326267947</v>
      </c>
      <c r="E131" s="241">
        <f>-E101-0.03</f>
        <v>-881118.99080962082</v>
      </c>
      <c r="F131" s="241"/>
      <c r="G131" s="242"/>
      <c r="H131" s="60">
        <f>-H101</f>
        <v>7921.7699999999995</v>
      </c>
      <c r="I131" s="50"/>
      <c r="J131" s="87"/>
      <c r="K131" s="87"/>
      <c r="L131" s="50"/>
      <c r="M131" s="50"/>
      <c r="N131" s="50"/>
    </row>
    <row r="132" spans="1:20" s="383" customFormat="1" ht="16.5" thickBot="1">
      <c r="A132" s="53"/>
      <c r="B132" s="2" t="s">
        <v>227</v>
      </c>
      <c r="C132" s="158">
        <f t="shared" ref="C132:H132" si="19">SUM(C128:C131)</f>
        <v>304817.94784700003</v>
      </c>
      <c r="D132" s="158">
        <f t="shared" si="19"/>
        <v>-1059764.1485329997</v>
      </c>
      <c r="E132" s="158">
        <f t="shared" si="19"/>
        <v>1363640.1863800008</v>
      </c>
      <c r="F132" s="158">
        <f t="shared" si="19"/>
        <v>0</v>
      </c>
      <c r="G132" s="158">
        <f t="shared" si="19"/>
        <v>0</v>
      </c>
      <c r="H132" s="158">
        <f t="shared" si="19"/>
        <v>941.90999999999985</v>
      </c>
      <c r="I132" s="158">
        <f>SUM(I117:I131)</f>
        <v>0</v>
      </c>
      <c r="J132" s="158">
        <f>SUM(J117:J131)</f>
        <v>0</v>
      </c>
      <c r="K132" s="158">
        <f>SUM(K117:K131)</f>
        <v>0</v>
      </c>
      <c r="L132" s="158">
        <f>SUM(L117:L131)</f>
        <v>0</v>
      </c>
      <c r="M132" s="158">
        <f>SUM(M123:M131)</f>
        <v>0</v>
      </c>
      <c r="N132" s="158">
        <f>SUM(N123:N131)</f>
        <v>0</v>
      </c>
    </row>
    <row r="133" spans="1:20" s="383" customFormat="1" ht="15.75" thickTop="1">
      <c r="A133" s="53"/>
    </row>
    <row r="134" spans="1:20" s="383" customFormat="1">
      <c r="A134" s="53"/>
    </row>
    <row r="135" spans="1:20" s="383" customFormat="1" ht="15.75" thickBot="1">
      <c r="A135" s="53"/>
    </row>
    <row r="136" spans="1:20" s="383" customFormat="1" ht="16.5" thickBot="1">
      <c r="A136" s="58"/>
      <c r="Q136" s="335" t="s">
        <v>107</v>
      </c>
      <c r="R136" s="331"/>
      <c r="S136" s="331"/>
      <c r="T136" s="228"/>
    </row>
    <row r="137" spans="1:20" s="383" customFormat="1" ht="15.75">
      <c r="A137" s="58">
        <v>41578</v>
      </c>
      <c r="B137" s="59" t="s">
        <v>84</v>
      </c>
      <c r="C137" s="50">
        <f>SUM(D137:N137)</f>
        <v>-484520.52738299966</v>
      </c>
      <c r="D137" s="240">
        <v>-566000.77746000001</v>
      </c>
      <c r="E137" s="240">
        <v>81480.250077000353</v>
      </c>
      <c r="F137" s="241">
        <v>0</v>
      </c>
      <c r="G137" s="241">
        <v>0</v>
      </c>
      <c r="H137" s="50">
        <v>0</v>
      </c>
      <c r="I137" s="50"/>
      <c r="J137" s="50"/>
      <c r="K137" s="50"/>
      <c r="L137" s="50"/>
      <c r="M137" s="50"/>
      <c r="N137" s="50">
        <v>0</v>
      </c>
      <c r="O137" s="106"/>
      <c r="P137" s="50"/>
      <c r="Q137" s="344" t="s">
        <v>81</v>
      </c>
      <c r="R137" s="345" t="s">
        <v>58</v>
      </c>
      <c r="S137" s="112">
        <f>IF((-C128+C141)&gt;0,(-C128+C141),0)</f>
        <v>0</v>
      </c>
      <c r="T137" s="117">
        <f>IF((-C128+C141)&lt;0,(-C128+C141),0)</f>
        <v>-593127.83492994099</v>
      </c>
    </row>
    <row r="138" spans="1:20" s="383" customFormat="1" ht="15.75">
      <c r="A138" s="62"/>
      <c r="B138" s="59" t="s">
        <v>148</v>
      </c>
      <c r="C138" s="50">
        <f>SUM(D138:H138)</f>
        <v>0</v>
      </c>
      <c r="D138" s="241">
        <v>0</v>
      </c>
      <c r="E138" s="241">
        <v>0</v>
      </c>
      <c r="F138" s="241"/>
      <c r="G138" s="242"/>
      <c r="H138" s="60">
        <v>0</v>
      </c>
      <c r="I138" s="50"/>
      <c r="J138" s="87"/>
      <c r="K138" s="87"/>
      <c r="L138" s="50"/>
      <c r="M138" s="50"/>
      <c r="N138" s="50"/>
      <c r="O138" s="106"/>
      <c r="P138" s="50"/>
      <c r="Q138" s="346" t="s">
        <v>11</v>
      </c>
      <c r="R138" s="347" t="s">
        <v>62</v>
      </c>
      <c r="S138" s="112">
        <f>-C131</f>
        <v>108659.43754694135</v>
      </c>
      <c r="T138" s="227">
        <v>0</v>
      </c>
    </row>
    <row r="139" spans="1:20" s="383" customFormat="1" ht="15.75">
      <c r="A139" s="62"/>
      <c r="B139" s="59" t="s">
        <v>144</v>
      </c>
      <c r="C139" s="50">
        <f>SUM(D139:N139)</f>
        <v>0</v>
      </c>
      <c r="D139" s="161"/>
      <c r="E139" s="161"/>
      <c r="F139" s="161"/>
      <c r="G139" s="241">
        <v>0</v>
      </c>
      <c r="H139" s="105"/>
      <c r="I139" s="50"/>
      <c r="J139" s="87"/>
      <c r="K139" s="50"/>
      <c r="L139" s="50"/>
      <c r="M139" s="50"/>
      <c r="N139" s="50"/>
      <c r="O139" s="106"/>
      <c r="P139" s="50"/>
      <c r="Q139" s="346" t="s">
        <v>11</v>
      </c>
      <c r="R139" s="347" t="s">
        <v>207</v>
      </c>
      <c r="S139" s="112">
        <v>0</v>
      </c>
      <c r="T139" s="227">
        <v>0</v>
      </c>
    </row>
    <row r="140" spans="1:20" s="383" customFormat="1" ht="15.75">
      <c r="A140" s="62"/>
      <c r="B140" s="59" t="s">
        <v>57</v>
      </c>
      <c r="C140" s="64">
        <f>SUM(D140:N140)</f>
        <v>52.13</v>
      </c>
      <c r="D140" s="64"/>
      <c r="E140" s="64"/>
      <c r="F140" s="64"/>
      <c r="G140" s="64"/>
      <c r="H140" s="64">
        <v>52.13</v>
      </c>
      <c r="I140" s="64"/>
      <c r="J140" s="64"/>
      <c r="K140" s="64"/>
      <c r="L140" s="64"/>
      <c r="M140" s="64"/>
      <c r="N140" s="64"/>
      <c r="O140" s="99">
        <v>0.01</v>
      </c>
      <c r="P140" s="50"/>
      <c r="Q140" s="339" t="s">
        <v>80</v>
      </c>
      <c r="R140" s="338" t="s">
        <v>59</v>
      </c>
      <c r="S140" s="88">
        <f>IF((-C137-C138-C139)&gt;0,(-C137-C138-C139),0)</f>
        <v>484520.52738299966</v>
      </c>
      <c r="T140" s="89">
        <f>IF((-C137-C138-C139)&lt;0,(-C137-C138-C139),0)</f>
        <v>0</v>
      </c>
    </row>
    <row r="141" spans="1:20" s="383" customFormat="1" ht="16.5" thickBot="1">
      <c r="A141" s="104">
        <f>A137</f>
        <v>41578</v>
      </c>
      <c r="B141" s="50" t="s">
        <v>56</v>
      </c>
      <c r="C141" s="158">
        <f t="shared" ref="C141:H141" si="20">SUM(C132:C140)</f>
        <v>-179650.44953599962</v>
      </c>
      <c r="D141" s="158">
        <f t="shared" si="20"/>
        <v>-1625764.9259929997</v>
      </c>
      <c r="E141" s="158">
        <f t="shared" si="20"/>
        <v>1445120.4364570011</v>
      </c>
      <c r="F141" s="158">
        <f t="shared" si="20"/>
        <v>0</v>
      </c>
      <c r="G141" s="158">
        <f t="shared" si="20"/>
        <v>0</v>
      </c>
      <c r="H141" s="158">
        <f t="shared" si="20"/>
        <v>994.03999999999985</v>
      </c>
      <c r="I141" s="158">
        <f>SUM(I122:I140)</f>
        <v>0</v>
      </c>
      <c r="J141" s="158">
        <f>SUM(J122:J140)</f>
        <v>0</v>
      </c>
      <c r="K141" s="158">
        <f>SUM(K122:K140)</f>
        <v>0</v>
      </c>
      <c r="L141" s="158">
        <f>SUM(L122:L140)</f>
        <v>0</v>
      </c>
      <c r="M141" s="158">
        <f>SUM(M128:M140)</f>
        <v>0</v>
      </c>
      <c r="N141" s="158">
        <f>SUM(N128:N140)</f>
        <v>0</v>
      </c>
      <c r="O141" s="50"/>
      <c r="P141" s="50"/>
      <c r="Q141" s="341" t="s">
        <v>154</v>
      </c>
      <c r="R141" s="338" t="s">
        <v>77</v>
      </c>
      <c r="S141" s="88">
        <v>0</v>
      </c>
      <c r="T141" s="89">
        <f>IF(-C140&lt;0,-C140,0)</f>
        <v>-52.13</v>
      </c>
    </row>
    <row r="142" spans="1:20" s="383" customFormat="1" ht="16.5" thickTop="1" thickBot="1">
      <c r="A142" s="53"/>
      <c r="Q142" s="342" t="s">
        <v>83</v>
      </c>
      <c r="R142" s="340" t="s">
        <v>78</v>
      </c>
      <c r="S142" s="118">
        <f>IF(-C140&gt;0,-C140,0)</f>
        <v>0</v>
      </c>
      <c r="T142" s="111">
        <v>0</v>
      </c>
    </row>
    <row r="143" spans="1:20" s="383" customFormat="1">
      <c r="A143" s="53"/>
      <c r="T143" s="337">
        <f>ROUND(SUM(S137:T142),2)</f>
        <v>0</v>
      </c>
    </row>
    <row r="144" spans="1:20" s="383" customFormat="1" ht="15.75" thickBot="1">
      <c r="A144" s="53"/>
    </row>
    <row r="145" spans="1:20" s="383" customFormat="1" ht="16.5" thickBot="1">
      <c r="A145" s="58"/>
      <c r="Q145" s="335" t="s">
        <v>107</v>
      </c>
      <c r="R145" s="331"/>
      <c r="S145" s="331"/>
      <c r="T145" s="228"/>
    </row>
    <row r="146" spans="1:20" s="383" customFormat="1" ht="15.75">
      <c r="A146" s="58">
        <f>EOMONTH(A141,1)</f>
        <v>41608</v>
      </c>
      <c r="B146" s="59" t="s">
        <v>84</v>
      </c>
      <c r="C146" s="50">
        <f>SUM(D146:N146)</f>
        <v>-593071.07474399754</v>
      </c>
      <c r="D146" s="240">
        <v>-244467.20447699772</v>
      </c>
      <c r="E146" s="240">
        <v>-348603.87026699982</v>
      </c>
      <c r="F146" s="241">
        <v>0</v>
      </c>
      <c r="G146" s="241">
        <v>0</v>
      </c>
      <c r="H146" s="50">
        <v>0</v>
      </c>
      <c r="I146" s="50"/>
      <c r="J146" s="50"/>
      <c r="K146" s="50"/>
      <c r="L146" s="50"/>
      <c r="M146" s="50"/>
      <c r="N146" s="50">
        <v>0</v>
      </c>
      <c r="O146" s="106"/>
      <c r="P146" s="50"/>
      <c r="Q146" s="344" t="s">
        <v>81</v>
      </c>
      <c r="R146" s="345" t="s">
        <v>58</v>
      </c>
      <c r="S146" s="112">
        <f>IF((-C141+C150)&gt;0,(-C141+C150),0)</f>
        <v>0</v>
      </c>
      <c r="T146" s="117">
        <f>IF((-C141+C150)&lt;0,(-C141+C150),0)</f>
        <v>-591098.89221899747</v>
      </c>
    </row>
    <row r="147" spans="1:20" s="383" customFormat="1" ht="15.75">
      <c r="A147" s="62"/>
      <c r="B147" s="59" t="s">
        <v>148</v>
      </c>
      <c r="C147" s="50">
        <f>SUM(D147:H147)</f>
        <v>2369.0025250000003</v>
      </c>
      <c r="D147" s="241">
        <v>2367.0300000000002</v>
      </c>
      <c r="E147" s="241">
        <v>0</v>
      </c>
      <c r="F147" s="241"/>
      <c r="G147" s="242"/>
      <c r="H147" s="60">
        <v>1.9725250000000001</v>
      </c>
      <c r="I147" s="50"/>
      <c r="J147" s="87"/>
      <c r="K147" s="87"/>
      <c r="L147" s="50"/>
      <c r="M147" s="50"/>
      <c r="N147" s="50"/>
      <c r="O147" s="106"/>
      <c r="P147" s="50"/>
      <c r="Q147" s="346" t="s">
        <v>11</v>
      </c>
      <c r="R147" s="347" t="s">
        <v>62</v>
      </c>
      <c r="S147" s="112">
        <v>0</v>
      </c>
      <c r="T147" s="227">
        <v>0</v>
      </c>
    </row>
    <row r="148" spans="1:20" s="383" customFormat="1" ht="15.75">
      <c r="A148" s="62"/>
      <c r="B148" s="59" t="s">
        <v>144</v>
      </c>
      <c r="C148" s="50">
        <f>SUM(D148:N148)</f>
        <v>0</v>
      </c>
      <c r="D148" s="161"/>
      <c r="E148" s="161"/>
      <c r="F148" s="161"/>
      <c r="G148" s="241">
        <v>0</v>
      </c>
      <c r="H148" s="105"/>
      <c r="I148" s="50"/>
      <c r="J148" s="87"/>
      <c r="K148" s="50"/>
      <c r="L148" s="50"/>
      <c r="M148" s="50"/>
      <c r="N148" s="50"/>
      <c r="O148" s="106"/>
      <c r="P148" s="50"/>
      <c r="Q148" s="346" t="s">
        <v>11</v>
      </c>
      <c r="R148" s="347" t="s">
        <v>207</v>
      </c>
      <c r="S148" s="112">
        <v>0</v>
      </c>
      <c r="T148" s="227">
        <v>0</v>
      </c>
    </row>
    <row r="149" spans="1:20" s="383" customFormat="1" ht="15.75">
      <c r="A149" s="62"/>
      <c r="B149" s="59" t="s">
        <v>57</v>
      </c>
      <c r="C149" s="64">
        <f>SUM(D149:N149)</f>
        <v>-396.82</v>
      </c>
      <c r="D149" s="64"/>
      <c r="E149" s="64"/>
      <c r="F149" s="64"/>
      <c r="G149" s="64"/>
      <c r="H149" s="64">
        <v>-396.82</v>
      </c>
      <c r="I149" s="64"/>
      <c r="J149" s="64"/>
      <c r="K149" s="64"/>
      <c r="L149" s="64"/>
      <c r="M149" s="64"/>
      <c r="N149" s="64"/>
      <c r="O149" s="99">
        <v>0.01</v>
      </c>
      <c r="P149" s="50"/>
      <c r="Q149" s="339" t="s">
        <v>80</v>
      </c>
      <c r="R149" s="338" t="s">
        <v>59</v>
      </c>
      <c r="S149" s="88">
        <f>IF((-C146-C147-C148)&gt;0,(-C146-C147-C148),0)</f>
        <v>590702.07221899752</v>
      </c>
      <c r="T149" s="89">
        <f>IF((-C146-C147-C148)&lt;0,(-C146-C147-C148),0)</f>
        <v>0</v>
      </c>
    </row>
    <row r="150" spans="1:20" s="383" customFormat="1" ht="16.5" thickBot="1">
      <c r="A150" s="104">
        <f>A146</f>
        <v>41608</v>
      </c>
      <c r="B150" s="50" t="s">
        <v>56</v>
      </c>
      <c r="C150" s="158">
        <f t="shared" ref="C150:H150" si="21">SUM(C141:C149)</f>
        <v>-770749.34175499715</v>
      </c>
      <c r="D150" s="158">
        <f t="shared" si="21"/>
        <v>-1867865.1004699974</v>
      </c>
      <c r="E150" s="158">
        <f t="shared" si="21"/>
        <v>1096516.5661900013</v>
      </c>
      <c r="F150" s="158">
        <f t="shared" si="21"/>
        <v>0</v>
      </c>
      <c r="G150" s="158">
        <f t="shared" si="21"/>
        <v>0</v>
      </c>
      <c r="H150" s="158">
        <f t="shared" si="21"/>
        <v>599.19252499999993</v>
      </c>
      <c r="I150" s="158">
        <f>SUM(I131:I149)</f>
        <v>0</v>
      </c>
      <c r="J150" s="158">
        <f>SUM(J131:J149)</f>
        <v>0</v>
      </c>
      <c r="K150" s="158">
        <f>SUM(K131:K149)</f>
        <v>0</v>
      </c>
      <c r="L150" s="158">
        <f>SUM(L131:L149)</f>
        <v>0</v>
      </c>
      <c r="M150" s="158">
        <f>SUM(M137:M149)</f>
        <v>0</v>
      </c>
      <c r="N150" s="158">
        <f>SUM(N137:N149)</f>
        <v>0</v>
      </c>
      <c r="O150" s="50"/>
      <c r="P150" s="50"/>
      <c r="Q150" s="341" t="s">
        <v>154</v>
      </c>
      <c r="R150" s="338" t="s">
        <v>77</v>
      </c>
      <c r="S150" s="88">
        <v>0</v>
      </c>
      <c r="T150" s="89">
        <f>IF(-C149&lt;0,-C149,0)</f>
        <v>0</v>
      </c>
    </row>
    <row r="151" spans="1:20" s="383" customFormat="1" ht="16.5" thickTop="1" thickBot="1">
      <c r="A151" s="53"/>
      <c r="Q151" s="342" t="s">
        <v>83</v>
      </c>
      <c r="R151" s="340" t="s">
        <v>78</v>
      </c>
      <c r="S151" s="118">
        <f>IF(-C149&gt;0,-C149,0)</f>
        <v>396.82</v>
      </c>
      <c r="T151" s="111">
        <v>0</v>
      </c>
    </row>
    <row r="152" spans="1:20" s="383" customFormat="1">
      <c r="A152" s="53"/>
      <c r="T152" s="337">
        <f>ROUND(SUM(S146:T151),2)</f>
        <v>0</v>
      </c>
    </row>
    <row r="153" spans="1:20" s="383" customFormat="1" ht="15.75" thickBot="1">
      <c r="A153" s="53"/>
    </row>
    <row r="154" spans="1:20" s="383" customFormat="1" ht="16.5" thickBot="1">
      <c r="A154" s="58"/>
      <c r="Q154" s="335" t="s">
        <v>238</v>
      </c>
      <c r="R154" s="331"/>
      <c r="S154" s="331"/>
      <c r="T154" s="228"/>
    </row>
    <row r="155" spans="1:20" s="383" customFormat="1" ht="15.75">
      <c r="A155" s="58">
        <f>EOMONTH(A150,1)</f>
        <v>41639</v>
      </c>
      <c r="B155" s="59" t="s">
        <v>84</v>
      </c>
      <c r="C155" s="50">
        <f>SUM(D155:N155)</f>
        <v>-820435.88225500053</v>
      </c>
      <c r="D155" s="240">
        <f>Jan!$J$55</f>
        <v>-301284.36970700044</v>
      </c>
      <c r="E155" s="240">
        <f>Jan!$K$55</f>
        <v>-519151.51254800009</v>
      </c>
      <c r="F155" s="241">
        <v>0</v>
      </c>
      <c r="G155" s="241">
        <v>0</v>
      </c>
      <c r="H155" s="50">
        <v>0</v>
      </c>
      <c r="I155" s="50"/>
      <c r="J155" s="50"/>
      <c r="K155" s="50"/>
      <c r="L155" s="50"/>
      <c r="M155" s="50"/>
      <c r="N155" s="50">
        <v>0</v>
      </c>
      <c r="O155" s="106"/>
      <c r="P155" s="50"/>
      <c r="Q155" s="344" t="s">
        <v>81</v>
      </c>
      <c r="R155" s="345" t="s">
        <v>58</v>
      </c>
      <c r="S155" s="112">
        <f>IF((-C150+C159)&gt;0,(-C150+C159),0)</f>
        <v>0</v>
      </c>
      <c r="T155" s="117">
        <f>IF((-C150+C159)&lt;0,(-C150+C159),0)</f>
        <v>-821420.02225500043</v>
      </c>
    </row>
    <row r="156" spans="1:20" s="383" customFormat="1" ht="15.75">
      <c r="A156" s="62"/>
      <c r="B156" s="59" t="s">
        <v>234</v>
      </c>
      <c r="C156" s="50">
        <f>SUM(D156:H156)</f>
        <v>0</v>
      </c>
      <c r="D156" s="241">
        <v>0</v>
      </c>
      <c r="E156" s="241">
        <v>0</v>
      </c>
      <c r="F156" s="241"/>
      <c r="G156" s="242"/>
      <c r="H156" s="105">
        <v>0</v>
      </c>
      <c r="I156" s="50"/>
      <c r="J156" s="87"/>
      <c r="K156" s="87"/>
      <c r="L156" s="50"/>
      <c r="M156" s="50"/>
      <c r="N156" s="50"/>
      <c r="O156" s="106"/>
      <c r="P156" s="50"/>
      <c r="Q156" s="346" t="s">
        <v>11</v>
      </c>
      <c r="R156" s="347" t="s">
        <v>62</v>
      </c>
      <c r="S156" s="112">
        <v>0</v>
      </c>
      <c r="T156" s="227">
        <v>0</v>
      </c>
    </row>
    <row r="157" spans="1:20" s="383" customFormat="1" ht="15.75">
      <c r="A157" s="62"/>
      <c r="B157" s="59" t="s">
        <v>144</v>
      </c>
      <c r="C157" s="50">
        <f>SUM(D157:N157)</f>
        <v>0</v>
      </c>
      <c r="D157" s="161"/>
      <c r="E157" s="161"/>
      <c r="F157" s="161"/>
      <c r="G157" s="241">
        <v>0</v>
      </c>
      <c r="H157" s="105">
        <v>0</v>
      </c>
      <c r="I157" s="50"/>
      <c r="J157" s="87"/>
      <c r="K157" s="50"/>
      <c r="L157" s="50"/>
      <c r="M157" s="50"/>
      <c r="N157" s="50"/>
      <c r="O157" s="106"/>
      <c r="P157" s="50"/>
      <c r="Q157" s="346" t="s">
        <v>11</v>
      </c>
      <c r="R157" s="347" t="s">
        <v>207</v>
      </c>
      <c r="S157" s="112">
        <v>0</v>
      </c>
      <c r="T157" s="227">
        <v>0</v>
      </c>
    </row>
    <row r="158" spans="1:20" s="383" customFormat="1" ht="15.75">
      <c r="A158" s="62"/>
      <c r="B158" s="59" t="s">
        <v>57</v>
      </c>
      <c r="C158" s="64">
        <f>SUM(D158:N158)</f>
        <v>-984.14</v>
      </c>
      <c r="D158" s="64"/>
      <c r="E158" s="64"/>
      <c r="F158" s="64"/>
      <c r="G158" s="64"/>
      <c r="H158" s="64">
        <f>ROUND(((C150)+(C155)/2)*(O158/12),2)</f>
        <v>-984.14</v>
      </c>
      <c r="I158" s="64"/>
      <c r="J158" s="64"/>
      <c r="K158" s="64"/>
      <c r="L158" s="64"/>
      <c r="M158" s="64"/>
      <c r="N158" s="64"/>
      <c r="O158" s="99">
        <v>0.01</v>
      </c>
      <c r="P158" s="50"/>
      <c r="Q158" s="339" t="s">
        <v>80</v>
      </c>
      <c r="R158" s="338" t="s">
        <v>59</v>
      </c>
      <c r="S158" s="88">
        <f>IF((-C155-C157)&gt;0,(-C155-C157),0)</f>
        <v>820435.88225500053</v>
      </c>
      <c r="T158" s="89">
        <f>IF((-C155-C156-C157)&lt;0,(-C155-C156-C157),0)</f>
        <v>0</v>
      </c>
    </row>
    <row r="159" spans="1:20" s="383" customFormat="1" ht="16.5" thickBot="1">
      <c r="A159" s="104">
        <f>A155</f>
        <v>41639</v>
      </c>
      <c r="B159" s="50" t="s">
        <v>56</v>
      </c>
      <c r="C159" s="158">
        <f>SUM(C150:C158)</f>
        <v>-1592169.3640099976</v>
      </c>
      <c r="D159" s="158">
        <f t="shared" ref="D159" si="22">SUM(D150:D158)</f>
        <v>-2169149.4701769976</v>
      </c>
      <c r="E159" s="158">
        <f t="shared" ref="E159" si="23">SUM(E150:E158)</f>
        <v>577365.05364200124</v>
      </c>
      <c r="F159" s="158">
        <f t="shared" ref="F159" si="24">SUM(F150:F158)</f>
        <v>0</v>
      </c>
      <c r="G159" s="158">
        <f t="shared" ref="G159" si="25">SUM(G150:G158)</f>
        <v>0</v>
      </c>
      <c r="H159" s="158">
        <f t="shared" ref="H159" si="26">SUM(H150:H158)</f>
        <v>-384.94747500000005</v>
      </c>
      <c r="I159" s="158">
        <f>SUM(I140:I158)</f>
        <v>0</v>
      </c>
      <c r="J159" s="158">
        <f>SUM(J140:J158)</f>
        <v>0</v>
      </c>
      <c r="K159" s="158">
        <f>SUM(K140:K158)</f>
        <v>0</v>
      </c>
      <c r="L159" s="158">
        <f>SUM(L140:L158)</f>
        <v>0</v>
      </c>
      <c r="M159" s="158">
        <f>SUM(M146:M158)</f>
        <v>0</v>
      </c>
      <c r="N159" s="158">
        <f>SUM(N146:N158)</f>
        <v>0</v>
      </c>
      <c r="O159" s="50"/>
      <c r="P159" s="50"/>
      <c r="Q159" s="341" t="s">
        <v>154</v>
      </c>
      <c r="R159" s="338" t="s">
        <v>77</v>
      </c>
      <c r="S159" s="88">
        <v>0</v>
      </c>
      <c r="T159" s="89">
        <f>IF(-C158&lt;0,-C158,0)</f>
        <v>0</v>
      </c>
    </row>
    <row r="160" spans="1:20" s="383" customFormat="1" ht="17.25" thickTop="1" thickBot="1">
      <c r="A160" s="53"/>
      <c r="B160" s="9" t="s">
        <v>247</v>
      </c>
      <c r="C160" s="383">
        <f>SUM(D160:H160)</f>
        <v>-487553.62</v>
      </c>
      <c r="D160" s="240"/>
      <c r="E160" s="240">
        <v>-481637.67</v>
      </c>
      <c r="F160" s="241"/>
      <c r="G160" s="241"/>
      <c r="H160" s="50">
        <v>-5915.95</v>
      </c>
      <c r="Q160" s="342" t="s">
        <v>83</v>
      </c>
      <c r="R160" s="340" t="s">
        <v>78</v>
      </c>
      <c r="S160" s="118">
        <f>IF(-C158&gt;0,-C158,0)</f>
        <v>984.14</v>
      </c>
      <c r="T160" s="111">
        <v>0</v>
      </c>
    </row>
    <row r="161" spans="1:20" s="383" customFormat="1" ht="15.75">
      <c r="A161" s="53"/>
      <c r="B161" s="9" t="s">
        <v>241</v>
      </c>
      <c r="C161" s="473">
        <f>SUM(C159:C160)</f>
        <v>-2079722.9840099975</v>
      </c>
      <c r="D161" s="473">
        <f>D160+D159</f>
        <v>-2169149.4701769976</v>
      </c>
      <c r="E161" s="473">
        <f>E160+E159</f>
        <v>95727.383642001252</v>
      </c>
      <c r="F161" s="473">
        <f>F160+F159</f>
        <v>0</v>
      </c>
      <c r="G161" s="473">
        <f>G160+G159</f>
        <v>0</v>
      </c>
      <c r="H161" s="473">
        <f>H160+H159</f>
        <v>-6300.8974749999998</v>
      </c>
      <c r="I161" s="473"/>
      <c r="J161" s="473"/>
      <c r="K161" s="473"/>
      <c r="L161" s="473"/>
      <c r="M161" s="473">
        <f>M160+M159</f>
        <v>0</v>
      </c>
      <c r="N161" s="473">
        <f>N160+N159</f>
        <v>0</v>
      </c>
      <c r="S161" s="66"/>
      <c r="T161" s="337">
        <f>ROUND(SUM(S155:T160),2)</f>
        <v>0</v>
      </c>
    </row>
    <row r="162" spans="1:20" ht="16.5" thickBot="1">
      <c r="B162" s="9" t="s">
        <v>242</v>
      </c>
      <c r="C162" s="383" t="e">
        <f>_xll.Get_Balance("201312","YTD","USD","Total","A","","001","191010","GD","ID","DL")</f>
        <v>#VALUE!</v>
      </c>
      <c r="D162" s="383"/>
      <c r="E162" s="383"/>
      <c r="F162" s="383"/>
      <c r="G162" s="383"/>
      <c r="H162" s="383"/>
      <c r="M162" s="383"/>
      <c r="N162" s="383"/>
    </row>
    <row r="163" spans="1:20" ht="16.5" thickBot="1">
      <c r="B163" s="9" t="s">
        <v>243</v>
      </c>
      <c r="C163" s="158" t="e">
        <f>C161-C162</f>
        <v>#VALUE!</v>
      </c>
      <c r="D163" s="383"/>
      <c r="E163" s="383"/>
      <c r="F163" s="383"/>
      <c r="G163" s="383"/>
      <c r="H163" s="383"/>
      <c r="I163" s="383"/>
      <c r="J163" s="383"/>
      <c r="K163" s="383"/>
      <c r="L163" s="383"/>
      <c r="M163" s="383"/>
      <c r="N163" s="383"/>
      <c r="Q163" s="335" t="s">
        <v>239</v>
      </c>
      <c r="R163" s="331"/>
      <c r="S163" s="331"/>
      <c r="T163" s="228"/>
    </row>
    <row r="164" spans="1:20" ht="15.75" thickTop="1">
      <c r="D164" s="383"/>
      <c r="E164" s="383"/>
      <c r="F164" s="383"/>
      <c r="G164" s="383"/>
      <c r="H164" s="383"/>
      <c r="I164" s="383"/>
      <c r="J164" s="383"/>
      <c r="K164" s="383"/>
      <c r="L164" s="383"/>
      <c r="M164" s="383"/>
      <c r="N164" s="383"/>
      <c r="Q164" s="344" t="s">
        <v>81</v>
      </c>
      <c r="R164" s="345" t="s">
        <v>58</v>
      </c>
      <c r="S164" s="112">
        <v>0</v>
      </c>
      <c r="T164" s="117">
        <v>-1943728.32</v>
      </c>
    </row>
    <row r="165" spans="1:20">
      <c r="Q165" s="346" t="s">
        <v>11</v>
      </c>
      <c r="R165" s="347" t="s">
        <v>62</v>
      </c>
      <c r="S165" s="112">
        <v>0</v>
      </c>
      <c r="T165" s="227">
        <v>0</v>
      </c>
    </row>
    <row r="166" spans="1:20">
      <c r="Q166" s="346" t="s">
        <v>11</v>
      </c>
      <c r="R166" s="347" t="s">
        <v>207</v>
      </c>
      <c r="S166" s="112">
        <v>0</v>
      </c>
      <c r="T166" s="227">
        <v>0</v>
      </c>
    </row>
    <row r="167" spans="1:20">
      <c r="Q167" s="339" t="s">
        <v>80</v>
      </c>
      <c r="R167" s="338" t="s">
        <v>59</v>
      </c>
      <c r="S167" s="88">
        <v>1942276.75</v>
      </c>
      <c r="T167" s="89">
        <f>IF((-C164-C165-C166)&lt;0,(-C164-C165-C166),0)</f>
        <v>0</v>
      </c>
    </row>
    <row r="168" spans="1:20">
      <c r="Q168" s="341" t="s">
        <v>154</v>
      </c>
      <c r="R168" s="338" t="s">
        <v>77</v>
      </c>
      <c r="S168" s="88">
        <v>0</v>
      </c>
      <c r="T168" s="89">
        <f>IF(-C167&lt;0,-C167,0)</f>
        <v>0</v>
      </c>
    </row>
    <row r="169" spans="1:20" ht="15.75" thickBot="1">
      <c r="Q169" s="342" t="s">
        <v>83</v>
      </c>
      <c r="R169" s="340" t="s">
        <v>78</v>
      </c>
      <c r="S169" s="118">
        <v>1451.57</v>
      </c>
      <c r="T169" s="111">
        <v>0</v>
      </c>
    </row>
    <row r="170" spans="1:20">
      <c r="Q170" s="383"/>
      <c r="R170" s="383"/>
      <c r="S170" s="66"/>
      <c r="T170" s="337">
        <f>ROUND(SUM(S164:T169),2)</f>
        <v>0</v>
      </c>
    </row>
    <row r="171" spans="1:20" ht="15.75" thickBot="1"/>
    <row r="172" spans="1:20" ht="15.75" thickBot="1">
      <c r="Q172" s="335" t="s">
        <v>240</v>
      </c>
      <c r="R172" s="331"/>
      <c r="S172" s="331"/>
      <c r="T172" s="228"/>
    </row>
    <row r="173" spans="1:20">
      <c r="Q173" s="344" t="s">
        <v>81</v>
      </c>
      <c r="R173" s="345" t="s">
        <v>58</v>
      </c>
      <c r="S173" s="112">
        <f>T155-T164</f>
        <v>1122308.2977449996</v>
      </c>
      <c r="T173" s="117">
        <f>IF((-C168+C177)&lt;0,(-C168+C177),0)</f>
        <v>0</v>
      </c>
    </row>
    <row r="174" spans="1:20">
      <c r="Q174" s="346" t="s">
        <v>11</v>
      </c>
      <c r="R174" s="347" t="s">
        <v>62</v>
      </c>
      <c r="S174" s="112">
        <v>0</v>
      </c>
      <c r="T174" s="227">
        <v>0</v>
      </c>
    </row>
    <row r="175" spans="1:20">
      <c r="Q175" s="346" t="s">
        <v>11</v>
      </c>
      <c r="R175" s="347" t="s">
        <v>207</v>
      </c>
      <c r="S175" s="112">
        <v>0</v>
      </c>
      <c r="T175" s="227">
        <v>0</v>
      </c>
    </row>
    <row r="176" spans="1:20">
      <c r="Q176" s="339" t="s">
        <v>80</v>
      </c>
      <c r="R176" s="338" t="s">
        <v>59</v>
      </c>
      <c r="S176" s="88">
        <f>IF((-C173-C175)&gt;0,(-C173-C175),0)</f>
        <v>0</v>
      </c>
      <c r="T176" s="89">
        <f>S158-S167</f>
        <v>-1121840.8677449995</v>
      </c>
    </row>
    <row r="177" spans="17:20">
      <c r="Q177" s="341" t="s">
        <v>154</v>
      </c>
      <c r="R177" s="338" t="s">
        <v>77</v>
      </c>
      <c r="S177" s="88">
        <v>0</v>
      </c>
      <c r="T177" s="89">
        <f>IF(-C176&lt;0,-C176,0)</f>
        <v>0</v>
      </c>
    </row>
    <row r="178" spans="17:20" ht="15.75" thickBot="1">
      <c r="Q178" s="342" t="s">
        <v>83</v>
      </c>
      <c r="R178" s="340" t="s">
        <v>78</v>
      </c>
      <c r="S178" s="118">
        <f>IF(-C176&gt;0,-C176,0)</f>
        <v>0</v>
      </c>
      <c r="T178" s="111">
        <f>S160-S169</f>
        <v>-467.42999999999995</v>
      </c>
    </row>
    <row r="179" spans="17:20">
      <c r="Q179" s="383"/>
      <c r="R179" s="383"/>
      <c r="S179" s="66"/>
      <c r="T179" s="337">
        <f>ROUND(SUM(S173:T178),2)</f>
        <v>0</v>
      </c>
    </row>
    <row r="1058" spans="3:3">
      <c r="C1058" s="1">
        <v>-2130</v>
      </c>
    </row>
    <row r="1066" spans="3:3">
      <c r="C1066" s="1">
        <f>7004298-2130</f>
        <v>7002168</v>
      </c>
    </row>
  </sheetData>
  <mergeCells count="1">
    <mergeCell ref="A32:O32"/>
  </mergeCells>
  <phoneticPr fontId="0" type="noConversion"/>
  <conditionalFormatting sqref="T31 T22 T49 T40 T58">
    <cfRule type="cellIs" dxfId="109" priority="258" stopIfTrue="1" operator="equal">
      <formula>0</formula>
    </cfRule>
    <cfRule type="cellIs" dxfId="108" priority="259" stopIfTrue="1" operator="notEqual">
      <formula>0</formula>
    </cfRule>
  </conditionalFormatting>
  <conditionalFormatting sqref="T31 T22 T49 T40 T58">
    <cfRule type="cellIs" dxfId="107" priority="236" stopIfTrue="1" operator="equal">
      <formula>0</formula>
    </cfRule>
  </conditionalFormatting>
  <printOptions gridLinesSet="0"/>
  <pageMargins left="0.18" right="0" top="0.5" bottom="0.5" header="0.5" footer="0.25"/>
  <pageSetup scale="18" orientation="landscape" horizontalDpi="300" verticalDpi="300" r:id="rId1"/>
  <headerFooter alignWithMargins="0">
    <oddFooter>&amp;L&amp;F&amp;C&amp;A&amp;R&amp;D  &amp;T</oddFooter>
  </headerFooter>
  <customProperties>
    <customPr name="xxe4aP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1">
    <pageSetUpPr fitToPage="1"/>
  </sheetPr>
  <dimension ref="A1:T1153"/>
  <sheetViews>
    <sheetView showGridLines="0" view="pageBreakPreview" zoomScaleNormal="100" zoomScaleSheetLayoutView="100" workbookViewId="0">
      <pane ySplit="7" topLeftCell="A86" activePane="bottomLeft" state="frozen"/>
      <selection activeCell="G51" sqref="G51:J55"/>
      <selection pane="bottomLeft" activeCell="G51" sqref="G51:J55"/>
    </sheetView>
  </sheetViews>
  <sheetFormatPr defaultColWidth="9.7109375" defaultRowHeight="15"/>
  <cols>
    <col min="1" max="1" width="11.42578125" style="53" customWidth="1"/>
    <col min="2" max="2" width="27.140625" style="330" customWidth="1"/>
    <col min="3" max="3" width="18.42578125" style="330" customWidth="1"/>
    <col min="4" max="4" width="19.140625" style="330" bestFit="1" customWidth="1"/>
    <col min="5" max="5" width="19.42578125" style="330" bestFit="1" customWidth="1"/>
    <col min="6" max="7" width="13.140625" style="330" customWidth="1"/>
    <col min="8" max="8" width="16.7109375" style="330" bestFit="1" customWidth="1"/>
    <col min="9" max="9" width="14.42578125" style="330" hidden="1" customWidth="1"/>
    <col min="10" max="10" width="13.28515625" style="330" hidden="1" customWidth="1"/>
    <col min="11" max="11" width="15.140625" style="330" hidden="1" customWidth="1"/>
    <col min="12" max="12" width="18.140625" style="330" hidden="1" customWidth="1"/>
    <col min="13" max="14" width="12.5703125" style="330" customWidth="1"/>
    <col min="15" max="15" width="11.28515625" style="330" customWidth="1"/>
    <col min="16" max="16" width="2.28515625" style="330" customWidth="1"/>
    <col min="17" max="17" width="26.85546875" style="330" customWidth="1"/>
    <col min="18" max="18" width="16.42578125" style="330" customWidth="1"/>
    <col min="19" max="19" width="17" style="330" customWidth="1"/>
    <col min="20" max="20" width="19.7109375" style="330" customWidth="1"/>
    <col min="21" max="16384" width="9.7109375" style="330"/>
  </cols>
  <sheetData>
    <row r="1" spans="1:20" ht="15.75">
      <c r="A1" s="51" t="s">
        <v>13</v>
      </c>
      <c r="M1" s="41"/>
    </row>
    <row r="2" spans="1:20" ht="15.75">
      <c r="A2" s="51" t="s">
        <v>46</v>
      </c>
    </row>
    <row r="3" spans="1:20" ht="15.75">
      <c r="A3" s="51" t="s">
        <v>201</v>
      </c>
    </row>
    <row r="4" spans="1:20" ht="15.75">
      <c r="A4" s="51" t="s">
        <v>202</v>
      </c>
    </row>
    <row r="5" spans="1:20">
      <c r="Q5" s="264"/>
      <c r="R5" s="5"/>
      <c r="S5" s="5"/>
      <c r="T5" s="5"/>
    </row>
    <row r="6" spans="1:20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0" s="55" customFormat="1" ht="15.75" customHeight="1">
      <c r="A7" s="54"/>
      <c r="C7" s="55" t="s">
        <v>203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0" s="381" customFormat="1" ht="15.75" hidden="1" customHeight="1">
      <c r="A8" s="379"/>
      <c r="B8" s="246" t="s">
        <v>11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T8" s="373"/>
    </row>
    <row r="9" spans="1:20" s="381" customFormat="1" ht="16.5" hidden="1" customHeight="1" thickBot="1">
      <c r="A9" s="379"/>
      <c r="B9" s="246" t="s">
        <v>204</v>
      </c>
      <c r="C9" s="382">
        <v>-1550000</v>
      </c>
      <c r="D9" s="382">
        <f>-'ID Def 191010'!D10</f>
        <v>-883736.20005990437</v>
      </c>
      <c r="E9" s="382">
        <f>-'ID Def 191010'!E10</f>
        <v>-659271.7478600872</v>
      </c>
      <c r="F9" s="382">
        <v>0</v>
      </c>
      <c r="G9" s="382">
        <v>0</v>
      </c>
      <c r="H9" s="382">
        <f>-'ID Def 191010'!H10</f>
        <v>-6992.0520800084523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T9" s="373"/>
    </row>
    <row r="10" spans="1:20" s="55" customFormat="1" ht="15.75" hidden="1" customHeight="1" thickTop="1" thickBot="1">
      <c r="A10" s="54"/>
    </row>
    <row r="11" spans="1:20" ht="15.75" hidden="1" customHeight="1" thickBot="1">
      <c r="Q11" s="335" t="s">
        <v>107</v>
      </c>
      <c r="R11" s="331"/>
      <c r="S11" s="331"/>
      <c r="T11" s="228"/>
    </row>
    <row r="12" spans="1:20" ht="15.75" hidden="1" customHeight="1">
      <c r="A12" s="58">
        <v>41183</v>
      </c>
      <c r="B12" s="59" t="s">
        <v>84</v>
      </c>
      <c r="C12" s="11">
        <v>0</v>
      </c>
      <c r="D12" s="247">
        <v>0</v>
      </c>
      <c r="E12" s="247">
        <v>0</v>
      </c>
      <c r="F12" s="248">
        <v>0</v>
      </c>
      <c r="G12" s="248">
        <v>0</v>
      </c>
      <c r="H12" s="50">
        <v>0</v>
      </c>
      <c r="I12" s="50"/>
      <c r="J12" s="50"/>
      <c r="K12" s="50"/>
      <c r="L12" s="50"/>
      <c r="M12" s="50"/>
      <c r="N12" s="50">
        <v>0</v>
      </c>
      <c r="O12" s="106"/>
      <c r="P12" s="50"/>
      <c r="Q12" s="391" t="s">
        <v>209</v>
      </c>
      <c r="R12" s="392" t="s">
        <v>207</v>
      </c>
      <c r="S12" s="334">
        <f>IF(SUM(C12:C15)&gt;0,C12+C13+C15+C14,0)</f>
        <v>0</v>
      </c>
      <c r="T12" s="336">
        <f>IF(SUM(C12:C15)&lt;0,C12+C13+C15+C14,0)</f>
        <v>-1291.67</v>
      </c>
    </row>
    <row r="13" spans="1:20" ht="15.75" hidden="1" customHeight="1">
      <c r="A13" s="62"/>
      <c r="B13" s="59" t="s">
        <v>148</v>
      </c>
      <c r="C13" s="11">
        <v>0</v>
      </c>
      <c r="D13" s="248"/>
      <c r="E13" s="248">
        <v>0</v>
      </c>
      <c r="F13" s="248"/>
      <c r="G13" s="249"/>
      <c r="H13" s="60"/>
      <c r="I13" s="50"/>
      <c r="J13" s="87"/>
      <c r="K13" s="87"/>
      <c r="L13" s="50"/>
      <c r="M13" s="50"/>
      <c r="N13" s="50"/>
      <c r="O13" s="106"/>
      <c r="P13" s="50"/>
      <c r="Q13" s="346" t="s">
        <v>11</v>
      </c>
      <c r="R13" s="347" t="s">
        <v>62</v>
      </c>
      <c r="S13" s="334">
        <v>0</v>
      </c>
      <c r="T13" s="336">
        <v>0</v>
      </c>
    </row>
    <row r="14" spans="1:20" ht="15.75" hidden="1" customHeight="1">
      <c r="A14" s="62"/>
      <c r="B14" s="59" t="s">
        <v>144</v>
      </c>
      <c r="C14" s="11">
        <v>0</v>
      </c>
      <c r="D14" s="246">
        <v>0</v>
      </c>
      <c r="E14" s="246"/>
      <c r="F14" s="246"/>
      <c r="G14" s="248">
        <v>0</v>
      </c>
      <c r="H14" s="105"/>
      <c r="I14" s="50"/>
      <c r="J14" s="87"/>
      <c r="K14" s="50"/>
      <c r="L14" s="50"/>
      <c r="M14" s="50"/>
      <c r="N14" s="50"/>
      <c r="O14" s="106"/>
      <c r="P14" s="50"/>
      <c r="Q14" s="339" t="s">
        <v>80</v>
      </c>
      <c r="R14" s="338" t="s">
        <v>59</v>
      </c>
      <c r="S14" s="112">
        <f>IF(SUM(C12)&lt;0,-C12,0)</f>
        <v>0</v>
      </c>
      <c r="T14" s="336">
        <f>IF(SUM(C12)&gt;0,-C12,0)</f>
        <v>0</v>
      </c>
    </row>
    <row r="15" spans="1:20" ht="15.75" hidden="1" customHeight="1">
      <c r="A15" s="62"/>
      <c r="B15" s="59" t="s">
        <v>57</v>
      </c>
      <c r="C15" s="64">
        <v>-1291.67</v>
      </c>
      <c r="D15" s="64"/>
      <c r="E15" s="64"/>
      <c r="F15" s="64"/>
      <c r="G15" s="64"/>
      <c r="H15" s="64">
        <v>-1291.67</v>
      </c>
      <c r="I15" s="64"/>
      <c r="J15" s="64"/>
      <c r="K15" s="64"/>
      <c r="L15" s="64"/>
      <c r="M15" s="64"/>
      <c r="N15" s="64"/>
      <c r="O15" s="99">
        <v>0.01</v>
      </c>
      <c r="P15" s="50"/>
      <c r="Q15" s="341" t="s">
        <v>154</v>
      </c>
      <c r="R15" s="338" t="s">
        <v>77</v>
      </c>
      <c r="S15" s="343">
        <v>0</v>
      </c>
      <c r="T15" s="336">
        <f>IF(SUM(C15)&gt;0,-C15,0)</f>
        <v>0</v>
      </c>
    </row>
    <row r="16" spans="1:20" ht="16.5" hidden="1" customHeight="1" thickBot="1">
      <c r="A16" s="104">
        <f>A12</f>
        <v>41183</v>
      </c>
      <c r="B16" s="50" t="s">
        <v>56</v>
      </c>
      <c r="C16" s="158">
        <f>SUM(C9:C15)</f>
        <v>-1551291.67</v>
      </c>
      <c r="D16" s="158">
        <f t="shared" ref="D16:N16" si="0">SUM(D9:D15)</f>
        <v>-883736.20005990437</v>
      </c>
      <c r="E16" s="158">
        <f t="shared" si="0"/>
        <v>-659271.7478600872</v>
      </c>
      <c r="F16" s="158">
        <f t="shared" si="0"/>
        <v>0</v>
      </c>
      <c r="G16" s="158">
        <f t="shared" si="0"/>
        <v>0</v>
      </c>
      <c r="H16" s="158">
        <f t="shared" si="0"/>
        <v>-8283.7220800084524</v>
      </c>
      <c r="I16" s="158">
        <f t="shared" si="0"/>
        <v>0</v>
      </c>
      <c r="J16" s="158">
        <f t="shared" si="0"/>
        <v>0</v>
      </c>
      <c r="K16" s="158">
        <f t="shared" si="0"/>
        <v>0</v>
      </c>
      <c r="L16" s="158">
        <f t="shared" si="0"/>
        <v>0</v>
      </c>
      <c r="M16" s="158">
        <f t="shared" si="0"/>
        <v>0</v>
      </c>
      <c r="N16" s="158">
        <f t="shared" si="0"/>
        <v>0</v>
      </c>
      <c r="O16" s="50"/>
      <c r="P16" s="50"/>
      <c r="Q16" s="342" t="s">
        <v>83</v>
      </c>
      <c r="R16" s="340" t="s">
        <v>78</v>
      </c>
      <c r="S16" s="116">
        <f>IF(SUM(C15)&lt;0,-C15,0)</f>
        <v>1291.67</v>
      </c>
      <c r="T16" s="390">
        <v>0</v>
      </c>
    </row>
    <row r="17" spans="1:20" ht="16.5" hidden="1" customHeight="1" thickTop="1" thickBot="1">
      <c r="T17" s="337">
        <v>0</v>
      </c>
    </row>
    <row r="18" spans="1:20" s="383" customFormat="1" ht="15.75" hidden="1" customHeight="1" thickBot="1">
      <c r="A18" s="53"/>
      <c r="Q18" s="335" t="s">
        <v>107</v>
      </c>
      <c r="R18" s="331"/>
      <c r="S18" s="331"/>
      <c r="T18" s="228"/>
    </row>
    <row r="19" spans="1:20" s="383" customFormat="1" ht="15.75" hidden="1" customHeight="1">
      <c r="A19" s="58">
        <v>41214</v>
      </c>
      <c r="B19" s="59" t="s">
        <v>84</v>
      </c>
      <c r="C19" s="11">
        <f>SUM(D19:N19)</f>
        <v>0</v>
      </c>
      <c r="D19" s="247">
        <v>0</v>
      </c>
      <c r="E19" s="247">
        <v>0</v>
      </c>
      <c r="F19" s="248">
        <v>0</v>
      </c>
      <c r="G19" s="248">
        <v>0</v>
      </c>
      <c r="H19" s="50">
        <v>0</v>
      </c>
      <c r="I19" s="50"/>
      <c r="J19" s="50"/>
      <c r="K19" s="50"/>
      <c r="L19" s="50"/>
      <c r="M19" s="50"/>
      <c r="N19" s="50">
        <v>0</v>
      </c>
      <c r="O19" s="106"/>
      <c r="P19" s="50"/>
      <c r="Q19" s="391" t="s">
        <v>209</v>
      </c>
      <c r="R19" s="392" t="s">
        <v>207</v>
      </c>
      <c r="S19" s="334">
        <f>IF(SUM(C19:C22)&gt;0,C19+C20+C22+C21,0)</f>
        <v>0</v>
      </c>
      <c r="T19" s="336">
        <f>IF(SUM(C19:C22)&lt;0,C19+C20+C22+C21,0)</f>
        <v>-1292.74</v>
      </c>
    </row>
    <row r="20" spans="1:20" s="383" customFormat="1" ht="15.75" hidden="1" customHeight="1">
      <c r="A20" s="62"/>
      <c r="B20" s="59" t="s">
        <v>148</v>
      </c>
      <c r="C20" s="11">
        <f>SUM(D20:N20)</f>
        <v>0</v>
      </c>
      <c r="D20" s="248"/>
      <c r="E20" s="248">
        <v>0</v>
      </c>
      <c r="F20" s="248"/>
      <c r="G20" s="249"/>
      <c r="H20" s="60"/>
      <c r="I20" s="50"/>
      <c r="J20" s="87"/>
      <c r="K20" s="87"/>
      <c r="L20" s="50"/>
      <c r="M20" s="50"/>
      <c r="N20" s="50"/>
      <c r="O20" s="106"/>
      <c r="P20" s="50"/>
      <c r="Q20" s="346" t="s">
        <v>11</v>
      </c>
      <c r="R20" s="347" t="s">
        <v>62</v>
      </c>
      <c r="S20" s="334">
        <v>0</v>
      </c>
      <c r="T20" s="336">
        <v>0</v>
      </c>
    </row>
    <row r="21" spans="1:20" s="383" customFormat="1" ht="15.75" hidden="1" customHeight="1">
      <c r="A21" s="62"/>
      <c r="B21" s="59" t="s">
        <v>144</v>
      </c>
      <c r="C21" s="11">
        <f>SUM(D21:N21)</f>
        <v>0</v>
      </c>
      <c r="D21" s="246">
        <v>0</v>
      </c>
      <c r="E21" s="246"/>
      <c r="F21" s="246"/>
      <c r="G21" s="248">
        <v>0</v>
      </c>
      <c r="H21" s="105"/>
      <c r="I21" s="50"/>
      <c r="J21" s="87"/>
      <c r="K21" s="50"/>
      <c r="L21" s="50"/>
      <c r="M21" s="50"/>
      <c r="N21" s="50"/>
      <c r="O21" s="106"/>
      <c r="P21" s="50"/>
      <c r="Q21" s="339" t="s">
        <v>80</v>
      </c>
      <c r="R21" s="338" t="s">
        <v>59</v>
      </c>
      <c r="S21" s="112">
        <f>IF(SUM(C19)&lt;0,-C19,0)</f>
        <v>0</v>
      </c>
      <c r="T21" s="336">
        <f>IF(SUM(C19)&gt;0,-C19,0)</f>
        <v>0</v>
      </c>
    </row>
    <row r="22" spans="1:20" s="383" customFormat="1" ht="15.75" hidden="1" customHeight="1">
      <c r="A22" s="62"/>
      <c r="B22" s="59" t="s">
        <v>57</v>
      </c>
      <c r="C22" s="64">
        <f>SUM(D22:N22)</f>
        <v>-1292.74</v>
      </c>
      <c r="D22" s="64"/>
      <c r="E22" s="64"/>
      <c r="F22" s="64"/>
      <c r="G22" s="64"/>
      <c r="H22" s="64">
        <f>ROUND(((C16)+(C19)/2)*(O22/12),2)</f>
        <v>-1292.74</v>
      </c>
      <c r="I22" s="64"/>
      <c r="J22" s="64"/>
      <c r="K22" s="64"/>
      <c r="L22" s="64"/>
      <c r="M22" s="64"/>
      <c r="N22" s="64"/>
      <c r="O22" s="99">
        <v>0.01</v>
      </c>
      <c r="P22" s="50"/>
      <c r="Q22" s="341" t="s">
        <v>154</v>
      </c>
      <c r="R22" s="338" t="s">
        <v>77</v>
      </c>
      <c r="S22" s="343">
        <v>0</v>
      </c>
      <c r="T22" s="336">
        <f>IF(SUM(C22)&gt;0,-C22,0)</f>
        <v>0</v>
      </c>
    </row>
    <row r="23" spans="1:20" s="383" customFormat="1" ht="16.5" hidden="1" customHeight="1" thickBot="1">
      <c r="A23" s="104">
        <f>A19</f>
        <v>41214</v>
      </c>
      <c r="B23" s="50" t="s">
        <v>56</v>
      </c>
      <c r="C23" s="158">
        <f>SUM(C16:C22)</f>
        <v>-1552584.41</v>
      </c>
      <c r="D23" s="158">
        <f>SUM(D16:D22)</f>
        <v>-883736.20005990437</v>
      </c>
      <c r="E23" s="158">
        <f t="shared" ref="E23:N23" si="1">SUM(E16:E22)</f>
        <v>-659271.7478600872</v>
      </c>
      <c r="F23" s="158">
        <f t="shared" si="1"/>
        <v>0</v>
      </c>
      <c r="G23" s="158">
        <f t="shared" si="1"/>
        <v>0</v>
      </c>
      <c r="H23" s="158">
        <f>SUM(H16:H22)</f>
        <v>-9576.4620800084522</v>
      </c>
      <c r="I23" s="158">
        <f t="shared" si="1"/>
        <v>0</v>
      </c>
      <c r="J23" s="158">
        <f t="shared" si="1"/>
        <v>0</v>
      </c>
      <c r="K23" s="158">
        <f t="shared" si="1"/>
        <v>0</v>
      </c>
      <c r="L23" s="158">
        <f t="shared" si="1"/>
        <v>0</v>
      </c>
      <c r="M23" s="158">
        <f t="shared" si="1"/>
        <v>0</v>
      </c>
      <c r="N23" s="158">
        <f t="shared" si="1"/>
        <v>0</v>
      </c>
      <c r="O23" s="50"/>
      <c r="P23" s="50"/>
      <c r="Q23" s="342" t="s">
        <v>83</v>
      </c>
      <c r="R23" s="340" t="s">
        <v>78</v>
      </c>
      <c r="S23" s="116">
        <f>IF(SUM(C22)&lt;0,-C22,0)</f>
        <v>1292.74</v>
      </c>
      <c r="T23" s="390">
        <v>0</v>
      </c>
    </row>
    <row r="24" spans="1:20" s="383" customFormat="1" ht="16.5" hidden="1" customHeight="1" thickTop="1" thickBot="1">
      <c r="A24" s="53"/>
      <c r="T24" s="337">
        <v>0</v>
      </c>
    </row>
    <row r="25" spans="1:20" s="383" customFormat="1" ht="15.75" hidden="1" customHeight="1" thickBot="1">
      <c r="A25" s="53"/>
      <c r="Q25" s="335" t="s">
        <v>107</v>
      </c>
      <c r="R25" s="331"/>
      <c r="S25" s="331"/>
      <c r="T25" s="228"/>
    </row>
    <row r="26" spans="1:20" s="383" customFormat="1" ht="15.75" hidden="1" customHeight="1">
      <c r="A26" s="58">
        <v>41244</v>
      </c>
      <c r="B26" s="59" t="s">
        <v>84</v>
      </c>
      <c r="C26" s="11">
        <f>SUM(D26:N26)</f>
        <v>0</v>
      </c>
      <c r="D26" s="247">
        <v>0</v>
      </c>
      <c r="E26" s="247">
        <v>0</v>
      </c>
      <c r="F26" s="248">
        <v>0</v>
      </c>
      <c r="G26" s="248">
        <v>0</v>
      </c>
      <c r="H26" s="50">
        <v>0</v>
      </c>
      <c r="I26" s="50"/>
      <c r="J26" s="50"/>
      <c r="K26" s="50"/>
      <c r="L26" s="50"/>
      <c r="M26" s="50"/>
      <c r="N26" s="50">
        <v>0</v>
      </c>
      <c r="O26" s="106"/>
      <c r="P26" s="50"/>
      <c r="Q26" s="391" t="s">
        <v>209</v>
      </c>
      <c r="R26" s="392" t="s">
        <v>207</v>
      </c>
      <c r="S26" s="334">
        <f>IF(SUM(C26:C29)&gt;0,C26+C27+C29+C28,0)</f>
        <v>0</v>
      </c>
      <c r="T26" s="336">
        <f>IF(SUM(C26:C29)&lt;0,C26+C27+C29+C28,0)</f>
        <v>-1293.82</v>
      </c>
    </row>
    <row r="27" spans="1:20" s="383" customFormat="1" ht="15.75" hidden="1" customHeight="1">
      <c r="A27" s="62"/>
      <c r="B27" s="59" t="s">
        <v>148</v>
      </c>
      <c r="C27" s="11">
        <f>SUM(D27:N27)</f>
        <v>0</v>
      </c>
      <c r="D27" s="248"/>
      <c r="E27" s="248">
        <v>0</v>
      </c>
      <c r="F27" s="248"/>
      <c r="G27" s="249"/>
      <c r="H27" s="60"/>
      <c r="I27" s="50"/>
      <c r="J27" s="87"/>
      <c r="K27" s="87"/>
      <c r="L27" s="50"/>
      <c r="M27" s="50"/>
      <c r="N27" s="50"/>
      <c r="O27" s="106"/>
      <c r="P27" s="50"/>
      <c r="Q27" s="346" t="s">
        <v>11</v>
      </c>
      <c r="R27" s="347" t="s">
        <v>62</v>
      </c>
      <c r="S27" s="334">
        <v>0</v>
      </c>
      <c r="T27" s="336">
        <v>0</v>
      </c>
    </row>
    <row r="28" spans="1:20" s="383" customFormat="1" ht="15.75" hidden="1" customHeight="1">
      <c r="A28" s="62"/>
      <c r="B28" s="59" t="s">
        <v>144</v>
      </c>
      <c r="C28" s="11">
        <f>SUM(D28:N28)</f>
        <v>0</v>
      </c>
      <c r="D28" s="246">
        <v>0</v>
      </c>
      <c r="E28" s="246"/>
      <c r="F28" s="246"/>
      <c r="G28" s="248">
        <v>0</v>
      </c>
      <c r="H28" s="105"/>
      <c r="I28" s="50"/>
      <c r="J28" s="87"/>
      <c r="K28" s="50"/>
      <c r="L28" s="50"/>
      <c r="M28" s="50"/>
      <c r="N28" s="50"/>
      <c r="O28" s="106"/>
      <c r="P28" s="50"/>
      <c r="Q28" s="339" t="s">
        <v>80</v>
      </c>
      <c r="R28" s="338" t="s">
        <v>59</v>
      </c>
      <c r="S28" s="112">
        <f>IF(SUM(C26)&lt;0,-C26,0)</f>
        <v>0</v>
      </c>
      <c r="T28" s="336">
        <f>IF(SUM(C26)&gt;0,-C26,0)</f>
        <v>0</v>
      </c>
    </row>
    <row r="29" spans="1:20" s="383" customFormat="1" ht="15.75" hidden="1" customHeight="1">
      <c r="A29" s="62"/>
      <c r="B29" s="59" t="s">
        <v>57</v>
      </c>
      <c r="C29" s="64">
        <f>SUM(D29:N29)</f>
        <v>-1293.82</v>
      </c>
      <c r="D29" s="64"/>
      <c r="E29" s="64"/>
      <c r="F29" s="64"/>
      <c r="G29" s="64"/>
      <c r="H29" s="64">
        <f>ROUND(((C23)+(C26)/2)*(O29/12),2)</f>
        <v>-1293.82</v>
      </c>
      <c r="I29" s="64"/>
      <c r="J29" s="64"/>
      <c r="K29" s="64"/>
      <c r="L29" s="64"/>
      <c r="M29" s="64"/>
      <c r="N29" s="64"/>
      <c r="O29" s="99">
        <v>0.01</v>
      </c>
      <c r="P29" s="50"/>
      <c r="Q29" s="341" t="s">
        <v>154</v>
      </c>
      <c r="R29" s="338" t="s">
        <v>77</v>
      </c>
      <c r="S29" s="343">
        <v>0</v>
      </c>
      <c r="T29" s="336">
        <f>IF(SUM(C29)&gt;0,-C29,0)</f>
        <v>0</v>
      </c>
    </row>
    <row r="30" spans="1:20" s="383" customFormat="1" ht="16.5" hidden="1" thickBot="1">
      <c r="A30" s="104">
        <f>A26</f>
        <v>41244</v>
      </c>
      <c r="B30" s="50" t="s">
        <v>56</v>
      </c>
      <c r="C30" s="158">
        <f>SUM(C23:C29)</f>
        <v>-1553878.23</v>
      </c>
      <c r="D30" s="158">
        <f>SUM(D23:D29)</f>
        <v>-883736.20005990437</v>
      </c>
      <c r="E30" s="158">
        <f t="shared" ref="E30:G30" si="2">SUM(E23:E29)</f>
        <v>-659271.7478600872</v>
      </c>
      <c r="F30" s="158">
        <f t="shared" si="2"/>
        <v>0</v>
      </c>
      <c r="G30" s="158">
        <f t="shared" si="2"/>
        <v>0</v>
      </c>
      <c r="H30" s="158">
        <f>SUM(H23:H29)</f>
        <v>-10870.282080008452</v>
      </c>
      <c r="I30" s="158">
        <f t="shared" ref="I30:N30" si="3">SUM(I23:I29)</f>
        <v>0</v>
      </c>
      <c r="J30" s="158">
        <f t="shared" si="3"/>
        <v>0</v>
      </c>
      <c r="K30" s="158">
        <f t="shared" si="3"/>
        <v>0</v>
      </c>
      <c r="L30" s="158">
        <f t="shared" si="3"/>
        <v>0</v>
      </c>
      <c r="M30" s="158">
        <f t="shared" si="3"/>
        <v>0</v>
      </c>
      <c r="N30" s="158">
        <f t="shared" si="3"/>
        <v>0</v>
      </c>
      <c r="O30" s="50"/>
      <c r="P30" s="50"/>
      <c r="Q30" s="342" t="s">
        <v>83</v>
      </c>
      <c r="R30" s="340" t="s">
        <v>78</v>
      </c>
      <c r="S30" s="116">
        <f>IF(SUM(C29)&lt;0,-C29,0)</f>
        <v>1293.82</v>
      </c>
      <c r="T30" s="390">
        <v>0</v>
      </c>
    </row>
    <row r="31" spans="1:20" s="383" customFormat="1" ht="16.5" hidden="1" thickTop="1" thickBot="1">
      <c r="A31" s="53"/>
      <c r="T31" s="337">
        <v>0</v>
      </c>
    </row>
    <row r="32" spans="1:20" s="355" customFormat="1" ht="15.75" hidden="1" thickBot="1">
      <c r="A32" s="53"/>
      <c r="B32" s="383"/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35" t="s">
        <v>107</v>
      </c>
      <c r="R32" s="331"/>
      <c r="S32" s="331"/>
      <c r="T32" s="228"/>
    </row>
    <row r="33" spans="1:20" s="355" customFormat="1" ht="15.75" hidden="1">
      <c r="A33" s="58">
        <v>41305</v>
      </c>
      <c r="B33" s="59" t="s">
        <v>84</v>
      </c>
      <c r="C33" s="11">
        <f>SUM(D33:N33)</f>
        <v>0</v>
      </c>
      <c r="D33" s="247">
        <v>0</v>
      </c>
      <c r="E33" s="247">
        <v>0</v>
      </c>
      <c r="F33" s="248">
        <v>0</v>
      </c>
      <c r="G33" s="248">
        <v>0</v>
      </c>
      <c r="H33" s="50">
        <v>0</v>
      </c>
      <c r="I33" s="50"/>
      <c r="J33" s="50"/>
      <c r="K33" s="50"/>
      <c r="L33" s="50"/>
      <c r="M33" s="50"/>
      <c r="N33" s="50">
        <v>0</v>
      </c>
      <c r="O33" s="106"/>
      <c r="P33" s="50"/>
      <c r="Q33" s="391" t="s">
        <v>209</v>
      </c>
      <c r="R33" s="392" t="s">
        <v>207</v>
      </c>
      <c r="S33" s="334">
        <f>IF(SUM(C33:C36)&gt;0,C33+C34+C36+C35,0)</f>
        <v>0</v>
      </c>
      <c r="T33" s="336">
        <f>IF(SUM(C33:C36)&lt;0,C33+C34+C36+C35,0)</f>
        <v>-1294.9000000000001</v>
      </c>
    </row>
    <row r="34" spans="1:20" s="355" customFormat="1" ht="15.75" hidden="1">
      <c r="A34" s="62"/>
      <c r="B34" s="59" t="s">
        <v>148</v>
      </c>
      <c r="C34" s="11">
        <f>SUM(D34:N34)</f>
        <v>0</v>
      </c>
      <c r="D34" s="248"/>
      <c r="E34" s="248">
        <v>0</v>
      </c>
      <c r="F34" s="248"/>
      <c r="G34" s="249"/>
      <c r="H34" s="60"/>
      <c r="I34" s="50"/>
      <c r="J34" s="87"/>
      <c r="K34" s="87"/>
      <c r="L34" s="50"/>
      <c r="M34" s="50"/>
      <c r="N34" s="50"/>
      <c r="O34" s="106"/>
      <c r="P34" s="50"/>
      <c r="Q34" s="346" t="s">
        <v>11</v>
      </c>
      <c r="R34" s="347" t="s">
        <v>62</v>
      </c>
      <c r="S34" s="334">
        <v>0</v>
      </c>
      <c r="T34" s="336">
        <v>0</v>
      </c>
    </row>
    <row r="35" spans="1:20" s="355" customFormat="1" ht="15.75" hidden="1">
      <c r="A35" s="62"/>
      <c r="B35" s="59" t="s">
        <v>144</v>
      </c>
      <c r="C35" s="11">
        <f>SUM(D35:N35)</f>
        <v>0</v>
      </c>
      <c r="D35" s="246">
        <v>0</v>
      </c>
      <c r="E35" s="246"/>
      <c r="F35" s="246"/>
      <c r="G35" s="248">
        <v>0</v>
      </c>
      <c r="H35" s="105"/>
      <c r="I35" s="50"/>
      <c r="J35" s="87"/>
      <c r="K35" s="50"/>
      <c r="L35" s="50"/>
      <c r="M35" s="50"/>
      <c r="N35" s="50"/>
      <c r="O35" s="106"/>
      <c r="P35" s="50"/>
      <c r="Q35" s="339" t="s">
        <v>80</v>
      </c>
      <c r="R35" s="338" t="s">
        <v>59</v>
      </c>
      <c r="S35" s="112">
        <f>IF(SUM(C33)&lt;0,-C33,0)</f>
        <v>0</v>
      </c>
      <c r="T35" s="336">
        <f>IF(SUM(C33)&gt;0,-C33,0)</f>
        <v>0</v>
      </c>
    </row>
    <row r="36" spans="1:20" s="355" customFormat="1" ht="15.75" hidden="1">
      <c r="A36" s="62"/>
      <c r="B36" s="59" t="s">
        <v>57</v>
      </c>
      <c r="C36" s="64">
        <f>SUM(D36:N36)</f>
        <v>-1294.9000000000001</v>
      </c>
      <c r="D36" s="64"/>
      <c r="E36" s="64"/>
      <c r="F36" s="64"/>
      <c r="G36" s="64"/>
      <c r="H36" s="64">
        <f>ROUND(((C30)+(C33)/2)*(O36/12),2)</f>
        <v>-1294.9000000000001</v>
      </c>
      <c r="I36" s="64"/>
      <c r="J36" s="64"/>
      <c r="K36" s="64"/>
      <c r="L36" s="64"/>
      <c r="M36" s="64"/>
      <c r="N36" s="64"/>
      <c r="O36" s="99">
        <v>0.01</v>
      </c>
      <c r="P36" s="50"/>
      <c r="Q36" s="341" t="s">
        <v>154</v>
      </c>
      <c r="R36" s="338" t="s">
        <v>77</v>
      </c>
      <c r="S36" s="343">
        <v>0</v>
      </c>
      <c r="T36" s="336">
        <f>IF(SUM(C36)&gt;0,-C36,0)</f>
        <v>0</v>
      </c>
    </row>
    <row r="37" spans="1:20" s="355" customFormat="1" ht="16.5" hidden="1" thickBot="1">
      <c r="A37" s="104">
        <f>A33</f>
        <v>41305</v>
      </c>
      <c r="B37" s="50" t="s">
        <v>56</v>
      </c>
      <c r="C37" s="158">
        <f>SUM(C30:C36)</f>
        <v>-1555173.13</v>
      </c>
      <c r="D37" s="158">
        <f>SUM(D30:D36)</f>
        <v>-883736.20005990437</v>
      </c>
      <c r="E37" s="158">
        <f t="shared" ref="E37:G37" si="4">SUM(E30:E36)</f>
        <v>-659271.7478600872</v>
      </c>
      <c r="F37" s="158">
        <f t="shared" si="4"/>
        <v>0</v>
      </c>
      <c r="G37" s="158">
        <f t="shared" si="4"/>
        <v>0</v>
      </c>
      <c r="H37" s="158">
        <f>SUM(H30:H36)</f>
        <v>-12165.182080008452</v>
      </c>
      <c r="I37" s="158">
        <f t="shared" ref="I37:N37" si="5">SUM(I30:I36)</f>
        <v>0</v>
      </c>
      <c r="J37" s="158">
        <f t="shared" si="5"/>
        <v>0</v>
      </c>
      <c r="K37" s="158">
        <f t="shared" si="5"/>
        <v>0</v>
      </c>
      <c r="L37" s="158">
        <f t="shared" si="5"/>
        <v>0</v>
      </c>
      <c r="M37" s="158">
        <f t="shared" si="5"/>
        <v>0</v>
      </c>
      <c r="N37" s="158">
        <f t="shared" si="5"/>
        <v>0</v>
      </c>
      <c r="O37" s="50"/>
      <c r="P37" s="50"/>
      <c r="Q37" s="342" t="s">
        <v>83</v>
      </c>
      <c r="R37" s="340" t="s">
        <v>78</v>
      </c>
      <c r="S37" s="116">
        <f>IF(SUM(C36)&lt;0,-C36,0)</f>
        <v>1294.9000000000001</v>
      </c>
      <c r="T37" s="390">
        <v>0</v>
      </c>
    </row>
    <row r="38" spans="1:20" s="355" customFormat="1" ht="15.75" hidden="1" thickTop="1">
      <c r="A38" s="53"/>
      <c r="B38" s="383"/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37">
        <v>0</v>
      </c>
    </row>
    <row r="39" spans="1:20" s="355" customFormat="1" ht="15.75" hidden="1" thickBot="1">
      <c r="A39" s="53"/>
      <c r="B39" s="383"/>
      <c r="C39" s="383"/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</row>
    <row r="40" spans="1:20" s="355" customFormat="1" ht="15.75" hidden="1" thickBot="1">
      <c r="A40" s="53"/>
      <c r="B40" s="383"/>
      <c r="C40" s="383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35" t="s">
        <v>107</v>
      </c>
      <c r="R40" s="331"/>
      <c r="S40" s="331"/>
      <c r="T40" s="228"/>
    </row>
    <row r="41" spans="1:20" s="355" customFormat="1" ht="15.75" hidden="1">
      <c r="A41" s="58">
        <v>41333</v>
      </c>
      <c r="B41" s="59" t="s">
        <v>84</v>
      </c>
      <c r="C41" s="11">
        <f>SUM(D41:N41)</f>
        <v>0</v>
      </c>
      <c r="D41" s="247">
        <v>0</v>
      </c>
      <c r="E41" s="247">
        <v>0</v>
      </c>
      <c r="F41" s="248">
        <v>0</v>
      </c>
      <c r="G41" s="248">
        <v>0</v>
      </c>
      <c r="H41" s="50">
        <v>0</v>
      </c>
      <c r="I41" s="50"/>
      <c r="J41" s="50"/>
      <c r="K41" s="50"/>
      <c r="L41" s="50"/>
      <c r="M41" s="50"/>
      <c r="N41" s="50">
        <v>0</v>
      </c>
      <c r="O41" s="106"/>
      <c r="P41" s="50"/>
      <c r="Q41" s="391" t="s">
        <v>209</v>
      </c>
      <c r="R41" s="392" t="s">
        <v>207</v>
      </c>
      <c r="S41" s="334">
        <f>IF(SUM(C41:C44)&gt;0,C41+C42+C44+C43,0)</f>
        <v>0</v>
      </c>
      <c r="T41" s="336">
        <f>IF(SUM(C41:C44)&lt;0,C41+C42+C44+C43,0)</f>
        <v>-1295.98</v>
      </c>
    </row>
    <row r="42" spans="1:20" s="355" customFormat="1" ht="15.75" hidden="1">
      <c r="A42" s="62"/>
      <c r="B42" s="59" t="s">
        <v>148</v>
      </c>
      <c r="C42" s="11">
        <f>SUM(D42:N42)</f>
        <v>0</v>
      </c>
      <c r="D42" s="248"/>
      <c r="E42" s="248">
        <v>0</v>
      </c>
      <c r="F42" s="248"/>
      <c r="G42" s="249"/>
      <c r="H42" s="60"/>
      <c r="I42" s="50"/>
      <c r="J42" s="87"/>
      <c r="K42" s="87"/>
      <c r="L42" s="50"/>
      <c r="M42" s="50"/>
      <c r="N42" s="50"/>
      <c r="O42" s="106"/>
      <c r="P42" s="50"/>
      <c r="Q42" s="346" t="s">
        <v>11</v>
      </c>
      <c r="R42" s="347" t="s">
        <v>62</v>
      </c>
      <c r="S42" s="334">
        <v>0</v>
      </c>
      <c r="T42" s="336">
        <v>0</v>
      </c>
    </row>
    <row r="43" spans="1:20" s="355" customFormat="1" ht="15.75" hidden="1">
      <c r="A43" s="62"/>
      <c r="B43" s="59" t="s">
        <v>144</v>
      </c>
      <c r="C43" s="11">
        <f>SUM(D43:N43)</f>
        <v>0</v>
      </c>
      <c r="D43" s="246">
        <v>0</v>
      </c>
      <c r="E43" s="246"/>
      <c r="F43" s="246"/>
      <c r="G43" s="248">
        <v>0</v>
      </c>
      <c r="H43" s="105"/>
      <c r="I43" s="50"/>
      <c r="J43" s="87"/>
      <c r="K43" s="50"/>
      <c r="L43" s="50"/>
      <c r="M43" s="50"/>
      <c r="N43" s="50"/>
      <c r="O43" s="106"/>
      <c r="P43" s="50"/>
      <c r="Q43" s="339" t="s">
        <v>80</v>
      </c>
      <c r="R43" s="338" t="s">
        <v>59</v>
      </c>
      <c r="S43" s="112">
        <f>IF(SUM(C41)&lt;0,-C41,0)</f>
        <v>0</v>
      </c>
      <c r="T43" s="336">
        <f>IF(SUM(C41)&gt;0,-C41,0)</f>
        <v>0</v>
      </c>
    </row>
    <row r="44" spans="1:20" s="355" customFormat="1" ht="15.75" hidden="1">
      <c r="A44" s="62"/>
      <c r="B44" s="59" t="s">
        <v>57</v>
      </c>
      <c r="C44" s="64">
        <f>SUM(D44:N44)</f>
        <v>-1295.98</v>
      </c>
      <c r="D44" s="64"/>
      <c r="E44" s="64"/>
      <c r="F44" s="64"/>
      <c r="G44" s="64"/>
      <c r="H44" s="64">
        <v>-1295.98</v>
      </c>
      <c r="I44" s="64"/>
      <c r="J44" s="64"/>
      <c r="K44" s="64"/>
      <c r="L44" s="64"/>
      <c r="M44" s="64"/>
      <c r="N44" s="64"/>
      <c r="O44" s="99">
        <v>0.01</v>
      </c>
      <c r="P44" s="50"/>
      <c r="Q44" s="341" t="s">
        <v>154</v>
      </c>
      <c r="R44" s="338" t="s">
        <v>77</v>
      </c>
      <c r="S44" s="343">
        <v>0</v>
      </c>
      <c r="T44" s="336">
        <f>IF(SUM(C44)&gt;0,-C44,0)</f>
        <v>0</v>
      </c>
    </row>
    <row r="45" spans="1:20" s="355" customFormat="1" ht="16.5" hidden="1" thickBot="1">
      <c r="A45" s="104">
        <f>A41</f>
        <v>41333</v>
      </c>
      <c r="B45" s="50" t="s">
        <v>56</v>
      </c>
      <c r="C45" s="158">
        <f>SUM(C37:C44)</f>
        <v>-1556469.1099999999</v>
      </c>
      <c r="D45" s="158">
        <f>SUM(D37:D44)</f>
        <v>-883736.20005990437</v>
      </c>
      <c r="E45" s="158">
        <f>SUM(E37:E44)</f>
        <v>-659271.7478600872</v>
      </c>
      <c r="F45" s="158">
        <f t="shared" ref="F45:G45" si="6">SUM(F37:F44)</f>
        <v>0</v>
      </c>
      <c r="G45" s="158">
        <f t="shared" si="6"/>
        <v>0</v>
      </c>
      <c r="H45" s="158">
        <f>SUM(H37:H44)</f>
        <v>-13461.162080008451</v>
      </c>
      <c r="I45" s="158">
        <f t="shared" ref="I45:N45" si="7">SUM(I37:I44)</f>
        <v>0</v>
      </c>
      <c r="J45" s="158">
        <f t="shared" si="7"/>
        <v>0</v>
      </c>
      <c r="K45" s="158">
        <f t="shared" si="7"/>
        <v>0</v>
      </c>
      <c r="L45" s="158">
        <f t="shared" si="7"/>
        <v>0</v>
      </c>
      <c r="M45" s="158">
        <f t="shared" si="7"/>
        <v>0</v>
      </c>
      <c r="N45" s="158">
        <f t="shared" si="7"/>
        <v>0</v>
      </c>
      <c r="O45" s="50"/>
      <c r="P45" s="50"/>
      <c r="Q45" s="342" t="s">
        <v>83</v>
      </c>
      <c r="R45" s="340" t="s">
        <v>78</v>
      </c>
      <c r="S45" s="116">
        <f>IF(SUM(C44)&lt;0,-C44,0)</f>
        <v>1295.98</v>
      </c>
      <c r="T45" s="390">
        <v>0</v>
      </c>
    </row>
    <row r="46" spans="1:20" s="355" customFormat="1" ht="15.75" hidden="1" thickTop="1">
      <c r="A46" s="53"/>
      <c r="B46" s="383"/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337">
        <v>0</v>
      </c>
    </row>
    <row r="47" spans="1:20" s="355" customFormat="1" ht="15.75" hidden="1" thickBot="1">
      <c r="A47" s="53"/>
      <c r="B47" s="383"/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</row>
    <row r="48" spans="1:20" s="355" customFormat="1" ht="15.75" hidden="1" thickBot="1">
      <c r="A48" s="53"/>
      <c r="B48" s="383"/>
      <c r="C48" s="383"/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35" t="s">
        <v>107</v>
      </c>
      <c r="R48" s="331"/>
      <c r="S48" s="331"/>
      <c r="T48" s="228"/>
    </row>
    <row r="49" spans="1:20" s="355" customFormat="1" ht="15.75" hidden="1">
      <c r="A49" s="58">
        <v>41364</v>
      </c>
      <c r="B49" s="59" t="s">
        <v>84</v>
      </c>
      <c r="C49" s="11">
        <f>SUM(D49:N49)</f>
        <v>0</v>
      </c>
      <c r="D49" s="247">
        <v>0</v>
      </c>
      <c r="E49" s="247">
        <v>0</v>
      </c>
      <c r="F49" s="248">
        <v>0</v>
      </c>
      <c r="G49" s="248">
        <v>0</v>
      </c>
      <c r="H49" s="50">
        <v>0</v>
      </c>
      <c r="I49" s="50"/>
      <c r="J49" s="50"/>
      <c r="K49" s="50"/>
      <c r="L49" s="50"/>
      <c r="M49" s="50"/>
      <c r="N49" s="50">
        <v>0</v>
      </c>
      <c r="O49" s="106"/>
      <c r="P49" s="50"/>
      <c r="Q49" s="391" t="s">
        <v>209</v>
      </c>
      <c r="R49" s="392" t="s">
        <v>207</v>
      </c>
      <c r="S49" s="334">
        <f>IF(SUM(C49:C52)&gt;0,C49+C50+C52+C51,0)</f>
        <v>0</v>
      </c>
      <c r="T49" s="336">
        <f>IF(SUM(C49:C52)&lt;0,C49+C50+C52+C51,0)</f>
        <v>-1297.06</v>
      </c>
    </row>
    <row r="50" spans="1:20" s="355" customFormat="1" ht="15.75" hidden="1">
      <c r="A50" s="62"/>
      <c r="B50" s="59" t="s">
        <v>148</v>
      </c>
      <c r="C50" s="11">
        <f>SUM(D50:N50)</f>
        <v>0</v>
      </c>
      <c r="D50" s="248"/>
      <c r="E50" s="248">
        <v>0</v>
      </c>
      <c r="F50" s="248"/>
      <c r="G50" s="249"/>
      <c r="H50" s="60"/>
      <c r="I50" s="50"/>
      <c r="J50" s="87"/>
      <c r="K50" s="87"/>
      <c r="L50" s="50"/>
      <c r="M50" s="50"/>
      <c r="N50" s="50"/>
      <c r="O50" s="106"/>
      <c r="P50" s="50"/>
      <c r="Q50" s="346" t="s">
        <v>11</v>
      </c>
      <c r="R50" s="347" t="s">
        <v>62</v>
      </c>
      <c r="S50" s="334">
        <v>0</v>
      </c>
      <c r="T50" s="336">
        <v>0</v>
      </c>
    </row>
    <row r="51" spans="1:20" s="355" customFormat="1" ht="15.75" hidden="1">
      <c r="A51" s="62"/>
      <c r="B51" s="59" t="s">
        <v>144</v>
      </c>
      <c r="C51" s="11">
        <f>SUM(D51:N51)</f>
        <v>0</v>
      </c>
      <c r="D51" s="246">
        <v>0</v>
      </c>
      <c r="E51" s="246"/>
      <c r="F51" s="246"/>
      <c r="G51" s="248">
        <v>0</v>
      </c>
      <c r="H51" s="105"/>
      <c r="I51" s="50"/>
      <c r="J51" s="87"/>
      <c r="K51" s="50"/>
      <c r="L51" s="50"/>
      <c r="M51" s="50"/>
      <c r="N51" s="50"/>
      <c r="O51" s="106"/>
      <c r="P51" s="50"/>
      <c r="Q51" s="339" t="s">
        <v>80</v>
      </c>
      <c r="R51" s="338" t="s">
        <v>59</v>
      </c>
      <c r="S51" s="112">
        <f>IF(SUM(C49)&lt;0,-C49,0)</f>
        <v>0</v>
      </c>
      <c r="T51" s="336">
        <f>IF(SUM(C49)&gt;0,-C49,0)</f>
        <v>0</v>
      </c>
    </row>
    <row r="52" spans="1:20" s="355" customFormat="1" ht="15.75" hidden="1">
      <c r="A52" s="62"/>
      <c r="B52" s="59" t="s">
        <v>57</v>
      </c>
      <c r="C52" s="64">
        <f>SUM(D52:N52)</f>
        <v>-1297.06</v>
      </c>
      <c r="D52" s="64"/>
      <c r="E52" s="64"/>
      <c r="F52" s="64"/>
      <c r="G52" s="64"/>
      <c r="H52" s="64">
        <v>-1297.06</v>
      </c>
      <c r="I52" s="64"/>
      <c r="J52" s="64"/>
      <c r="K52" s="64"/>
      <c r="L52" s="64"/>
      <c r="M52" s="64"/>
      <c r="N52" s="64"/>
      <c r="O52" s="99">
        <v>0.01</v>
      </c>
      <c r="P52" s="50"/>
      <c r="Q52" s="341" t="s">
        <v>154</v>
      </c>
      <c r="R52" s="338" t="s">
        <v>77</v>
      </c>
      <c r="S52" s="343">
        <v>0</v>
      </c>
      <c r="T52" s="336">
        <f>IF(SUM(C52)&gt;0,-C52,0)</f>
        <v>0</v>
      </c>
    </row>
    <row r="53" spans="1:20" s="355" customFormat="1" ht="16.5" hidden="1" thickBot="1">
      <c r="A53" s="104">
        <f>A49</f>
        <v>41364</v>
      </c>
      <c r="B53" s="50" t="s">
        <v>56</v>
      </c>
      <c r="C53" s="158">
        <f>SUM(C45:C52)</f>
        <v>-1557766.17</v>
      </c>
      <c r="D53" s="158">
        <f>SUM(D45:D52)</f>
        <v>-883736.20005990437</v>
      </c>
      <c r="E53" s="158">
        <f>SUM(E45:E52)</f>
        <v>-659271.7478600872</v>
      </c>
      <c r="F53" s="158">
        <f t="shared" ref="F53:G53" si="8">SUM(F45:F52)</f>
        <v>0</v>
      </c>
      <c r="G53" s="158">
        <f t="shared" si="8"/>
        <v>0</v>
      </c>
      <c r="H53" s="158">
        <f>SUM(H45:H52)</f>
        <v>-14758.222080008451</v>
      </c>
      <c r="I53" s="158">
        <f t="shared" ref="I53:N53" si="9">SUM(I45:I52)</f>
        <v>0</v>
      </c>
      <c r="J53" s="158">
        <f t="shared" si="9"/>
        <v>0</v>
      </c>
      <c r="K53" s="158">
        <f t="shared" si="9"/>
        <v>0</v>
      </c>
      <c r="L53" s="158">
        <f t="shared" si="9"/>
        <v>0</v>
      </c>
      <c r="M53" s="158">
        <f t="shared" si="9"/>
        <v>0</v>
      </c>
      <c r="N53" s="158">
        <f t="shared" si="9"/>
        <v>0</v>
      </c>
      <c r="O53" s="50"/>
      <c r="P53" s="50"/>
      <c r="Q53" s="342" t="s">
        <v>83</v>
      </c>
      <c r="R53" s="340" t="s">
        <v>78</v>
      </c>
      <c r="S53" s="116">
        <f>IF(SUM(C52)&lt;0,-C52,0)</f>
        <v>1297.06</v>
      </c>
      <c r="T53" s="390">
        <v>0</v>
      </c>
    </row>
    <row r="54" spans="1:20" s="355" customFormat="1" ht="15.75" hidden="1" thickTop="1">
      <c r="A54" s="53"/>
      <c r="B54" s="383"/>
      <c r="C54" s="383"/>
      <c r="D54" s="383"/>
      <c r="E54" s="383"/>
      <c r="F54" s="383"/>
      <c r="G54" s="383"/>
      <c r="H54" s="383"/>
      <c r="I54" s="383"/>
      <c r="J54" s="383"/>
      <c r="K54" s="383"/>
      <c r="L54" s="383"/>
      <c r="M54" s="383"/>
      <c r="N54" s="383"/>
      <c r="O54" s="383"/>
      <c r="P54" s="383"/>
      <c r="Q54" s="383"/>
      <c r="R54" s="383"/>
      <c r="S54" s="383"/>
      <c r="T54" s="337">
        <v>0</v>
      </c>
    </row>
    <row r="55" spans="1:20" s="355" customFormat="1" ht="15.75" hidden="1" thickBot="1">
      <c r="A55" s="53"/>
      <c r="B55" s="383"/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  <c r="Q55" s="383"/>
      <c r="R55" s="383"/>
      <c r="S55" s="383"/>
      <c r="T55" s="383"/>
    </row>
    <row r="56" spans="1:20" s="355" customFormat="1" ht="15.75" hidden="1" thickBot="1">
      <c r="A56" s="53"/>
      <c r="B56" s="383"/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83"/>
      <c r="O56" s="383"/>
      <c r="P56" s="383"/>
      <c r="Q56" s="335" t="s">
        <v>107</v>
      </c>
      <c r="R56" s="331"/>
      <c r="S56" s="331"/>
      <c r="T56" s="228"/>
    </row>
    <row r="57" spans="1:20" s="355" customFormat="1" ht="15.75" hidden="1">
      <c r="A57" s="58">
        <v>41394</v>
      </c>
      <c r="B57" s="59" t="s">
        <v>84</v>
      </c>
      <c r="C57" s="11">
        <f>SUM(D57:N57)</f>
        <v>0</v>
      </c>
      <c r="D57" s="247">
        <v>0</v>
      </c>
      <c r="E57" s="247">
        <v>0</v>
      </c>
      <c r="F57" s="248">
        <v>0</v>
      </c>
      <c r="G57" s="248">
        <v>0</v>
      </c>
      <c r="H57" s="50">
        <v>0</v>
      </c>
      <c r="I57" s="50"/>
      <c r="J57" s="50"/>
      <c r="K57" s="50"/>
      <c r="L57" s="50"/>
      <c r="M57" s="50"/>
      <c r="N57" s="50">
        <v>0</v>
      </c>
      <c r="O57" s="106"/>
      <c r="P57" s="50"/>
      <c r="Q57" s="391" t="s">
        <v>209</v>
      </c>
      <c r="R57" s="392" t="s">
        <v>207</v>
      </c>
      <c r="S57" s="334">
        <f>IF(SUM(C57:C60)&gt;0,C57+C58+C60+C59,0)</f>
        <v>0</v>
      </c>
      <c r="T57" s="336">
        <f>IF(SUM(C57:C60)&lt;0,C57+C58+C60+C59,0)</f>
        <v>-1298.1400000000001</v>
      </c>
    </row>
    <row r="58" spans="1:20" s="355" customFormat="1" ht="15.75" hidden="1">
      <c r="A58" s="62"/>
      <c r="B58" s="59" t="s">
        <v>148</v>
      </c>
      <c r="C58" s="11">
        <f>SUM(D58:N58)</f>
        <v>0</v>
      </c>
      <c r="D58" s="248"/>
      <c r="E58" s="248">
        <v>0</v>
      </c>
      <c r="F58" s="248"/>
      <c r="G58" s="249"/>
      <c r="H58" s="60"/>
      <c r="I58" s="50"/>
      <c r="J58" s="87"/>
      <c r="K58" s="87"/>
      <c r="L58" s="50"/>
      <c r="M58" s="50"/>
      <c r="N58" s="50"/>
      <c r="O58" s="106"/>
      <c r="P58" s="50"/>
      <c r="Q58" s="346" t="s">
        <v>11</v>
      </c>
      <c r="R58" s="347" t="s">
        <v>62</v>
      </c>
      <c r="S58" s="334">
        <v>0</v>
      </c>
      <c r="T58" s="336">
        <v>0</v>
      </c>
    </row>
    <row r="59" spans="1:20" s="355" customFormat="1" ht="15.75" hidden="1">
      <c r="A59" s="62"/>
      <c r="B59" s="59" t="s">
        <v>144</v>
      </c>
      <c r="C59" s="11">
        <f>SUM(D59:N59)</f>
        <v>0</v>
      </c>
      <c r="D59" s="246">
        <v>0</v>
      </c>
      <c r="E59" s="246"/>
      <c r="F59" s="246"/>
      <c r="G59" s="248">
        <v>0</v>
      </c>
      <c r="H59" s="105"/>
      <c r="I59" s="50"/>
      <c r="J59" s="87"/>
      <c r="K59" s="50"/>
      <c r="L59" s="50"/>
      <c r="M59" s="50"/>
      <c r="N59" s="50"/>
      <c r="O59" s="106"/>
      <c r="P59" s="50"/>
      <c r="Q59" s="339" t="s">
        <v>80</v>
      </c>
      <c r="R59" s="338" t="s">
        <v>59</v>
      </c>
      <c r="S59" s="112">
        <f>IF(SUM(C57)&lt;0,-C57,0)</f>
        <v>0</v>
      </c>
      <c r="T59" s="336">
        <f>IF(SUM(C57)&gt;0,-C57,0)</f>
        <v>0</v>
      </c>
    </row>
    <row r="60" spans="1:20" s="355" customFormat="1" ht="15.75" hidden="1">
      <c r="A60" s="62"/>
      <c r="B60" s="59" t="s">
        <v>57</v>
      </c>
      <c r="C60" s="64">
        <f>SUM(D60:N60)</f>
        <v>-1298.1400000000001</v>
      </c>
      <c r="D60" s="64"/>
      <c r="E60" s="64"/>
      <c r="F60" s="64"/>
      <c r="G60" s="64"/>
      <c r="H60" s="64">
        <v>-1298.1400000000001</v>
      </c>
      <c r="I60" s="64"/>
      <c r="J60" s="64"/>
      <c r="K60" s="64"/>
      <c r="L60" s="64"/>
      <c r="M60" s="64"/>
      <c r="N60" s="64"/>
      <c r="O60" s="99">
        <v>0.01</v>
      </c>
      <c r="P60" s="50"/>
      <c r="Q60" s="341" t="s">
        <v>154</v>
      </c>
      <c r="R60" s="338" t="s">
        <v>77</v>
      </c>
      <c r="S60" s="343">
        <v>0</v>
      </c>
      <c r="T60" s="336">
        <f>IF(SUM(C60)&gt;0,-C60,0)</f>
        <v>0</v>
      </c>
    </row>
    <row r="61" spans="1:20" s="355" customFormat="1" ht="16.5" hidden="1" thickBot="1">
      <c r="A61" s="104">
        <f>A57</f>
        <v>41394</v>
      </c>
      <c r="B61" s="50" t="s">
        <v>56</v>
      </c>
      <c r="C61" s="158">
        <f>SUM(C53:C60)</f>
        <v>-1559064.3099999998</v>
      </c>
      <c r="D61" s="158">
        <f>SUM(D53:D60)</f>
        <v>-883736.20005990437</v>
      </c>
      <c r="E61" s="158">
        <f>SUM(E53:E60)</f>
        <v>-659271.7478600872</v>
      </c>
      <c r="F61" s="158">
        <f t="shared" ref="F61:G61" si="10">SUM(F53:F60)</f>
        <v>0</v>
      </c>
      <c r="G61" s="158">
        <f t="shared" si="10"/>
        <v>0</v>
      </c>
      <c r="H61" s="158">
        <f>SUM(H53:H60)</f>
        <v>-16056.36208000845</v>
      </c>
      <c r="I61" s="158">
        <f t="shared" ref="I61:N61" si="11">SUM(I53:I60)</f>
        <v>0</v>
      </c>
      <c r="J61" s="158">
        <f t="shared" si="11"/>
        <v>0</v>
      </c>
      <c r="K61" s="158">
        <f t="shared" si="11"/>
        <v>0</v>
      </c>
      <c r="L61" s="158">
        <f t="shared" si="11"/>
        <v>0</v>
      </c>
      <c r="M61" s="158">
        <f t="shared" si="11"/>
        <v>0</v>
      </c>
      <c r="N61" s="158">
        <f t="shared" si="11"/>
        <v>0</v>
      </c>
      <c r="O61" s="50"/>
      <c r="P61" s="50"/>
      <c r="Q61" s="342" t="s">
        <v>83</v>
      </c>
      <c r="R61" s="340" t="s">
        <v>78</v>
      </c>
      <c r="S61" s="116">
        <f>IF(SUM(C60)&lt;0,-C60,0)</f>
        <v>1298.1400000000001</v>
      </c>
      <c r="T61" s="390">
        <v>0</v>
      </c>
    </row>
    <row r="62" spans="1:20" s="355" customFormat="1" ht="15.75" hidden="1" thickTop="1">
      <c r="A62" s="53"/>
      <c r="B62" s="383"/>
      <c r="C62" s="384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  <c r="Q62" s="383"/>
      <c r="R62" s="383"/>
      <c r="S62" s="383"/>
      <c r="T62" s="337">
        <v>0</v>
      </c>
    </row>
    <row r="63" spans="1:20" s="355" customFormat="1" ht="15.75" hidden="1" thickBot="1">
      <c r="A63" s="53"/>
      <c r="B63" s="383"/>
      <c r="C63" s="383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383"/>
      <c r="Q63" s="383"/>
      <c r="R63" s="383"/>
      <c r="S63" s="383"/>
      <c r="T63" s="383"/>
    </row>
    <row r="64" spans="1:20" s="355" customFormat="1" ht="15.75" hidden="1" thickBot="1">
      <c r="A64" s="5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35" t="s">
        <v>107</v>
      </c>
      <c r="R64" s="331"/>
      <c r="S64" s="331"/>
      <c r="T64" s="228"/>
    </row>
    <row r="65" spans="1:20" s="355" customFormat="1" ht="15.75" hidden="1">
      <c r="A65" s="58">
        <v>41425</v>
      </c>
      <c r="B65" s="59" t="s">
        <v>84</v>
      </c>
      <c r="C65" s="11">
        <f>SUM(D65:N65)</f>
        <v>0</v>
      </c>
      <c r="D65" s="247">
        <v>0</v>
      </c>
      <c r="E65" s="247">
        <v>0</v>
      </c>
      <c r="F65" s="248">
        <v>0</v>
      </c>
      <c r="G65" s="248">
        <v>0</v>
      </c>
      <c r="H65" s="50">
        <v>0</v>
      </c>
      <c r="I65" s="50"/>
      <c r="J65" s="50"/>
      <c r="K65" s="50"/>
      <c r="L65" s="50"/>
      <c r="M65" s="50"/>
      <c r="N65" s="50">
        <v>0</v>
      </c>
      <c r="O65" s="106"/>
      <c r="P65" s="50"/>
      <c r="Q65" s="391" t="s">
        <v>209</v>
      </c>
      <c r="R65" s="392" t="s">
        <v>207</v>
      </c>
      <c r="S65" s="334">
        <f>IF(SUM(C65:C68)&gt;0,C65+C66+C68+C67,0)</f>
        <v>0</v>
      </c>
      <c r="T65" s="336">
        <f>IF(SUM(C65:C68)&lt;0,C65+C66+C68+C67,0)</f>
        <v>-1299.22</v>
      </c>
    </row>
    <row r="66" spans="1:20" s="355" customFormat="1" ht="15.75" hidden="1">
      <c r="A66" s="62"/>
      <c r="B66" s="59" t="s">
        <v>148</v>
      </c>
      <c r="C66" s="11">
        <f>SUM(D66:N66)</f>
        <v>0</v>
      </c>
      <c r="D66" s="248"/>
      <c r="E66" s="248">
        <v>0</v>
      </c>
      <c r="F66" s="248"/>
      <c r="G66" s="249"/>
      <c r="H66" s="60"/>
      <c r="I66" s="50"/>
      <c r="J66" s="87"/>
      <c r="K66" s="87"/>
      <c r="L66" s="50"/>
      <c r="M66" s="50"/>
      <c r="N66" s="50"/>
      <c r="O66" s="106"/>
      <c r="P66" s="50"/>
      <c r="Q66" s="346" t="s">
        <v>11</v>
      </c>
      <c r="R66" s="347" t="s">
        <v>62</v>
      </c>
      <c r="S66" s="334">
        <v>0</v>
      </c>
      <c r="T66" s="336">
        <v>0</v>
      </c>
    </row>
    <row r="67" spans="1:20" s="355" customFormat="1" ht="15.75" hidden="1">
      <c r="A67" s="62"/>
      <c r="B67" s="59" t="s">
        <v>144</v>
      </c>
      <c r="C67" s="11">
        <f>SUM(D67:N67)</f>
        <v>0</v>
      </c>
      <c r="D67" s="246">
        <v>0</v>
      </c>
      <c r="E67" s="246"/>
      <c r="F67" s="246"/>
      <c r="G67" s="248">
        <v>0</v>
      </c>
      <c r="H67" s="105"/>
      <c r="I67" s="50"/>
      <c r="J67" s="87"/>
      <c r="K67" s="50"/>
      <c r="L67" s="50"/>
      <c r="M67" s="50"/>
      <c r="N67" s="50"/>
      <c r="O67" s="106"/>
      <c r="P67" s="50"/>
      <c r="Q67" s="339" t="s">
        <v>80</v>
      </c>
      <c r="R67" s="338" t="s">
        <v>59</v>
      </c>
      <c r="S67" s="112">
        <f>IF(SUM(C65)&lt;0,-C65,0)</f>
        <v>0</v>
      </c>
      <c r="T67" s="336">
        <f>IF(SUM(C65)&gt;0,-C65,0)</f>
        <v>0</v>
      </c>
    </row>
    <row r="68" spans="1:20" s="355" customFormat="1" ht="15.75" hidden="1">
      <c r="A68" s="62"/>
      <c r="B68" s="59" t="s">
        <v>57</v>
      </c>
      <c r="C68" s="64">
        <f>SUM(D68:N68)</f>
        <v>-1299.22</v>
      </c>
      <c r="D68" s="64"/>
      <c r="E68" s="64"/>
      <c r="F68" s="64"/>
      <c r="G68" s="64"/>
      <c r="H68" s="64">
        <v>-1299.22</v>
      </c>
      <c r="I68" s="64"/>
      <c r="J68" s="64"/>
      <c r="K68" s="64"/>
      <c r="L68" s="64"/>
      <c r="M68" s="64"/>
      <c r="N68" s="64"/>
      <c r="O68" s="99">
        <v>0.01</v>
      </c>
      <c r="P68" s="50"/>
      <c r="Q68" s="341" t="s">
        <v>154</v>
      </c>
      <c r="R68" s="338" t="s">
        <v>77</v>
      </c>
      <c r="S68" s="343">
        <v>0</v>
      </c>
      <c r="T68" s="336">
        <f>IF(SUM(C68)&gt;0,-C68,0)</f>
        <v>0</v>
      </c>
    </row>
    <row r="69" spans="1:20" s="355" customFormat="1" ht="16.5" hidden="1" thickBot="1">
      <c r="A69" s="104">
        <f>A65</f>
        <v>41425</v>
      </c>
      <c r="B69" s="50" t="s">
        <v>56</v>
      </c>
      <c r="C69" s="158">
        <f>SUM(C61:C68)</f>
        <v>-1560363.5299999998</v>
      </c>
      <c r="D69" s="158">
        <f>SUM(D61:D68)</f>
        <v>-883736.20005990437</v>
      </c>
      <c r="E69" s="158">
        <f>SUM(E61:E68)</f>
        <v>-659271.7478600872</v>
      </c>
      <c r="F69" s="158">
        <f t="shared" ref="F69:G69" si="12">SUM(F61:F68)</f>
        <v>0</v>
      </c>
      <c r="G69" s="158">
        <f t="shared" si="12"/>
        <v>0</v>
      </c>
      <c r="H69" s="158">
        <f>SUM(H61:H68)</f>
        <v>-17355.582080008451</v>
      </c>
      <c r="I69" s="158">
        <f t="shared" ref="I69:N69" si="13">SUM(I61:I68)</f>
        <v>0</v>
      </c>
      <c r="J69" s="158">
        <f t="shared" si="13"/>
        <v>0</v>
      </c>
      <c r="K69" s="158">
        <f t="shared" si="13"/>
        <v>0</v>
      </c>
      <c r="L69" s="158">
        <f t="shared" si="13"/>
        <v>0</v>
      </c>
      <c r="M69" s="158">
        <f t="shared" si="13"/>
        <v>0</v>
      </c>
      <c r="N69" s="158">
        <f t="shared" si="13"/>
        <v>0</v>
      </c>
      <c r="O69" s="50"/>
      <c r="P69" s="50"/>
      <c r="Q69" s="342" t="s">
        <v>83</v>
      </c>
      <c r="R69" s="340" t="s">
        <v>78</v>
      </c>
      <c r="S69" s="116">
        <f>IF(SUM(C68)&lt;0,-C68,0)</f>
        <v>1299.22</v>
      </c>
      <c r="T69" s="390">
        <v>0</v>
      </c>
    </row>
    <row r="70" spans="1:20" s="355" customFormat="1" ht="15.75" hidden="1" thickTop="1">
      <c r="A70" s="53"/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37">
        <v>0</v>
      </c>
    </row>
    <row r="71" spans="1:20" s="355" customFormat="1" ht="15.75" hidden="1" thickBot="1">
      <c r="A71" s="53"/>
      <c r="B71" s="383"/>
      <c r="C71" s="383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3"/>
    </row>
    <row r="72" spans="1:20" s="355" customFormat="1" ht="15.75" hidden="1" thickBot="1">
      <c r="A72" s="53"/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35" t="s">
        <v>107</v>
      </c>
      <c r="R72" s="331"/>
      <c r="S72" s="331"/>
      <c r="T72" s="228"/>
    </row>
    <row r="73" spans="1:20" s="355" customFormat="1" ht="15.75" hidden="1">
      <c r="A73" s="58">
        <v>41426</v>
      </c>
      <c r="B73" s="59" t="s">
        <v>84</v>
      </c>
      <c r="C73" s="11">
        <f>SUM(D73:N73)</f>
        <v>0</v>
      </c>
      <c r="D73" s="247">
        <v>0</v>
      </c>
      <c r="E73" s="247">
        <v>0</v>
      </c>
      <c r="F73" s="248">
        <v>0</v>
      </c>
      <c r="G73" s="248">
        <v>0</v>
      </c>
      <c r="H73" s="50">
        <v>0</v>
      </c>
      <c r="I73" s="50"/>
      <c r="J73" s="50"/>
      <c r="K73" s="50"/>
      <c r="L73" s="50"/>
      <c r="M73" s="50"/>
      <c r="N73" s="50">
        <v>0</v>
      </c>
      <c r="O73" s="106"/>
      <c r="P73" s="50"/>
      <c r="Q73" s="391" t="s">
        <v>209</v>
      </c>
      <c r="R73" s="392" t="s">
        <v>207</v>
      </c>
      <c r="S73" s="334">
        <f>IF(SUM(C73:C76)&gt;0,C73+C74+C76+C75,0)</f>
        <v>0</v>
      </c>
      <c r="T73" s="336">
        <f>IF(SUM(C73:C76)&lt;0,C73+C74+C76+C75,0)</f>
        <v>-1300.3</v>
      </c>
    </row>
    <row r="74" spans="1:20" s="355" customFormat="1" ht="15.75" hidden="1">
      <c r="A74" s="62"/>
      <c r="B74" s="59" t="s">
        <v>148</v>
      </c>
      <c r="C74" s="11">
        <f>SUM(D74:N74)</f>
        <v>0</v>
      </c>
      <c r="D74" s="248"/>
      <c r="E74" s="248">
        <v>0</v>
      </c>
      <c r="F74" s="248"/>
      <c r="G74" s="249"/>
      <c r="H74" s="60"/>
      <c r="I74" s="50"/>
      <c r="J74" s="87"/>
      <c r="K74" s="87"/>
      <c r="L74" s="50"/>
      <c r="M74" s="50"/>
      <c r="N74" s="50"/>
      <c r="O74" s="106"/>
      <c r="P74" s="50"/>
      <c r="Q74" s="346" t="s">
        <v>11</v>
      </c>
      <c r="R74" s="347" t="s">
        <v>62</v>
      </c>
      <c r="S74" s="334">
        <v>0</v>
      </c>
      <c r="T74" s="336">
        <v>0</v>
      </c>
    </row>
    <row r="75" spans="1:20" s="355" customFormat="1" ht="15.75" hidden="1">
      <c r="A75" s="62"/>
      <c r="B75" s="59" t="s">
        <v>144</v>
      </c>
      <c r="C75" s="11">
        <f>SUM(D75:N75)</f>
        <v>0</v>
      </c>
      <c r="D75" s="246">
        <v>0</v>
      </c>
      <c r="E75" s="246"/>
      <c r="F75" s="246"/>
      <c r="G75" s="248">
        <v>0</v>
      </c>
      <c r="H75" s="105"/>
      <c r="I75" s="50"/>
      <c r="J75" s="87"/>
      <c r="K75" s="50"/>
      <c r="L75" s="50"/>
      <c r="M75" s="50"/>
      <c r="N75" s="50"/>
      <c r="O75" s="106"/>
      <c r="P75" s="50"/>
      <c r="Q75" s="339" t="s">
        <v>80</v>
      </c>
      <c r="R75" s="338" t="s">
        <v>59</v>
      </c>
      <c r="S75" s="112">
        <f>IF(SUM(C73)&lt;0,-C73,0)</f>
        <v>0</v>
      </c>
      <c r="T75" s="336">
        <f>IF(SUM(C73)&gt;0,-C73,0)</f>
        <v>0</v>
      </c>
    </row>
    <row r="76" spans="1:20" s="355" customFormat="1" ht="15.75" hidden="1">
      <c r="A76" s="62"/>
      <c r="B76" s="59" t="s">
        <v>57</v>
      </c>
      <c r="C76" s="64">
        <f>SUM(D76:N76)</f>
        <v>-1300.3</v>
      </c>
      <c r="D76" s="64"/>
      <c r="E76" s="64"/>
      <c r="F76" s="64"/>
      <c r="G76" s="64"/>
      <c r="H76" s="64">
        <f>ROUND(((C69)+(C73)/2)*(O76/12),2)</f>
        <v>-1300.3</v>
      </c>
      <c r="I76" s="64"/>
      <c r="J76" s="64"/>
      <c r="K76" s="64"/>
      <c r="L76" s="64"/>
      <c r="M76" s="64"/>
      <c r="N76" s="64"/>
      <c r="O76" s="99">
        <v>0.01</v>
      </c>
      <c r="P76" s="50"/>
      <c r="Q76" s="341" t="s">
        <v>154</v>
      </c>
      <c r="R76" s="338" t="s">
        <v>77</v>
      </c>
      <c r="S76" s="343">
        <v>0</v>
      </c>
      <c r="T76" s="336">
        <f>IF(SUM(C76)&gt;0,-C76,0)</f>
        <v>0</v>
      </c>
    </row>
    <row r="77" spans="1:20" s="355" customFormat="1" ht="16.5" thickBot="1">
      <c r="A77" s="104">
        <f>A73</f>
        <v>41426</v>
      </c>
      <c r="B77" s="50" t="s">
        <v>56</v>
      </c>
      <c r="C77" s="158">
        <f>SUM(C69:C76)</f>
        <v>-1561663.8299999998</v>
      </c>
      <c r="D77" s="158">
        <f>SUM(D69:D76)</f>
        <v>-883736.20005990437</v>
      </c>
      <c r="E77" s="158">
        <f>SUM(E69:E76)</f>
        <v>-659271.7478600872</v>
      </c>
      <c r="F77" s="158">
        <f t="shared" ref="F77:G77" si="14">SUM(F69:F76)</f>
        <v>0</v>
      </c>
      <c r="G77" s="158">
        <f t="shared" si="14"/>
        <v>0</v>
      </c>
      <c r="H77" s="158">
        <f>SUM(H69:H76)</f>
        <v>-18655.88208000845</v>
      </c>
      <c r="I77" s="158">
        <f t="shared" ref="I77:N77" si="15">SUM(I69:I76)</f>
        <v>0</v>
      </c>
      <c r="J77" s="158">
        <f t="shared" si="15"/>
        <v>0</v>
      </c>
      <c r="K77" s="158">
        <f t="shared" si="15"/>
        <v>0</v>
      </c>
      <c r="L77" s="158">
        <f t="shared" si="15"/>
        <v>0</v>
      </c>
      <c r="M77" s="158">
        <f t="shared" si="15"/>
        <v>0</v>
      </c>
      <c r="N77" s="158">
        <f t="shared" si="15"/>
        <v>0</v>
      </c>
      <c r="O77" s="50"/>
      <c r="P77" s="50"/>
      <c r="Q77" s="342" t="s">
        <v>83</v>
      </c>
      <c r="R77" s="340" t="s">
        <v>78</v>
      </c>
      <c r="S77" s="116">
        <f>IF(SUM(C76)&lt;0,-C76,0)</f>
        <v>1300.3</v>
      </c>
      <c r="T77" s="390">
        <v>0</v>
      </c>
    </row>
    <row r="78" spans="1:20" s="355" customFormat="1" ht="15.75" thickTop="1">
      <c r="A78" s="53"/>
      <c r="B78" s="383"/>
      <c r="C78" s="383"/>
      <c r="D78" s="383"/>
      <c r="E78" s="383"/>
      <c r="F78" s="383"/>
      <c r="G78" s="383"/>
      <c r="H78" s="383"/>
      <c r="I78" s="383"/>
      <c r="J78" s="383"/>
      <c r="K78" s="383"/>
      <c r="L78" s="383"/>
      <c r="M78" s="383"/>
      <c r="N78" s="383"/>
      <c r="O78" s="383"/>
      <c r="P78" s="383"/>
      <c r="Q78" s="383"/>
      <c r="R78" s="383"/>
      <c r="S78" s="383"/>
      <c r="T78" s="337">
        <v>0</v>
      </c>
    </row>
    <row r="79" spans="1:20" s="355" customFormat="1" ht="16.5" thickBot="1">
      <c r="A79" s="363"/>
      <c r="B79" s="358"/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69"/>
      <c r="P79" s="315"/>
      <c r="Q79" s="370"/>
      <c r="R79" s="361"/>
      <c r="S79" s="368"/>
      <c r="T79" s="368"/>
    </row>
    <row r="80" spans="1:20" s="355" customFormat="1" ht="15.75" thickBot="1">
      <c r="A80" s="53"/>
      <c r="B80" s="383"/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3"/>
      <c r="Q80" s="335" t="s">
        <v>107</v>
      </c>
      <c r="R80" s="331"/>
      <c r="S80" s="331"/>
      <c r="T80" s="228"/>
    </row>
    <row r="81" spans="1:20" s="355" customFormat="1" ht="15.75">
      <c r="A81" s="58">
        <v>41456</v>
      </c>
      <c r="B81" s="59" t="s">
        <v>84</v>
      </c>
      <c r="C81" s="11">
        <f>SUM(D81:N81)</f>
        <v>0</v>
      </c>
      <c r="D81" s="247">
        <v>0</v>
      </c>
      <c r="E81" s="247">
        <v>0</v>
      </c>
      <c r="F81" s="248">
        <v>0</v>
      </c>
      <c r="G81" s="248">
        <v>0</v>
      </c>
      <c r="H81" s="50">
        <v>0</v>
      </c>
      <c r="I81" s="50"/>
      <c r="J81" s="50"/>
      <c r="K81" s="50"/>
      <c r="L81" s="50"/>
      <c r="M81" s="50"/>
      <c r="N81" s="50">
        <v>0</v>
      </c>
      <c r="O81" s="106"/>
      <c r="P81" s="50"/>
      <c r="Q81" s="391" t="s">
        <v>209</v>
      </c>
      <c r="R81" s="392" t="s">
        <v>207</v>
      </c>
      <c r="S81" s="334">
        <f>IF(SUM(C81:C84)&gt;0,C81+C82+C84+C83,0)</f>
        <v>0</v>
      </c>
      <c r="T81" s="336">
        <f>IF(SUM(C81:C84)&lt;0,C81+C82+C84+C83,0)</f>
        <v>-1301.3900000000001</v>
      </c>
    </row>
    <row r="82" spans="1:20" s="355" customFormat="1" ht="15.75">
      <c r="A82" s="62"/>
      <c r="B82" s="59" t="s">
        <v>148</v>
      </c>
      <c r="C82" s="11">
        <f>SUM(D82:N82)</f>
        <v>0</v>
      </c>
      <c r="D82" s="248"/>
      <c r="E82" s="248">
        <v>0</v>
      </c>
      <c r="F82" s="248"/>
      <c r="G82" s="249"/>
      <c r="H82" s="60"/>
      <c r="I82" s="50"/>
      <c r="J82" s="87"/>
      <c r="K82" s="87"/>
      <c r="L82" s="50"/>
      <c r="M82" s="50"/>
      <c r="N82" s="50"/>
      <c r="O82" s="106"/>
      <c r="P82" s="50"/>
      <c r="Q82" s="346" t="s">
        <v>11</v>
      </c>
      <c r="R82" s="347" t="s">
        <v>62</v>
      </c>
      <c r="S82" s="334">
        <v>0</v>
      </c>
      <c r="T82" s="336">
        <v>0</v>
      </c>
    </row>
    <row r="83" spans="1:20" s="355" customFormat="1" ht="15.75">
      <c r="A83" s="62"/>
      <c r="B83" s="59" t="s">
        <v>144</v>
      </c>
      <c r="C83" s="11">
        <f>SUM(D83:N83)</f>
        <v>0</v>
      </c>
      <c r="D83" s="246">
        <v>0</v>
      </c>
      <c r="E83" s="246"/>
      <c r="F83" s="246"/>
      <c r="G83" s="248">
        <v>0</v>
      </c>
      <c r="H83" s="105"/>
      <c r="I83" s="50"/>
      <c r="J83" s="87"/>
      <c r="K83" s="50"/>
      <c r="L83" s="50"/>
      <c r="M83" s="50"/>
      <c r="N83" s="50"/>
      <c r="O83" s="106"/>
      <c r="P83" s="50"/>
      <c r="Q83" s="339" t="s">
        <v>80</v>
      </c>
      <c r="R83" s="338" t="s">
        <v>59</v>
      </c>
      <c r="S83" s="112">
        <f>IF(SUM(C81)&lt;0,-C81,0)</f>
        <v>0</v>
      </c>
      <c r="T83" s="336">
        <f>IF(SUM(C81)&gt;0,-C81,0)</f>
        <v>0</v>
      </c>
    </row>
    <row r="84" spans="1:20" s="355" customFormat="1" ht="15.75">
      <c r="A84" s="62"/>
      <c r="B84" s="59" t="s">
        <v>57</v>
      </c>
      <c r="C84" s="64">
        <f>SUM(D84:N84)</f>
        <v>-1301.3900000000001</v>
      </c>
      <c r="D84" s="64"/>
      <c r="E84" s="64"/>
      <c r="F84" s="64"/>
      <c r="G84" s="64"/>
      <c r="H84" s="64">
        <f>ROUND(((C77)+(C81)/2)*(O84/12),2)</f>
        <v>-1301.3900000000001</v>
      </c>
      <c r="I84" s="64"/>
      <c r="J84" s="64"/>
      <c r="K84" s="64"/>
      <c r="L84" s="64"/>
      <c r="M84" s="64"/>
      <c r="N84" s="64"/>
      <c r="O84" s="99">
        <v>0.01</v>
      </c>
      <c r="P84" s="50"/>
      <c r="Q84" s="341" t="s">
        <v>154</v>
      </c>
      <c r="R84" s="338" t="s">
        <v>77</v>
      </c>
      <c r="S84" s="343">
        <v>0</v>
      </c>
      <c r="T84" s="336">
        <f>IF(SUM(C84)&gt;0,-C84,0)</f>
        <v>0</v>
      </c>
    </row>
    <row r="85" spans="1:20" s="355" customFormat="1" ht="16.5" thickBot="1">
      <c r="A85" s="104">
        <f>A81</f>
        <v>41456</v>
      </c>
      <c r="B85" s="50" t="s">
        <v>56</v>
      </c>
      <c r="C85" s="158">
        <f>SUM(C77:C84)</f>
        <v>-1562965.2199999997</v>
      </c>
      <c r="D85" s="158">
        <f>SUM(D77:D84)</f>
        <v>-883736.20005990437</v>
      </c>
      <c r="E85" s="158">
        <f>SUM(E77:E84)</f>
        <v>-659271.7478600872</v>
      </c>
      <c r="F85" s="158">
        <f t="shared" ref="F85:G85" si="16">SUM(F77:F84)</f>
        <v>0</v>
      </c>
      <c r="G85" s="158">
        <f t="shared" si="16"/>
        <v>0</v>
      </c>
      <c r="H85" s="158">
        <f>SUM(H77:H84)</f>
        <v>-19957.27208000845</v>
      </c>
      <c r="I85" s="158">
        <f t="shared" ref="I85:N85" si="17">SUM(I77:I84)</f>
        <v>0</v>
      </c>
      <c r="J85" s="158">
        <f t="shared" si="17"/>
        <v>0</v>
      </c>
      <c r="K85" s="158">
        <f t="shared" si="17"/>
        <v>0</v>
      </c>
      <c r="L85" s="158">
        <f t="shared" si="17"/>
        <v>0</v>
      </c>
      <c r="M85" s="158">
        <f t="shared" si="17"/>
        <v>0</v>
      </c>
      <c r="N85" s="158">
        <f t="shared" si="17"/>
        <v>0</v>
      </c>
      <c r="O85" s="50"/>
      <c r="P85" s="50"/>
      <c r="Q85" s="342" t="s">
        <v>83</v>
      </c>
      <c r="R85" s="340" t="s">
        <v>78</v>
      </c>
      <c r="S85" s="116">
        <f>IF(SUM(C84)&lt;0,-C84,0)</f>
        <v>1301.3900000000001</v>
      </c>
      <c r="T85" s="390">
        <v>0</v>
      </c>
    </row>
    <row r="86" spans="1:20" s="355" customFormat="1" ht="15.75" thickTop="1">
      <c r="A86" s="53"/>
      <c r="B86" s="383"/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3"/>
      <c r="R86" s="383"/>
      <c r="S86" s="383"/>
      <c r="T86" s="337">
        <v>0</v>
      </c>
    </row>
    <row r="87" spans="1:20" s="355" customFormat="1" ht="16.5" thickBot="1">
      <c r="A87" s="363"/>
      <c r="B87" s="358"/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69"/>
      <c r="P87" s="315"/>
      <c r="Q87" s="370"/>
      <c r="R87" s="361"/>
      <c r="S87" s="368"/>
      <c r="T87" s="368"/>
    </row>
    <row r="88" spans="1:20" s="355" customFormat="1" ht="15.75" thickBot="1">
      <c r="A88" s="53"/>
      <c r="B88" s="383"/>
      <c r="C88" s="383"/>
      <c r="D88" s="383"/>
      <c r="E88" s="383"/>
      <c r="F88" s="383"/>
      <c r="G88" s="383"/>
      <c r="H88" s="383"/>
      <c r="I88" s="383"/>
      <c r="J88" s="383"/>
      <c r="K88" s="383"/>
      <c r="L88" s="383"/>
      <c r="M88" s="383"/>
      <c r="N88" s="383"/>
      <c r="O88" s="383"/>
      <c r="P88" s="383"/>
      <c r="Q88" s="335" t="s">
        <v>107</v>
      </c>
      <c r="R88" s="331"/>
      <c r="S88" s="331"/>
      <c r="T88" s="228"/>
    </row>
    <row r="89" spans="1:20" s="355" customFormat="1" ht="15.75">
      <c r="A89" s="58">
        <v>41487</v>
      </c>
      <c r="B89" s="59" t="s">
        <v>84</v>
      </c>
      <c r="C89" s="11">
        <f>SUM(D89:N89)</f>
        <v>0</v>
      </c>
      <c r="D89" s="247">
        <v>0</v>
      </c>
      <c r="E89" s="247">
        <v>0</v>
      </c>
      <c r="F89" s="248">
        <v>0</v>
      </c>
      <c r="G89" s="248">
        <v>0</v>
      </c>
      <c r="H89" s="50">
        <v>0</v>
      </c>
      <c r="I89" s="50"/>
      <c r="J89" s="50"/>
      <c r="K89" s="50"/>
      <c r="L89" s="50"/>
      <c r="M89" s="50"/>
      <c r="N89" s="50">
        <v>0</v>
      </c>
      <c r="O89" s="106"/>
      <c r="P89" s="50"/>
      <c r="Q89" s="391" t="s">
        <v>209</v>
      </c>
      <c r="R89" s="392" t="s">
        <v>207</v>
      </c>
      <c r="S89" s="334">
        <f>IF(SUM(C89:C92)&gt;0,C89+C90+C92+C91,0)</f>
        <v>0</v>
      </c>
      <c r="T89" s="336">
        <f>IF(SUM(C89:C92)&lt;0,C89+C90+C92+C91,0)</f>
        <v>-1302.47</v>
      </c>
    </row>
    <row r="90" spans="1:20" s="355" customFormat="1" ht="15.75">
      <c r="A90" s="62"/>
      <c r="B90" s="59" t="s">
        <v>148</v>
      </c>
      <c r="C90" s="11">
        <f>SUM(D90:N90)</f>
        <v>0</v>
      </c>
      <c r="D90" s="248"/>
      <c r="E90" s="248">
        <v>0</v>
      </c>
      <c r="F90" s="248"/>
      <c r="G90" s="249"/>
      <c r="H90" s="60"/>
      <c r="I90" s="50"/>
      <c r="J90" s="87"/>
      <c r="K90" s="87"/>
      <c r="L90" s="50"/>
      <c r="M90" s="50"/>
      <c r="N90" s="50"/>
      <c r="O90" s="106"/>
      <c r="P90" s="50"/>
      <c r="Q90" s="346" t="s">
        <v>11</v>
      </c>
      <c r="R90" s="347" t="s">
        <v>62</v>
      </c>
      <c r="S90" s="334">
        <v>0</v>
      </c>
      <c r="T90" s="336">
        <v>0</v>
      </c>
    </row>
    <row r="91" spans="1:20" s="355" customFormat="1" ht="15.75">
      <c r="A91" s="62"/>
      <c r="B91" s="59" t="s">
        <v>144</v>
      </c>
      <c r="C91" s="11">
        <f>SUM(D91:N91)</f>
        <v>0</v>
      </c>
      <c r="D91" s="246">
        <v>0</v>
      </c>
      <c r="E91" s="246"/>
      <c r="F91" s="246"/>
      <c r="G91" s="248">
        <v>0</v>
      </c>
      <c r="H91" s="105"/>
      <c r="I91" s="50"/>
      <c r="J91" s="87"/>
      <c r="K91" s="50"/>
      <c r="L91" s="50"/>
      <c r="M91" s="50"/>
      <c r="N91" s="50"/>
      <c r="O91" s="106"/>
      <c r="P91" s="50"/>
      <c r="Q91" s="339" t="s">
        <v>80</v>
      </c>
      <c r="R91" s="338" t="s">
        <v>59</v>
      </c>
      <c r="S91" s="112">
        <f>IF(SUM(C89)&lt;0,-C89,0)</f>
        <v>0</v>
      </c>
      <c r="T91" s="336">
        <f>IF(SUM(C89)&gt;0,-C89,0)</f>
        <v>0</v>
      </c>
    </row>
    <row r="92" spans="1:20" s="355" customFormat="1" ht="15.75">
      <c r="A92" s="62"/>
      <c r="B92" s="59" t="s">
        <v>57</v>
      </c>
      <c r="C92" s="64">
        <f>SUM(D92:N92)</f>
        <v>-1302.47</v>
      </c>
      <c r="D92" s="64"/>
      <c r="E92" s="64"/>
      <c r="F92" s="64"/>
      <c r="G92" s="64"/>
      <c r="H92" s="64">
        <v>-1302.47</v>
      </c>
      <c r="I92" s="64"/>
      <c r="J92" s="64"/>
      <c r="K92" s="64"/>
      <c r="L92" s="64"/>
      <c r="M92" s="64"/>
      <c r="N92" s="64"/>
      <c r="O92" s="99">
        <v>0.01</v>
      </c>
      <c r="P92" s="50"/>
      <c r="Q92" s="341" t="s">
        <v>154</v>
      </c>
      <c r="R92" s="338" t="s">
        <v>77</v>
      </c>
      <c r="S92" s="343">
        <v>0</v>
      </c>
      <c r="T92" s="336">
        <f>IF(SUM(C92)&gt;0,-C92,0)</f>
        <v>0</v>
      </c>
    </row>
    <row r="93" spans="1:20" s="355" customFormat="1" ht="16.5" thickBot="1">
      <c r="A93" s="104">
        <f>A89</f>
        <v>41487</v>
      </c>
      <c r="B93" s="50" t="s">
        <v>56</v>
      </c>
      <c r="C93" s="158">
        <f>SUM(C85:C92)</f>
        <v>-1564267.6899999997</v>
      </c>
      <c r="D93" s="158">
        <f>SUM(D85:D92)</f>
        <v>-883736.20005990437</v>
      </c>
      <c r="E93" s="158">
        <f>SUM(E85:E92)</f>
        <v>-659271.7478600872</v>
      </c>
      <c r="F93" s="158">
        <f t="shared" ref="F93:G93" si="18">SUM(F85:F92)</f>
        <v>0</v>
      </c>
      <c r="G93" s="158">
        <f t="shared" si="18"/>
        <v>0</v>
      </c>
      <c r="H93" s="158">
        <f>SUM(H85:H92)</f>
        <v>-21259.742080008451</v>
      </c>
      <c r="I93" s="158">
        <f t="shared" ref="I93:N93" si="19">SUM(I85:I92)</f>
        <v>0</v>
      </c>
      <c r="J93" s="158">
        <f t="shared" si="19"/>
        <v>0</v>
      </c>
      <c r="K93" s="158">
        <f t="shared" si="19"/>
        <v>0</v>
      </c>
      <c r="L93" s="158">
        <f t="shared" si="19"/>
        <v>0</v>
      </c>
      <c r="M93" s="158">
        <f t="shared" si="19"/>
        <v>0</v>
      </c>
      <c r="N93" s="158">
        <f t="shared" si="19"/>
        <v>0</v>
      </c>
      <c r="O93" s="50"/>
      <c r="P93" s="50"/>
      <c r="Q93" s="342" t="s">
        <v>83</v>
      </c>
      <c r="R93" s="340" t="s">
        <v>78</v>
      </c>
      <c r="S93" s="116">
        <f>IF(SUM(C92)&lt;0,-C92,0)</f>
        <v>1302.47</v>
      </c>
      <c r="T93" s="390">
        <v>0</v>
      </c>
    </row>
    <row r="94" spans="1:20" s="355" customFormat="1" ht="15.75" thickTop="1">
      <c r="A94" s="53"/>
      <c r="B94" s="383"/>
      <c r="C94" s="383"/>
      <c r="D94" s="383"/>
      <c r="E94" s="383"/>
      <c r="F94" s="383"/>
      <c r="G94" s="383"/>
      <c r="H94" s="383"/>
      <c r="I94" s="383"/>
      <c r="J94" s="383"/>
      <c r="K94" s="383"/>
      <c r="L94" s="383"/>
      <c r="M94" s="383"/>
      <c r="N94" s="383"/>
      <c r="O94" s="383"/>
      <c r="P94" s="383"/>
      <c r="Q94" s="383"/>
      <c r="R94" s="383"/>
      <c r="S94" s="383"/>
      <c r="T94" s="337">
        <f>SUM(S89:T93)</f>
        <v>0</v>
      </c>
    </row>
    <row r="95" spans="1:20" s="355" customFormat="1" ht="16.5" thickBot="1">
      <c r="A95" s="371"/>
      <c r="B95" s="315"/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70"/>
      <c r="R95" s="372"/>
      <c r="S95" s="368"/>
      <c r="T95" s="368"/>
    </row>
    <row r="96" spans="1:20" s="355" customFormat="1" ht="15.75" thickBot="1">
      <c r="A96" s="53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Q96" s="335" t="s">
        <v>107</v>
      </c>
      <c r="R96" s="331"/>
      <c r="S96" s="331"/>
      <c r="T96" s="228"/>
    </row>
    <row r="97" spans="1:20" s="355" customFormat="1" ht="15.75">
      <c r="A97" s="58">
        <v>41518</v>
      </c>
      <c r="B97" s="59" t="s">
        <v>84</v>
      </c>
      <c r="C97" s="11">
        <f>SUM(D97:N97)</f>
        <v>0</v>
      </c>
      <c r="D97" s="247">
        <v>0</v>
      </c>
      <c r="E97" s="247">
        <v>0</v>
      </c>
      <c r="F97" s="248">
        <v>0</v>
      </c>
      <c r="G97" s="248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91" t="s">
        <v>209</v>
      </c>
      <c r="R97" s="392" t="s">
        <v>207</v>
      </c>
      <c r="S97" s="334">
        <f>IF(SUM(C97:C100)&gt;0,C97+C98+C100+C99,0)</f>
        <v>0</v>
      </c>
      <c r="T97" s="336">
        <f>IF(SUM(C97:C100)&lt;0,C97+C98+C100+C99,0)</f>
        <v>-1303.56</v>
      </c>
    </row>
    <row r="98" spans="1:20" s="355" customFormat="1" ht="15.75">
      <c r="A98" s="62"/>
      <c r="B98" s="59" t="s">
        <v>148</v>
      </c>
      <c r="C98" s="11">
        <f>SUM(D98:N98)</f>
        <v>0</v>
      </c>
      <c r="D98" s="248"/>
      <c r="E98" s="248">
        <v>0</v>
      </c>
      <c r="F98" s="248"/>
      <c r="G98" s="249"/>
      <c r="H98" s="60"/>
      <c r="I98" s="50"/>
      <c r="J98" s="87"/>
      <c r="K98" s="87"/>
      <c r="L98" s="50"/>
      <c r="M98" s="50"/>
      <c r="N98" s="50"/>
      <c r="O98" s="106"/>
      <c r="P98" s="50"/>
      <c r="Q98" s="346" t="s">
        <v>11</v>
      </c>
      <c r="R98" s="347" t="s">
        <v>62</v>
      </c>
      <c r="S98" s="334">
        <v>0</v>
      </c>
      <c r="T98" s="336">
        <v>0</v>
      </c>
    </row>
    <row r="99" spans="1:20" s="355" customFormat="1" ht="15.75">
      <c r="A99" s="62"/>
      <c r="B99" s="59" t="s">
        <v>144</v>
      </c>
      <c r="C99" s="11">
        <f>SUM(D99:N99)</f>
        <v>0</v>
      </c>
      <c r="D99" s="246">
        <v>0</v>
      </c>
      <c r="E99" s="246"/>
      <c r="F99" s="246"/>
      <c r="G99" s="248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39" t="s">
        <v>80</v>
      </c>
      <c r="R99" s="338" t="s">
        <v>59</v>
      </c>
      <c r="S99" s="112">
        <f>IF(SUM(C97)&lt;0,-C97,0)</f>
        <v>0</v>
      </c>
      <c r="T99" s="336">
        <f>IF(SUM(C97)&gt;0,-C97,0)</f>
        <v>0</v>
      </c>
    </row>
    <row r="100" spans="1:20" s="355" customFormat="1" ht="15.75">
      <c r="A100" s="62"/>
      <c r="B100" s="59" t="s">
        <v>57</v>
      </c>
      <c r="C100" s="64">
        <f>SUM(D100:N100)</f>
        <v>-1303.56</v>
      </c>
      <c r="D100" s="64"/>
      <c r="E100" s="64"/>
      <c r="F100" s="64"/>
      <c r="G100" s="64"/>
      <c r="H100" s="64">
        <f>ROUND(((C93)+(C97)/2)*(O100/12),2)</f>
        <v>-1303.56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41" t="s">
        <v>154</v>
      </c>
      <c r="R100" s="338" t="s">
        <v>77</v>
      </c>
      <c r="S100" s="343">
        <v>0</v>
      </c>
      <c r="T100" s="336">
        <f>IF(SUM(C100)&gt;0,-C100,0)</f>
        <v>0</v>
      </c>
    </row>
    <row r="101" spans="1:20" s="355" customFormat="1" ht="16.5" thickBot="1">
      <c r="A101" s="104">
        <f>A97</f>
        <v>41518</v>
      </c>
      <c r="B101" s="50" t="s">
        <v>56</v>
      </c>
      <c r="C101" s="158">
        <f>SUM(C93:C100)</f>
        <v>-1565571.2499999998</v>
      </c>
      <c r="D101" s="158">
        <f>SUM(D93:D100)</f>
        <v>-883736.20005990437</v>
      </c>
      <c r="E101" s="158">
        <f>SUM(E93:E100)</f>
        <v>-659271.7478600872</v>
      </c>
      <c r="F101" s="158">
        <f t="shared" ref="F101:G101" si="20">SUM(F93:F100)</f>
        <v>0</v>
      </c>
      <c r="G101" s="158">
        <f t="shared" si="20"/>
        <v>0</v>
      </c>
      <c r="H101" s="158">
        <f>SUM(H93:H100)</f>
        <v>-22563.302080008452</v>
      </c>
      <c r="I101" s="158">
        <f t="shared" ref="I101:N101" si="21">SUM(I93:I100)</f>
        <v>0</v>
      </c>
      <c r="J101" s="158">
        <f t="shared" si="21"/>
        <v>0</v>
      </c>
      <c r="K101" s="158">
        <f t="shared" si="21"/>
        <v>0</v>
      </c>
      <c r="L101" s="158">
        <f t="shared" si="21"/>
        <v>0</v>
      </c>
      <c r="M101" s="158">
        <f t="shared" si="21"/>
        <v>0</v>
      </c>
      <c r="N101" s="158">
        <f t="shared" si="21"/>
        <v>0</v>
      </c>
      <c r="O101" s="50"/>
      <c r="P101" s="50"/>
      <c r="Q101" s="342" t="s">
        <v>83</v>
      </c>
      <c r="R101" s="340" t="s">
        <v>78</v>
      </c>
      <c r="S101" s="116">
        <f>IF(SUM(C100)&lt;0,-C100,0)</f>
        <v>1303.56</v>
      </c>
      <c r="T101" s="390">
        <v>0</v>
      </c>
    </row>
    <row r="102" spans="1:20" s="355" customFormat="1" ht="15.75" thickTop="1">
      <c r="A102" s="53"/>
      <c r="B102" s="383"/>
      <c r="C102" s="383"/>
      <c r="D102" s="383"/>
      <c r="E102" s="383"/>
      <c r="F102" s="383"/>
      <c r="G102" s="383"/>
      <c r="H102" s="383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37">
        <f>SUM(S97:T101)</f>
        <v>0</v>
      </c>
    </row>
    <row r="103" spans="1:20" s="409" customFormat="1" ht="15.75">
      <c r="A103" s="458"/>
      <c r="B103" s="387" t="s">
        <v>224</v>
      </c>
      <c r="T103" s="434"/>
    </row>
    <row r="104" spans="1:20" s="355" customFormat="1">
      <c r="A104" s="354"/>
      <c r="T104" s="368"/>
    </row>
    <row r="105" spans="1:20" s="355" customFormat="1">
      <c r="A105" s="354"/>
      <c r="Q105" s="356"/>
      <c r="T105" s="368"/>
    </row>
    <row r="106" spans="1:20" s="355" customFormat="1" ht="15.75">
      <c r="A106" s="357"/>
      <c r="B106" s="358"/>
      <c r="C106" s="315"/>
      <c r="D106" s="351"/>
      <c r="E106" s="351"/>
      <c r="F106" s="352"/>
      <c r="G106" s="352"/>
      <c r="H106" s="315"/>
      <c r="I106" s="315"/>
      <c r="J106" s="315"/>
      <c r="K106" s="315"/>
      <c r="L106" s="315"/>
      <c r="M106" s="315"/>
      <c r="N106" s="315"/>
      <c r="O106" s="359"/>
      <c r="P106" s="315"/>
      <c r="Q106" s="360"/>
      <c r="R106" s="361"/>
      <c r="S106" s="362"/>
      <c r="T106" s="368"/>
    </row>
    <row r="107" spans="1:20" s="355" customFormat="1" ht="15.75">
      <c r="A107" s="363"/>
      <c r="B107" s="358"/>
      <c r="C107" s="315"/>
      <c r="D107" s="352"/>
      <c r="E107" s="352"/>
      <c r="F107" s="352"/>
      <c r="G107" s="353"/>
      <c r="H107" s="352"/>
      <c r="I107" s="315"/>
      <c r="J107" s="353"/>
      <c r="K107" s="353"/>
      <c r="L107" s="315"/>
      <c r="M107" s="315"/>
      <c r="N107" s="315"/>
      <c r="O107" s="359"/>
      <c r="P107" s="315"/>
      <c r="Q107" s="364"/>
      <c r="R107" s="365"/>
      <c r="S107" s="362"/>
      <c r="T107" s="368"/>
    </row>
    <row r="108" spans="1:20" s="355" customFormat="1" ht="15.75">
      <c r="A108" s="363"/>
      <c r="B108" s="358"/>
      <c r="C108" s="315"/>
      <c r="D108" s="315"/>
      <c r="E108" s="315"/>
      <c r="F108" s="315"/>
      <c r="G108" s="352"/>
      <c r="H108" s="366"/>
      <c r="I108" s="315"/>
      <c r="J108" s="353"/>
      <c r="K108" s="315"/>
      <c r="L108" s="315"/>
      <c r="M108" s="315"/>
      <c r="N108" s="315"/>
      <c r="O108" s="359"/>
      <c r="P108" s="315"/>
      <c r="Q108" s="367"/>
      <c r="R108" s="361"/>
      <c r="S108" s="368"/>
      <c r="T108" s="368"/>
    </row>
    <row r="109" spans="1:20" s="355" customFormat="1" ht="15.75">
      <c r="A109" s="363"/>
      <c r="B109" s="358"/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69"/>
      <c r="P109" s="315"/>
      <c r="Q109" s="370"/>
      <c r="R109" s="361"/>
      <c r="S109" s="368"/>
      <c r="T109" s="368"/>
    </row>
    <row r="110" spans="1:20" s="355" customFormat="1" ht="15.75">
      <c r="A110" s="371"/>
      <c r="B110" s="315"/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70"/>
      <c r="R110" s="372"/>
      <c r="S110" s="368"/>
      <c r="T110" s="368"/>
    </row>
    <row r="111" spans="1:20" s="355" customFormat="1">
      <c r="A111" s="354"/>
      <c r="T111" s="368"/>
    </row>
    <row r="112" spans="1:20" s="355" customFormat="1">
      <c r="A112" s="354"/>
      <c r="T112" s="368"/>
    </row>
    <row r="113" spans="1:20" s="355" customFormat="1">
      <c r="A113" s="354"/>
      <c r="Q113" s="356"/>
      <c r="T113" s="368"/>
    </row>
    <row r="114" spans="1:20" s="355" customFormat="1" ht="15.75">
      <c r="A114" s="357"/>
      <c r="B114" s="358"/>
      <c r="C114" s="315"/>
      <c r="D114" s="351"/>
      <c r="E114" s="351"/>
      <c r="F114" s="352"/>
      <c r="G114" s="352"/>
      <c r="H114" s="315"/>
      <c r="I114" s="315"/>
      <c r="J114" s="315"/>
      <c r="K114" s="315"/>
      <c r="L114" s="315"/>
      <c r="M114" s="315"/>
      <c r="N114" s="315"/>
      <c r="O114" s="359"/>
      <c r="P114" s="315"/>
      <c r="Q114" s="360"/>
      <c r="R114" s="361"/>
      <c r="S114" s="362"/>
      <c r="T114" s="368"/>
    </row>
    <row r="115" spans="1:20" s="355" customFormat="1" ht="15.75">
      <c r="A115" s="363"/>
      <c r="B115" s="358"/>
      <c r="C115" s="315"/>
      <c r="D115" s="352"/>
      <c r="E115" s="352"/>
      <c r="F115" s="352"/>
      <c r="G115" s="353"/>
      <c r="H115" s="352"/>
      <c r="I115" s="315"/>
      <c r="J115" s="353"/>
      <c r="K115" s="353"/>
      <c r="L115" s="315"/>
      <c r="M115" s="315"/>
      <c r="N115" s="315"/>
      <c r="O115" s="359"/>
      <c r="P115" s="315"/>
      <c r="Q115" s="364"/>
      <c r="R115" s="365"/>
      <c r="S115" s="362"/>
      <c r="T115" s="368"/>
    </row>
    <row r="116" spans="1:20" s="355" customFormat="1" ht="15.75">
      <c r="A116" s="363"/>
      <c r="B116" s="358"/>
      <c r="C116" s="315"/>
      <c r="D116" s="315"/>
      <c r="E116" s="315"/>
      <c r="F116" s="315"/>
      <c r="G116" s="352"/>
      <c r="H116" s="366"/>
      <c r="I116" s="315"/>
      <c r="J116" s="353"/>
      <c r="K116" s="315"/>
      <c r="L116" s="315"/>
      <c r="M116" s="315"/>
      <c r="N116" s="315"/>
      <c r="O116" s="359"/>
      <c r="P116" s="315"/>
      <c r="Q116" s="367"/>
      <c r="R116" s="361"/>
      <c r="S116" s="368"/>
      <c r="T116" s="368"/>
    </row>
    <row r="117" spans="1:20" s="355" customFormat="1" ht="15.75">
      <c r="A117" s="363"/>
      <c r="B117" s="358"/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69"/>
      <c r="P117" s="315"/>
      <c r="Q117" s="370"/>
      <c r="R117" s="361"/>
      <c r="S117" s="368"/>
      <c r="T117" s="368"/>
    </row>
    <row r="118" spans="1:20" s="355" customFormat="1" ht="15.75">
      <c r="A118" s="371"/>
      <c r="B118" s="315"/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70"/>
      <c r="R118" s="372"/>
      <c r="S118" s="368"/>
      <c r="T118" s="368"/>
    </row>
    <row r="119" spans="1:20" s="355" customFormat="1" ht="15.75">
      <c r="A119" s="371"/>
      <c r="B119" s="315"/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70"/>
      <c r="R119" s="372"/>
      <c r="S119" s="368"/>
      <c r="T119" s="368"/>
    </row>
    <row r="120" spans="1:20" s="355" customFormat="1" ht="15.75">
      <c r="A120" s="371"/>
      <c r="B120" s="315"/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70"/>
      <c r="R120" s="372"/>
      <c r="S120" s="368"/>
      <c r="T120" s="368"/>
    </row>
    <row r="121" spans="1:20" s="355" customFormat="1">
      <c r="A121" s="354"/>
      <c r="Q121" s="356"/>
      <c r="T121" s="368"/>
    </row>
    <row r="122" spans="1:20" s="355" customFormat="1" ht="15.75">
      <c r="A122" s="357"/>
      <c r="B122" s="358"/>
      <c r="C122" s="315"/>
      <c r="D122" s="351"/>
      <c r="E122" s="351"/>
      <c r="F122" s="352"/>
      <c r="G122" s="352"/>
      <c r="H122" s="315"/>
      <c r="I122" s="315"/>
      <c r="J122" s="315"/>
      <c r="K122" s="315"/>
      <c r="L122" s="315"/>
      <c r="M122" s="315"/>
      <c r="N122" s="315"/>
      <c r="O122" s="359"/>
      <c r="P122" s="315"/>
      <c r="Q122" s="360"/>
      <c r="R122" s="361"/>
      <c r="S122" s="362"/>
      <c r="T122" s="368"/>
    </row>
    <row r="123" spans="1:20" s="355" customFormat="1" ht="15.75">
      <c r="A123" s="363"/>
      <c r="B123" s="358"/>
      <c r="C123" s="315"/>
      <c r="D123" s="352"/>
      <c r="E123" s="352"/>
      <c r="F123" s="352"/>
      <c r="G123" s="353"/>
      <c r="H123" s="352"/>
      <c r="I123" s="315"/>
      <c r="J123" s="353"/>
      <c r="K123" s="353"/>
      <c r="L123" s="315"/>
      <c r="M123" s="315"/>
      <c r="N123" s="315"/>
      <c r="O123" s="359"/>
      <c r="P123" s="315"/>
      <c r="Q123" s="364"/>
      <c r="R123" s="365"/>
      <c r="S123" s="362"/>
      <c r="T123" s="368"/>
    </row>
    <row r="124" spans="1:20" s="355" customFormat="1" ht="15.75">
      <c r="A124" s="363"/>
      <c r="B124" s="358"/>
      <c r="C124" s="315"/>
      <c r="D124" s="315"/>
      <c r="E124" s="315"/>
      <c r="F124" s="315"/>
      <c r="G124" s="352"/>
      <c r="H124" s="366"/>
      <c r="I124" s="315"/>
      <c r="J124" s="353"/>
      <c r="K124" s="315"/>
      <c r="L124" s="315"/>
      <c r="M124" s="315"/>
      <c r="N124" s="315"/>
      <c r="O124" s="359"/>
      <c r="P124" s="315"/>
      <c r="Q124" s="367"/>
      <c r="R124" s="361"/>
      <c r="S124" s="368"/>
      <c r="T124" s="368"/>
    </row>
    <row r="125" spans="1:20" s="355" customFormat="1" ht="15.75">
      <c r="A125" s="363"/>
      <c r="B125" s="358"/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69"/>
      <c r="P125" s="315"/>
      <c r="Q125" s="370"/>
      <c r="R125" s="361"/>
      <c r="S125" s="368"/>
      <c r="T125" s="368"/>
    </row>
    <row r="126" spans="1:20" s="355" customFormat="1" ht="15.75">
      <c r="A126" s="371"/>
      <c r="B126" s="315"/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70"/>
      <c r="R126" s="372"/>
      <c r="S126" s="368"/>
      <c r="T126" s="368"/>
    </row>
    <row r="127" spans="1:20" s="355" customFormat="1" ht="15.75">
      <c r="A127" s="371"/>
      <c r="B127" s="315"/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70"/>
      <c r="R127" s="372"/>
      <c r="S127" s="368"/>
      <c r="T127" s="368"/>
    </row>
    <row r="128" spans="1:20" s="355" customFormat="1" ht="15.75">
      <c r="A128" s="371"/>
      <c r="B128" s="315"/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74"/>
      <c r="N128" s="375"/>
      <c r="O128" s="376"/>
      <c r="P128" s="315"/>
      <c r="Q128" s="370"/>
      <c r="R128" s="372"/>
      <c r="S128" s="368"/>
      <c r="T128" s="368"/>
    </row>
    <row r="129" spans="1:20" s="355" customFormat="1" ht="15.75">
      <c r="A129" s="371"/>
      <c r="B129" s="315"/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74"/>
      <c r="N129" s="375"/>
      <c r="P129" s="315"/>
      <c r="Q129" s="370"/>
      <c r="R129" s="372"/>
      <c r="S129" s="368"/>
      <c r="T129" s="368"/>
    </row>
    <row r="130" spans="1:20" s="355" customFormat="1" ht="15.75">
      <c r="A130" s="371"/>
      <c r="B130" s="315"/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74"/>
      <c r="N130" s="375"/>
      <c r="P130" s="315"/>
      <c r="Q130" s="370"/>
      <c r="R130" s="372"/>
      <c r="S130" s="368"/>
      <c r="T130" s="368"/>
    </row>
    <row r="131" spans="1:20" s="355" customFormat="1" ht="15.75">
      <c r="A131" s="371"/>
      <c r="B131" s="315"/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70"/>
      <c r="R131" s="372"/>
      <c r="S131" s="368"/>
      <c r="T131" s="368"/>
    </row>
    <row r="132" spans="1:20" s="355" customFormat="1">
      <c r="A132" s="354"/>
      <c r="Q132" s="356"/>
      <c r="T132" s="368"/>
    </row>
    <row r="133" spans="1:20" s="355" customFormat="1" ht="15.75">
      <c r="A133" s="357"/>
      <c r="B133" s="358"/>
      <c r="C133" s="315"/>
      <c r="D133" s="351"/>
      <c r="E133" s="351"/>
      <c r="F133" s="352"/>
      <c r="G133" s="352"/>
      <c r="H133" s="315"/>
      <c r="I133" s="315"/>
      <c r="J133" s="315"/>
      <c r="K133" s="315"/>
      <c r="L133" s="315"/>
      <c r="M133" s="315"/>
      <c r="N133" s="315"/>
      <c r="O133" s="359"/>
      <c r="P133" s="315"/>
      <c r="Q133" s="360"/>
      <c r="R133" s="361"/>
      <c r="S133" s="362"/>
      <c r="T133" s="368"/>
    </row>
    <row r="134" spans="1:20" s="355" customFormat="1" ht="15.75">
      <c r="A134" s="363"/>
      <c r="B134" s="358"/>
      <c r="C134" s="315"/>
      <c r="D134" s="352"/>
      <c r="E134" s="352"/>
      <c r="F134" s="352"/>
      <c r="G134" s="353"/>
      <c r="H134" s="352"/>
      <c r="I134" s="315"/>
      <c r="J134" s="353"/>
      <c r="K134" s="353"/>
      <c r="L134" s="315"/>
      <c r="M134" s="315"/>
      <c r="N134" s="315"/>
      <c r="O134" s="359"/>
      <c r="P134" s="315"/>
      <c r="Q134" s="364"/>
      <c r="R134" s="365"/>
      <c r="S134" s="362"/>
      <c r="T134" s="368"/>
    </row>
    <row r="135" spans="1:20" s="355" customFormat="1" ht="15.75">
      <c r="A135" s="363"/>
      <c r="B135" s="358"/>
      <c r="C135" s="315"/>
      <c r="D135" s="315"/>
      <c r="E135" s="315"/>
      <c r="F135" s="315"/>
      <c r="G135" s="352"/>
      <c r="H135" s="366"/>
      <c r="I135" s="315"/>
      <c r="J135" s="353"/>
      <c r="K135" s="315"/>
      <c r="L135" s="315"/>
      <c r="M135" s="315"/>
      <c r="N135" s="315"/>
      <c r="O135" s="359"/>
      <c r="P135" s="315"/>
      <c r="Q135" s="367"/>
      <c r="R135" s="361"/>
      <c r="S135" s="368"/>
      <c r="T135" s="368"/>
    </row>
    <row r="136" spans="1:20" s="355" customFormat="1" ht="15.75">
      <c r="A136" s="363"/>
      <c r="B136" s="358"/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69"/>
      <c r="P136" s="315"/>
      <c r="Q136" s="370"/>
      <c r="R136" s="361"/>
      <c r="S136" s="368"/>
      <c r="T136" s="368"/>
    </row>
    <row r="137" spans="1:20" s="355" customFormat="1" ht="15.75">
      <c r="A137" s="371"/>
      <c r="B137" s="315"/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70"/>
      <c r="R137" s="372"/>
      <c r="S137" s="368"/>
      <c r="T137" s="368"/>
    </row>
    <row r="138" spans="1:20" s="355" customFormat="1">
      <c r="A138" s="354"/>
      <c r="T138" s="368"/>
    </row>
    <row r="139" spans="1:20" s="355" customFormat="1">
      <c r="A139" s="354"/>
      <c r="Q139" s="356"/>
      <c r="T139" s="368"/>
    </row>
    <row r="140" spans="1:20" s="355" customFormat="1">
      <c r="A140" s="354"/>
      <c r="Q140" s="360"/>
      <c r="R140" s="361"/>
      <c r="S140" s="377"/>
      <c r="T140" s="368"/>
    </row>
    <row r="141" spans="1:20" s="355" customFormat="1">
      <c r="A141" s="354"/>
      <c r="Q141" s="364"/>
      <c r="R141" s="365"/>
      <c r="S141" s="377"/>
      <c r="T141" s="368"/>
    </row>
    <row r="142" spans="1:20" s="355" customFormat="1">
      <c r="A142" s="354"/>
      <c r="Q142" s="367"/>
      <c r="R142" s="361"/>
      <c r="S142" s="360"/>
      <c r="T142" s="368"/>
    </row>
    <row r="143" spans="1:20" s="355" customFormat="1">
      <c r="A143" s="354"/>
      <c r="Q143" s="370"/>
      <c r="R143" s="361"/>
      <c r="S143" s="360"/>
      <c r="T143" s="368"/>
    </row>
    <row r="144" spans="1:20" s="355" customFormat="1">
      <c r="A144" s="354"/>
      <c r="Q144" s="370"/>
      <c r="R144" s="372"/>
      <c r="S144" s="360"/>
      <c r="T144" s="368"/>
    </row>
    <row r="145" spans="1:20" s="355" customFormat="1">
      <c r="A145" s="354"/>
      <c r="T145" s="368"/>
    </row>
    <row r="146" spans="1:20" s="355" customFormat="1">
      <c r="A146" s="354"/>
      <c r="Q146" s="356"/>
      <c r="T146" s="368"/>
    </row>
    <row r="147" spans="1:20" s="355" customFormat="1">
      <c r="A147" s="354"/>
      <c r="Q147" s="360"/>
      <c r="R147" s="361"/>
      <c r="S147" s="362"/>
      <c r="T147" s="368"/>
    </row>
    <row r="148" spans="1:20" s="355" customFormat="1">
      <c r="A148" s="354"/>
      <c r="Q148" s="364"/>
      <c r="R148" s="365"/>
      <c r="S148" s="362"/>
      <c r="T148" s="368"/>
    </row>
    <row r="149" spans="1:20" s="355" customFormat="1">
      <c r="A149" s="354"/>
      <c r="Q149" s="367"/>
      <c r="R149" s="361"/>
      <c r="S149" s="368"/>
      <c r="T149" s="368"/>
    </row>
    <row r="150" spans="1:20" s="355" customFormat="1">
      <c r="A150" s="354"/>
      <c r="N150" s="378"/>
      <c r="Q150" s="370"/>
      <c r="R150" s="361"/>
      <c r="S150" s="368"/>
      <c r="T150" s="368"/>
    </row>
    <row r="151" spans="1:20" s="355" customFormat="1">
      <c r="A151" s="354"/>
      <c r="Q151" s="370"/>
      <c r="R151" s="372"/>
      <c r="S151" s="368"/>
      <c r="T151" s="368"/>
    </row>
    <row r="152" spans="1:20" s="355" customFormat="1">
      <c r="A152" s="354"/>
      <c r="T152" s="368"/>
    </row>
    <row r="153" spans="1:20" s="355" customFormat="1">
      <c r="A153" s="354"/>
      <c r="Q153" s="356"/>
      <c r="T153" s="368"/>
    </row>
    <row r="154" spans="1:20" s="355" customFormat="1" ht="15.75">
      <c r="A154" s="357"/>
      <c r="B154" s="358"/>
      <c r="C154" s="315"/>
      <c r="D154" s="351"/>
      <c r="E154" s="351"/>
      <c r="F154" s="352"/>
      <c r="G154" s="352"/>
      <c r="H154" s="315"/>
      <c r="I154" s="315"/>
      <c r="J154" s="315"/>
      <c r="K154" s="315"/>
      <c r="L154" s="315"/>
      <c r="M154" s="315"/>
      <c r="N154" s="315"/>
      <c r="O154" s="359"/>
      <c r="P154" s="315"/>
      <c r="Q154" s="360"/>
      <c r="R154" s="361"/>
      <c r="S154" s="362"/>
      <c r="T154" s="368"/>
    </row>
    <row r="155" spans="1:20" s="355" customFormat="1" ht="15.75">
      <c r="A155" s="363"/>
      <c r="B155" s="358"/>
      <c r="C155" s="315"/>
      <c r="D155" s="352"/>
      <c r="E155" s="352"/>
      <c r="F155" s="352"/>
      <c r="G155" s="353"/>
      <c r="H155" s="352"/>
      <c r="I155" s="315"/>
      <c r="J155" s="353"/>
      <c r="K155" s="353"/>
      <c r="L155" s="315"/>
      <c r="M155" s="315"/>
      <c r="N155" s="315"/>
      <c r="O155" s="359"/>
      <c r="P155" s="315"/>
      <c r="Q155" s="364"/>
      <c r="R155" s="365"/>
      <c r="S155" s="362"/>
      <c r="T155" s="368"/>
    </row>
    <row r="156" spans="1:20" s="355" customFormat="1" ht="15.75">
      <c r="A156" s="363"/>
      <c r="B156" s="358"/>
      <c r="C156" s="315"/>
      <c r="D156" s="315"/>
      <c r="E156" s="315"/>
      <c r="F156" s="315"/>
      <c r="G156" s="352"/>
      <c r="H156" s="366"/>
      <c r="I156" s="315"/>
      <c r="J156" s="353"/>
      <c r="K156" s="315"/>
      <c r="L156" s="315"/>
      <c r="M156" s="315"/>
      <c r="N156" s="315"/>
      <c r="O156" s="359"/>
      <c r="P156" s="315"/>
      <c r="Q156" s="367"/>
      <c r="R156" s="361"/>
      <c r="S156" s="368"/>
      <c r="T156" s="368"/>
    </row>
    <row r="157" spans="1:20" s="355" customFormat="1" ht="15.75">
      <c r="A157" s="363"/>
      <c r="B157" s="358"/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69"/>
      <c r="P157" s="315"/>
      <c r="Q157" s="370"/>
      <c r="R157" s="361"/>
      <c r="S157" s="368"/>
      <c r="T157" s="368"/>
    </row>
    <row r="158" spans="1:20" s="355" customFormat="1" ht="15.75">
      <c r="A158" s="371"/>
      <c r="B158" s="315"/>
      <c r="C158" s="315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70"/>
      <c r="R158" s="372"/>
      <c r="S158" s="368"/>
      <c r="T158" s="368"/>
    </row>
    <row r="159" spans="1:20" s="355" customFormat="1">
      <c r="A159" s="354"/>
      <c r="T159" s="368"/>
    </row>
    <row r="160" spans="1:20" s="355" customFormat="1">
      <c r="A160" s="354"/>
      <c r="Q160" s="356"/>
      <c r="T160" s="368"/>
    </row>
    <row r="161" spans="1:20" s="355" customFormat="1" ht="15.75">
      <c r="A161" s="357"/>
      <c r="B161" s="358"/>
      <c r="C161" s="315"/>
      <c r="D161" s="351"/>
      <c r="E161" s="351"/>
      <c r="F161" s="352"/>
      <c r="G161" s="352"/>
      <c r="H161" s="315"/>
      <c r="I161" s="315"/>
      <c r="J161" s="315"/>
      <c r="K161" s="315"/>
      <c r="L161" s="315"/>
      <c r="M161" s="315"/>
      <c r="N161" s="315"/>
      <c r="O161" s="359"/>
      <c r="P161" s="315"/>
      <c r="Q161" s="360"/>
      <c r="R161" s="361"/>
      <c r="S161" s="362"/>
      <c r="T161" s="368"/>
    </row>
    <row r="162" spans="1:20" s="355" customFormat="1" ht="15.75">
      <c r="A162" s="363"/>
      <c r="B162" s="358"/>
      <c r="C162" s="315"/>
      <c r="D162" s="352"/>
      <c r="E162" s="352"/>
      <c r="F162" s="352"/>
      <c r="G162" s="353"/>
      <c r="H162" s="352"/>
      <c r="I162" s="315"/>
      <c r="J162" s="353"/>
      <c r="K162" s="353"/>
      <c r="L162" s="315"/>
      <c r="M162" s="315"/>
      <c r="N162" s="315"/>
      <c r="O162" s="359"/>
      <c r="P162" s="315"/>
      <c r="Q162" s="364"/>
      <c r="R162" s="365"/>
      <c r="S162" s="362"/>
      <c r="T162" s="368"/>
    </row>
    <row r="163" spans="1:20" s="355" customFormat="1" ht="15.75">
      <c r="A163" s="363"/>
      <c r="B163" s="358"/>
      <c r="C163" s="315"/>
      <c r="D163" s="315"/>
      <c r="E163" s="315"/>
      <c r="F163" s="315"/>
      <c r="G163" s="352"/>
      <c r="H163" s="366"/>
      <c r="I163" s="315"/>
      <c r="J163" s="353"/>
      <c r="K163" s="315"/>
      <c r="L163" s="315"/>
      <c r="M163" s="315"/>
      <c r="N163" s="315"/>
      <c r="O163" s="359"/>
      <c r="P163" s="315"/>
      <c r="Q163" s="367"/>
      <c r="R163" s="361"/>
      <c r="S163" s="368"/>
      <c r="T163" s="368"/>
    </row>
    <row r="164" spans="1:20" s="355" customFormat="1" ht="15.75">
      <c r="A164" s="363"/>
      <c r="B164" s="358"/>
      <c r="C164" s="315"/>
      <c r="D164" s="315"/>
      <c r="E164" s="315"/>
      <c r="F164" s="315"/>
      <c r="G164" s="315"/>
      <c r="H164" s="315"/>
      <c r="I164" s="315"/>
      <c r="J164" s="315"/>
      <c r="K164" s="315"/>
      <c r="L164" s="315"/>
      <c r="M164" s="315"/>
      <c r="N164" s="315"/>
      <c r="O164" s="369"/>
      <c r="P164" s="315"/>
      <c r="Q164" s="370"/>
      <c r="R164" s="361"/>
      <c r="S164" s="368"/>
      <c r="T164" s="368"/>
    </row>
    <row r="165" spans="1:20" s="355" customFormat="1" ht="15.75">
      <c r="A165" s="371"/>
      <c r="B165" s="315"/>
      <c r="C165" s="315"/>
      <c r="D165" s="315"/>
      <c r="E165" s="315"/>
      <c r="F165" s="315"/>
      <c r="G165" s="315"/>
      <c r="H165" s="315"/>
      <c r="I165" s="315"/>
      <c r="J165" s="315"/>
      <c r="K165" s="315"/>
      <c r="L165" s="315"/>
      <c r="M165" s="315"/>
      <c r="N165" s="315"/>
      <c r="O165" s="315"/>
      <c r="P165" s="315"/>
      <c r="Q165" s="370"/>
      <c r="R165" s="372"/>
      <c r="S165" s="368"/>
      <c r="T165" s="368"/>
    </row>
    <row r="166" spans="1:20" s="355" customFormat="1">
      <c r="A166" s="354"/>
      <c r="T166" s="368"/>
    </row>
    <row r="167" spans="1:20" s="355" customFormat="1" ht="15.75">
      <c r="A167" s="357"/>
      <c r="Q167" s="356"/>
      <c r="T167" s="368"/>
    </row>
    <row r="168" spans="1:20" s="355" customFormat="1" ht="15.75">
      <c r="A168" s="357"/>
      <c r="B168" s="358"/>
      <c r="C168" s="315"/>
      <c r="D168" s="351"/>
      <c r="E168" s="351"/>
      <c r="F168" s="352"/>
      <c r="G168" s="352"/>
      <c r="H168" s="315"/>
      <c r="I168" s="315"/>
      <c r="J168" s="315"/>
      <c r="K168" s="315"/>
      <c r="L168" s="315"/>
      <c r="M168" s="315"/>
      <c r="N168" s="315"/>
      <c r="O168" s="359"/>
      <c r="P168" s="315"/>
      <c r="Q168" s="360"/>
      <c r="R168" s="361"/>
      <c r="S168" s="362"/>
      <c r="T168" s="368"/>
    </row>
    <row r="169" spans="1:20" s="355" customFormat="1" ht="15.75">
      <c r="A169" s="363"/>
      <c r="B169" s="358"/>
      <c r="C169" s="315"/>
      <c r="D169" s="352"/>
      <c r="E169" s="352"/>
      <c r="F169" s="352"/>
      <c r="G169" s="353"/>
      <c r="H169" s="352"/>
      <c r="I169" s="315"/>
      <c r="J169" s="353"/>
      <c r="K169" s="353"/>
      <c r="L169" s="315"/>
      <c r="M169" s="315"/>
      <c r="N169" s="315"/>
      <c r="O169" s="359"/>
      <c r="P169" s="315"/>
      <c r="Q169" s="364"/>
      <c r="R169" s="365"/>
      <c r="S169" s="362"/>
      <c r="T169" s="368"/>
    </row>
    <row r="170" spans="1:20" s="355" customFormat="1" ht="15.75">
      <c r="A170" s="363"/>
      <c r="B170" s="358"/>
      <c r="C170" s="315"/>
      <c r="D170" s="315"/>
      <c r="E170" s="315"/>
      <c r="F170" s="315"/>
      <c r="G170" s="352"/>
      <c r="H170" s="366"/>
      <c r="I170" s="315"/>
      <c r="J170" s="353"/>
      <c r="K170" s="315"/>
      <c r="L170" s="315"/>
      <c r="M170" s="315"/>
      <c r="N170" s="315"/>
      <c r="O170" s="359"/>
      <c r="P170" s="315"/>
      <c r="Q170" s="367"/>
      <c r="R170" s="361"/>
      <c r="S170" s="368"/>
      <c r="T170" s="368"/>
    </row>
    <row r="171" spans="1:20" s="355" customFormat="1" ht="15.75">
      <c r="A171" s="363"/>
      <c r="B171" s="358"/>
      <c r="C171" s="315"/>
      <c r="D171" s="315"/>
      <c r="E171" s="315"/>
      <c r="F171" s="315"/>
      <c r="G171" s="315"/>
      <c r="H171" s="315"/>
      <c r="I171" s="315"/>
      <c r="J171" s="315"/>
      <c r="K171" s="315"/>
      <c r="L171" s="315"/>
      <c r="M171" s="315"/>
      <c r="N171" s="315"/>
      <c r="O171" s="369"/>
      <c r="P171" s="315"/>
      <c r="Q171" s="370"/>
      <c r="R171" s="361"/>
      <c r="S171" s="368"/>
      <c r="T171" s="368"/>
    </row>
    <row r="172" spans="1:20" s="355" customFormat="1" ht="15.75">
      <c r="A172" s="371"/>
      <c r="B172" s="315"/>
      <c r="C172" s="315"/>
      <c r="D172" s="315"/>
      <c r="E172" s="315"/>
      <c r="F172" s="315"/>
      <c r="G172" s="315"/>
      <c r="H172" s="315"/>
      <c r="I172" s="315"/>
      <c r="J172" s="315"/>
      <c r="K172" s="315"/>
      <c r="L172" s="315"/>
      <c r="M172" s="315"/>
      <c r="N172" s="315"/>
      <c r="O172" s="315"/>
      <c r="P172" s="315"/>
      <c r="Q172" s="370"/>
      <c r="R172" s="372"/>
      <c r="S172" s="368"/>
      <c r="T172" s="368"/>
    </row>
    <row r="173" spans="1:20" s="355" customFormat="1">
      <c r="A173" s="354"/>
      <c r="T173" s="368"/>
    </row>
    <row r="174" spans="1:20" s="355" customFormat="1" ht="15.75">
      <c r="A174" s="357"/>
      <c r="Q174" s="356"/>
      <c r="T174" s="368"/>
    </row>
    <row r="175" spans="1:20" s="355" customFormat="1" ht="15.75">
      <c r="A175" s="357"/>
      <c r="B175" s="358"/>
      <c r="C175" s="315"/>
      <c r="D175" s="351"/>
      <c r="E175" s="351"/>
      <c r="F175" s="352"/>
      <c r="G175" s="352"/>
      <c r="H175" s="315"/>
      <c r="I175" s="315"/>
      <c r="J175" s="315"/>
      <c r="K175" s="315"/>
      <c r="L175" s="315"/>
      <c r="M175" s="315"/>
      <c r="N175" s="315"/>
      <c r="O175" s="359"/>
      <c r="P175" s="315"/>
      <c r="Q175" s="360"/>
      <c r="R175" s="361"/>
      <c r="S175" s="362"/>
      <c r="T175" s="368"/>
    </row>
    <row r="176" spans="1:20" s="355" customFormat="1" ht="15.75">
      <c r="A176" s="363"/>
      <c r="B176" s="358"/>
      <c r="C176" s="315"/>
      <c r="D176" s="352"/>
      <c r="E176" s="352"/>
      <c r="F176" s="352"/>
      <c r="G176" s="353"/>
      <c r="H176" s="352"/>
      <c r="I176" s="315"/>
      <c r="J176" s="353"/>
      <c r="K176" s="353"/>
      <c r="L176" s="315"/>
      <c r="M176" s="315"/>
      <c r="N176" s="315"/>
      <c r="O176" s="359"/>
      <c r="P176" s="315"/>
      <c r="Q176" s="364"/>
      <c r="R176" s="365"/>
      <c r="S176" s="362"/>
      <c r="T176" s="368"/>
    </row>
    <row r="177" spans="1:20" s="355" customFormat="1" ht="15.75">
      <c r="A177" s="363"/>
      <c r="B177" s="358"/>
      <c r="C177" s="315"/>
      <c r="D177" s="315"/>
      <c r="E177" s="315"/>
      <c r="F177" s="315"/>
      <c r="G177" s="352"/>
      <c r="H177" s="366"/>
      <c r="I177" s="315"/>
      <c r="J177" s="353"/>
      <c r="K177" s="315"/>
      <c r="L177" s="315"/>
      <c r="M177" s="315"/>
      <c r="N177" s="315"/>
      <c r="O177" s="359"/>
      <c r="P177" s="315"/>
      <c r="Q177" s="367"/>
      <c r="R177" s="361"/>
      <c r="S177" s="368"/>
      <c r="T177" s="368"/>
    </row>
    <row r="178" spans="1:20" s="355" customFormat="1" ht="15.75">
      <c r="A178" s="363"/>
      <c r="B178" s="358"/>
      <c r="C178" s="315"/>
      <c r="D178" s="315"/>
      <c r="E178" s="315"/>
      <c r="F178" s="315"/>
      <c r="G178" s="315"/>
      <c r="H178" s="315"/>
      <c r="I178" s="315"/>
      <c r="J178" s="315"/>
      <c r="K178" s="315"/>
      <c r="L178" s="315"/>
      <c r="M178" s="315"/>
      <c r="N178" s="315"/>
      <c r="O178" s="369"/>
      <c r="P178" s="315"/>
      <c r="Q178" s="370"/>
      <c r="R178" s="361"/>
      <c r="S178" s="368"/>
      <c r="T178" s="368"/>
    </row>
    <row r="179" spans="1:20" s="355" customFormat="1" ht="15.75">
      <c r="A179" s="371"/>
      <c r="B179" s="315"/>
      <c r="C179" s="315"/>
      <c r="D179" s="315"/>
      <c r="E179" s="315"/>
      <c r="F179" s="315"/>
      <c r="G179" s="315"/>
      <c r="H179" s="315"/>
      <c r="I179" s="315"/>
      <c r="J179" s="315"/>
      <c r="K179" s="315"/>
      <c r="L179" s="315"/>
      <c r="M179" s="315"/>
      <c r="N179" s="315"/>
      <c r="O179" s="315"/>
      <c r="P179" s="315"/>
      <c r="Q179" s="370"/>
      <c r="R179" s="372"/>
      <c r="S179" s="368"/>
      <c r="T179" s="368"/>
    </row>
    <row r="180" spans="1:20" s="355" customFormat="1">
      <c r="A180" s="354"/>
      <c r="T180" s="368"/>
    </row>
    <row r="181" spans="1:20" s="355" customFormat="1">
      <c r="A181" s="354"/>
      <c r="T181" s="368"/>
    </row>
    <row r="182" spans="1:20" s="355" customFormat="1">
      <c r="A182" s="354"/>
      <c r="T182" s="368"/>
    </row>
    <row r="183" spans="1:20" s="355" customFormat="1">
      <c r="A183" s="354"/>
      <c r="T183" s="368"/>
    </row>
    <row r="184" spans="1:20" s="355" customFormat="1">
      <c r="A184" s="354"/>
      <c r="T184" s="368"/>
    </row>
    <row r="185" spans="1:20" s="355" customFormat="1">
      <c r="A185" s="354"/>
      <c r="T185" s="368"/>
    </row>
    <row r="186" spans="1:20" s="355" customFormat="1">
      <c r="A186" s="354"/>
      <c r="T186" s="368"/>
    </row>
    <row r="187" spans="1:20" s="355" customFormat="1">
      <c r="A187" s="354"/>
      <c r="T187" s="368"/>
    </row>
    <row r="188" spans="1:20" s="355" customFormat="1">
      <c r="A188" s="354"/>
      <c r="T188" s="368"/>
    </row>
    <row r="189" spans="1:20" s="355" customFormat="1">
      <c r="A189" s="354"/>
      <c r="T189" s="368"/>
    </row>
    <row r="190" spans="1:20" s="355" customFormat="1">
      <c r="A190" s="354"/>
      <c r="T190" s="368"/>
    </row>
    <row r="191" spans="1:20" s="355" customFormat="1">
      <c r="A191" s="354"/>
      <c r="T191" s="368"/>
    </row>
    <row r="192" spans="1:20" s="355" customFormat="1">
      <c r="A192" s="354"/>
      <c r="T192" s="368"/>
    </row>
    <row r="193" spans="1:20" s="355" customFormat="1">
      <c r="A193" s="354"/>
      <c r="T193" s="368"/>
    </row>
    <row r="194" spans="1:20" s="355" customFormat="1">
      <c r="A194" s="354"/>
      <c r="T194" s="368"/>
    </row>
    <row r="195" spans="1:20" s="355" customFormat="1">
      <c r="A195" s="354"/>
      <c r="T195" s="368"/>
    </row>
    <row r="196" spans="1:20" s="355" customFormat="1">
      <c r="A196" s="354"/>
      <c r="T196" s="368"/>
    </row>
    <row r="197" spans="1:20" s="355" customFormat="1">
      <c r="A197" s="354"/>
      <c r="T197" s="368"/>
    </row>
    <row r="198" spans="1:20" s="355" customFormat="1">
      <c r="A198" s="354"/>
      <c r="T198" s="368"/>
    </row>
    <row r="199" spans="1:20" s="355" customFormat="1">
      <c r="A199" s="354"/>
      <c r="T199" s="368"/>
    </row>
    <row r="200" spans="1:20" s="355" customFormat="1">
      <c r="A200" s="354"/>
      <c r="T200" s="368"/>
    </row>
    <row r="201" spans="1:20" s="355" customFormat="1">
      <c r="A201" s="354"/>
      <c r="T201" s="368"/>
    </row>
    <row r="202" spans="1:20" s="355" customFormat="1">
      <c r="A202" s="354"/>
      <c r="T202" s="368"/>
    </row>
    <row r="203" spans="1:20" s="355" customFormat="1">
      <c r="A203" s="354"/>
      <c r="T203" s="368"/>
    </row>
    <row r="204" spans="1:20" s="355" customFormat="1">
      <c r="A204" s="354"/>
      <c r="T204" s="368"/>
    </row>
    <row r="205" spans="1:20" s="355" customFormat="1">
      <c r="A205" s="354"/>
      <c r="T205" s="368"/>
    </row>
    <row r="206" spans="1:20" s="355" customFormat="1">
      <c r="A206" s="354"/>
      <c r="T206" s="368"/>
    </row>
    <row r="207" spans="1:20" s="355" customFormat="1">
      <c r="A207" s="354"/>
      <c r="T207" s="368"/>
    </row>
    <row r="208" spans="1:20" s="355" customFormat="1">
      <c r="A208" s="354"/>
      <c r="T208" s="368"/>
    </row>
    <row r="209" spans="1:20" s="355" customFormat="1">
      <c r="A209" s="354"/>
      <c r="T209" s="368"/>
    </row>
    <row r="210" spans="1:20" s="355" customFormat="1">
      <c r="A210" s="354"/>
      <c r="T210" s="368"/>
    </row>
    <row r="211" spans="1:20" s="355" customFormat="1">
      <c r="A211" s="354"/>
      <c r="T211" s="368"/>
    </row>
    <row r="212" spans="1:20" s="355" customFormat="1">
      <c r="A212" s="354"/>
      <c r="T212" s="368"/>
    </row>
    <row r="213" spans="1:20" s="355" customFormat="1">
      <c r="A213" s="354"/>
      <c r="T213" s="368"/>
    </row>
    <row r="214" spans="1:20" s="355" customFormat="1">
      <c r="A214" s="354"/>
      <c r="T214" s="368"/>
    </row>
    <row r="215" spans="1:20" s="355" customFormat="1">
      <c r="A215" s="354"/>
      <c r="T215" s="368"/>
    </row>
    <row r="216" spans="1:20" s="355" customFormat="1">
      <c r="A216" s="354"/>
      <c r="T216" s="368"/>
    </row>
    <row r="217" spans="1:20" s="355" customFormat="1">
      <c r="A217" s="354"/>
      <c r="T217" s="368"/>
    </row>
    <row r="218" spans="1:20" s="355" customFormat="1">
      <c r="A218" s="354"/>
      <c r="T218" s="368"/>
    </row>
    <row r="219" spans="1:20" s="355" customFormat="1">
      <c r="A219" s="354"/>
      <c r="T219" s="368"/>
    </row>
    <row r="220" spans="1:20" s="355" customFormat="1">
      <c r="A220" s="354"/>
      <c r="T220" s="368"/>
    </row>
    <row r="221" spans="1:20" s="355" customFormat="1">
      <c r="A221" s="354"/>
      <c r="T221" s="368"/>
    </row>
    <row r="222" spans="1:20" s="355" customFormat="1">
      <c r="A222" s="354"/>
      <c r="T222" s="368"/>
    </row>
    <row r="223" spans="1:20" s="355" customFormat="1">
      <c r="A223" s="354"/>
      <c r="T223" s="368"/>
    </row>
    <row r="224" spans="1:20" s="355" customFormat="1">
      <c r="A224" s="354"/>
      <c r="T224" s="368"/>
    </row>
    <row r="225" spans="1:20" s="355" customFormat="1">
      <c r="A225" s="354"/>
      <c r="T225" s="368"/>
    </row>
    <row r="226" spans="1:20" s="355" customFormat="1">
      <c r="A226" s="354"/>
      <c r="T226" s="368"/>
    </row>
    <row r="227" spans="1:20" s="355" customFormat="1">
      <c r="A227" s="354"/>
      <c r="T227" s="368"/>
    </row>
    <row r="228" spans="1:20" s="355" customFormat="1">
      <c r="A228" s="354"/>
      <c r="T228" s="368"/>
    </row>
    <row r="229" spans="1:20" s="355" customFormat="1">
      <c r="A229" s="354"/>
      <c r="T229" s="368"/>
    </row>
    <row r="230" spans="1:20" s="355" customFormat="1">
      <c r="A230" s="354"/>
      <c r="T230" s="368"/>
    </row>
    <row r="231" spans="1:20" s="355" customFormat="1">
      <c r="A231" s="354"/>
      <c r="T231" s="368"/>
    </row>
    <row r="232" spans="1:20" s="355" customFormat="1">
      <c r="A232" s="354"/>
      <c r="T232" s="368"/>
    </row>
    <row r="233" spans="1:20" s="355" customFormat="1">
      <c r="A233" s="354"/>
      <c r="T233" s="368"/>
    </row>
    <row r="234" spans="1:20" s="355" customFormat="1">
      <c r="A234" s="354"/>
      <c r="T234" s="368"/>
    </row>
    <row r="235" spans="1:20" s="355" customFormat="1">
      <c r="A235" s="354"/>
      <c r="T235" s="368"/>
    </row>
    <row r="236" spans="1:20" s="355" customFormat="1">
      <c r="A236" s="354"/>
      <c r="T236" s="368"/>
    </row>
    <row r="237" spans="1:20" s="355" customFormat="1">
      <c r="A237" s="354"/>
      <c r="T237" s="368"/>
    </row>
    <row r="238" spans="1:20" s="355" customFormat="1">
      <c r="A238" s="354"/>
      <c r="T238" s="368"/>
    </row>
    <row r="239" spans="1:20" s="355" customFormat="1">
      <c r="A239" s="354"/>
      <c r="T239" s="368"/>
    </row>
    <row r="240" spans="1:20" s="355" customFormat="1">
      <c r="A240" s="354"/>
      <c r="T240" s="368"/>
    </row>
    <row r="241" spans="1:20" s="355" customFormat="1">
      <c r="A241" s="354"/>
      <c r="T241" s="368"/>
    </row>
    <row r="242" spans="1:20" s="355" customFormat="1">
      <c r="A242" s="354"/>
      <c r="T242" s="368"/>
    </row>
    <row r="243" spans="1:20" s="355" customFormat="1">
      <c r="A243" s="354"/>
      <c r="T243" s="368"/>
    </row>
    <row r="244" spans="1:20" s="355" customFormat="1">
      <c r="A244" s="354"/>
      <c r="T244" s="368"/>
    </row>
    <row r="245" spans="1:20" s="355" customFormat="1">
      <c r="A245" s="354"/>
      <c r="T245" s="368"/>
    </row>
    <row r="246" spans="1:20" s="355" customFormat="1">
      <c r="A246" s="354"/>
      <c r="T246" s="368"/>
    </row>
    <row r="247" spans="1:20" s="355" customFormat="1">
      <c r="A247" s="354"/>
      <c r="T247" s="368"/>
    </row>
    <row r="248" spans="1:20" s="355" customFormat="1">
      <c r="A248" s="354"/>
      <c r="T248" s="368"/>
    </row>
    <row r="249" spans="1:20" s="355" customFormat="1">
      <c r="A249" s="354"/>
      <c r="T249" s="368"/>
    </row>
    <row r="250" spans="1:20" s="355" customFormat="1">
      <c r="A250" s="354"/>
      <c r="T250" s="368"/>
    </row>
    <row r="251" spans="1:20" s="355" customFormat="1">
      <c r="A251" s="354"/>
      <c r="T251" s="368"/>
    </row>
    <row r="252" spans="1:20" s="355" customFormat="1">
      <c r="A252" s="354"/>
      <c r="T252" s="368"/>
    </row>
    <row r="253" spans="1:20" s="355" customFormat="1">
      <c r="A253" s="354"/>
      <c r="T253" s="368"/>
    </row>
    <row r="254" spans="1:20" s="355" customFormat="1">
      <c r="A254" s="354"/>
      <c r="T254" s="368"/>
    </row>
    <row r="255" spans="1:20" s="355" customFormat="1">
      <c r="A255" s="354"/>
      <c r="T255" s="368"/>
    </row>
    <row r="256" spans="1:20" s="355" customFormat="1">
      <c r="A256" s="354"/>
      <c r="T256" s="368"/>
    </row>
    <row r="257" spans="1:20" s="355" customFormat="1">
      <c r="A257" s="354"/>
      <c r="T257" s="368"/>
    </row>
    <row r="258" spans="1:20" s="355" customFormat="1">
      <c r="A258" s="354"/>
      <c r="T258" s="368"/>
    </row>
    <row r="259" spans="1:20" s="355" customFormat="1">
      <c r="A259" s="354"/>
      <c r="T259" s="368"/>
    </row>
    <row r="260" spans="1:20" s="355" customFormat="1">
      <c r="A260" s="354"/>
      <c r="T260" s="368"/>
    </row>
    <row r="261" spans="1:20" s="355" customFormat="1">
      <c r="A261" s="354"/>
      <c r="T261" s="368"/>
    </row>
    <row r="262" spans="1:20" s="355" customFormat="1">
      <c r="A262" s="354"/>
      <c r="T262" s="368"/>
    </row>
    <row r="263" spans="1:20" s="355" customFormat="1">
      <c r="A263" s="354"/>
      <c r="T263" s="368"/>
    </row>
    <row r="264" spans="1:20" s="355" customFormat="1">
      <c r="A264" s="354"/>
      <c r="T264" s="368"/>
    </row>
    <row r="265" spans="1:20" s="355" customFormat="1">
      <c r="A265" s="354"/>
      <c r="T265" s="368"/>
    </row>
    <row r="266" spans="1:20" s="355" customFormat="1">
      <c r="A266" s="354"/>
      <c r="T266" s="368"/>
    </row>
    <row r="267" spans="1:20" s="355" customFormat="1">
      <c r="A267" s="354"/>
      <c r="T267" s="368"/>
    </row>
    <row r="268" spans="1:20" s="355" customFormat="1">
      <c r="A268" s="354"/>
      <c r="T268" s="368"/>
    </row>
    <row r="269" spans="1:20" s="355" customFormat="1">
      <c r="A269" s="354"/>
      <c r="T269" s="368"/>
    </row>
    <row r="270" spans="1:20" s="355" customFormat="1">
      <c r="A270" s="354"/>
      <c r="T270" s="368"/>
    </row>
    <row r="271" spans="1:20" s="355" customFormat="1">
      <c r="A271" s="354"/>
      <c r="T271" s="368"/>
    </row>
    <row r="272" spans="1:20" s="355" customFormat="1">
      <c r="A272" s="354"/>
      <c r="T272" s="368"/>
    </row>
    <row r="273" spans="1:20" s="355" customFormat="1">
      <c r="A273" s="354"/>
      <c r="T273" s="368"/>
    </row>
    <row r="274" spans="1:20" s="355" customFormat="1">
      <c r="A274" s="354"/>
      <c r="T274" s="368"/>
    </row>
    <row r="275" spans="1:20" s="355" customFormat="1">
      <c r="A275" s="354"/>
      <c r="T275" s="368"/>
    </row>
    <row r="276" spans="1:20" s="355" customFormat="1">
      <c r="A276" s="354"/>
      <c r="T276" s="368"/>
    </row>
    <row r="277" spans="1:20" s="355" customFormat="1">
      <c r="A277" s="354"/>
      <c r="T277" s="368"/>
    </row>
    <row r="278" spans="1:20" s="355" customFormat="1">
      <c r="A278" s="354"/>
      <c r="T278" s="368"/>
    </row>
    <row r="279" spans="1:20" s="355" customFormat="1">
      <c r="A279" s="354"/>
      <c r="T279" s="368"/>
    </row>
    <row r="280" spans="1:20" s="355" customFormat="1">
      <c r="A280" s="354"/>
      <c r="T280" s="368"/>
    </row>
    <row r="281" spans="1:20" s="355" customFormat="1">
      <c r="A281" s="354"/>
      <c r="T281" s="368"/>
    </row>
    <row r="282" spans="1:20" s="355" customFormat="1">
      <c r="A282" s="354"/>
      <c r="T282" s="368"/>
    </row>
    <row r="283" spans="1:20" s="355" customFormat="1">
      <c r="A283" s="354"/>
      <c r="T283" s="368"/>
    </row>
    <row r="284" spans="1:20" s="355" customFormat="1">
      <c r="A284" s="354"/>
      <c r="T284" s="368"/>
    </row>
    <row r="285" spans="1:20" s="355" customFormat="1">
      <c r="A285" s="354"/>
      <c r="T285" s="368"/>
    </row>
    <row r="286" spans="1:20" s="355" customFormat="1">
      <c r="A286" s="354"/>
      <c r="T286" s="368"/>
    </row>
    <row r="287" spans="1:20" s="355" customFormat="1">
      <c r="A287" s="354"/>
      <c r="T287" s="368"/>
    </row>
    <row r="288" spans="1:20" s="355" customFormat="1">
      <c r="A288" s="354"/>
      <c r="T288" s="368"/>
    </row>
    <row r="289" spans="1:20" s="355" customFormat="1">
      <c r="A289" s="354"/>
      <c r="T289" s="368"/>
    </row>
    <row r="290" spans="1:20" s="355" customFormat="1">
      <c r="A290" s="354"/>
      <c r="T290" s="368"/>
    </row>
    <row r="291" spans="1:20" s="355" customFormat="1">
      <c r="A291" s="354"/>
      <c r="T291" s="368"/>
    </row>
    <row r="292" spans="1:20" s="355" customFormat="1">
      <c r="A292" s="354"/>
      <c r="T292" s="368"/>
    </row>
    <row r="293" spans="1:20" s="355" customFormat="1">
      <c r="A293" s="354"/>
      <c r="T293" s="368"/>
    </row>
    <row r="294" spans="1:20" s="355" customFormat="1">
      <c r="A294" s="354"/>
      <c r="T294" s="368"/>
    </row>
    <row r="295" spans="1:20" s="355" customFormat="1">
      <c r="A295" s="354"/>
      <c r="T295" s="368"/>
    </row>
    <row r="296" spans="1:20" s="355" customFormat="1">
      <c r="A296" s="354"/>
      <c r="T296" s="368"/>
    </row>
    <row r="297" spans="1:20" s="355" customFormat="1">
      <c r="A297" s="354"/>
      <c r="T297" s="368"/>
    </row>
    <row r="298" spans="1:20" s="355" customFormat="1">
      <c r="A298" s="354"/>
      <c r="T298" s="368"/>
    </row>
    <row r="299" spans="1:20" s="355" customFormat="1">
      <c r="A299" s="354"/>
      <c r="T299" s="368"/>
    </row>
    <row r="300" spans="1:20">
      <c r="T300" s="368"/>
    </row>
    <row r="301" spans="1:20">
      <c r="T301" s="368"/>
    </row>
    <row r="302" spans="1:20">
      <c r="T302" s="368"/>
    </row>
    <row r="303" spans="1:20">
      <c r="T303" s="368"/>
    </row>
    <row r="304" spans="1:20">
      <c r="T304" s="368"/>
    </row>
    <row r="305" spans="20:20">
      <c r="T305" s="368"/>
    </row>
    <row r="306" spans="20:20">
      <c r="T306" s="368"/>
    </row>
    <row r="307" spans="20:20">
      <c r="T307" s="368"/>
    </row>
    <row r="308" spans="20:20">
      <c r="T308" s="368"/>
    </row>
    <row r="309" spans="20:20">
      <c r="T309" s="368"/>
    </row>
    <row r="310" spans="20:20">
      <c r="T310" s="368"/>
    </row>
    <row r="311" spans="20:20">
      <c r="T311" s="368"/>
    </row>
    <row r="312" spans="20:20">
      <c r="T312" s="368"/>
    </row>
    <row r="313" spans="20:20">
      <c r="T313" s="368"/>
    </row>
    <row r="314" spans="20:20">
      <c r="T314" s="368"/>
    </row>
    <row r="315" spans="20:20">
      <c r="T315" s="368"/>
    </row>
    <row r="316" spans="20:20">
      <c r="T316" s="368"/>
    </row>
    <row r="317" spans="20:20">
      <c r="T317" s="368"/>
    </row>
    <row r="318" spans="20:20">
      <c r="T318" s="368"/>
    </row>
    <row r="319" spans="20:20">
      <c r="T319" s="368"/>
    </row>
    <row r="320" spans="20:20">
      <c r="T320" s="368"/>
    </row>
    <row r="321" spans="20:20">
      <c r="T321" s="368"/>
    </row>
    <row r="322" spans="20:20">
      <c r="T322" s="368"/>
    </row>
    <row r="323" spans="20:20">
      <c r="T323" s="368"/>
    </row>
    <row r="324" spans="20:20">
      <c r="T324" s="368"/>
    </row>
    <row r="325" spans="20:20">
      <c r="T325" s="368"/>
    </row>
    <row r="326" spans="20:20">
      <c r="T326" s="368"/>
    </row>
    <row r="327" spans="20:20">
      <c r="T327" s="368"/>
    </row>
    <row r="328" spans="20:20">
      <c r="T328" s="368"/>
    </row>
    <row r="329" spans="20:20">
      <c r="T329" s="368"/>
    </row>
    <row r="330" spans="20:20">
      <c r="T330" s="368"/>
    </row>
    <row r="331" spans="20:20">
      <c r="T331" s="368"/>
    </row>
    <row r="332" spans="20:20">
      <c r="T332" s="368"/>
    </row>
    <row r="333" spans="20:20">
      <c r="T333" s="368"/>
    </row>
    <row r="334" spans="20:20">
      <c r="T334" s="368"/>
    </row>
    <row r="335" spans="20:20">
      <c r="T335" s="368"/>
    </row>
    <row r="336" spans="20:20">
      <c r="T336" s="368"/>
    </row>
    <row r="337" spans="20:20">
      <c r="T337" s="368"/>
    </row>
    <row r="338" spans="20:20">
      <c r="T338" s="368"/>
    </row>
    <row r="339" spans="20:20">
      <c r="T339" s="368"/>
    </row>
    <row r="340" spans="20:20">
      <c r="T340" s="368"/>
    </row>
    <row r="341" spans="20:20">
      <c r="T341" s="368"/>
    </row>
    <row r="342" spans="20:20">
      <c r="T342" s="368"/>
    </row>
    <row r="343" spans="20:20">
      <c r="T343" s="368"/>
    </row>
    <row r="344" spans="20:20">
      <c r="T344" s="368"/>
    </row>
    <row r="345" spans="20:20">
      <c r="T345" s="368"/>
    </row>
    <row r="346" spans="20:20">
      <c r="T346" s="368"/>
    </row>
    <row r="347" spans="20:20">
      <c r="T347" s="368"/>
    </row>
    <row r="348" spans="20:20">
      <c r="T348" s="368"/>
    </row>
    <row r="349" spans="20:20">
      <c r="T349" s="368"/>
    </row>
    <row r="350" spans="20:20">
      <c r="T350" s="368"/>
    </row>
    <row r="351" spans="20:20">
      <c r="T351" s="368"/>
    </row>
    <row r="352" spans="20:20">
      <c r="T352" s="368"/>
    </row>
    <row r="353" spans="20:20">
      <c r="T353" s="368"/>
    </row>
    <row r="354" spans="20:20">
      <c r="T354" s="368"/>
    </row>
    <row r="355" spans="20:20">
      <c r="T355" s="368"/>
    </row>
    <row r="356" spans="20:20">
      <c r="T356" s="368"/>
    </row>
    <row r="357" spans="20:20">
      <c r="T357" s="368"/>
    </row>
    <row r="358" spans="20:20">
      <c r="T358" s="368"/>
    </row>
    <row r="359" spans="20:20">
      <c r="T359" s="368"/>
    </row>
    <row r="360" spans="20:20">
      <c r="T360" s="368"/>
    </row>
    <row r="361" spans="20:20">
      <c r="T361" s="368"/>
    </row>
    <row r="362" spans="20:20">
      <c r="T362" s="368"/>
    </row>
    <row r="363" spans="20:20">
      <c r="T363" s="368"/>
    </row>
    <row r="364" spans="20:20">
      <c r="T364" s="368"/>
    </row>
    <row r="365" spans="20:20">
      <c r="T365" s="368"/>
    </row>
    <row r="366" spans="20:20">
      <c r="T366" s="368"/>
    </row>
    <row r="367" spans="20:20">
      <c r="T367" s="368"/>
    </row>
    <row r="368" spans="20:20">
      <c r="T368" s="368"/>
    </row>
    <row r="369" spans="20:20">
      <c r="T369" s="368"/>
    </row>
    <row r="370" spans="20:20">
      <c r="T370" s="368"/>
    </row>
    <row r="371" spans="20:20">
      <c r="T371" s="368"/>
    </row>
    <row r="372" spans="20:20">
      <c r="T372" s="368"/>
    </row>
    <row r="373" spans="20:20">
      <c r="T373" s="368"/>
    </row>
    <row r="374" spans="20:20">
      <c r="T374" s="368"/>
    </row>
    <row r="375" spans="20:20">
      <c r="T375" s="368"/>
    </row>
    <row r="376" spans="20:20">
      <c r="T376" s="368"/>
    </row>
    <row r="377" spans="20:20">
      <c r="T377" s="368"/>
    </row>
    <row r="378" spans="20:20">
      <c r="T378" s="368"/>
    </row>
    <row r="379" spans="20:20">
      <c r="T379" s="368"/>
    </row>
    <row r="380" spans="20:20">
      <c r="T380" s="368"/>
    </row>
    <row r="381" spans="20:20">
      <c r="T381" s="368"/>
    </row>
    <row r="382" spans="20:20">
      <c r="T382" s="368"/>
    </row>
    <row r="383" spans="20:20">
      <c r="T383" s="368"/>
    </row>
    <row r="384" spans="20:20">
      <c r="T384" s="368"/>
    </row>
    <row r="385" spans="20:20">
      <c r="T385" s="368"/>
    </row>
    <row r="386" spans="20:20">
      <c r="T386" s="368"/>
    </row>
    <row r="387" spans="20:20">
      <c r="T387" s="368"/>
    </row>
    <row r="388" spans="20:20">
      <c r="T388" s="368"/>
    </row>
    <row r="389" spans="20:20">
      <c r="T389" s="368"/>
    </row>
    <row r="390" spans="20:20">
      <c r="T390" s="368"/>
    </row>
    <row r="391" spans="20:20">
      <c r="T391" s="368"/>
    </row>
    <row r="392" spans="20:20">
      <c r="T392" s="368"/>
    </row>
    <row r="393" spans="20:20">
      <c r="T393" s="368"/>
    </row>
    <row r="394" spans="20:20">
      <c r="T394" s="368"/>
    </row>
    <row r="395" spans="20:20">
      <c r="T395" s="368"/>
    </row>
    <row r="396" spans="20:20">
      <c r="T396" s="368"/>
    </row>
    <row r="397" spans="20:20">
      <c r="T397" s="368"/>
    </row>
    <row r="398" spans="20:20">
      <c r="T398" s="368"/>
    </row>
    <row r="399" spans="20:20">
      <c r="T399" s="368"/>
    </row>
    <row r="400" spans="20:20">
      <c r="T400" s="368"/>
    </row>
    <row r="401" spans="20:20">
      <c r="T401" s="368"/>
    </row>
    <row r="402" spans="20:20">
      <c r="T402" s="368"/>
    </row>
    <row r="403" spans="20:20">
      <c r="T403" s="368"/>
    </row>
    <row r="404" spans="20:20">
      <c r="T404" s="368"/>
    </row>
    <row r="405" spans="20:20">
      <c r="T405" s="368"/>
    </row>
    <row r="406" spans="20:20">
      <c r="T406" s="368"/>
    </row>
    <row r="407" spans="20:20">
      <c r="T407" s="368"/>
    </row>
    <row r="408" spans="20:20">
      <c r="T408" s="368"/>
    </row>
    <row r="409" spans="20:20">
      <c r="T409" s="368"/>
    </row>
    <row r="410" spans="20:20">
      <c r="T410" s="368"/>
    </row>
    <row r="411" spans="20:20">
      <c r="T411" s="368"/>
    </row>
    <row r="412" spans="20:20">
      <c r="T412" s="368"/>
    </row>
    <row r="413" spans="20:20">
      <c r="T413" s="368"/>
    </row>
    <row r="414" spans="20:20">
      <c r="T414" s="368"/>
    </row>
    <row r="415" spans="20:20">
      <c r="T415" s="368"/>
    </row>
    <row r="416" spans="20:20">
      <c r="T416" s="368"/>
    </row>
    <row r="417" spans="20:20">
      <c r="T417" s="368"/>
    </row>
    <row r="418" spans="20:20">
      <c r="T418" s="368"/>
    </row>
    <row r="419" spans="20:20">
      <c r="T419" s="368"/>
    </row>
    <row r="420" spans="20:20">
      <c r="T420" s="368"/>
    </row>
    <row r="421" spans="20:20">
      <c r="T421" s="368"/>
    </row>
    <row r="422" spans="20:20">
      <c r="T422" s="368"/>
    </row>
    <row r="423" spans="20:20">
      <c r="T423" s="368"/>
    </row>
    <row r="424" spans="20:20">
      <c r="T424" s="368"/>
    </row>
    <row r="425" spans="20:20">
      <c r="T425" s="368"/>
    </row>
    <row r="426" spans="20:20">
      <c r="T426" s="368"/>
    </row>
    <row r="427" spans="20:20">
      <c r="T427" s="368"/>
    </row>
    <row r="428" spans="20:20">
      <c r="T428" s="368"/>
    </row>
    <row r="429" spans="20:20">
      <c r="T429" s="368"/>
    </row>
    <row r="430" spans="20:20">
      <c r="T430" s="368"/>
    </row>
    <row r="431" spans="20:20">
      <c r="T431" s="368"/>
    </row>
    <row r="432" spans="20:20">
      <c r="T432" s="368"/>
    </row>
    <row r="433" spans="20:20">
      <c r="T433" s="368"/>
    </row>
    <row r="434" spans="20:20">
      <c r="T434" s="368"/>
    </row>
    <row r="435" spans="20:20">
      <c r="T435" s="368"/>
    </row>
    <row r="436" spans="20:20">
      <c r="T436" s="368"/>
    </row>
    <row r="437" spans="20:20">
      <c r="T437" s="368"/>
    </row>
    <row r="438" spans="20:20">
      <c r="T438" s="368"/>
    </row>
    <row r="439" spans="20:20">
      <c r="T439" s="368"/>
    </row>
    <row r="440" spans="20:20">
      <c r="T440" s="368"/>
    </row>
    <row r="441" spans="20:20">
      <c r="T441" s="368"/>
    </row>
    <row r="442" spans="20:20">
      <c r="T442" s="368"/>
    </row>
    <row r="443" spans="20:20">
      <c r="T443" s="368"/>
    </row>
    <row r="444" spans="20:20">
      <c r="T444" s="368"/>
    </row>
    <row r="445" spans="20:20">
      <c r="T445" s="368"/>
    </row>
    <row r="446" spans="20:20">
      <c r="T446" s="368"/>
    </row>
    <row r="447" spans="20:20">
      <c r="T447" s="368"/>
    </row>
    <row r="448" spans="20:20">
      <c r="T448" s="368"/>
    </row>
    <row r="449" spans="20:20">
      <c r="T449" s="368"/>
    </row>
    <row r="1145" spans="3:3">
      <c r="C1145" s="330">
        <v>-2130</v>
      </c>
    </row>
    <row r="1153" spans="3:3">
      <c r="C1153" s="330">
        <f>7004298-2130</f>
        <v>7002168</v>
      </c>
    </row>
  </sheetData>
  <conditionalFormatting sqref="T17 T24 T31 T38 T46 T54 T62 T70 T78 T86 T102 T94">
    <cfRule type="cellIs" dxfId="106" priority="107" stopIfTrue="1" operator="equal">
      <formula>0</formula>
    </cfRule>
    <cfRule type="cellIs" dxfId="105" priority="108" stopIfTrue="1" operator="notEqual">
      <formula>0</formula>
    </cfRule>
  </conditionalFormatting>
  <conditionalFormatting sqref="T17 T24 T31 T38 T46 T54 T62 T70 T78 T86 T102 T94">
    <cfRule type="cellIs" dxfId="104" priority="106" stopIfTrue="1" operator="equal">
      <formula>0</formula>
    </cfRule>
  </conditionalFormatting>
  <printOptions gridLinesSet="0"/>
  <pageMargins left="0.18" right="0" top="0.5" bottom="0.5" header="0.5" footer="0.25"/>
  <pageSetup scale="53" orientation="landscape" horizontalDpi="300" verticalDpi="300" r:id="rId1"/>
  <headerFooter alignWithMargins="0">
    <oddFooter>&amp;L&amp;F&amp;C&amp;A&amp;R&amp;D  &amp;T</oddFooter>
  </headerFooter>
  <customProperties>
    <customPr name="xxe4aP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  <pageSetUpPr fitToPage="1"/>
  </sheetPr>
  <dimension ref="A1:J196"/>
  <sheetViews>
    <sheetView view="pageBreakPreview" topLeftCell="A159" zoomScale="85" zoomScaleNormal="100" zoomScaleSheetLayoutView="85" workbookViewId="0">
      <selection activeCell="G51" sqref="G51:J55"/>
    </sheetView>
  </sheetViews>
  <sheetFormatPr defaultColWidth="9.140625" defaultRowHeight="15"/>
  <cols>
    <col min="1" max="1" width="29.85546875" style="274" customWidth="1"/>
    <col min="2" max="2" width="6.85546875" style="274" bestFit="1" customWidth="1"/>
    <col min="3" max="3" width="15.85546875" style="274" bestFit="1" customWidth="1"/>
    <col min="4" max="4" width="14.85546875" style="274" bestFit="1" customWidth="1"/>
    <col min="5" max="5" width="16.140625" style="274" bestFit="1" customWidth="1"/>
    <col min="6" max="6" width="9.140625" style="274"/>
    <col min="7" max="7" width="36.28515625" style="274" bestFit="1" customWidth="1"/>
    <col min="8" max="8" width="17.5703125" style="274" bestFit="1" customWidth="1"/>
    <col min="9" max="10" width="15.140625" style="274" bestFit="1" customWidth="1"/>
    <col min="11" max="16384" width="9.140625" style="274"/>
  </cols>
  <sheetData>
    <row r="1" spans="1:10" ht="15.75">
      <c r="A1" s="273" t="s">
        <v>200</v>
      </c>
    </row>
    <row r="2" spans="1:10" ht="15.75">
      <c r="A2" s="446"/>
    </row>
    <row r="3" spans="1:10" ht="15.75">
      <c r="A3" s="273"/>
    </row>
    <row r="4" spans="1:10" ht="15.75" hidden="1">
      <c r="A4" s="289"/>
      <c r="B4" s="289"/>
      <c r="C4" s="283" t="s">
        <v>1</v>
      </c>
      <c r="D4" s="307">
        <v>41274</v>
      </c>
      <c r="E4" s="308">
        <v>280640.39010999998</v>
      </c>
    </row>
    <row r="5" spans="1:10" ht="15.75" hidden="1" thickBot="1"/>
    <row r="6" spans="1:10" ht="15.75" hidden="1">
      <c r="A6" s="697" t="s">
        <v>195</v>
      </c>
      <c r="B6" s="698"/>
      <c r="C6" s="698"/>
      <c r="D6" s="698"/>
      <c r="E6" s="699"/>
      <c r="G6" s="289"/>
      <c r="H6" s="289"/>
      <c r="I6" s="289"/>
    </row>
    <row r="7" spans="1:10" ht="15.75" hidden="1">
      <c r="A7" s="219">
        <v>41305</v>
      </c>
      <c r="B7" s="275"/>
      <c r="C7" s="276" t="s">
        <v>101</v>
      </c>
      <c r="D7" s="277"/>
      <c r="E7" s="278"/>
    </row>
    <row r="8" spans="1:10" ht="16.5" hidden="1" thickBot="1">
      <c r="A8" s="279"/>
      <c r="B8" s="280"/>
      <c r="C8" s="281" t="s">
        <v>21</v>
      </c>
      <c r="D8" s="281" t="s">
        <v>22</v>
      </c>
      <c r="E8" s="282" t="s">
        <v>23</v>
      </c>
    </row>
    <row r="9" spans="1:10" ht="15.75" hidden="1">
      <c r="A9" s="283" t="s">
        <v>24</v>
      </c>
      <c r="B9" s="284">
        <v>101</v>
      </c>
      <c r="C9" s="285">
        <v>22136409</v>
      </c>
      <c r="D9" s="286">
        <v>-2.1900000000000001E-3</v>
      </c>
      <c r="E9" s="287">
        <f>C9*D9</f>
        <v>-48478.735710000001</v>
      </c>
    </row>
    <row r="10" spans="1:10" ht="16.5" hidden="1" thickBot="1">
      <c r="A10" s="283" t="s">
        <v>24</v>
      </c>
      <c r="B10" s="284">
        <v>111</v>
      </c>
      <c r="C10" s="285">
        <v>7525225</v>
      </c>
      <c r="D10" s="286">
        <v>-2.1900000000000001E-3</v>
      </c>
      <c r="E10" s="287">
        <f t="shared" ref="E10:E16" si="0">C10*D10</f>
        <v>-16480.242750000001</v>
      </c>
      <c r="G10" s="288">
        <f>A7</f>
        <v>41305</v>
      </c>
      <c r="H10" s="289"/>
      <c r="I10" s="289"/>
      <c r="J10" s="289"/>
    </row>
    <row r="11" spans="1:10" ht="16.5" hidden="1" thickBot="1">
      <c r="A11" s="283" t="s">
        <v>24</v>
      </c>
      <c r="B11" s="284">
        <v>112</v>
      </c>
      <c r="C11" s="285">
        <v>0</v>
      </c>
      <c r="D11" s="286">
        <v>-2.1900000000000001E-3</v>
      </c>
      <c r="E11" s="287">
        <f t="shared" si="0"/>
        <v>0</v>
      </c>
      <c r="G11" s="290" t="s">
        <v>25</v>
      </c>
      <c r="H11" s="291"/>
      <c r="I11" s="292" t="s">
        <v>18</v>
      </c>
      <c r="J11" s="292" t="s">
        <v>19</v>
      </c>
    </row>
    <row r="12" spans="1:10" ht="15.75" hidden="1">
      <c r="A12" s="283" t="s">
        <v>24</v>
      </c>
      <c r="B12" s="284">
        <v>121</v>
      </c>
      <c r="C12" s="285">
        <v>606431</v>
      </c>
      <c r="D12" s="286">
        <v>-2.1900000000000001E-3</v>
      </c>
      <c r="E12" s="287">
        <f t="shared" si="0"/>
        <v>-1328.0838900000001</v>
      </c>
      <c r="G12" s="293" t="s">
        <v>97</v>
      </c>
      <c r="H12" s="294" t="s">
        <v>26</v>
      </c>
      <c r="I12" s="295">
        <f>-E17</f>
        <v>67542.528509999989</v>
      </c>
      <c r="J12" s="296">
        <v>0</v>
      </c>
    </row>
    <row r="13" spans="1:10" ht="16.5" hidden="1" thickBot="1">
      <c r="A13" s="283" t="s">
        <v>24</v>
      </c>
      <c r="B13" s="284">
        <v>122</v>
      </c>
      <c r="C13" s="285">
        <v>85748</v>
      </c>
      <c r="D13" s="286">
        <v>-2.1900000000000001E-3</v>
      </c>
      <c r="E13" s="287">
        <f t="shared" si="0"/>
        <v>-187.78812000000002</v>
      </c>
      <c r="G13" s="297" t="s">
        <v>196</v>
      </c>
      <c r="H13" s="298" t="s">
        <v>197</v>
      </c>
      <c r="I13" s="299">
        <v>0</v>
      </c>
      <c r="J13" s="300">
        <f>-I12</f>
        <v>-67542.528509999989</v>
      </c>
    </row>
    <row r="14" spans="1:10" ht="15.75" hidden="1">
      <c r="A14" s="283" t="s">
        <v>24</v>
      </c>
      <c r="B14" s="284">
        <v>131</v>
      </c>
      <c r="C14" s="285">
        <v>0</v>
      </c>
      <c r="D14" s="286">
        <v>-2.1900000000000001E-3</v>
      </c>
      <c r="E14" s="287">
        <f t="shared" si="0"/>
        <v>0</v>
      </c>
      <c r="G14" s="289"/>
      <c r="H14" s="289"/>
      <c r="I14" s="289"/>
      <c r="J14" s="301">
        <f>SUM(I12:J13)</f>
        <v>0</v>
      </c>
    </row>
    <row r="15" spans="1:10" ht="15.75" hidden="1">
      <c r="A15" s="283" t="s">
        <v>24</v>
      </c>
      <c r="B15" s="284">
        <v>132</v>
      </c>
      <c r="C15" s="285">
        <v>151236</v>
      </c>
      <c r="D15" s="286">
        <v>-2.1900000000000001E-3</v>
      </c>
      <c r="E15" s="287">
        <f t="shared" si="0"/>
        <v>-331.20684</v>
      </c>
    </row>
    <row r="16" spans="1:10" ht="15.75" hidden="1">
      <c r="A16" s="283" t="s">
        <v>24</v>
      </c>
      <c r="B16" s="284">
        <v>146</v>
      </c>
      <c r="C16" s="285">
        <v>3682356</v>
      </c>
      <c r="D16" s="286">
        <v>-2.0000000000000001E-4</v>
      </c>
      <c r="E16" s="302">
        <f t="shared" si="0"/>
        <v>-736.47120000000007</v>
      </c>
    </row>
    <row r="17" spans="1:10" ht="16.5" hidden="1" thickBot="1">
      <c r="A17" s="283" t="s">
        <v>198</v>
      </c>
      <c r="B17" s="284"/>
      <c r="C17" s="303">
        <f>SUM(C9:C16)</f>
        <v>34187405</v>
      </c>
      <c r="D17" s="304"/>
      <c r="E17" s="305">
        <f>SUM(E9:E16)</f>
        <v>-67542.528509999989</v>
      </c>
    </row>
    <row r="18" spans="1:10" ht="16.5" hidden="1" thickTop="1">
      <c r="A18" s="283"/>
      <c r="B18" s="284"/>
      <c r="C18" s="309">
        <v>34187405</v>
      </c>
      <c r="D18" s="304"/>
      <c r="E18" s="305"/>
    </row>
    <row r="19" spans="1:10" ht="15.75" hidden="1">
      <c r="A19" s="283"/>
      <c r="B19" s="284"/>
      <c r="C19" s="306">
        <f>C18-C17</f>
        <v>0</v>
      </c>
      <c r="D19" s="304"/>
      <c r="E19" s="305"/>
    </row>
    <row r="20" spans="1:10" ht="15.75" hidden="1">
      <c r="A20" s="289"/>
      <c r="B20" s="289"/>
      <c r="C20" s="283" t="s">
        <v>1</v>
      </c>
      <c r="D20" s="307">
        <f>A7</f>
        <v>41305</v>
      </c>
      <c r="E20" s="308">
        <f>E4+E17</f>
        <v>213097.8616</v>
      </c>
    </row>
    <row r="21" spans="1:10" ht="15.75" hidden="1" thickBot="1"/>
    <row r="22" spans="1:10" ht="15.75" hidden="1">
      <c r="A22" s="697" t="s">
        <v>195</v>
      </c>
      <c r="B22" s="698"/>
      <c r="C22" s="698"/>
      <c r="D22" s="698"/>
      <c r="E22" s="699"/>
      <c r="G22" s="289"/>
      <c r="H22" s="289"/>
      <c r="I22" s="289"/>
    </row>
    <row r="23" spans="1:10" ht="15.75" hidden="1">
      <c r="A23" s="219">
        <v>41333</v>
      </c>
      <c r="B23" s="275"/>
      <c r="C23" s="276" t="s">
        <v>101</v>
      </c>
      <c r="D23" s="277"/>
      <c r="E23" s="278"/>
    </row>
    <row r="24" spans="1:10" ht="16.5" hidden="1" thickBot="1">
      <c r="A24" s="279"/>
      <c r="B24" s="280"/>
      <c r="C24" s="281" t="s">
        <v>21</v>
      </c>
      <c r="D24" s="281" t="s">
        <v>22</v>
      </c>
      <c r="E24" s="282" t="s">
        <v>23</v>
      </c>
    </row>
    <row r="25" spans="1:10" ht="15.75" hidden="1">
      <c r="A25" s="283" t="s">
        <v>24</v>
      </c>
      <c r="B25" s="284">
        <v>101</v>
      </c>
      <c r="C25" s="285">
        <v>16585315</v>
      </c>
      <c r="D25" s="286">
        <v>-2.1900000000000001E-3</v>
      </c>
      <c r="E25" s="287">
        <v>-36321.839850000004</v>
      </c>
    </row>
    <row r="26" spans="1:10" ht="16.5" hidden="1" thickBot="1">
      <c r="A26" s="283" t="s">
        <v>24</v>
      </c>
      <c r="B26" s="284">
        <v>111</v>
      </c>
      <c r="C26" s="285">
        <v>5716465</v>
      </c>
      <c r="D26" s="286">
        <v>-2.1900000000000001E-3</v>
      </c>
      <c r="E26" s="287">
        <v>-12519.058350000001</v>
      </c>
      <c r="G26" s="288">
        <f>A23</f>
        <v>41333</v>
      </c>
      <c r="H26" s="289"/>
      <c r="I26" s="289"/>
      <c r="J26" s="289"/>
    </row>
    <row r="27" spans="1:10" ht="16.5" hidden="1" thickBot="1">
      <c r="A27" s="283" t="s">
        <v>24</v>
      </c>
      <c r="B27" s="284">
        <v>112</v>
      </c>
      <c r="C27" s="285">
        <v>0</v>
      </c>
      <c r="D27" s="286">
        <v>-2.1900000000000001E-3</v>
      </c>
      <c r="E27" s="287">
        <v>0</v>
      </c>
      <c r="G27" s="290" t="s">
        <v>25</v>
      </c>
      <c r="H27" s="291"/>
      <c r="I27" s="292" t="s">
        <v>18</v>
      </c>
      <c r="J27" s="292" t="s">
        <v>19</v>
      </c>
    </row>
    <row r="28" spans="1:10" ht="15.75" hidden="1">
      <c r="A28" s="283" t="s">
        <v>24</v>
      </c>
      <c r="B28" s="284">
        <v>121</v>
      </c>
      <c r="C28" s="285">
        <v>416479</v>
      </c>
      <c r="D28" s="286">
        <v>-2.1900000000000001E-3</v>
      </c>
      <c r="E28" s="287">
        <v>-912.08901000000003</v>
      </c>
      <c r="G28" s="293" t="s">
        <v>97</v>
      </c>
      <c r="H28" s="294" t="s">
        <v>26</v>
      </c>
      <c r="I28" s="295">
        <f>-E33</f>
        <v>50910.051820000008</v>
      </c>
      <c r="J28" s="296">
        <v>0</v>
      </c>
    </row>
    <row r="29" spans="1:10" ht="16.5" hidden="1" thickBot="1">
      <c r="A29" s="283" t="s">
        <v>24</v>
      </c>
      <c r="B29" s="284">
        <v>122</v>
      </c>
      <c r="C29" s="285">
        <v>94568</v>
      </c>
      <c r="D29" s="286">
        <v>-2.1900000000000001E-3</v>
      </c>
      <c r="E29" s="287">
        <v>-207.10392000000002</v>
      </c>
      <c r="G29" s="297" t="s">
        <v>196</v>
      </c>
      <c r="H29" s="298" t="s">
        <v>197</v>
      </c>
      <c r="I29" s="299">
        <v>0</v>
      </c>
      <c r="J29" s="300">
        <f>-I28</f>
        <v>-50910.051820000008</v>
      </c>
    </row>
    <row r="30" spans="1:10" ht="15.75" hidden="1">
      <c r="A30" s="283" t="s">
        <v>24</v>
      </c>
      <c r="B30" s="284">
        <v>131</v>
      </c>
      <c r="C30" s="285">
        <v>0</v>
      </c>
      <c r="D30" s="286">
        <v>-2.1900000000000001E-3</v>
      </c>
      <c r="E30" s="287">
        <v>0</v>
      </c>
      <c r="G30" s="289"/>
      <c r="H30" s="289"/>
      <c r="I30" s="289"/>
      <c r="J30" s="301">
        <f>SUM(I28:J29)</f>
        <v>0</v>
      </c>
    </row>
    <row r="31" spans="1:10" ht="15.75" hidden="1">
      <c r="A31" s="283" t="s">
        <v>24</v>
      </c>
      <c r="B31" s="284">
        <v>132</v>
      </c>
      <c r="C31" s="285">
        <v>172051</v>
      </c>
      <c r="D31" s="286">
        <v>-2.1900000000000001E-3</v>
      </c>
      <c r="E31" s="287">
        <v>-376.79169000000002</v>
      </c>
    </row>
    <row r="32" spans="1:10" ht="15.75" hidden="1">
      <c r="A32" s="283" t="s">
        <v>24</v>
      </c>
      <c r="B32" s="284">
        <v>146</v>
      </c>
      <c r="C32" s="285">
        <v>2865845</v>
      </c>
      <c r="D32" s="286">
        <v>-2.0000000000000001E-4</v>
      </c>
      <c r="E32" s="302">
        <v>-573.16899999999998</v>
      </c>
    </row>
    <row r="33" spans="1:10" ht="16.5" hidden="1" thickBot="1">
      <c r="A33" s="283" t="s">
        <v>198</v>
      </c>
      <c r="B33" s="284"/>
      <c r="C33" s="303">
        <f>SUM(C25:C32)</f>
        <v>25850723</v>
      </c>
      <c r="D33" s="304"/>
      <c r="E33" s="305">
        <f>SUM(E25:E32)</f>
        <v>-50910.051820000008</v>
      </c>
    </row>
    <row r="34" spans="1:10" ht="16.5" hidden="1" thickTop="1">
      <c r="A34" s="283"/>
      <c r="B34" s="284"/>
      <c r="C34" s="309">
        <v>25850723</v>
      </c>
      <c r="D34" s="304"/>
      <c r="E34" s="305"/>
    </row>
    <row r="35" spans="1:10" ht="15.75" hidden="1">
      <c r="A35" s="283"/>
      <c r="B35" s="284"/>
      <c r="C35" s="306">
        <f>C34-C33</f>
        <v>0</v>
      </c>
      <c r="D35" s="304"/>
      <c r="E35" s="305"/>
    </row>
    <row r="36" spans="1:10" ht="15.75" hidden="1">
      <c r="A36" s="289"/>
      <c r="B36" s="289"/>
      <c r="C36" s="283" t="s">
        <v>1</v>
      </c>
      <c r="D36" s="307">
        <f>A23</f>
        <v>41333</v>
      </c>
      <c r="E36" s="308">
        <f>E20+E33</f>
        <v>162187.80978000001</v>
      </c>
    </row>
    <row r="37" spans="1:10" ht="15.75" hidden="1" thickBot="1"/>
    <row r="38" spans="1:10" ht="15.75" hidden="1">
      <c r="A38" s="697" t="s">
        <v>195</v>
      </c>
      <c r="B38" s="698"/>
      <c r="C38" s="698"/>
      <c r="D38" s="698"/>
      <c r="E38" s="699"/>
      <c r="G38" s="289"/>
      <c r="H38" s="289"/>
      <c r="I38" s="289"/>
    </row>
    <row r="39" spans="1:10" ht="15.75" hidden="1">
      <c r="A39" s="219">
        <v>41364</v>
      </c>
      <c r="B39" s="275"/>
      <c r="C39" s="276" t="s">
        <v>101</v>
      </c>
      <c r="D39" s="277"/>
      <c r="E39" s="278"/>
    </row>
    <row r="40" spans="1:10" ht="16.5" hidden="1" thickBot="1">
      <c r="A40" s="279"/>
      <c r="B40" s="280"/>
      <c r="C40" s="281" t="s">
        <v>21</v>
      </c>
      <c r="D40" s="281" t="s">
        <v>22</v>
      </c>
      <c r="E40" s="282" t="s">
        <v>23</v>
      </c>
    </row>
    <row r="41" spans="1:10" ht="15.75" hidden="1">
      <c r="A41" s="283" t="s">
        <v>24</v>
      </c>
      <c r="B41" s="284">
        <v>101</v>
      </c>
      <c r="C41" s="285">
        <v>12776328</v>
      </c>
      <c r="D41" s="286">
        <v>-2.1900000000000001E-3</v>
      </c>
      <c r="E41" s="287">
        <v>-27980.158320000002</v>
      </c>
    </row>
    <row r="42" spans="1:10" ht="16.5" hidden="1" thickBot="1">
      <c r="A42" s="283" t="s">
        <v>24</v>
      </c>
      <c r="B42" s="284">
        <v>111</v>
      </c>
      <c r="C42" s="285">
        <v>4890087</v>
      </c>
      <c r="D42" s="286">
        <v>-2.1900000000000001E-3</v>
      </c>
      <c r="E42" s="287">
        <v>-10709.29053</v>
      </c>
      <c r="G42" s="288">
        <f>A39</f>
        <v>41364</v>
      </c>
      <c r="H42" s="289"/>
      <c r="I42" s="289"/>
      <c r="J42" s="289"/>
    </row>
    <row r="43" spans="1:10" ht="16.5" hidden="1" thickBot="1">
      <c r="A43" s="283" t="s">
        <v>24</v>
      </c>
      <c r="B43" s="284">
        <v>112</v>
      </c>
      <c r="C43" s="285">
        <v>0</v>
      </c>
      <c r="D43" s="286">
        <v>-2.1900000000000001E-3</v>
      </c>
      <c r="E43" s="287">
        <v>0</v>
      </c>
      <c r="G43" s="290" t="s">
        <v>25</v>
      </c>
      <c r="H43" s="291"/>
      <c r="I43" s="292" t="s">
        <v>18</v>
      </c>
      <c r="J43" s="292" t="s">
        <v>19</v>
      </c>
    </row>
    <row r="44" spans="1:10" ht="15.75" hidden="1">
      <c r="A44" s="283" t="s">
        <v>24</v>
      </c>
      <c r="B44" s="284">
        <v>121</v>
      </c>
      <c r="C44" s="285">
        <v>526218</v>
      </c>
      <c r="D44" s="286">
        <v>-2.1900000000000001E-3</v>
      </c>
      <c r="E44" s="287">
        <v>-1152.41742</v>
      </c>
      <c r="G44" s="293" t="s">
        <v>97</v>
      </c>
      <c r="H44" s="294" t="s">
        <v>26</v>
      </c>
      <c r="I44" s="295">
        <f>-E49</f>
        <v>40849.65926</v>
      </c>
      <c r="J44" s="296">
        <v>0</v>
      </c>
    </row>
    <row r="45" spans="1:10" ht="16.5" hidden="1" thickBot="1">
      <c r="A45" s="283" t="s">
        <v>24</v>
      </c>
      <c r="B45" s="284">
        <v>122</v>
      </c>
      <c r="C45" s="285">
        <v>71767</v>
      </c>
      <c r="D45" s="286">
        <v>-2.1900000000000001E-3</v>
      </c>
      <c r="E45" s="287">
        <v>-157.16973000000002</v>
      </c>
      <c r="G45" s="297" t="s">
        <v>196</v>
      </c>
      <c r="H45" s="298" t="s">
        <v>197</v>
      </c>
      <c r="I45" s="299">
        <v>0</v>
      </c>
      <c r="J45" s="300">
        <f>-I44</f>
        <v>-40849.65926</v>
      </c>
    </row>
    <row r="46" spans="1:10" ht="15.75" hidden="1">
      <c r="A46" s="283" t="s">
        <v>24</v>
      </c>
      <c r="B46" s="284">
        <v>131</v>
      </c>
      <c r="C46" s="285">
        <v>0</v>
      </c>
      <c r="D46" s="286">
        <v>-2.1900000000000001E-3</v>
      </c>
      <c r="E46" s="287">
        <v>0</v>
      </c>
      <c r="G46" s="289"/>
      <c r="H46" s="289"/>
      <c r="I46" s="289"/>
      <c r="J46" s="301">
        <f>SUM(I44:J45)</f>
        <v>0</v>
      </c>
    </row>
    <row r="47" spans="1:10" ht="15.75" hidden="1">
      <c r="A47" s="283" t="s">
        <v>24</v>
      </c>
      <c r="B47" s="284">
        <v>132</v>
      </c>
      <c r="C47" s="285">
        <v>135254</v>
      </c>
      <c r="D47" s="286">
        <v>-2.1900000000000001E-3</v>
      </c>
      <c r="E47" s="287">
        <v>-296.20625999999999</v>
      </c>
    </row>
    <row r="48" spans="1:10" ht="15.75" hidden="1">
      <c r="A48" s="283" t="s">
        <v>24</v>
      </c>
      <c r="B48" s="284">
        <v>146</v>
      </c>
      <c r="C48" s="285">
        <v>2772085</v>
      </c>
      <c r="D48" s="286">
        <v>-2.0000000000000001E-4</v>
      </c>
      <c r="E48" s="302">
        <v>-554.41700000000003</v>
      </c>
    </row>
    <row r="49" spans="1:10" ht="16.5" hidden="1" thickBot="1">
      <c r="A49" s="283" t="s">
        <v>198</v>
      </c>
      <c r="B49" s="284"/>
      <c r="C49" s="303">
        <f>SUM(C41:C48)</f>
        <v>21171739</v>
      </c>
      <c r="D49" s="304"/>
      <c r="E49" s="305">
        <f>SUM(E41:E48)</f>
        <v>-40849.65926</v>
      </c>
    </row>
    <row r="50" spans="1:10" ht="16.5" hidden="1" thickTop="1">
      <c r="A50" s="283"/>
      <c r="B50" s="284"/>
      <c r="C50" s="309">
        <v>21171739</v>
      </c>
      <c r="D50" s="304"/>
      <c r="E50" s="305"/>
    </row>
    <row r="51" spans="1:10" ht="15.75" hidden="1">
      <c r="A51" s="283"/>
      <c r="B51" s="284"/>
      <c r="C51" s="306">
        <f>C50-C49</f>
        <v>0</v>
      </c>
      <c r="D51" s="304"/>
      <c r="E51" s="305"/>
    </row>
    <row r="52" spans="1:10" ht="15.75" hidden="1">
      <c r="A52" s="289"/>
      <c r="B52" s="289"/>
      <c r="C52" s="283" t="s">
        <v>1</v>
      </c>
      <c r="D52" s="307">
        <f>A39</f>
        <v>41364</v>
      </c>
      <c r="E52" s="308">
        <f>E36+E49</f>
        <v>121338.15052000001</v>
      </c>
    </row>
    <row r="53" spans="1:10" ht="15.75" hidden="1" thickBot="1"/>
    <row r="54" spans="1:10" ht="15.75" hidden="1">
      <c r="A54" s="697" t="s">
        <v>195</v>
      </c>
      <c r="B54" s="698"/>
      <c r="C54" s="698"/>
      <c r="D54" s="698"/>
      <c r="E54" s="699"/>
      <c r="G54" s="289"/>
      <c r="H54" s="289"/>
      <c r="I54" s="289"/>
    </row>
    <row r="55" spans="1:10" ht="15.75" hidden="1">
      <c r="A55" s="219">
        <v>41394</v>
      </c>
      <c r="B55" s="275"/>
      <c r="C55" s="276" t="s">
        <v>101</v>
      </c>
      <c r="D55" s="277"/>
      <c r="E55" s="278"/>
    </row>
    <row r="56" spans="1:10" ht="16.5" hidden="1" thickBot="1">
      <c r="A56" s="279"/>
      <c r="B56" s="280"/>
      <c r="C56" s="281" t="s">
        <v>21</v>
      </c>
      <c r="D56" s="281" t="s">
        <v>22</v>
      </c>
      <c r="E56" s="282" t="s">
        <v>23</v>
      </c>
    </row>
    <row r="57" spans="1:10" ht="15.75" hidden="1">
      <c r="A57" s="283" t="s">
        <v>24</v>
      </c>
      <c r="B57" s="284">
        <v>101</v>
      </c>
      <c r="C57" s="285">
        <v>8689955</v>
      </c>
      <c r="D57" s="286">
        <v>-2.1900000000000001E-3</v>
      </c>
      <c r="E57" s="287">
        <v>-19031.00145</v>
      </c>
    </row>
    <row r="58" spans="1:10" ht="16.5" hidden="1" thickBot="1">
      <c r="A58" s="283" t="s">
        <v>24</v>
      </c>
      <c r="B58" s="284">
        <v>111</v>
      </c>
      <c r="C58" s="285">
        <v>3665435</v>
      </c>
      <c r="D58" s="286">
        <v>-2.1900000000000001E-3</v>
      </c>
      <c r="E58" s="287">
        <v>-8027.3026500000005</v>
      </c>
      <c r="G58" s="288">
        <f>A55</f>
        <v>41394</v>
      </c>
      <c r="H58" s="289"/>
      <c r="I58" s="289"/>
      <c r="J58" s="289"/>
    </row>
    <row r="59" spans="1:10" ht="16.5" hidden="1" thickBot="1">
      <c r="A59" s="283" t="s">
        <v>24</v>
      </c>
      <c r="B59" s="284">
        <v>112</v>
      </c>
      <c r="C59" s="285">
        <v>0</v>
      </c>
      <c r="D59" s="286">
        <v>-2.1900000000000001E-3</v>
      </c>
      <c r="E59" s="287">
        <v>0</v>
      </c>
      <c r="G59" s="290" t="s">
        <v>25</v>
      </c>
      <c r="H59" s="291"/>
      <c r="I59" s="292" t="s">
        <v>18</v>
      </c>
      <c r="J59" s="292" t="s">
        <v>19</v>
      </c>
    </row>
    <row r="60" spans="1:10" ht="15.75" hidden="1">
      <c r="A60" s="283" t="s">
        <v>24</v>
      </c>
      <c r="B60" s="284">
        <v>121</v>
      </c>
      <c r="C60" s="285">
        <v>375679</v>
      </c>
      <c r="D60" s="286">
        <v>-2.1900000000000001E-3</v>
      </c>
      <c r="E60" s="287">
        <v>-822.73701000000005</v>
      </c>
      <c r="G60" s="293" t="s">
        <v>97</v>
      </c>
      <c r="H60" s="294" t="s">
        <v>26</v>
      </c>
      <c r="I60" s="295">
        <f>-E65</f>
        <v>28792.572810000001</v>
      </c>
      <c r="J60" s="296">
        <v>0</v>
      </c>
    </row>
    <row r="61" spans="1:10" ht="16.5" hidden="1" thickBot="1">
      <c r="A61" s="283" t="s">
        <v>24</v>
      </c>
      <c r="B61" s="284">
        <v>122</v>
      </c>
      <c r="C61" s="285">
        <v>67054</v>
      </c>
      <c r="D61" s="286">
        <v>-2.1900000000000001E-3</v>
      </c>
      <c r="E61" s="287">
        <v>-146.84826000000001</v>
      </c>
      <c r="G61" s="297" t="s">
        <v>196</v>
      </c>
      <c r="H61" s="298" t="s">
        <v>197</v>
      </c>
      <c r="I61" s="299">
        <v>0</v>
      </c>
      <c r="J61" s="300">
        <f>-I60</f>
        <v>-28792.572810000001</v>
      </c>
    </row>
    <row r="62" spans="1:10" ht="15.75" hidden="1">
      <c r="A62" s="283" t="s">
        <v>24</v>
      </c>
      <c r="B62" s="284">
        <v>131</v>
      </c>
      <c r="C62" s="285">
        <v>0</v>
      </c>
      <c r="D62" s="286">
        <v>-2.1900000000000001E-3</v>
      </c>
      <c r="E62" s="287">
        <v>0</v>
      </c>
      <c r="G62" s="289"/>
      <c r="H62" s="289"/>
      <c r="I62" s="289"/>
      <c r="J62" s="301">
        <f>SUM(I60:J61)</f>
        <v>0</v>
      </c>
    </row>
    <row r="63" spans="1:10" ht="15.75" hidden="1">
      <c r="A63" s="283" t="s">
        <v>24</v>
      </c>
      <c r="B63" s="284">
        <v>132</v>
      </c>
      <c r="C63" s="285">
        <v>126416</v>
      </c>
      <c r="D63" s="286">
        <v>-2.1900000000000001E-3</v>
      </c>
      <c r="E63" s="287">
        <v>-276.85104000000001</v>
      </c>
    </row>
    <row r="64" spans="1:10" ht="15.75" hidden="1">
      <c r="A64" s="283" t="s">
        <v>24</v>
      </c>
      <c r="B64" s="284">
        <v>146</v>
      </c>
      <c r="C64" s="285">
        <v>2439162</v>
      </c>
      <c r="D64" s="286">
        <v>-2.0000000000000001E-4</v>
      </c>
      <c r="E64" s="302">
        <v>-487.83240000000001</v>
      </c>
    </row>
    <row r="65" spans="1:10" ht="16.5" hidden="1" thickBot="1">
      <c r="A65" s="283" t="s">
        <v>198</v>
      </c>
      <c r="B65" s="284"/>
      <c r="C65" s="303">
        <f>SUM(C57:C64)</f>
        <v>15363701</v>
      </c>
      <c r="D65" s="304"/>
      <c r="E65" s="305">
        <f>SUM(E57:E64)</f>
        <v>-28792.572810000001</v>
      </c>
    </row>
    <row r="66" spans="1:10" ht="16.5" hidden="1" thickTop="1">
      <c r="A66" s="283"/>
      <c r="B66" s="284"/>
      <c r="C66" s="309">
        <v>15363701</v>
      </c>
      <c r="D66" s="304"/>
      <c r="E66" s="305"/>
    </row>
    <row r="67" spans="1:10" ht="15.75" hidden="1">
      <c r="A67" s="283"/>
      <c r="B67" s="284"/>
      <c r="C67" s="306">
        <f>C66-C65</f>
        <v>0</v>
      </c>
      <c r="D67" s="304"/>
      <c r="E67" s="305"/>
    </row>
    <row r="68" spans="1:10" ht="15.75" hidden="1">
      <c r="A68" s="289"/>
      <c r="B68" s="289"/>
      <c r="C68" s="283" t="s">
        <v>1</v>
      </c>
      <c r="D68" s="307">
        <f>A55</f>
        <v>41394</v>
      </c>
      <c r="E68" s="308">
        <f>E52+E65</f>
        <v>92545.577710000012</v>
      </c>
      <c r="G68" s="384"/>
    </row>
    <row r="69" spans="1:10" ht="15.75" hidden="1" thickBot="1"/>
    <row r="70" spans="1:10" ht="15.75" hidden="1">
      <c r="A70" s="697" t="s">
        <v>195</v>
      </c>
      <c r="B70" s="698"/>
      <c r="C70" s="698"/>
      <c r="D70" s="698"/>
      <c r="E70" s="699"/>
      <c r="G70" s="289"/>
      <c r="H70" s="289"/>
      <c r="I70" s="289"/>
    </row>
    <row r="71" spans="1:10" ht="15.75" hidden="1">
      <c r="A71" s="219">
        <v>41425</v>
      </c>
      <c r="B71" s="275"/>
      <c r="C71" s="276" t="s">
        <v>101</v>
      </c>
      <c r="D71" s="277"/>
      <c r="E71" s="278"/>
    </row>
    <row r="72" spans="1:10" ht="16.5" hidden="1" thickBot="1">
      <c r="A72" s="279"/>
      <c r="B72" s="280"/>
      <c r="C72" s="281" t="s">
        <v>21</v>
      </c>
      <c r="D72" s="281" t="s">
        <v>22</v>
      </c>
      <c r="E72" s="282" t="s">
        <v>23</v>
      </c>
    </row>
    <row r="73" spans="1:10" ht="15.75" hidden="1">
      <c r="A73" s="283" t="s">
        <v>24</v>
      </c>
      <c r="B73" s="284">
        <v>101</v>
      </c>
      <c r="C73" s="285">
        <v>4182901</v>
      </c>
      <c r="D73" s="286">
        <v>-2.1900000000000001E-3</v>
      </c>
      <c r="E73" s="287">
        <v>-9160.5531900000005</v>
      </c>
    </row>
    <row r="74" spans="1:10" ht="16.5" hidden="1" thickBot="1">
      <c r="A74" s="283" t="s">
        <v>24</v>
      </c>
      <c r="B74" s="284">
        <v>111</v>
      </c>
      <c r="C74" s="285">
        <v>1970725</v>
      </c>
      <c r="D74" s="286">
        <v>-2.1900000000000001E-3</v>
      </c>
      <c r="E74" s="287">
        <v>-4315.8877499999999</v>
      </c>
      <c r="G74" s="288">
        <f>A71</f>
        <v>41425</v>
      </c>
      <c r="H74" s="289"/>
      <c r="I74" s="289"/>
      <c r="J74" s="289"/>
    </row>
    <row r="75" spans="1:10" ht="16.5" hidden="1" thickBot="1">
      <c r="A75" s="283" t="s">
        <v>24</v>
      </c>
      <c r="B75" s="284">
        <v>112</v>
      </c>
      <c r="C75" s="285">
        <v>0</v>
      </c>
      <c r="D75" s="286">
        <v>-2.1900000000000001E-3</v>
      </c>
      <c r="E75" s="287">
        <v>0</v>
      </c>
      <c r="G75" s="290" t="s">
        <v>25</v>
      </c>
      <c r="H75" s="291"/>
      <c r="I75" s="292" t="s">
        <v>18</v>
      </c>
      <c r="J75" s="292" t="s">
        <v>19</v>
      </c>
    </row>
    <row r="76" spans="1:10" ht="15.75" hidden="1">
      <c r="A76" s="283" t="s">
        <v>24</v>
      </c>
      <c r="B76" s="284">
        <v>121</v>
      </c>
      <c r="C76" s="285">
        <v>339319</v>
      </c>
      <c r="D76" s="286">
        <v>-2.1900000000000001E-3</v>
      </c>
      <c r="E76" s="287">
        <v>-743.10861</v>
      </c>
      <c r="G76" s="293" t="s">
        <v>97</v>
      </c>
      <c r="H76" s="294" t="s">
        <v>26</v>
      </c>
      <c r="I76" s="295">
        <f>-E81</f>
        <v>14976.37256</v>
      </c>
      <c r="J76" s="296">
        <v>0</v>
      </c>
    </row>
    <row r="77" spans="1:10" ht="16.5" hidden="1" thickBot="1">
      <c r="A77" s="283" t="s">
        <v>24</v>
      </c>
      <c r="B77" s="284">
        <v>122</v>
      </c>
      <c r="C77" s="285">
        <v>57247</v>
      </c>
      <c r="D77" s="286">
        <v>-2.1900000000000001E-3</v>
      </c>
      <c r="E77" s="287">
        <v>-125.37093</v>
      </c>
      <c r="G77" s="297" t="s">
        <v>196</v>
      </c>
      <c r="H77" s="298" t="s">
        <v>197</v>
      </c>
      <c r="I77" s="299">
        <v>0</v>
      </c>
      <c r="J77" s="300">
        <f>-I76</f>
        <v>-14976.37256</v>
      </c>
    </row>
    <row r="78" spans="1:10" ht="15.75" hidden="1">
      <c r="A78" s="283" t="s">
        <v>24</v>
      </c>
      <c r="B78" s="284">
        <v>131</v>
      </c>
      <c r="C78" s="285">
        <v>0</v>
      </c>
      <c r="D78" s="286">
        <v>-2.1900000000000001E-3</v>
      </c>
      <c r="E78" s="287">
        <v>0</v>
      </c>
      <c r="G78" s="289"/>
      <c r="H78" s="289"/>
      <c r="I78" s="289"/>
      <c r="J78" s="301">
        <f>SUM(I76:J77)</f>
        <v>0</v>
      </c>
    </row>
    <row r="79" spans="1:10" ht="15.75" hidden="1">
      <c r="A79" s="283" t="s">
        <v>24</v>
      </c>
      <c r="B79" s="284">
        <v>132</v>
      </c>
      <c r="C79" s="285">
        <v>107592</v>
      </c>
      <c r="D79" s="286">
        <v>-2.1900000000000001E-3</v>
      </c>
      <c r="E79" s="287">
        <v>-235.62648000000002</v>
      </c>
    </row>
    <row r="80" spans="1:10" ht="15.75" hidden="1">
      <c r="A80" s="283" t="s">
        <v>24</v>
      </c>
      <c r="B80" s="284">
        <v>146</v>
      </c>
      <c r="C80" s="285">
        <v>1979128</v>
      </c>
      <c r="D80" s="286">
        <v>-2.0000000000000001E-4</v>
      </c>
      <c r="E80" s="302">
        <v>-395.82560000000001</v>
      </c>
    </row>
    <row r="81" spans="1:10" ht="16.5" hidden="1" thickBot="1">
      <c r="A81" s="283" t="s">
        <v>198</v>
      </c>
      <c r="B81" s="284"/>
      <c r="C81" s="303">
        <f>SUM(C73:C80)</f>
        <v>8636912</v>
      </c>
      <c r="D81" s="304"/>
      <c r="E81" s="305">
        <f>SUM(E73:E80)</f>
        <v>-14976.37256</v>
      </c>
    </row>
    <row r="82" spans="1:10" ht="16.5" hidden="1" thickTop="1">
      <c r="A82" s="283"/>
      <c r="B82" s="284"/>
      <c r="C82" s="309">
        <v>8636912</v>
      </c>
      <c r="D82" s="304"/>
      <c r="E82" s="305"/>
    </row>
    <row r="83" spans="1:10" ht="15.75" hidden="1">
      <c r="A83" s="283"/>
      <c r="B83" s="284"/>
      <c r="C83" s="306">
        <f>C82-C81</f>
        <v>0</v>
      </c>
      <c r="D83" s="304"/>
      <c r="E83" s="305"/>
    </row>
    <row r="84" spans="1:10" ht="15.75">
      <c r="A84" s="289"/>
      <c r="B84" s="289"/>
      <c r="C84" s="283" t="s">
        <v>1</v>
      </c>
      <c r="D84" s="307">
        <f>EOMONTH(D68,1)</f>
        <v>41425</v>
      </c>
      <c r="E84" s="308">
        <f>E68+E81</f>
        <v>77569.205150000009</v>
      </c>
    </row>
    <row r="85" spans="1:10" ht="15.75" thickBot="1"/>
    <row r="86" spans="1:10" ht="15.75">
      <c r="A86" s="697" t="s">
        <v>195</v>
      </c>
      <c r="B86" s="698"/>
      <c r="C86" s="698"/>
      <c r="D86" s="698"/>
      <c r="E86" s="699"/>
      <c r="G86" s="289"/>
      <c r="H86" s="289"/>
      <c r="I86" s="289"/>
    </row>
    <row r="87" spans="1:10" ht="15.75">
      <c r="A87" s="219">
        <v>41426</v>
      </c>
      <c r="B87" s="275"/>
      <c r="C87" s="276" t="s">
        <v>101</v>
      </c>
      <c r="D87" s="277"/>
      <c r="E87" s="278"/>
    </row>
    <row r="88" spans="1:10" ht="16.5" thickBot="1">
      <c r="A88" s="279"/>
      <c r="B88" s="280"/>
      <c r="C88" s="281" t="s">
        <v>21</v>
      </c>
      <c r="D88" s="281" t="s">
        <v>22</v>
      </c>
      <c r="E88" s="282" t="s">
        <v>23</v>
      </c>
    </row>
    <row r="89" spans="1:10" ht="15.75">
      <c r="A89" s="283" t="s">
        <v>24</v>
      </c>
      <c r="B89" s="284">
        <v>101</v>
      </c>
      <c r="C89" s="285">
        <v>2800295</v>
      </c>
      <c r="D89" s="286">
        <v>-2.1900000000000001E-3</v>
      </c>
      <c r="E89" s="287">
        <v>-6132.6460500000003</v>
      </c>
    </row>
    <row r="90" spans="1:10" ht="16.5" thickBot="1">
      <c r="A90" s="283" t="s">
        <v>24</v>
      </c>
      <c r="B90" s="284">
        <v>111</v>
      </c>
      <c r="C90" s="285">
        <v>1678252</v>
      </c>
      <c r="D90" s="286">
        <v>-2.1900000000000001E-3</v>
      </c>
      <c r="E90" s="287">
        <v>-3675.3718800000001</v>
      </c>
      <c r="G90" s="288">
        <f>A87</f>
        <v>41426</v>
      </c>
      <c r="H90" s="289"/>
      <c r="I90" s="289"/>
      <c r="J90" s="289"/>
    </row>
    <row r="91" spans="1:10" ht="16.5" thickBot="1">
      <c r="A91" s="283" t="s">
        <v>24</v>
      </c>
      <c r="B91" s="284">
        <v>112</v>
      </c>
      <c r="C91" s="285">
        <v>0</v>
      </c>
      <c r="D91" s="286">
        <v>-2.1900000000000001E-3</v>
      </c>
      <c r="E91" s="287">
        <v>0</v>
      </c>
      <c r="G91" s="290" t="s">
        <v>25</v>
      </c>
      <c r="H91" s="291"/>
      <c r="I91" s="292" t="s">
        <v>18</v>
      </c>
      <c r="J91" s="292" t="s">
        <v>19</v>
      </c>
    </row>
    <row r="92" spans="1:10" ht="15.75">
      <c r="A92" s="283" t="s">
        <v>24</v>
      </c>
      <c r="B92" s="284">
        <v>121</v>
      </c>
      <c r="C92" s="285">
        <v>339158</v>
      </c>
      <c r="D92" s="286">
        <v>-2.1900000000000001E-3</v>
      </c>
      <c r="E92" s="287">
        <v>-742.75602000000003</v>
      </c>
      <c r="G92" s="293" t="s">
        <v>97</v>
      </c>
      <c r="H92" s="294" t="s">
        <v>26</v>
      </c>
      <c r="I92" s="295">
        <f>-E97</f>
        <v>11131.53289</v>
      </c>
      <c r="J92" s="296">
        <v>0</v>
      </c>
    </row>
    <row r="93" spans="1:10" ht="16.5" thickBot="1">
      <c r="A93" s="283" t="s">
        <v>24</v>
      </c>
      <c r="B93" s="284">
        <v>122</v>
      </c>
      <c r="C93" s="285">
        <v>42891</v>
      </c>
      <c r="D93" s="286">
        <v>-2.1900000000000001E-3</v>
      </c>
      <c r="E93" s="287">
        <v>-93.931290000000004</v>
      </c>
      <c r="G93" s="297" t="s">
        <v>196</v>
      </c>
      <c r="H93" s="298" t="s">
        <v>197</v>
      </c>
      <c r="I93" s="299">
        <v>0</v>
      </c>
      <c r="J93" s="300">
        <f>-I92</f>
        <v>-11131.53289</v>
      </c>
    </row>
    <row r="94" spans="1:10" ht="15.75">
      <c r="A94" s="283" t="s">
        <v>24</v>
      </c>
      <c r="B94" s="284">
        <v>131</v>
      </c>
      <c r="C94" s="285">
        <v>0</v>
      </c>
      <c r="D94" s="286">
        <v>-2.1900000000000001E-3</v>
      </c>
      <c r="E94" s="287">
        <v>0</v>
      </c>
      <c r="G94" s="289"/>
      <c r="H94" s="289"/>
      <c r="I94" s="289"/>
      <c r="J94" s="301">
        <f>SUM(I92:J93)</f>
        <v>0</v>
      </c>
    </row>
    <row r="95" spans="1:10" ht="15.75">
      <c r="A95" s="283" t="s">
        <v>24</v>
      </c>
      <c r="B95" s="284">
        <v>132</v>
      </c>
      <c r="C95" s="285">
        <v>77535</v>
      </c>
      <c r="D95" s="286">
        <v>-2.1900000000000001E-3</v>
      </c>
      <c r="E95" s="287">
        <v>-169.80165</v>
      </c>
    </row>
    <row r="96" spans="1:10" ht="15.75">
      <c r="A96" s="283" t="s">
        <v>24</v>
      </c>
      <c r="B96" s="284">
        <v>146</v>
      </c>
      <c r="C96" s="285">
        <v>1585130</v>
      </c>
      <c r="D96" s="286">
        <v>-2.0000000000000001E-4</v>
      </c>
      <c r="E96" s="302">
        <v>-317.02600000000001</v>
      </c>
    </row>
    <row r="97" spans="1:10" ht="16.5" thickBot="1">
      <c r="A97" s="283" t="s">
        <v>198</v>
      </c>
      <c r="B97" s="284"/>
      <c r="C97" s="303">
        <f>SUM(C89:C96)</f>
        <v>6523261</v>
      </c>
      <c r="D97" s="304"/>
      <c r="E97" s="305">
        <f>SUM(E89:E96)</f>
        <v>-11131.53289</v>
      </c>
    </row>
    <row r="98" spans="1:10" ht="16.5" thickTop="1">
      <c r="A98" s="283"/>
      <c r="B98" s="284"/>
      <c r="C98" s="309">
        <v>6523261</v>
      </c>
      <c r="D98" s="304"/>
      <c r="E98" s="305"/>
    </row>
    <row r="99" spans="1:10" ht="15.75">
      <c r="A99" s="283"/>
      <c r="B99" s="284"/>
      <c r="C99" s="306">
        <f>C98-C97</f>
        <v>0</v>
      </c>
      <c r="D99" s="304"/>
      <c r="E99" s="305"/>
    </row>
    <row r="100" spans="1:10" ht="15.75">
      <c r="A100" s="289"/>
      <c r="B100" s="289"/>
      <c r="C100" s="283" t="s">
        <v>1</v>
      </c>
      <c r="D100" s="307">
        <f>EOMONTH(D84,1)</f>
        <v>41455</v>
      </c>
      <c r="E100" s="308">
        <f>E84+E97</f>
        <v>66437.672260000007</v>
      </c>
    </row>
    <row r="101" spans="1:10" ht="15.75" thickBot="1"/>
    <row r="102" spans="1:10" ht="15.75">
      <c r="A102" s="697" t="s">
        <v>195</v>
      </c>
      <c r="B102" s="698"/>
      <c r="C102" s="698"/>
      <c r="D102" s="698"/>
      <c r="E102" s="699"/>
      <c r="G102" s="289"/>
      <c r="H102" s="289"/>
      <c r="I102" s="289"/>
    </row>
    <row r="103" spans="1:10" ht="15.75">
      <c r="A103" s="219">
        <v>41456</v>
      </c>
      <c r="B103" s="275"/>
      <c r="C103" s="276" t="s">
        <v>101</v>
      </c>
      <c r="D103" s="277"/>
      <c r="E103" s="278"/>
    </row>
    <row r="104" spans="1:10" ht="16.5" thickBot="1">
      <c r="A104" s="279"/>
      <c r="B104" s="280"/>
      <c r="C104" s="281" t="s">
        <v>21</v>
      </c>
      <c r="D104" s="281" t="s">
        <v>22</v>
      </c>
      <c r="E104" s="282" t="s">
        <v>23</v>
      </c>
    </row>
    <row r="105" spans="1:10" ht="15.75">
      <c r="A105" s="283" t="s">
        <v>24</v>
      </c>
      <c r="B105" s="284">
        <v>101</v>
      </c>
      <c r="C105" s="285">
        <v>2082299</v>
      </c>
      <c r="D105" s="286">
        <v>-2.1900000000000001E-3</v>
      </c>
      <c r="E105" s="287">
        <v>-4560.2348099999999</v>
      </c>
    </row>
    <row r="106" spans="1:10" ht="16.5" thickBot="1">
      <c r="A106" s="283" t="s">
        <v>24</v>
      </c>
      <c r="B106" s="284">
        <v>111</v>
      </c>
      <c r="C106" s="285">
        <v>1140112</v>
      </c>
      <c r="D106" s="286">
        <v>-2.1900000000000001E-3</v>
      </c>
      <c r="E106" s="287">
        <v>-2496.84528</v>
      </c>
      <c r="G106" s="288">
        <f>A103</f>
        <v>41456</v>
      </c>
      <c r="H106" s="289"/>
      <c r="I106" s="289"/>
      <c r="J106" s="289"/>
    </row>
    <row r="107" spans="1:10" ht="16.5" thickBot="1">
      <c r="A107" s="283" t="s">
        <v>24</v>
      </c>
      <c r="B107" s="284">
        <v>112</v>
      </c>
      <c r="C107" s="285">
        <v>0</v>
      </c>
      <c r="D107" s="286">
        <v>-2.1900000000000001E-3</v>
      </c>
      <c r="E107" s="287">
        <v>0</v>
      </c>
      <c r="G107" s="290" t="s">
        <v>25</v>
      </c>
      <c r="H107" s="291"/>
      <c r="I107" s="292" t="s">
        <v>18</v>
      </c>
      <c r="J107" s="292" t="s">
        <v>19</v>
      </c>
    </row>
    <row r="108" spans="1:10" ht="15.75">
      <c r="A108" s="283" t="s">
        <v>24</v>
      </c>
      <c r="B108" s="284">
        <v>121</v>
      </c>
      <c r="C108" s="285">
        <v>304732</v>
      </c>
      <c r="D108" s="286">
        <v>-2.1900000000000001E-3</v>
      </c>
      <c r="E108" s="287">
        <v>-667.36308000000008</v>
      </c>
      <c r="G108" s="293" t="s">
        <v>97</v>
      </c>
      <c r="H108" s="294" t="s">
        <v>26</v>
      </c>
      <c r="I108" s="295">
        <f>-E113</f>
        <v>8287.0303600000007</v>
      </c>
      <c r="J108" s="296">
        <v>0</v>
      </c>
    </row>
    <row r="109" spans="1:10" ht="16.5" thickBot="1">
      <c r="A109" s="283" t="s">
        <v>24</v>
      </c>
      <c r="B109" s="284">
        <v>122</v>
      </c>
      <c r="C109" s="285">
        <v>30928</v>
      </c>
      <c r="D109" s="286">
        <v>-2.1900000000000001E-3</v>
      </c>
      <c r="E109" s="287">
        <v>-67.732320000000001</v>
      </c>
      <c r="G109" s="297" t="s">
        <v>196</v>
      </c>
      <c r="H109" s="298" t="s">
        <v>197</v>
      </c>
      <c r="I109" s="299">
        <v>0</v>
      </c>
      <c r="J109" s="300">
        <f>-I108</f>
        <v>-8287.0303600000007</v>
      </c>
    </row>
    <row r="110" spans="1:10" ht="15.75">
      <c r="A110" s="283" t="s">
        <v>24</v>
      </c>
      <c r="B110" s="284">
        <v>131</v>
      </c>
      <c r="C110" s="285">
        <v>0</v>
      </c>
      <c r="D110" s="286">
        <v>-2.1900000000000001E-3</v>
      </c>
      <c r="E110" s="287">
        <v>0</v>
      </c>
      <c r="G110" s="289"/>
      <c r="H110" s="289"/>
      <c r="I110" s="289"/>
      <c r="J110" s="301">
        <f>SUM(I108:J109)</f>
        <v>0</v>
      </c>
    </row>
    <row r="111" spans="1:10" ht="15.75">
      <c r="A111" s="283" t="s">
        <v>24</v>
      </c>
      <c r="B111" s="284">
        <v>132</v>
      </c>
      <c r="C111" s="285">
        <v>74633</v>
      </c>
      <c r="D111" s="286">
        <v>-2.1900000000000001E-3</v>
      </c>
      <c r="E111" s="287">
        <v>-163.44627</v>
      </c>
    </row>
    <row r="112" spans="1:10" ht="15.75">
      <c r="A112" s="283" t="s">
        <v>24</v>
      </c>
      <c r="B112" s="284">
        <v>146</v>
      </c>
      <c r="C112" s="285">
        <v>1657043</v>
      </c>
      <c r="D112" s="286">
        <v>-2.0000000000000001E-4</v>
      </c>
      <c r="E112" s="302">
        <v>-331.40860000000004</v>
      </c>
    </row>
    <row r="113" spans="1:10" ht="16.5" thickBot="1">
      <c r="A113" s="283" t="s">
        <v>198</v>
      </c>
      <c r="B113" s="284"/>
      <c r="C113" s="303">
        <f>SUM(C105:C112)</f>
        <v>5289747</v>
      </c>
      <c r="D113" s="304"/>
      <c r="E113" s="305">
        <f>SUM(E105:E112)</f>
        <v>-8287.0303600000007</v>
      </c>
    </row>
    <row r="114" spans="1:10" ht="16.5" thickTop="1">
      <c r="A114" s="283"/>
      <c r="B114" s="284"/>
      <c r="C114" s="309">
        <v>5289747</v>
      </c>
      <c r="D114" s="304"/>
      <c r="E114" s="305"/>
    </row>
    <row r="115" spans="1:10" ht="15.75">
      <c r="A115" s="283"/>
      <c r="B115" s="284"/>
      <c r="C115" s="306">
        <f>C114-C113</f>
        <v>0</v>
      </c>
      <c r="D115" s="304"/>
      <c r="E115" s="305"/>
    </row>
    <row r="116" spans="1:10" ht="15.75">
      <c r="A116" s="289"/>
      <c r="B116" s="289"/>
      <c r="C116" s="283" t="s">
        <v>1</v>
      </c>
      <c r="D116" s="307">
        <f>EOMONTH(D100,1)</f>
        <v>41486</v>
      </c>
      <c r="E116" s="308">
        <f>E100+E113</f>
        <v>58150.641900000002</v>
      </c>
    </row>
    <row r="117" spans="1:10" ht="15.75" thickBot="1"/>
    <row r="118" spans="1:10" ht="15.75">
      <c r="A118" s="697" t="s">
        <v>195</v>
      </c>
      <c r="B118" s="698"/>
      <c r="C118" s="698"/>
      <c r="D118" s="698"/>
      <c r="E118" s="699"/>
      <c r="G118" s="289"/>
      <c r="H118" s="289"/>
      <c r="I118" s="289"/>
    </row>
    <row r="119" spans="1:10" ht="15.75">
      <c r="A119" s="219">
        <v>41487</v>
      </c>
      <c r="B119" s="275"/>
      <c r="C119" s="276" t="s">
        <v>101</v>
      </c>
      <c r="D119" s="277"/>
      <c r="E119" s="278"/>
    </row>
    <row r="120" spans="1:10" ht="16.5" thickBot="1">
      <c r="A120" s="279"/>
      <c r="B120" s="280"/>
      <c r="C120" s="281" t="s">
        <v>21</v>
      </c>
      <c r="D120" s="281" t="s">
        <v>22</v>
      </c>
      <c r="E120" s="282" t="s">
        <v>23</v>
      </c>
    </row>
    <row r="121" spans="1:10" ht="15.75">
      <c r="A121" s="283" t="s">
        <v>24</v>
      </c>
      <c r="B121" s="284">
        <v>101</v>
      </c>
      <c r="C121" s="285">
        <v>2046635</v>
      </c>
      <c r="D121" s="286">
        <v>-2.1900000000000001E-3</v>
      </c>
      <c r="E121" s="287">
        <v>-4482.1306500000001</v>
      </c>
    </row>
    <row r="122" spans="1:10" ht="16.5" thickBot="1">
      <c r="A122" s="283" t="s">
        <v>24</v>
      </c>
      <c r="B122" s="284">
        <v>111</v>
      </c>
      <c r="C122" s="285">
        <v>1287109</v>
      </c>
      <c r="D122" s="286">
        <v>-2.1900000000000001E-3</v>
      </c>
      <c r="E122" s="287">
        <v>-2818.7687100000003</v>
      </c>
      <c r="G122" s="288">
        <f>A119</f>
        <v>41487</v>
      </c>
      <c r="H122" s="289"/>
      <c r="I122" s="289"/>
      <c r="J122" s="289"/>
    </row>
    <row r="123" spans="1:10" ht="16.5" thickBot="1">
      <c r="A123" s="283" t="s">
        <v>24</v>
      </c>
      <c r="B123" s="284">
        <v>112</v>
      </c>
      <c r="C123" s="285">
        <v>0</v>
      </c>
      <c r="D123" s="286">
        <v>-2.1900000000000001E-3</v>
      </c>
      <c r="E123" s="287">
        <v>0</v>
      </c>
      <c r="G123" s="290" t="s">
        <v>25</v>
      </c>
      <c r="H123" s="291"/>
      <c r="I123" s="292" t="s">
        <v>18</v>
      </c>
      <c r="J123" s="292" t="s">
        <v>19</v>
      </c>
    </row>
    <row r="124" spans="1:10" ht="15.75">
      <c r="A124" s="283" t="s">
        <v>24</v>
      </c>
      <c r="B124" s="284">
        <v>121</v>
      </c>
      <c r="C124" s="285">
        <v>364418</v>
      </c>
      <c r="D124" s="286">
        <v>-2.1900000000000001E-3</v>
      </c>
      <c r="E124" s="287">
        <v>-798.07542000000001</v>
      </c>
      <c r="G124" s="293" t="s">
        <v>97</v>
      </c>
      <c r="H124" s="294" t="s">
        <v>26</v>
      </c>
      <c r="I124" s="295">
        <f>-E129</f>
        <v>8611.5948700000008</v>
      </c>
      <c r="J124" s="296">
        <v>0</v>
      </c>
    </row>
    <row r="125" spans="1:10" ht="16.5" thickBot="1">
      <c r="A125" s="283" t="s">
        <v>24</v>
      </c>
      <c r="B125" s="284">
        <v>122</v>
      </c>
      <c r="C125" s="285">
        <v>28500</v>
      </c>
      <c r="D125" s="286">
        <v>-2.1900000000000001E-3</v>
      </c>
      <c r="E125" s="287">
        <v>-62.415000000000006</v>
      </c>
      <c r="G125" s="297" t="s">
        <v>196</v>
      </c>
      <c r="H125" s="298" t="s">
        <v>197</v>
      </c>
      <c r="I125" s="299">
        <v>0</v>
      </c>
      <c r="J125" s="300">
        <f>-I124</f>
        <v>-8611.5948700000008</v>
      </c>
    </row>
    <row r="126" spans="1:10" ht="15.75">
      <c r="A126" s="283" t="s">
        <v>24</v>
      </c>
      <c r="B126" s="284">
        <v>131</v>
      </c>
      <c r="C126" s="285">
        <v>0</v>
      </c>
      <c r="D126" s="286">
        <v>-2.1900000000000001E-3</v>
      </c>
      <c r="E126" s="287">
        <v>0</v>
      </c>
      <c r="G126" s="289"/>
      <c r="H126" s="289"/>
      <c r="I126" s="289"/>
      <c r="J126" s="301">
        <f>SUM(I124:J125)</f>
        <v>0</v>
      </c>
    </row>
    <row r="127" spans="1:10" ht="15.75">
      <c r="A127" s="283" t="s">
        <v>24</v>
      </c>
      <c r="B127" s="284">
        <v>132</v>
      </c>
      <c r="C127" s="285">
        <v>49431</v>
      </c>
      <c r="D127" s="286">
        <v>-2.1900000000000001E-3</v>
      </c>
      <c r="E127" s="287">
        <v>-108.25389</v>
      </c>
    </row>
    <row r="128" spans="1:10" ht="15.75">
      <c r="A128" s="283" t="s">
        <v>24</v>
      </c>
      <c r="B128" s="284">
        <v>146</v>
      </c>
      <c r="C128" s="285">
        <v>1709756</v>
      </c>
      <c r="D128" s="286">
        <v>-2.0000000000000001E-4</v>
      </c>
      <c r="E128" s="302">
        <v>-341.95120000000003</v>
      </c>
    </row>
    <row r="129" spans="1:10" ht="16.5" thickBot="1">
      <c r="A129" s="283" t="s">
        <v>198</v>
      </c>
      <c r="B129" s="284"/>
      <c r="C129" s="303">
        <f>SUM(C121:C128)</f>
        <v>5485849</v>
      </c>
      <c r="D129" s="304"/>
      <c r="E129" s="305">
        <f>SUM(E121:E128)</f>
        <v>-8611.5948700000008</v>
      </c>
    </row>
    <row r="130" spans="1:10" ht="16.5" thickTop="1">
      <c r="A130" s="283"/>
      <c r="B130" s="284"/>
      <c r="C130" s="309">
        <v>5485849</v>
      </c>
      <c r="D130" s="304"/>
      <c r="E130" s="305"/>
    </row>
    <row r="131" spans="1:10" ht="15.75">
      <c r="A131" s="283"/>
      <c r="B131" s="284"/>
      <c r="C131" s="306">
        <f>C130-C129</f>
        <v>0</v>
      </c>
      <c r="D131" s="304"/>
      <c r="E131" s="305"/>
    </row>
    <row r="132" spans="1:10" ht="15.75">
      <c r="A132" s="289"/>
      <c r="B132" s="289"/>
      <c r="C132" s="283" t="s">
        <v>1</v>
      </c>
      <c r="D132" s="307">
        <f>EOMONTH(D116,1)</f>
        <v>41517</v>
      </c>
      <c r="E132" s="308">
        <f>E116+E129</f>
        <v>49539.047030000002</v>
      </c>
    </row>
    <row r="133" spans="1:10" ht="15.75" thickBot="1"/>
    <row r="134" spans="1:10" ht="15.75">
      <c r="A134" s="697" t="s">
        <v>195</v>
      </c>
      <c r="B134" s="698"/>
      <c r="C134" s="698"/>
      <c r="D134" s="698"/>
      <c r="E134" s="699"/>
      <c r="G134" s="289"/>
      <c r="H134" s="289"/>
      <c r="I134" s="289"/>
    </row>
    <row r="135" spans="1:10" ht="15.75">
      <c r="A135" s="219">
        <v>41518</v>
      </c>
      <c r="B135" s="275"/>
      <c r="C135" s="276" t="s">
        <v>101</v>
      </c>
      <c r="D135" s="277"/>
      <c r="E135" s="278"/>
    </row>
    <row r="136" spans="1:10" ht="16.5" thickBot="1">
      <c r="A136" s="279"/>
      <c r="B136" s="280"/>
      <c r="C136" s="281" t="s">
        <v>21</v>
      </c>
      <c r="D136" s="281" t="s">
        <v>22</v>
      </c>
      <c r="E136" s="282" t="s">
        <v>23</v>
      </c>
    </row>
    <row r="137" spans="1:10" ht="15.75">
      <c r="A137" s="283" t="s">
        <v>24</v>
      </c>
      <c r="B137" s="284">
        <v>101</v>
      </c>
      <c r="C137" s="285">
        <v>2647538</v>
      </c>
      <c r="D137" s="286">
        <v>-2.1900000000000001E-3</v>
      </c>
      <c r="E137" s="287">
        <v>-5798.1082200000001</v>
      </c>
    </row>
    <row r="138" spans="1:10" ht="16.5" thickBot="1">
      <c r="A138" s="283" t="s">
        <v>24</v>
      </c>
      <c r="B138" s="284">
        <v>111</v>
      </c>
      <c r="C138" s="285">
        <v>1599551</v>
      </c>
      <c r="D138" s="286">
        <v>-2.1900000000000001E-3</v>
      </c>
      <c r="E138" s="287">
        <v>-3503.0166900000004</v>
      </c>
      <c r="G138" s="288">
        <f>A135</f>
        <v>41518</v>
      </c>
      <c r="H138" s="289"/>
      <c r="I138" s="289"/>
      <c r="J138" s="289"/>
    </row>
    <row r="139" spans="1:10" ht="16.5" thickBot="1">
      <c r="A139" s="283" t="s">
        <v>24</v>
      </c>
      <c r="B139" s="284">
        <v>112</v>
      </c>
      <c r="C139" s="285">
        <v>0</v>
      </c>
      <c r="D139" s="286">
        <v>-2.1900000000000001E-3</v>
      </c>
      <c r="E139" s="287">
        <v>0</v>
      </c>
      <c r="G139" s="290" t="s">
        <v>25</v>
      </c>
      <c r="H139" s="291"/>
      <c r="I139" s="292" t="s">
        <v>18</v>
      </c>
      <c r="J139" s="292" t="s">
        <v>19</v>
      </c>
    </row>
    <row r="140" spans="1:10" ht="15.75">
      <c r="A140" s="283" t="s">
        <v>24</v>
      </c>
      <c r="B140" s="284">
        <v>121</v>
      </c>
      <c r="C140" s="285">
        <v>344046</v>
      </c>
      <c r="D140" s="286">
        <v>-2.1900000000000001E-3</v>
      </c>
      <c r="E140" s="287">
        <v>-753.46073999999999</v>
      </c>
      <c r="G140" s="293" t="s">
        <v>97</v>
      </c>
      <c r="H140" s="294" t="s">
        <v>26</v>
      </c>
      <c r="I140" s="295">
        <f>-E145</f>
        <v>10606.31724</v>
      </c>
      <c r="J140" s="296">
        <v>0</v>
      </c>
    </row>
    <row r="141" spans="1:10" ht="16.5" thickBot="1">
      <c r="A141" s="283" t="s">
        <v>24</v>
      </c>
      <c r="B141" s="284">
        <v>122</v>
      </c>
      <c r="C141" s="285">
        <v>31388</v>
      </c>
      <c r="D141" s="286">
        <v>-2.1900000000000001E-3</v>
      </c>
      <c r="E141" s="287">
        <v>-68.739720000000005</v>
      </c>
      <c r="G141" s="297" t="s">
        <v>196</v>
      </c>
      <c r="H141" s="298" t="s">
        <v>197</v>
      </c>
      <c r="I141" s="299">
        <v>0</v>
      </c>
      <c r="J141" s="300">
        <f>-I140</f>
        <v>-10606.31724</v>
      </c>
    </row>
    <row r="142" spans="1:10" ht="15.75">
      <c r="A142" s="283" t="s">
        <v>24</v>
      </c>
      <c r="B142" s="284">
        <v>131</v>
      </c>
      <c r="C142" s="285">
        <v>0</v>
      </c>
      <c r="D142" s="286">
        <v>-2.1900000000000001E-3</v>
      </c>
      <c r="E142" s="287">
        <v>0</v>
      </c>
      <c r="G142" s="289"/>
      <c r="H142" s="289"/>
      <c r="I142" s="289"/>
      <c r="J142" s="301">
        <f>SUM(I140:J141)</f>
        <v>0</v>
      </c>
    </row>
    <row r="143" spans="1:10" ht="15.75">
      <c r="A143" s="283" t="s">
        <v>24</v>
      </c>
      <c r="B143" s="284">
        <v>132</v>
      </c>
      <c r="C143" s="285">
        <v>54453</v>
      </c>
      <c r="D143" s="286">
        <v>-2.1900000000000001E-3</v>
      </c>
      <c r="E143" s="287">
        <v>-119.25207</v>
      </c>
    </row>
    <row r="144" spans="1:10" ht="15.75">
      <c r="A144" s="283" t="s">
        <v>24</v>
      </c>
      <c r="B144" s="284">
        <v>146</v>
      </c>
      <c r="C144" s="285">
        <v>1818699</v>
      </c>
      <c r="D144" s="286">
        <v>-2.0000000000000001E-4</v>
      </c>
      <c r="E144" s="302">
        <v>-363.7398</v>
      </c>
    </row>
    <row r="145" spans="1:10" ht="16.5" thickBot="1">
      <c r="A145" s="283" t="s">
        <v>198</v>
      </c>
      <c r="B145" s="284"/>
      <c r="C145" s="303">
        <f>SUM(C137:C144)</f>
        <v>6495675</v>
      </c>
      <c r="D145" s="304"/>
      <c r="E145" s="305">
        <f>SUM(E137:E144)</f>
        <v>-10606.31724</v>
      </c>
    </row>
    <row r="146" spans="1:10" ht="16.5" thickTop="1">
      <c r="A146" s="283"/>
      <c r="B146" s="284"/>
      <c r="C146" s="309">
        <v>6495675</v>
      </c>
      <c r="D146" s="304"/>
      <c r="E146" s="305"/>
    </row>
    <row r="147" spans="1:10" ht="15.75">
      <c r="A147" s="283"/>
      <c r="B147" s="284"/>
      <c r="C147" s="306">
        <f>C146-C145</f>
        <v>0</v>
      </c>
      <c r="D147" s="304"/>
      <c r="E147" s="305"/>
    </row>
    <row r="148" spans="1:10" ht="15.75">
      <c r="A148" s="289"/>
      <c r="B148" s="289"/>
      <c r="C148" s="283" t="s">
        <v>1</v>
      </c>
      <c r="D148" s="307">
        <f>EOMONTH(D132,1)</f>
        <v>41547</v>
      </c>
      <c r="E148" s="308">
        <f>E132+E145</f>
        <v>38932.729789999998</v>
      </c>
    </row>
    <row r="149" spans="1:10" ht="15.75" thickBot="1"/>
    <row r="150" spans="1:10" ht="15.75">
      <c r="A150" s="697" t="s">
        <v>195</v>
      </c>
      <c r="B150" s="698"/>
      <c r="C150" s="698"/>
      <c r="D150" s="698"/>
      <c r="E150" s="699"/>
      <c r="G150" s="289"/>
      <c r="H150" s="289"/>
      <c r="I150" s="289"/>
    </row>
    <row r="151" spans="1:10" ht="15.75">
      <c r="A151" s="219">
        <v>41578</v>
      </c>
      <c r="B151" s="275"/>
      <c r="C151" s="276" t="s">
        <v>101</v>
      </c>
      <c r="D151" s="277"/>
      <c r="E151" s="278"/>
    </row>
    <row r="152" spans="1:10" ht="16.5" thickBot="1">
      <c r="A152" s="279"/>
      <c r="B152" s="280"/>
      <c r="C152" s="281" t="s">
        <v>21</v>
      </c>
      <c r="D152" s="281" t="s">
        <v>22</v>
      </c>
      <c r="E152" s="282" t="s">
        <v>23</v>
      </c>
    </row>
    <row r="153" spans="1:10" ht="15.75">
      <c r="A153" s="283" t="s">
        <v>24</v>
      </c>
      <c r="B153" s="284">
        <v>101</v>
      </c>
      <c r="C153" s="285">
        <v>9244353</v>
      </c>
      <c r="D153" s="286">
        <v>-2.1900000000000001E-3</v>
      </c>
      <c r="E153" s="287">
        <v>-20245.13307</v>
      </c>
    </row>
    <row r="154" spans="1:10" ht="16.5" thickBot="1">
      <c r="A154" s="283" t="s">
        <v>24</v>
      </c>
      <c r="B154" s="284">
        <v>111</v>
      </c>
      <c r="C154" s="285">
        <v>3880001</v>
      </c>
      <c r="D154" s="286">
        <v>-2.1900000000000001E-3</v>
      </c>
      <c r="E154" s="287">
        <v>-8497.20219</v>
      </c>
      <c r="G154" s="288">
        <f>A151</f>
        <v>41578</v>
      </c>
      <c r="H154" s="289"/>
      <c r="I154" s="289"/>
      <c r="J154" s="289"/>
    </row>
    <row r="155" spans="1:10" ht="16.5" thickBot="1">
      <c r="A155" s="283" t="s">
        <v>24</v>
      </c>
      <c r="B155" s="284">
        <v>112</v>
      </c>
      <c r="C155" s="285">
        <v>0</v>
      </c>
      <c r="D155" s="286">
        <v>-2.1900000000000001E-3</v>
      </c>
      <c r="E155" s="287">
        <v>0</v>
      </c>
      <c r="G155" s="290" t="s">
        <v>25</v>
      </c>
      <c r="H155" s="291"/>
      <c r="I155" s="292" t="s">
        <v>18</v>
      </c>
      <c r="J155" s="292" t="s">
        <v>19</v>
      </c>
    </row>
    <row r="156" spans="1:10" ht="15.75">
      <c r="A156" s="283" t="s">
        <v>24</v>
      </c>
      <c r="B156" s="284">
        <v>121</v>
      </c>
      <c r="C156" s="285">
        <v>595792</v>
      </c>
      <c r="D156" s="286">
        <v>-2.1900000000000001E-3</v>
      </c>
      <c r="E156" s="287">
        <v>-1304.78448</v>
      </c>
      <c r="G156" s="293" t="s">
        <v>97</v>
      </c>
      <c r="H156" s="294" t="s">
        <v>26</v>
      </c>
      <c r="I156" s="295">
        <f>-E161</f>
        <v>30792.491249999999</v>
      </c>
      <c r="J156" s="296">
        <v>0</v>
      </c>
    </row>
    <row r="157" spans="1:10" ht="16.5" thickBot="1">
      <c r="A157" s="283" t="s">
        <v>24</v>
      </c>
      <c r="B157" s="284">
        <v>122</v>
      </c>
      <c r="C157" s="285">
        <v>40500</v>
      </c>
      <c r="D157" s="286">
        <v>-2.1900000000000001E-3</v>
      </c>
      <c r="E157" s="287">
        <v>-88.695000000000007</v>
      </c>
      <c r="G157" s="297" t="s">
        <v>196</v>
      </c>
      <c r="H157" s="298" t="s">
        <v>197</v>
      </c>
      <c r="I157" s="299">
        <v>0</v>
      </c>
      <c r="J157" s="300">
        <f>-I156</f>
        <v>-30792.491249999999</v>
      </c>
    </row>
    <row r="158" spans="1:10" ht="15.75">
      <c r="A158" s="283" t="s">
        <v>24</v>
      </c>
      <c r="B158" s="284">
        <v>131</v>
      </c>
      <c r="C158" s="285">
        <v>0</v>
      </c>
      <c r="D158" s="286">
        <v>-2.1900000000000001E-3</v>
      </c>
      <c r="E158" s="287">
        <v>0</v>
      </c>
      <c r="G158" s="289"/>
      <c r="H158" s="289"/>
      <c r="I158" s="289"/>
      <c r="J158" s="301">
        <f>SUM(I156:J157)</f>
        <v>0</v>
      </c>
    </row>
    <row r="159" spans="1:10" ht="15.75">
      <c r="A159" s="283" t="s">
        <v>24</v>
      </c>
      <c r="B159" s="284">
        <v>132</v>
      </c>
      <c r="C159" s="285">
        <v>68629</v>
      </c>
      <c r="D159" s="286">
        <v>-2.1900000000000001E-3</v>
      </c>
      <c r="E159" s="287">
        <v>-150.29751000000002</v>
      </c>
    </row>
    <row r="160" spans="1:10" ht="15.75">
      <c r="A160" s="283" t="s">
        <v>24</v>
      </c>
      <c r="B160" s="284">
        <v>146</v>
      </c>
      <c r="C160" s="285">
        <v>2531895</v>
      </c>
      <c r="D160" s="286">
        <v>-2.0000000000000001E-4</v>
      </c>
      <c r="E160" s="302">
        <v>-506.37900000000002</v>
      </c>
    </row>
    <row r="161" spans="1:10" ht="16.5" thickBot="1">
      <c r="A161" s="283" t="s">
        <v>198</v>
      </c>
      <c r="B161" s="284"/>
      <c r="C161" s="303">
        <f>SUM(C153:C160)</f>
        <v>16361170</v>
      </c>
      <c r="D161" s="304"/>
      <c r="E161" s="305">
        <f>SUM(E153:E160)</f>
        <v>-30792.491249999999</v>
      </c>
    </row>
    <row r="162" spans="1:10" ht="16.5" thickTop="1">
      <c r="A162" s="283"/>
      <c r="B162" s="284"/>
      <c r="C162" s="309">
        <v>16361170</v>
      </c>
      <c r="D162" s="304"/>
      <c r="E162" s="305"/>
    </row>
    <row r="163" spans="1:10" ht="15.75">
      <c r="A163" s="283"/>
      <c r="B163" s="284"/>
      <c r="C163" s="306">
        <f>C162-C161</f>
        <v>0</v>
      </c>
      <c r="D163" s="304"/>
      <c r="E163" s="305"/>
    </row>
    <row r="164" spans="1:10" ht="15.75">
      <c r="A164" s="289"/>
      <c r="B164" s="289"/>
      <c r="C164" s="283" t="s">
        <v>1</v>
      </c>
      <c r="D164" s="307">
        <f>EOMONTH(D148,1)</f>
        <v>41578</v>
      </c>
      <c r="E164" s="308">
        <f>E148+E161</f>
        <v>8140.2385399999985</v>
      </c>
    </row>
    <row r="165" spans="1:10" ht="15.75" thickBot="1"/>
    <row r="166" spans="1:10" ht="15.75">
      <c r="A166" s="697" t="s">
        <v>195</v>
      </c>
      <c r="B166" s="698"/>
      <c r="C166" s="698"/>
      <c r="D166" s="698"/>
      <c r="E166" s="699"/>
      <c r="G166" s="289"/>
      <c r="H166" s="289"/>
      <c r="I166" s="289"/>
    </row>
    <row r="167" spans="1:10" ht="15.75">
      <c r="A167" s="219">
        <f>EOMONTH(A151,1)</f>
        <v>41608</v>
      </c>
      <c r="B167" s="275"/>
      <c r="C167" s="276" t="s">
        <v>101</v>
      </c>
      <c r="D167" s="277"/>
      <c r="E167" s="278"/>
    </row>
    <row r="168" spans="1:10" ht="16.5" thickBot="1">
      <c r="A168" s="279"/>
      <c r="B168" s="280"/>
      <c r="C168" s="281" t="s">
        <v>21</v>
      </c>
      <c r="D168" s="281" t="s">
        <v>22</v>
      </c>
      <c r="E168" s="282" t="s">
        <v>23</v>
      </c>
    </row>
    <row r="169" spans="1:10" ht="15.75">
      <c r="A169" s="283" t="s">
        <v>24</v>
      </c>
      <c r="B169" s="284">
        <v>101</v>
      </c>
      <c r="C169" s="285">
        <v>15070678</v>
      </c>
      <c r="D169" s="286" t="s">
        <v>187</v>
      </c>
      <c r="E169" s="287">
        <v>0</v>
      </c>
    </row>
    <row r="170" spans="1:10" ht="16.5" thickBot="1">
      <c r="A170" s="283" t="s">
        <v>24</v>
      </c>
      <c r="B170" s="284">
        <v>111</v>
      </c>
      <c r="C170" s="285">
        <v>5651303</v>
      </c>
      <c r="D170" s="286" t="s">
        <v>187</v>
      </c>
      <c r="E170" s="287">
        <v>0</v>
      </c>
      <c r="G170" s="288">
        <f>A167</f>
        <v>41608</v>
      </c>
      <c r="H170" s="289"/>
      <c r="I170" s="289"/>
      <c r="J170" s="289"/>
    </row>
    <row r="171" spans="1:10" ht="16.5" thickBot="1">
      <c r="A171" s="283" t="s">
        <v>24</v>
      </c>
      <c r="B171" s="284">
        <v>112</v>
      </c>
      <c r="C171" s="285">
        <v>0</v>
      </c>
      <c r="D171" s="286" t="s">
        <v>187</v>
      </c>
      <c r="E171" s="287">
        <v>0</v>
      </c>
      <c r="G171" s="290" t="s">
        <v>25</v>
      </c>
      <c r="H171" s="291"/>
      <c r="I171" s="292" t="s">
        <v>18</v>
      </c>
      <c r="J171" s="292" t="s">
        <v>19</v>
      </c>
    </row>
    <row r="172" spans="1:10" ht="15.75">
      <c r="A172" s="283" t="s">
        <v>24</v>
      </c>
      <c r="B172" s="284">
        <v>121</v>
      </c>
      <c r="C172" s="285">
        <v>396185</v>
      </c>
      <c r="D172" s="286" t="s">
        <v>187</v>
      </c>
      <c r="E172" s="287">
        <v>0</v>
      </c>
      <c r="G172" s="293" t="s">
        <v>97</v>
      </c>
      <c r="H172" s="294" t="s">
        <v>26</v>
      </c>
      <c r="I172" s="295">
        <f>-E177</f>
        <v>8833.92</v>
      </c>
      <c r="J172" s="296">
        <v>0</v>
      </c>
    </row>
    <row r="173" spans="1:10" ht="16.5" thickBot="1">
      <c r="A173" s="283" t="s">
        <v>24</v>
      </c>
      <c r="B173" s="284">
        <v>122</v>
      </c>
      <c r="C173" s="285">
        <v>51667</v>
      </c>
      <c r="D173" s="286" t="s">
        <v>187</v>
      </c>
      <c r="E173" s="287">
        <v>0</v>
      </c>
      <c r="G173" s="297" t="s">
        <v>196</v>
      </c>
      <c r="H173" s="298" t="s">
        <v>197</v>
      </c>
      <c r="I173" s="299">
        <v>0</v>
      </c>
      <c r="J173" s="300">
        <f>-I172</f>
        <v>-8833.92</v>
      </c>
    </row>
    <row r="174" spans="1:10" ht="15.75">
      <c r="A174" s="283" t="s">
        <v>24</v>
      </c>
      <c r="B174" s="284">
        <v>131</v>
      </c>
      <c r="C174" s="285">
        <v>0</v>
      </c>
      <c r="D174" s="286" t="s">
        <v>187</v>
      </c>
      <c r="E174" s="287">
        <v>0</v>
      </c>
      <c r="G174" s="289"/>
      <c r="H174" s="289"/>
      <c r="I174" s="289"/>
      <c r="J174" s="301">
        <f>SUM(I172:J173)</f>
        <v>0</v>
      </c>
    </row>
    <row r="175" spans="1:10" ht="15.75">
      <c r="A175" s="283" t="s">
        <v>24</v>
      </c>
      <c r="B175" s="284">
        <v>132</v>
      </c>
      <c r="C175" s="285">
        <v>142001</v>
      </c>
      <c r="D175" s="286" t="s">
        <v>187</v>
      </c>
      <c r="E175" s="287">
        <v>0</v>
      </c>
    </row>
    <row r="176" spans="1:10" ht="15.75">
      <c r="A176" s="283" t="s">
        <v>24</v>
      </c>
      <c r="B176" s="284">
        <v>146</v>
      </c>
      <c r="C176" s="285">
        <v>2936207</v>
      </c>
      <c r="D176" s="286" t="s">
        <v>187</v>
      </c>
      <c r="E176" s="302">
        <v>0</v>
      </c>
    </row>
    <row r="177" spans="1:10" ht="16.5" thickBot="1">
      <c r="A177" s="283" t="s">
        <v>198</v>
      </c>
      <c r="B177" s="284"/>
      <c r="C177" s="303">
        <f>SUM(C169:C176)</f>
        <v>24248041</v>
      </c>
      <c r="D177" s="304"/>
      <c r="E177" s="305">
        <v>-8833.92</v>
      </c>
    </row>
    <row r="178" spans="1:10" ht="16.5" thickTop="1">
      <c r="A178" s="283"/>
      <c r="B178" s="284"/>
      <c r="C178" s="309">
        <v>24248041</v>
      </c>
      <c r="D178" s="304"/>
      <c r="E178" s="305"/>
    </row>
    <row r="179" spans="1:10" ht="15.75">
      <c r="A179" s="283"/>
      <c r="B179" s="284"/>
      <c r="C179" s="306">
        <f>C178-C177</f>
        <v>0</v>
      </c>
      <c r="D179" s="304"/>
      <c r="E179" s="305"/>
    </row>
    <row r="180" spans="1:10" ht="15.75">
      <c r="A180" s="289"/>
      <c r="B180" s="289"/>
      <c r="C180" s="283" t="s">
        <v>1</v>
      </c>
      <c r="D180" s="307">
        <f>EOMONTH(D164,1)</f>
        <v>41608</v>
      </c>
      <c r="E180" s="308">
        <f>E164+E177</f>
        <v>-693.68146000000161</v>
      </c>
    </row>
    <row r="181" spans="1:10" ht="15.75" thickBot="1"/>
    <row r="182" spans="1:10" ht="15.75">
      <c r="A182" s="697" t="s">
        <v>195</v>
      </c>
      <c r="B182" s="698"/>
      <c r="C182" s="698"/>
      <c r="D182" s="698"/>
      <c r="E182" s="699"/>
      <c r="G182" s="289"/>
      <c r="H182" s="289"/>
      <c r="I182" s="289"/>
    </row>
    <row r="183" spans="1:10" ht="15.75">
      <c r="A183" s="219">
        <f>EOMONTH(A167,1)</f>
        <v>41639</v>
      </c>
      <c r="B183" s="275"/>
      <c r="C183" s="276" t="s">
        <v>101</v>
      </c>
      <c r="D183" s="277"/>
      <c r="E183" s="278"/>
    </row>
    <row r="184" spans="1:10" ht="16.5" thickBot="1">
      <c r="A184" s="279"/>
      <c r="B184" s="280"/>
      <c r="C184" s="281" t="s">
        <v>21</v>
      </c>
      <c r="D184" s="281" t="s">
        <v>22</v>
      </c>
      <c r="E184" s="282" t="s">
        <v>23</v>
      </c>
    </row>
    <row r="185" spans="1:10" ht="15.75">
      <c r="A185" s="283" t="s">
        <v>24</v>
      </c>
      <c r="B185" s="284">
        <v>101</v>
      </c>
      <c r="C185" s="285">
        <f>Jan!$G$23</f>
        <v>20257484</v>
      </c>
      <c r="D185" s="286" t="s">
        <v>187</v>
      </c>
      <c r="E185" s="287">
        <v>0</v>
      </c>
    </row>
    <row r="186" spans="1:10" ht="16.5" thickBot="1">
      <c r="A186" s="283" t="s">
        <v>24</v>
      </c>
      <c r="B186" s="284">
        <v>111</v>
      </c>
      <c r="C186" s="285">
        <f>Jan!$G$25</f>
        <v>6608892</v>
      </c>
      <c r="D186" s="286" t="s">
        <v>187</v>
      </c>
      <c r="E186" s="287">
        <v>0</v>
      </c>
      <c r="G186" s="288">
        <f>A183</f>
        <v>41639</v>
      </c>
      <c r="H186" s="289"/>
      <c r="I186" s="289"/>
      <c r="J186" s="289"/>
    </row>
    <row r="187" spans="1:10" ht="16.5" thickBot="1">
      <c r="A187" s="283" t="s">
        <v>24</v>
      </c>
      <c r="B187" s="284">
        <v>112</v>
      </c>
      <c r="C187" s="285">
        <f>Jan!$G$26</f>
        <v>10558</v>
      </c>
      <c r="D187" s="286" t="s">
        <v>187</v>
      </c>
      <c r="E187" s="287">
        <v>0</v>
      </c>
      <c r="G187" s="290" t="s">
        <v>25</v>
      </c>
      <c r="H187" s="291"/>
      <c r="I187" s="292" t="s">
        <v>18</v>
      </c>
      <c r="J187" s="292" t="s">
        <v>19</v>
      </c>
    </row>
    <row r="188" spans="1:10" ht="15.75">
      <c r="A188" s="283" t="s">
        <v>24</v>
      </c>
      <c r="B188" s="284">
        <v>121</v>
      </c>
      <c r="C188" s="285">
        <f>Jan!$G$27</f>
        <v>362835</v>
      </c>
      <c r="D188" s="286" t="s">
        <v>187</v>
      </c>
      <c r="E188" s="287">
        <v>0</v>
      </c>
      <c r="G188" s="293" t="s">
        <v>97</v>
      </c>
      <c r="H188" s="294" t="s">
        <v>26</v>
      </c>
      <c r="I188" s="295">
        <f>-E193</f>
        <v>13002.04</v>
      </c>
      <c r="J188" s="296">
        <v>0</v>
      </c>
    </row>
    <row r="189" spans="1:10" ht="16.5" thickBot="1">
      <c r="A189" s="283" t="s">
        <v>24</v>
      </c>
      <c r="B189" s="284">
        <v>122</v>
      </c>
      <c r="C189" s="285">
        <f>Jan!$G$28</f>
        <v>65295</v>
      </c>
      <c r="D189" s="286" t="s">
        <v>187</v>
      </c>
      <c r="E189" s="287">
        <v>0</v>
      </c>
      <c r="G189" s="297" t="s">
        <v>196</v>
      </c>
      <c r="H189" s="298" t="s">
        <v>197</v>
      </c>
      <c r="I189" s="299">
        <v>0</v>
      </c>
      <c r="J189" s="300">
        <f>-I188</f>
        <v>-13002.04</v>
      </c>
    </row>
    <row r="190" spans="1:10" ht="15.75">
      <c r="A190" s="283" t="s">
        <v>24</v>
      </c>
      <c r="B190" s="284">
        <v>131</v>
      </c>
      <c r="C190" s="285">
        <f>Jan!$G$29</f>
        <v>0</v>
      </c>
      <c r="D190" s="286" t="s">
        <v>187</v>
      </c>
      <c r="E190" s="287">
        <v>0</v>
      </c>
      <c r="G190" s="289"/>
      <c r="H190" s="289"/>
      <c r="I190" s="289"/>
      <c r="J190" s="301">
        <f>SUM(I188:J189)</f>
        <v>0</v>
      </c>
    </row>
    <row r="191" spans="1:10" ht="15.75">
      <c r="A191" s="283" t="s">
        <v>24</v>
      </c>
      <c r="B191" s="284">
        <v>132</v>
      </c>
      <c r="C191" s="285">
        <f>Jan!$G$30</f>
        <v>139102</v>
      </c>
      <c r="D191" s="286" t="s">
        <v>187</v>
      </c>
      <c r="E191" s="287">
        <v>0</v>
      </c>
    </row>
    <row r="192" spans="1:10" ht="15.75">
      <c r="A192" s="283" t="s">
        <v>24</v>
      </c>
      <c r="B192" s="284">
        <v>146</v>
      </c>
      <c r="C192" s="285">
        <f>Jan!$G$31</f>
        <v>3629622</v>
      </c>
      <c r="D192" s="286" t="s">
        <v>187</v>
      </c>
      <c r="E192" s="302">
        <v>0</v>
      </c>
    </row>
    <row r="193" spans="1:9" ht="16.5" thickBot="1">
      <c r="A193" s="283" t="s">
        <v>198</v>
      </c>
      <c r="B193" s="284"/>
      <c r="C193" s="303">
        <f>SUM(C185:C192)</f>
        <v>31073788</v>
      </c>
      <c r="D193" s="304"/>
      <c r="E193" s="305">
        <v>-13002.04</v>
      </c>
    </row>
    <row r="194" spans="1:9" ht="16.5" thickTop="1">
      <c r="A194" s="283"/>
      <c r="B194" s="284"/>
      <c r="C194" s="309">
        <v>34635509</v>
      </c>
      <c r="D194" s="304"/>
      <c r="E194" s="305"/>
    </row>
    <row r="195" spans="1:9" ht="15.75">
      <c r="A195" s="283"/>
      <c r="B195" s="284"/>
      <c r="C195" s="306">
        <f>C194-C193</f>
        <v>3561721</v>
      </c>
      <c r="D195" s="304"/>
      <c r="E195" s="305"/>
    </row>
    <row r="196" spans="1:9" ht="15.75">
      <c r="C196" s="283" t="s">
        <v>1</v>
      </c>
      <c r="D196" s="307">
        <f>EOMONTH(D180,1)</f>
        <v>41639</v>
      </c>
      <c r="E196" s="308">
        <f>E180+E193</f>
        <v>-13695.721460000002</v>
      </c>
      <c r="G196" s="474" t="s">
        <v>244</v>
      </c>
      <c r="H196" s="475">
        <f>_xll.Get_Balance(I196,"YTD","USD","Total","A","","001","191025","GD","WA","DL")-E196</f>
        <v>1.4600000031350646E-3</v>
      </c>
      <c r="I196" s="476">
        <v>201312</v>
      </c>
    </row>
  </sheetData>
  <mergeCells count="12">
    <mergeCell ref="A182:E182"/>
    <mergeCell ref="A166:E166"/>
    <mergeCell ref="A6:E6"/>
    <mergeCell ref="A22:E22"/>
    <mergeCell ref="A38:E38"/>
    <mergeCell ref="A54:E54"/>
    <mergeCell ref="A70:E70"/>
    <mergeCell ref="A150:E150"/>
    <mergeCell ref="A134:E134"/>
    <mergeCell ref="A118:E118"/>
    <mergeCell ref="A102:E102"/>
    <mergeCell ref="A86:E86"/>
  </mergeCells>
  <conditionalFormatting sqref="J14">
    <cfRule type="cellIs" dxfId="103" priority="35" stopIfTrue="1" operator="equal">
      <formula>0</formula>
    </cfRule>
    <cfRule type="cellIs" dxfId="102" priority="36" stopIfTrue="1" operator="notEqual">
      <formula>0</formula>
    </cfRule>
  </conditionalFormatting>
  <conditionalFormatting sqref="C19">
    <cfRule type="cellIs" dxfId="101" priority="34" operator="notEqual">
      <formula>0</formula>
    </cfRule>
  </conditionalFormatting>
  <conditionalFormatting sqref="J30">
    <cfRule type="cellIs" dxfId="100" priority="32" stopIfTrue="1" operator="equal">
      <formula>0</formula>
    </cfRule>
    <cfRule type="cellIs" dxfId="99" priority="33" stopIfTrue="1" operator="notEqual">
      <formula>0</formula>
    </cfRule>
  </conditionalFormatting>
  <conditionalFormatting sqref="C35">
    <cfRule type="cellIs" dxfId="98" priority="31" operator="notEqual">
      <formula>0</formula>
    </cfRule>
  </conditionalFormatting>
  <conditionalFormatting sqref="J46">
    <cfRule type="cellIs" dxfId="97" priority="29" stopIfTrue="1" operator="equal">
      <formula>0</formula>
    </cfRule>
    <cfRule type="cellIs" dxfId="96" priority="30" stopIfTrue="1" operator="notEqual">
      <formula>0</formula>
    </cfRule>
  </conditionalFormatting>
  <conditionalFormatting sqref="C51">
    <cfRule type="cellIs" dxfId="95" priority="28" operator="notEqual">
      <formula>0</formula>
    </cfRule>
  </conditionalFormatting>
  <conditionalFormatting sqref="J62">
    <cfRule type="cellIs" dxfId="94" priority="26" stopIfTrue="1" operator="equal">
      <formula>0</formula>
    </cfRule>
    <cfRule type="cellIs" dxfId="93" priority="27" stopIfTrue="1" operator="notEqual">
      <formula>0</formula>
    </cfRule>
  </conditionalFormatting>
  <conditionalFormatting sqref="C67">
    <cfRule type="cellIs" dxfId="92" priority="25" operator="notEqual">
      <formula>0</formula>
    </cfRule>
  </conditionalFormatting>
  <conditionalFormatting sqref="J78">
    <cfRule type="cellIs" dxfId="91" priority="23" stopIfTrue="1" operator="equal">
      <formula>0</formula>
    </cfRule>
    <cfRule type="cellIs" dxfId="90" priority="24" stopIfTrue="1" operator="notEqual">
      <formula>0</formula>
    </cfRule>
  </conditionalFormatting>
  <conditionalFormatting sqref="C83">
    <cfRule type="cellIs" dxfId="89" priority="22" operator="notEqual">
      <formula>0</formula>
    </cfRule>
  </conditionalFormatting>
  <conditionalFormatting sqref="J94">
    <cfRule type="cellIs" dxfId="88" priority="20" stopIfTrue="1" operator="equal">
      <formula>0</formula>
    </cfRule>
    <cfRule type="cellIs" dxfId="87" priority="21" stopIfTrue="1" operator="notEqual">
      <formula>0</formula>
    </cfRule>
  </conditionalFormatting>
  <conditionalFormatting sqref="C99">
    <cfRule type="cellIs" dxfId="86" priority="19" operator="notEqual">
      <formula>0</formula>
    </cfRule>
  </conditionalFormatting>
  <conditionalFormatting sqref="J110">
    <cfRule type="cellIs" dxfId="85" priority="17" stopIfTrue="1" operator="equal">
      <formula>0</formula>
    </cfRule>
    <cfRule type="cellIs" dxfId="84" priority="18" stopIfTrue="1" operator="notEqual">
      <formula>0</formula>
    </cfRule>
  </conditionalFormatting>
  <conditionalFormatting sqref="C115">
    <cfRule type="cellIs" dxfId="83" priority="16" operator="notEqual">
      <formula>0</formula>
    </cfRule>
  </conditionalFormatting>
  <conditionalFormatting sqref="J126">
    <cfRule type="cellIs" dxfId="82" priority="14" stopIfTrue="1" operator="equal">
      <formula>0</formula>
    </cfRule>
    <cfRule type="cellIs" dxfId="81" priority="15" stopIfTrue="1" operator="notEqual">
      <formula>0</formula>
    </cfRule>
  </conditionalFormatting>
  <conditionalFormatting sqref="C131">
    <cfRule type="cellIs" dxfId="80" priority="13" operator="notEqual">
      <formula>0</formula>
    </cfRule>
  </conditionalFormatting>
  <conditionalFormatting sqref="J142">
    <cfRule type="cellIs" dxfId="79" priority="11" stopIfTrue="1" operator="equal">
      <formula>0</formula>
    </cfRule>
    <cfRule type="cellIs" dxfId="78" priority="12" stopIfTrue="1" operator="notEqual">
      <formula>0</formula>
    </cfRule>
  </conditionalFormatting>
  <conditionalFormatting sqref="C147">
    <cfRule type="cellIs" dxfId="77" priority="10" operator="notEqual">
      <formula>0</formula>
    </cfRule>
  </conditionalFormatting>
  <conditionalFormatting sqref="J158">
    <cfRule type="cellIs" dxfId="76" priority="8" stopIfTrue="1" operator="equal">
      <formula>0</formula>
    </cfRule>
    <cfRule type="cellIs" dxfId="75" priority="9" stopIfTrue="1" operator="notEqual">
      <formula>0</formula>
    </cfRule>
  </conditionalFormatting>
  <conditionalFormatting sqref="C163">
    <cfRule type="cellIs" dxfId="74" priority="7" operator="notEqual">
      <formula>0</formula>
    </cfRule>
  </conditionalFormatting>
  <conditionalFormatting sqref="J174">
    <cfRule type="cellIs" dxfId="73" priority="5" stopIfTrue="1" operator="equal">
      <formula>0</formula>
    </cfRule>
    <cfRule type="cellIs" dxfId="72" priority="6" stopIfTrue="1" operator="notEqual">
      <formula>0</formula>
    </cfRule>
  </conditionalFormatting>
  <conditionalFormatting sqref="C179">
    <cfRule type="cellIs" dxfId="71" priority="4" operator="notEqual">
      <formula>0</formula>
    </cfRule>
  </conditionalFormatting>
  <conditionalFormatting sqref="J190">
    <cfRule type="cellIs" dxfId="70" priority="2" stopIfTrue="1" operator="equal">
      <formula>0</formula>
    </cfRule>
    <cfRule type="cellIs" dxfId="69" priority="3" stopIfTrue="1" operator="notEqual">
      <formula>0</formula>
    </cfRule>
  </conditionalFormatting>
  <conditionalFormatting sqref="C195">
    <cfRule type="cellIs" dxfId="68" priority="1" operator="notEqual">
      <formula>0</formula>
    </cfRule>
  </conditionalFormatting>
  <pageMargins left="0.7" right="0.7" top="0.75" bottom="0.75" header="0.3" footer="0.3"/>
  <pageSetup scale="37" orientation="portrait" r:id="rId1"/>
  <customProperties>
    <customPr name="xxe4aP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43">
    <tabColor rgb="FF92D050"/>
  </sheetPr>
  <dimension ref="A1:J309"/>
  <sheetViews>
    <sheetView showGridLines="0" view="pageBreakPreview" topLeftCell="A261" zoomScale="85" zoomScaleNormal="80" zoomScaleSheetLayoutView="85" workbookViewId="0">
      <selection activeCell="E297" sqref="E297"/>
    </sheetView>
  </sheetViews>
  <sheetFormatPr defaultColWidth="9.140625" defaultRowHeight="15"/>
  <cols>
    <col min="1" max="1" width="12.42578125" style="1" customWidth="1"/>
    <col min="2" max="2" width="9.42578125" style="1" bestFit="1" customWidth="1"/>
    <col min="3" max="3" width="17" style="1" customWidth="1"/>
    <col min="4" max="4" width="25.7109375" style="1" customWidth="1"/>
    <col min="5" max="5" width="21.85546875" style="1" bestFit="1" customWidth="1"/>
    <col min="6" max="6" width="16.28515625" style="1" bestFit="1" customWidth="1"/>
    <col min="7" max="7" width="32.42578125" style="1" customWidth="1"/>
    <col min="8" max="8" width="19.28515625" style="1" customWidth="1"/>
    <col min="9" max="9" width="20.42578125" style="1" customWidth="1"/>
    <col min="10" max="10" width="19.5703125" style="1" customWidth="1"/>
    <col min="11" max="11" width="3.42578125" style="1" customWidth="1"/>
    <col min="12" max="16384" width="9.140625" style="1"/>
  </cols>
  <sheetData>
    <row r="1" spans="1:10" ht="15.75">
      <c r="A1" s="51" t="s">
        <v>13</v>
      </c>
    </row>
    <row r="2" spans="1:10" ht="15.75">
      <c r="A2" s="51" t="s">
        <v>0</v>
      </c>
    </row>
    <row r="3" spans="1:10" ht="15.75">
      <c r="A3" s="51" t="s">
        <v>172</v>
      </c>
    </row>
    <row r="4" spans="1:10" ht="15.75">
      <c r="A4" s="51" t="s">
        <v>171</v>
      </c>
    </row>
    <row r="6" spans="1:10" ht="15.75">
      <c r="B6" s="17"/>
      <c r="C6" s="2"/>
      <c r="D6" s="3"/>
      <c r="E6" s="4"/>
    </row>
    <row r="7" spans="1:10" s="330" customFormat="1" ht="15.75" hidden="1">
      <c r="A7" s="332"/>
      <c r="B7" s="332"/>
      <c r="C7" s="50" t="s">
        <v>1</v>
      </c>
      <c r="D7" s="90">
        <v>41213</v>
      </c>
      <c r="E7" s="50">
        <v>2351759.8593735616</v>
      </c>
      <c r="F7" s="332"/>
      <c r="G7" s="245"/>
    </row>
    <row r="8" spans="1:10" s="383" customFormat="1" ht="15.75" hidden="1">
      <c r="A8" s="384"/>
      <c r="B8" s="384"/>
      <c r="C8" s="50"/>
      <c r="D8" s="90"/>
      <c r="E8" s="50"/>
      <c r="F8" s="384"/>
      <c r="G8" s="245"/>
    </row>
    <row r="9" spans="1:10" s="202" customFormat="1" ht="15.75" hidden="1">
      <c r="D9" s="258" t="s">
        <v>212</v>
      </c>
      <c r="E9" s="161">
        <f>'WA Def 191010'!R14</f>
        <v>-7340824.0093394704</v>
      </c>
    </row>
    <row r="10" spans="1:10" s="202" customFormat="1" ht="16.5" hidden="1" thickBot="1">
      <c r="D10" s="258" t="s">
        <v>210</v>
      </c>
      <c r="E10" s="389">
        <f>E9+E7</f>
        <v>-4989064.1499659084</v>
      </c>
    </row>
    <row r="11" spans="1:10" s="383" customFormat="1" ht="16.5" hidden="1" thickTop="1" thickBot="1"/>
    <row r="12" spans="1:10" s="383" customFormat="1" ht="15.75" hidden="1">
      <c r="A12" s="73" t="s">
        <v>141</v>
      </c>
      <c r="B12" s="78"/>
      <c r="C12" s="79"/>
      <c r="D12" s="80"/>
      <c r="E12" s="81"/>
      <c r="G12" s="5"/>
      <c r="H12" s="5"/>
      <c r="I12" s="48"/>
      <c r="J12" s="48"/>
    </row>
    <row r="13" spans="1:10" s="383" customFormat="1" ht="15.75" hidden="1">
      <c r="A13" s="219">
        <v>41243</v>
      </c>
      <c r="B13" s="137"/>
      <c r="C13" s="11"/>
      <c r="D13" s="138"/>
      <c r="E13" s="77"/>
      <c r="G13" s="5"/>
      <c r="H13" s="5"/>
      <c r="I13" s="48"/>
      <c r="J13" s="48"/>
    </row>
    <row r="14" spans="1:10" s="383" customFormat="1" ht="16.5" hidden="1" thickBot="1">
      <c r="A14" s="139"/>
      <c r="B14" s="140"/>
      <c r="C14" s="131" t="s">
        <v>21</v>
      </c>
      <c r="D14" s="131" t="s">
        <v>22</v>
      </c>
      <c r="E14" s="128" t="s">
        <v>23</v>
      </c>
      <c r="F14" s="384"/>
      <c r="G14" s="384"/>
      <c r="H14" s="384"/>
      <c r="I14" s="384"/>
      <c r="J14" s="384"/>
    </row>
    <row r="15" spans="1:10" s="383" customFormat="1" ht="15.75" hidden="1">
      <c r="A15" s="50" t="s">
        <v>24</v>
      </c>
      <c r="B15" s="95">
        <v>101</v>
      </c>
      <c r="C15" s="206">
        <v>12694976</v>
      </c>
      <c r="D15" s="388">
        <v>3.3950000000000001E-2</v>
      </c>
      <c r="E15" s="168">
        <v>427531.76</v>
      </c>
      <c r="F15" s="384" t="s">
        <v>187</v>
      </c>
      <c r="G15" s="384"/>
      <c r="H15" s="384"/>
      <c r="I15" s="384"/>
      <c r="J15" s="384"/>
    </row>
    <row r="16" spans="1:10" s="383" customFormat="1" ht="16.5" hidden="1" thickBot="1">
      <c r="A16" s="50" t="s">
        <v>24</v>
      </c>
      <c r="B16" s="95">
        <v>111</v>
      </c>
      <c r="C16" s="206">
        <v>4637935</v>
      </c>
      <c r="D16" s="388">
        <v>3.0599999999999999E-2</v>
      </c>
      <c r="E16" s="168">
        <v>143027.17000000001</v>
      </c>
      <c r="F16" s="384" t="s">
        <v>187</v>
      </c>
      <c r="G16" s="123">
        <f>A13</f>
        <v>41243</v>
      </c>
      <c r="H16" s="384"/>
      <c r="I16" s="384"/>
      <c r="J16" s="384"/>
    </row>
    <row r="17" spans="1:10" s="383" customFormat="1" ht="16.5" hidden="1" thickBot="1">
      <c r="A17" s="50" t="s">
        <v>24</v>
      </c>
      <c r="B17" s="95">
        <v>112</v>
      </c>
      <c r="C17" s="206">
        <v>0</v>
      </c>
      <c r="D17" s="388"/>
      <c r="E17" s="168">
        <v>0</v>
      </c>
      <c r="F17" s="384" t="s">
        <v>187</v>
      </c>
      <c r="G17" s="113" t="s">
        <v>25</v>
      </c>
      <c r="H17" s="205"/>
      <c r="I17" s="126" t="s">
        <v>18</v>
      </c>
      <c r="J17" s="126" t="s">
        <v>19</v>
      </c>
    </row>
    <row r="18" spans="1:10" s="383" customFormat="1" ht="15.75" hidden="1">
      <c r="A18" s="50" t="s">
        <v>24</v>
      </c>
      <c r="B18" s="95">
        <v>121</v>
      </c>
      <c r="C18" s="206">
        <v>347215</v>
      </c>
      <c r="D18" s="388">
        <v>2.998E-2</v>
      </c>
      <c r="E18" s="168">
        <v>11613.6</v>
      </c>
      <c r="F18" s="384" t="s">
        <v>187</v>
      </c>
      <c r="G18" s="151" t="s">
        <v>28</v>
      </c>
      <c r="H18" s="152" t="s">
        <v>75</v>
      </c>
      <c r="I18" s="152"/>
      <c r="J18" s="97">
        <v>0</v>
      </c>
    </row>
    <row r="19" spans="1:10" s="383" customFormat="1" ht="15.75" hidden="1">
      <c r="A19" s="50" t="s">
        <v>24</v>
      </c>
      <c r="B19" s="95">
        <v>122</v>
      </c>
      <c r="C19" s="206">
        <v>0</v>
      </c>
      <c r="D19" s="388"/>
      <c r="E19" s="168">
        <v>0</v>
      </c>
      <c r="F19" s="384" t="s">
        <v>187</v>
      </c>
      <c r="G19" s="153" t="s">
        <v>29</v>
      </c>
      <c r="H19" s="7" t="s">
        <v>76</v>
      </c>
      <c r="I19" s="7">
        <v>12723.82</v>
      </c>
      <c r="J19" s="223"/>
    </row>
    <row r="20" spans="1:10" s="383" customFormat="1" ht="15.75" hidden="1">
      <c r="A20" s="50" t="s">
        <v>24</v>
      </c>
      <c r="B20" s="95">
        <v>131</v>
      </c>
      <c r="C20" s="206">
        <v>0</v>
      </c>
      <c r="D20" s="388">
        <v>5.7389999999999997E-2</v>
      </c>
      <c r="E20" s="168">
        <v>0</v>
      </c>
      <c r="F20" s="384" t="s">
        <v>187</v>
      </c>
      <c r="G20" s="153" t="s">
        <v>97</v>
      </c>
      <c r="H20" s="7" t="s">
        <v>26</v>
      </c>
      <c r="I20" s="8"/>
      <c r="J20" s="98">
        <v>-582079.61</v>
      </c>
    </row>
    <row r="21" spans="1:10" s="383" customFormat="1" ht="15.75" hidden="1">
      <c r="A21" s="50" t="s">
        <v>24</v>
      </c>
      <c r="B21" s="95">
        <v>132</v>
      </c>
      <c r="C21" s="206">
        <v>0</v>
      </c>
      <c r="D21" s="388"/>
      <c r="E21" s="168">
        <v>0</v>
      </c>
      <c r="F21" s="384" t="s">
        <v>187</v>
      </c>
      <c r="G21" s="153" t="s">
        <v>10</v>
      </c>
      <c r="H21" s="7" t="s">
        <v>17</v>
      </c>
      <c r="I21" s="7">
        <v>0</v>
      </c>
      <c r="J21" s="98"/>
    </row>
    <row r="22" spans="1:10" s="383" customFormat="1" ht="16.5" hidden="1" thickBot="1">
      <c r="A22" s="50" t="s">
        <v>24</v>
      </c>
      <c r="B22" s="95">
        <v>146</v>
      </c>
      <c r="C22" s="206">
        <v>2701032</v>
      </c>
      <c r="D22" s="238"/>
      <c r="E22" s="168">
        <v>0</v>
      </c>
      <c r="F22" s="384" t="s">
        <v>187</v>
      </c>
      <c r="G22" s="154" t="s">
        <v>98</v>
      </c>
      <c r="H22" s="147" t="s">
        <v>27</v>
      </c>
      <c r="I22" s="110">
        <v>569355.79</v>
      </c>
      <c r="J22" s="107"/>
    </row>
    <row r="23" spans="1:10" s="383" customFormat="1" ht="15.75" hidden="1">
      <c r="A23" s="50" t="s">
        <v>151</v>
      </c>
      <c r="B23" s="95"/>
      <c r="C23" s="206"/>
      <c r="D23" s="121"/>
      <c r="E23" s="168">
        <v>0</v>
      </c>
      <c r="F23" s="384" t="s">
        <v>187</v>
      </c>
      <c r="G23" s="384"/>
      <c r="H23" s="384"/>
      <c r="I23" s="384"/>
      <c r="J23" s="337">
        <f>SUM(I18:J22)</f>
        <v>0</v>
      </c>
    </row>
    <row r="24" spans="1:10" s="383" customFormat="1" ht="15.75" hidden="1">
      <c r="A24" s="141" t="s">
        <v>143</v>
      </c>
      <c r="B24" s="95">
        <v>146</v>
      </c>
      <c r="C24" s="206"/>
      <c r="D24" s="121"/>
      <c r="E24" s="168">
        <v>0</v>
      </c>
      <c r="F24" s="384" t="s">
        <v>187</v>
      </c>
      <c r="G24" s="123"/>
      <c r="H24" s="7"/>
      <c r="I24" s="7"/>
      <c r="J24" s="7"/>
    </row>
    <row r="25" spans="1:10" s="383" customFormat="1" ht="15.75" hidden="1">
      <c r="A25" s="141" t="s">
        <v>105</v>
      </c>
      <c r="B25" s="95"/>
      <c r="C25" s="206"/>
      <c r="D25" s="121"/>
      <c r="E25" s="226">
        <v>0</v>
      </c>
      <c r="F25" s="384"/>
      <c r="G25" s="123"/>
      <c r="H25" s="7"/>
      <c r="I25" s="12"/>
      <c r="J25" s="12"/>
    </row>
    <row r="26" spans="1:10" s="383" customFormat="1" ht="16.5" hidden="1" thickBot="1">
      <c r="A26" s="50"/>
      <c r="B26" s="95"/>
      <c r="C26" s="159">
        <f>SUM(C15:C25)</f>
        <v>20381158</v>
      </c>
      <c r="D26" s="142"/>
      <c r="E26" s="207">
        <f>SUM(E15:E25)</f>
        <v>582172.53</v>
      </c>
      <c r="F26" s="384"/>
      <c r="G26" s="123"/>
      <c r="H26" s="7"/>
      <c r="I26" s="7"/>
      <c r="J26" s="8"/>
    </row>
    <row r="27" spans="1:10" s="383" customFormat="1" ht="16.5" hidden="1" thickTop="1">
      <c r="A27" s="50"/>
      <c r="B27" s="95"/>
      <c r="C27" s="224">
        <v>20381158</v>
      </c>
      <c r="D27" s="142" t="s">
        <v>161</v>
      </c>
      <c r="E27" s="156">
        <v>0</v>
      </c>
      <c r="F27" s="384"/>
      <c r="G27" s="11"/>
      <c r="H27" s="7"/>
      <c r="I27" s="8"/>
      <c r="J27" s="7"/>
    </row>
    <row r="28" spans="1:10" s="383" customFormat="1" ht="16.5" hidden="1" thickBot="1">
      <c r="A28" s="50"/>
      <c r="B28" s="95"/>
      <c r="C28" s="230">
        <f>C27-C26</f>
        <v>0</v>
      </c>
      <c r="D28" s="142"/>
      <c r="E28" s="160">
        <f>SUM(E26:E27)</f>
        <v>582172.53</v>
      </c>
      <c r="F28" s="384"/>
      <c r="G28" s="65" t="s">
        <v>158</v>
      </c>
      <c r="H28" s="7"/>
      <c r="I28" s="7"/>
      <c r="J28" s="7"/>
    </row>
    <row r="29" spans="1:10" s="383" customFormat="1" ht="16.5" hidden="1" thickTop="1">
      <c r="A29" s="384"/>
      <c r="B29" s="384"/>
      <c r="C29" s="384"/>
      <c r="D29" s="142" t="s">
        <v>87</v>
      </c>
      <c r="E29" s="50">
        <f>E28+E10</f>
        <v>-4406891.6199659081</v>
      </c>
      <c r="F29" s="384"/>
      <c r="G29" s="8">
        <f>(E10*(D30/12))+(E28*(D30/24))</f>
        <v>-12723.690105116002</v>
      </c>
      <c r="H29" s="395"/>
      <c r="I29" s="395"/>
      <c r="J29" s="7"/>
    </row>
    <row r="30" spans="1:10" s="383" customFormat="1" ht="15.75" hidden="1">
      <c r="A30" s="384"/>
      <c r="B30" s="384"/>
      <c r="C30" s="50" t="s">
        <v>57</v>
      </c>
      <c r="D30" s="225">
        <v>3.2500000000000001E-2</v>
      </c>
      <c r="E30" s="119">
        <f>ROUND(((E10)+(SUM(E28))/2)*(D30/12),2)</f>
        <v>-12723.69</v>
      </c>
      <c r="F30" s="384"/>
      <c r="G30" s="8"/>
      <c r="H30" s="7"/>
      <c r="I30" s="12"/>
      <c r="J30" s="12"/>
    </row>
    <row r="31" spans="1:10" s="383" customFormat="1" ht="15.75" hidden="1">
      <c r="A31" s="384"/>
      <c r="B31" s="384"/>
      <c r="C31" s="50" t="s">
        <v>1</v>
      </c>
      <c r="D31" s="90">
        <f>A13</f>
        <v>41243</v>
      </c>
      <c r="E31" s="50">
        <f>SUM(E29:E30)</f>
        <v>-4419615.3099659085</v>
      </c>
      <c r="F31" s="384"/>
      <c r="G31" s="245"/>
    </row>
    <row r="32" spans="1:10" s="383" customFormat="1" ht="15.75" hidden="1">
      <c r="A32" s="384"/>
      <c r="B32" s="384"/>
      <c r="C32" s="50"/>
      <c r="D32" s="442" t="s">
        <v>199</v>
      </c>
      <c r="E32" s="64">
        <v>-4419708.3600000003</v>
      </c>
      <c r="F32" s="384"/>
      <c r="G32" s="245"/>
    </row>
    <row r="33" spans="1:10" s="383" customFormat="1" ht="15.75" hidden="1">
      <c r="A33" s="384"/>
      <c r="B33" s="384"/>
      <c r="C33" s="50"/>
      <c r="D33" s="442" t="s">
        <v>218</v>
      </c>
      <c r="E33" s="443">
        <f>E31-E32</f>
        <v>93.050034091807902</v>
      </c>
      <c r="F33" s="384"/>
      <c r="G33" s="245"/>
    </row>
    <row r="34" spans="1:10" s="383" customFormat="1" ht="15.75" hidden="1" thickBot="1"/>
    <row r="35" spans="1:10" s="383" customFormat="1" ht="15.75" hidden="1">
      <c r="A35" s="73" t="s">
        <v>141</v>
      </c>
      <c r="B35" s="78"/>
      <c r="C35" s="79"/>
      <c r="D35" s="80"/>
      <c r="E35" s="81"/>
      <c r="G35" s="5"/>
      <c r="H35" s="5"/>
      <c r="I35" s="48"/>
      <c r="J35" s="48"/>
    </row>
    <row r="36" spans="1:10" s="383" customFormat="1" ht="15.75" hidden="1">
      <c r="A36" s="219">
        <v>41274</v>
      </c>
      <c r="B36" s="137"/>
      <c r="C36" s="11"/>
      <c r="D36" s="138"/>
      <c r="E36" s="77"/>
      <c r="G36" s="5"/>
      <c r="H36" s="5"/>
      <c r="I36" s="48"/>
      <c r="J36" s="48"/>
    </row>
    <row r="37" spans="1:10" s="383" customFormat="1" ht="16.5" hidden="1" thickBot="1">
      <c r="A37" s="139"/>
      <c r="B37" s="140"/>
      <c r="C37" s="131" t="s">
        <v>21</v>
      </c>
      <c r="D37" s="131" t="s">
        <v>22</v>
      </c>
      <c r="E37" s="128" t="s">
        <v>23</v>
      </c>
      <c r="F37" s="384"/>
      <c r="G37" s="384"/>
      <c r="H37" s="384"/>
      <c r="I37" s="384"/>
      <c r="J37" s="384"/>
    </row>
    <row r="38" spans="1:10" s="383" customFormat="1" ht="15.75" hidden="1">
      <c r="A38" s="50" t="s">
        <v>24</v>
      </c>
      <c r="B38" s="95">
        <v>101</v>
      </c>
      <c r="C38" s="206">
        <v>18054358</v>
      </c>
      <c r="D38" s="388">
        <v>3.3950000000000001E-2</v>
      </c>
      <c r="E38" s="168">
        <v>610563.22</v>
      </c>
      <c r="F38" s="384" t="s">
        <v>187</v>
      </c>
      <c r="G38" s="384"/>
      <c r="H38" s="384"/>
      <c r="I38" s="384"/>
      <c r="J38" s="384"/>
    </row>
    <row r="39" spans="1:10" s="383" customFormat="1" ht="16.5" hidden="1" thickBot="1">
      <c r="A39" s="50" t="s">
        <v>24</v>
      </c>
      <c r="B39" s="95">
        <v>111</v>
      </c>
      <c r="C39" s="206">
        <v>6151406</v>
      </c>
      <c r="D39" s="388">
        <v>3.0599999999999999E-2</v>
      </c>
      <c r="E39" s="168">
        <v>187548.98</v>
      </c>
      <c r="F39" s="384" t="s">
        <v>187</v>
      </c>
      <c r="G39" s="123">
        <f>A36</f>
        <v>41274</v>
      </c>
      <c r="H39" s="384"/>
      <c r="I39" s="384"/>
      <c r="J39" s="384"/>
    </row>
    <row r="40" spans="1:10" s="383" customFormat="1" ht="16.5" hidden="1" thickBot="1">
      <c r="A40" s="50" t="s">
        <v>24</v>
      </c>
      <c r="B40" s="95">
        <v>112</v>
      </c>
      <c r="C40" s="206">
        <v>0</v>
      </c>
      <c r="D40" s="388"/>
      <c r="E40" s="168">
        <f t="shared" ref="E40" si="0">C40*D40</f>
        <v>0</v>
      </c>
      <c r="F40" s="384" t="s">
        <v>187</v>
      </c>
      <c r="G40" s="113" t="s">
        <v>25</v>
      </c>
      <c r="H40" s="205"/>
      <c r="I40" s="126" t="s">
        <v>18</v>
      </c>
      <c r="J40" s="126" t="s">
        <v>19</v>
      </c>
    </row>
    <row r="41" spans="1:10" s="383" customFormat="1" ht="15.75" hidden="1">
      <c r="A41" s="50" t="s">
        <v>24</v>
      </c>
      <c r="B41" s="95">
        <v>121</v>
      </c>
      <c r="C41" s="206">
        <v>385155</v>
      </c>
      <c r="D41" s="388">
        <v>2.998E-2</v>
      </c>
      <c r="E41" s="168">
        <v>11473.63</v>
      </c>
      <c r="F41" s="384" t="s">
        <v>187</v>
      </c>
      <c r="G41" s="151" t="s">
        <v>28</v>
      </c>
      <c r="H41" s="152" t="s">
        <v>75</v>
      </c>
      <c r="I41" s="152"/>
      <c r="J41" s="97">
        <f>IF(-E53&lt;0,-E53,0)</f>
        <v>0</v>
      </c>
    </row>
    <row r="42" spans="1:10" s="383" customFormat="1" ht="15.75" hidden="1">
      <c r="A42" s="50" t="s">
        <v>24</v>
      </c>
      <c r="B42" s="95">
        <v>122</v>
      </c>
      <c r="C42" s="206">
        <v>0</v>
      </c>
      <c r="D42" s="388"/>
      <c r="E42" s="168">
        <f t="shared" ref="E42:E47" si="1">C42*D42</f>
        <v>0</v>
      </c>
      <c r="F42" s="384" t="s">
        <v>187</v>
      </c>
      <c r="G42" s="153" t="s">
        <v>29</v>
      </c>
      <c r="H42" s="7" t="s">
        <v>76</v>
      </c>
      <c r="I42" s="7">
        <f>IF(-E53&gt;0,-E53,0)</f>
        <v>10764.89</v>
      </c>
      <c r="J42" s="223"/>
    </row>
    <row r="43" spans="1:10" s="383" customFormat="1" ht="15.75" hidden="1">
      <c r="A43" s="50" t="s">
        <v>24</v>
      </c>
      <c r="B43" s="95">
        <v>131</v>
      </c>
      <c r="C43" s="206">
        <v>0</v>
      </c>
      <c r="D43" s="388">
        <v>5.7389999999999997E-2</v>
      </c>
      <c r="E43" s="168">
        <f t="shared" si="1"/>
        <v>0</v>
      </c>
      <c r="F43" s="384" t="s">
        <v>187</v>
      </c>
      <c r="G43" s="153" t="s">
        <v>97</v>
      </c>
      <c r="H43" s="7" t="s">
        <v>26</v>
      </c>
      <c r="I43" s="8"/>
      <c r="J43" s="98">
        <f>-E51</f>
        <v>-889770.75003409176</v>
      </c>
    </row>
    <row r="44" spans="1:10" s="383" customFormat="1" ht="15.75" hidden="1">
      <c r="A44" s="50" t="s">
        <v>24</v>
      </c>
      <c r="B44" s="95">
        <v>132</v>
      </c>
      <c r="C44" s="206">
        <v>0</v>
      </c>
      <c r="D44" s="388"/>
      <c r="E44" s="168">
        <f t="shared" si="1"/>
        <v>0</v>
      </c>
      <c r="F44" s="384" t="s">
        <v>187</v>
      </c>
      <c r="G44" s="153" t="s">
        <v>10</v>
      </c>
      <c r="H44" s="7" t="s">
        <v>17</v>
      </c>
      <c r="I44" s="7">
        <v>0</v>
      </c>
      <c r="J44" s="98"/>
    </row>
    <row r="45" spans="1:10" s="383" customFormat="1" ht="16.5" hidden="1" thickBot="1">
      <c r="A45" s="50" t="s">
        <v>24</v>
      </c>
      <c r="B45" s="95">
        <v>146</v>
      </c>
      <c r="C45" s="206">
        <v>3066817</v>
      </c>
      <c r="D45" s="238"/>
      <c r="E45" s="168">
        <f t="shared" si="1"/>
        <v>0</v>
      </c>
      <c r="F45" s="384" t="s">
        <v>187</v>
      </c>
      <c r="G45" s="154" t="s">
        <v>98</v>
      </c>
      <c r="H45" s="147" t="s">
        <v>27</v>
      </c>
      <c r="I45" s="110">
        <f>-E32+E54</f>
        <v>879005.86003409186</v>
      </c>
      <c r="J45" s="107"/>
    </row>
    <row r="46" spans="1:10" s="383" customFormat="1" ht="15.75" hidden="1">
      <c r="A46" s="50" t="s">
        <v>151</v>
      </c>
      <c r="B46" s="95"/>
      <c r="C46" s="206"/>
      <c r="D46" s="121"/>
      <c r="E46" s="168">
        <f t="shared" si="1"/>
        <v>0</v>
      </c>
      <c r="F46" s="384" t="s">
        <v>187</v>
      </c>
      <c r="G46" s="384"/>
      <c r="H46" s="384"/>
      <c r="I46" s="384"/>
      <c r="J46" s="337">
        <f>SUM(I41:J45)</f>
        <v>0</v>
      </c>
    </row>
    <row r="47" spans="1:10" s="383" customFormat="1" ht="15.75" hidden="1">
      <c r="A47" s="141" t="s">
        <v>143</v>
      </c>
      <c r="B47" s="95">
        <v>146</v>
      </c>
      <c r="C47" s="206"/>
      <c r="D47" s="121"/>
      <c r="E47" s="168">
        <f t="shared" si="1"/>
        <v>0</v>
      </c>
      <c r="F47" s="384" t="s">
        <v>187</v>
      </c>
      <c r="G47" s="123"/>
      <c r="H47" s="7"/>
      <c r="I47" s="7"/>
      <c r="J47" s="7"/>
    </row>
    <row r="48" spans="1:10" s="383" customFormat="1" ht="15.75" hidden="1">
      <c r="A48" s="141" t="s">
        <v>105</v>
      </c>
      <c r="B48" s="95"/>
      <c r="C48" s="206"/>
      <c r="D48" s="121"/>
      <c r="E48" s="226">
        <v>80091.87</v>
      </c>
      <c r="F48" s="384"/>
      <c r="G48" s="123"/>
      <c r="H48" s="7"/>
      <c r="I48" s="12"/>
      <c r="J48" s="12"/>
    </row>
    <row r="49" spans="1:10" s="383" customFormat="1" ht="16.5" hidden="1" thickBot="1">
      <c r="A49" s="50"/>
      <c r="B49" s="95"/>
      <c r="C49" s="159">
        <f>SUM(C38:C48)</f>
        <v>27657736</v>
      </c>
      <c r="D49" s="142"/>
      <c r="E49" s="207">
        <f>SUM(E38:E48)</f>
        <v>889677.7</v>
      </c>
      <c r="F49" s="384"/>
      <c r="G49" s="123"/>
      <c r="H49" s="7"/>
      <c r="I49" s="7"/>
      <c r="J49" s="8"/>
    </row>
    <row r="50" spans="1:10" s="383" customFormat="1" ht="16.5" hidden="1" thickTop="1">
      <c r="A50" s="50"/>
      <c r="B50" s="95"/>
      <c r="C50" s="224">
        <v>27657736</v>
      </c>
      <c r="D50" s="142" t="s">
        <v>161</v>
      </c>
      <c r="E50" s="156">
        <f>E33</f>
        <v>93.050034091807902</v>
      </c>
      <c r="F50" s="384"/>
      <c r="G50" s="11"/>
      <c r="H50" s="7"/>
      <c r="I50" s="8"/>
      <c r="J50" s="7"/>
    </row>
    <row r="51" spans="1:10" s="383" customFormat="1" ht="16.5" hidden="1" thickBot="1">
      <c r="A51" s="50"/>
      <c r="B51" s="95"/>
      <c r="C51" s="230">
        <f>C50-C49</f>
        <v>0</v>
      </c>
      <c r="D51" s="142"/>
      <c r="E51" s="160">
        <f>SUM(E49:E50)</f>
        <v>889770.75003409176</v>
      </c>
      <c r="F51" s="384"/>
      <c r="G51" s="65" t="s">
        <v>158</v>
      </c>
      <c r="H51" s="7"/>
      <c r="I51" s="7"/>
      <c r="J51" s="7"/>
    </row>
    <row r="52" spans="1:10" s="383" customFormat="1" ht="16.5" hidden="1" thickTop="1">
      <c r="A52" s="384"/>
      <c r="B52" s="384"/>
      <c r="C52" s="384"/>
      <c r="D52" s="142" t="s">
        <v>87</v>
      </c>
      <c r="E52" s="50">
        <f>E51+E32</f>
        <v>-3529937.6099659083</v>
      </c>
      <c r="F52" s="384"/>
      <c r="G52" s="8">
        <f>(E31*(D53/12))+(E51*(D53/24))</f>
        <v>-10764.893573819838</v>
      </c>
      <c r="H52" s="397"/>
      <c r="I52" s="397"/>
      <c r="J52" s="7"/>
    </row>
    <row r="53" spans="1:10" s="383" customFormat="1" ht="15.75" hidden="1">
      <c r="A53" s="384"/>
      <c r="B53" s="384"/>
      <c r="C53" s="50" t="s">
        <v>57</v>
      </c>
      <c r="D53" s="225">
        <v>3.2500000000000001E-2</v>
      </c>
      <c r="E53" s="119">
        <f>ROUND(((E31)+(SUM(E51))/2)*(D53/12),2)</f>
        <v>-10764.89</v>
      </c>
      <c r="F53" s="384"/>
      <c r="G53" s="8"/>
      <c r="H53" s="7"/>
      <c r="I53" s="12"/>
      <c r="J53" s="12"/>
    </row>
    <row r="54" spans="1:10" s="383" customFormat="1" ht="15.75" hidden="1">
      <c r="A54" s="384"/>
      <c r="B54" s="384"/>
      <c r="C54" s="50" t="s">
        <v>1</v>
      </c>
      <c r="D54" s="90">
        <f>A36</f>
        <v>41274</v>
      </c>
      <c r="E54" s="50">
        <f>SUM(E52:E53)</f>
        <v>-3540702.4999659085</v>
      </c>
      <c r="F54" s="384"/>
      <c r="G54" s="245"/>
    </row>
    <row r="55" spans="1:10" s="330" customFormat="1" ht="15.75" hidden="1" thickBot="1"/>
    <row r="56" spans="1:10" ht="15.75" hidden="1">
      <c r="A56" s="73" t="s">
        <v>141</v>
      </c>
      <c r="B56" s="78"/>
      <c r="C56" s="79"/>
      <c r="D56" s="80"/>
      <c r="E56" s="81"/>
      <c r="F56" s="383"/>
      <c r="G56" s="5"/>
      <c r="H56" s="5"/>
      <c r="I56" s="48"/>
      <c r="J56" s="48"/>
    </row>
    <row r="57" spans="1:10" ht="15.75" hidden="1">
      <c r="A57" s="219">
        <v>41305</v>
      </c>
      <c r="B57" s="137"/>
      <c r="C57" s="11"/>
      <c r="D57" s="138"/>
      <c r="E57" s="77"/>
      <c r="F57" s="383"/>
      <c r="G57" s="5"/>
      <c r="H57" s="5"/>
      <c r="I57" s="48"/>
      <c r="J57" s="48"/>
    </row>
    <row r="58" spans="1:10" ht="16.5" hidden="1" thickBot="1">
      <c r="A58" s="139"/>
      <c r="B58" s="140"/>
      <c r="C58" s="131" t="s">
        <v>21</v>
      </c>
      <c r="D58" s="131" t="s">
        <v>22</v>
      </c>
      <c r="E58" s="128" t="s">
        <v>23</v>
      </c>
      <c r="F58" s="384"/>
      <c r="G58" s="384"/>
      <c r="H58" s="384"/>
      <c r="I58" s="384"/>
      <c r="J58" s="384"/>
    </row>
    <row r="59" spans="1:10" ht="15.75" hidden="1">
      <c r="A59" s="50" t="s">
        <v>24</v>
      </c>
      <c r="B59" s="95">
        <v>101</v>
      </c>
      <c r="C59" s="206">
        <v>22136409</v>
      </c>
      <c r="D59" s="388">
        <v>3.3950000000000001E-2</v>
      </c>
      <c r="E59" s="168">
        <f>C59*D59</f>
        <v>751531.08555000008</v>
      </c>
      <c r="F59" s="384"/>
      <c r="G59" s="384"/>
      <c r="H59" s="384"/>
      <c r="I59" s="384"/>
      <c r="J59" s="384"/>
    </row>
    <row r="60" spans="1:10" ht="16.5" hidden="1" thickBot="1">
      <c r="A60" s="50" t="s">
        <v>24</v>
      </c>
      <c r="B60" s="95">
        <v>111</v>
      </c>
      <c r="C60" s="206">
        <v>7525225</v>
      </c>
      <c r="D60" s="388">
        <v>3.0599999999999999E-2</v>
      </c>
      <c r="E60" s="168">
        <f>C60*D60</f>
        <v>230271.88499999998</v>
      </c>
      <c r="F60" s="384"/>
      <c r="G60" s="123">
        <f>A57</f>
        <v>41305</v>
      </c>
      <c r="H60" s="384"/>
      <c r="I60" s="384"/>
      <c r="J60" s="384"/>
    </row>
    <row r="61" spans="1:10" ht="16.5" hidden="1" thickBot="1">
      <c r="A61" s="50" t="s">
        <v>24</v>
      </c>
      <c r="B61" s="95">
        <v>112</v>
      </c>
      <c r="C61" s="206">
        <v>0</v>
      </c>
      <c r="D61" s="388"/>
      <c r="E61" s="168">
        <f t="shared" ref="E61:E68" si="2">C61*D61</f>
        <v>0</v>
      </c>
      <c r="F61" s="384"/>
      <c r="G61" s="113" t="s">
        <v>25</v>
      </c>
      <c r="H61" s="205"/>
      <c r="I61" s="126" t="s">
        <v>18</v>
      </c>
      <c r="J61" s="126" t="s">
        <v>19</v>
      </c>
    </row>
    <row r="62" spans="1:10" ht="15.75" hidden="1">
      <c r="A62" s="50" t="s">
        <v>24</v>
      </c>
      <c r="B62" s="95">
        <v>121</v>
      </c>
      <c r="C62" s="206">
        <v>606431</v>
      </c>
      <c r="D62" s="388">
        <v>2.998E-2</v>
      </c>
      <c r="E62" s="168">
        <f>C62*D62</f>
        <v>18180.801380000001</v>
      </c>
      <c r="F62" s="384"/>
      <c r="G62" s="151" t="s">
        <v>28</v>
      </c>
      <c r="H62" s="152" t="s">
        <v>75</v>
      </c>
      <c r="I62" s="152"/>
      <c r="J62" s="97">
        <f>IF(-E74&lt;0,-E74,0)</f>
        <v>0</v>
      </c>
    </row>
    <row r="63" spans="1:10" ht="15.75" hidden="1">
      <c r="A63" s="50" t="s">
        <v>24</v>
      </c>
      <c r="B63" s="95">
        <v>122</v>
      </c>
      <c r="C63" s="206">
        <v>0</v>
      </c>
      <c r="D63" s="388"/>
      <c r="E63" s="168">
        <f t="shared" si="2"/>
        <v>0</v>
      </c>
      <c r="F63" s="384"/>
      <c r="G63" s="153" t="s">
        <v>29</v>
      </c>
      <c r="H63" s="7" t="s">
        <v>76</v>
      </c>
      <c r="I63" s="7">
        <f>IF(-E74&gt;0,-E74,0)</f>
        <v>8235.26</v>
      </c>
      <c r="J63" s="223"/>
    </row>
    <row r="64" spans="1:10" ht="15.75" hidden="1">
      <c r="A64" s="50" t="s">
        <v>24</v>
      </c>
      <c r="B64" s="95">
        <v>131</v>
      </c>
      <c r="C64" s="206">
        <v>0</v>
      </c>
      <c r="D64" s="388">
        <v>5.7389999999999997E-2</v>
      </c>
      <c r="E64" s="168">
        <f t="shared" si="2"/>
        <v>0</v>
      </c>
      <c r="F64" s="384"/>
      <c r="G64" s="153" t="s">
        <v>97</v>
      </c>
      <c r="H64" s="7" t="s">
        <v>26</v>
      </c>
      <c r="I64" s="8"/>
      <c r="J64" s="98">
        <f>-E72</f>
        <v>-999983.77193000005</v>
      </c>
    </row>
    <row r="65" spans="1:10" ht="15.75" hidden="1">
      <c r="A65" s="50" t="s">
        <v>24</v>
      </c>
      <c r="B65" s="95">
        <v>132</v>
      </c>
      <c r="C65" s="206">
        <v>0</v>
      </c>
      <c r="D65" s="388"/>
      <c r="E65" s="168">
        <f t="shared" si="2"/>
        <v>0</v>
      </c>
      <c r="F65" s="384"/>
      <c r="G65" s="153" t="s">
        <v>10</v>
      </c>
      <c r="H65" s="7" t="s">
        <v>17</v>
      </c>
      <c r="I65" s="7">
        <v>0</v>
      </c>
      <c r="J65" s="98"/>
    </row>
    <row r="66" spans="1:10" ht="16.5" hidden="1" thickBot="1">
      <c r="A66" s="50" t="s">
        <v>24</v>
      </c>
      <c r="B66" s="95">
        <v>146</v>
      </c>
      <c r="C66" s="206">
        <v>3682356</v>
      </c>
      <c r="D66" s="238"/>
      <c r="E66" s="168">
        <f t="shared" si="2"/>
        <v>0</v>
      </c>
      <c r="F66" s="384"/>
      <c r="G66" s="154" t="s">
        <v>98</v>
      </c>
      <c r="H66" s="147" t="s">
        <v>27</v>
      </c>
      <c r="I66" s="110">
        <f>-E54+E75</f>
        <v>991748.5119300005</v>
      </c>
      <c r="J66" s="107"/>
    </row>
    <row r="67" spans="1:10" ht="15.75" hidden="1">
      <c r="A67" s="50" t="s">
        <v>151</v>
      </c>
      <c r="B67" s="95"/>
      <c r="C67" s="206"/>
      <c r="D67" s="121"/>
      <c r="E67" s="168">
        <f t="shared" si="2"/>
        <v>0</v>
      </c>
      <c r="F67" s="384"/>
      <c r="G67" s="700"/>
      <c r="H67" s="700"/>
      <c r="I67" s="700"/>
      <c r="J67" s="337">
        <f>SUM(I62:J66)</f>
        <v>0</v>
      </c>
    </row>
    <row r="68" spans="1:10" ht="15.75" hidden="1">
      <c r="A68" s="141" t="s">
        <v>143</v>
      </c>
      <c r="B68" s="95">
        <v>146</v>
      </c>
      <c r="C68" s="206"/>
      <c r="D68" s="121"/>
      <c r="E68" s="168">
        <f t="shared" si="2"/>
        <v>0</v>
      </c>
      <c r="F68" s="384"/>
      <c r="G68" s="701"/>
      <c r="H68" s="701"/>
      <c r="I68" s="701"/>
      <c r="J68" s="7"/>
    </row>
    <row r="69" spans="1:10" ht="15.75" hidden="1">
      <c r="A69" s="141" t="s">
        <v>105</v>
      </c>
      <c r="B69" s="95"/>
      <c r="C69" s="206"/>
      <c r="D69" s="121"/>
      <c r="E69" s="226">
        <v>0</v>
      </c>
      <c r="F69" s="384"/>
      <c r="G69" s="701"/>
      <c r="H69" s="701"/>
      <c r="I69" s="701"/>
      <c r="J69" s="12"/>
    </row>
    <row r="70" spans="1:10" ht="16.5" hidden="1" thickBot="1">
      <c r="A70" s="50"/>
      <c r="B70" s="95"/>
      <c r="C70" s="159">
        <f>SUM(C59:C69)</f>
        <v>33950421</v>
      </c>
      <c r="D70" s="142"/>
      <c r="E70" s="207">
        <f>SUM(E59:E69)</f>
        <v>999983.77193000005</v>
      </c>
      <c r="F70" s="384"/>
      <c r="G70" s="701"/>
      <c r="H70" s="701"/>
      <c r="I70" s="701"/>
      <c r="J70" s="8"/>
    </row>
    <row r="71" spans="1:10" ht="16.5" hidden="1" thickTop="1">
      <c r="A71" s="50"/>
      <c r="B71" s="95"/>
      <c r="C71" s="224">
        <v>33950421</v>
      </c>
      <c r="D71" s="142" t="s">
        <v>161</v>
      </c>
      <c r="E71" s="156">
        <v>0</v>
      </c>
      <c r="F71" s="384"/>
      <c r="G71" s="11"/>
      <c r="H71" s="7"/>
      <c r="I71" s="8"/>
      <c r="J71" s="7"/>
    </row>
    <row r="72" spans="1:10" ht="16.5" hidden="1" thickBot="1">
      <c r="A72" s="50"/>
      <c r="B72" s="95"/>
      <c r="C72" s="230">
        <f>C71-C70</f>
        <v>0</v>
      </c>
      <c r="D72" s="142"/>
      <c r="E72" s="160">
        <f>SUM(E70:E71)</f>
        <v>999983.77193000005</v>
      </c>
      <c r="F72" s="384"/>
      <c r="G72" s="65" t="s">
        <v>158</v>
      </c>
      <c r="H72" s="7"/>
      <c r="I72" s="7"/>
      <c r="J72" s="7"/>
    </row>
    <row r="73" spans="1:10" ht="16.5" hidden="1" thickTop="1">
      <c r="A73" s="384"/>
      <c r="B73" s="384"/>
      <c r="C73" s="384"/>
      <c r="D73" s="142" t="s">
        <v>87</v>
      </c>
      <c r="E73" s="50">
        <f>E72+E54</f>
        <v>-2540718.7280359082</v>
      </c>
      <c r="F73" s="384"/>
      <c r="G73" s="8">
        <f>(E54*(D74/12))+(E72*(D74/24))</f>
        <v>-8235.2579129191272</v>
      </c>
      <c r="H73" s="445"/>
      <c r="I73" s="445"/>
      <c r="J73" s="7"/>
    </row>
    <row r="74" spans="1:10" ht="15.75" hidden="1">
      <c r="A74" s="384"/>
      <c r="B74" s="384"/>
      <c r="C74" s="50" t="s">
        <v>57</v>
      </c>
      <c r="D74" s="225">
        <v>3.2500000000000001E-2</v>
      </c>
      <c r="E74" s="119">
        <f>ROUND(((E54)+(SUM(E72))/2)*(D74/12),2)</f>
        <v>-8235.26</v>
      </c>
      <c r="F74" s="384"/>
      <c r="G74" s="8"/>
      <c r="H74" s="7"/>
      <c r="I74" s="12"/>
      <c r="J74" s="12"/>
    </row>
    <row r="75" spans="1:10" ht="15.75" hidden="1">
      <c r="A75" s="384"/>
      <c r="B75" s="384"/>
      <c r="C75" s="50" t="s">
        <v>1</v>
      </c>
      <c r="D75" s="90">
        <f>A57</f>
        <v>41305</v>
      </c>
      <c r="E75" s="50">
        <f>SUM(E73:E74)</f>
        <v>-2548953.988035908</v>
      </c>
      <c r="F75" s="384"/>
      <c r="G75" s="245"/>
      <c r="H75" s="383"/>
      <c r="I75" s="383"/>
      <c r="J75" s="383"/>
    </row>
    <row r="76" spans="1:10" s="383" customFormat="1" ht="15.75" hidden="1" thickBot="1"/>
    <row r="77" spans="1:10" s="383" customFormat="1" ht="15.75" hidden="1">
      <c r="A77" s="73" t="s">
        <v>141</v>
      </c>
      <c r="B77" s="78"/>
      <c r="C77" s="79"/>
      <c r="D77" s="80"/>
      <c r="E77" s="81"/>
      <c r="G77" s="5"/>
      <c r="H77" s="5"/>
      <c r="I77" s="48"/>
      <c r="J77" s="48"/>
    </row>
    <row r="78" spans="1:10" s="383" customFormat="1" ht="15.75" hidden="1">
      <c r="A78" s="219">
        <v>41333</v>
      </c>
      <c r="B78" s="137"/>
      <c r="C78" s="11"/>
      <c r="D78" s="138"/>
      <c r="E78" s="77"/>
      <c r="G78" s="5"/>
      <c r="H78" s="5"/>
      <c r="I78" s="48"/>
      <c r="J78" s="48"/>
    </row>
    <row r="79" spans="1:10" s="383" customFormat="1" ht="16.5" hidden="1" thickBot="1">
      <c r="A79" s="139"/>
      <c r="B79" s="140"/>
      <c r="C79" s="131" t="s">
        <v>21</v>
      </c>
      <c r="D79" s="131" t="s">
        <v>22</v>
      </c>
      <c r="E79" s="128" t="s">
        <v>23</v>
      </c>
      <c r="F79" s="384"/>
      <c r="G79" s="384"/>
      <c r="H79" s="384"/>
      <c r="I79" s="384"/>
      <c r="J79" s="384"/>
    </row>
    <row r="80" spans="1:10" s="383" customFormat="1" ht="15.75" hidden="1">
      <c r="A80" s="50" t="s">
        <v>24</v>
      </c>
      <c r="B80" s="95">
        <v>101</v>
      </c>
      <c r="C80" s="206">
        <v>16585315</v>
      </c>
      <c r="D80" s="388">
        <v>3.3950000000000001E-2</v>
      </c>
      <c r="E80" s="168">
        <v>563071.44425000006</v>
      </c>
      <c r="F80" s="384"/>
      <c r="G80" s="384"/>
      <c r="H80" s="384"/>
      <c r="I80" s="384"/>
      <c r="J80" s="384"/>
    </row>
    <row r="81" spans="1:10" s="383" customFormat="1" ht="16.5" hidden="1" thickBot="1">
      <c r="A81" s="50" t="s">
        <v>24</v>
      </c>
      <c r="B81" s="95">
        <v>111</v>
      </c>
      <c r="C81" s="206">
        <v>5716465</v>
      </c>
      <c r="D81" s="388">
        <v>3.0599999999999999E-2</v>
      </c>
      <c r="E81" s="168">
        <v>174923.829</v>
      </c>
      <c r="F81" s="384"/>
      <c r="G81" s="123">
        <f>A78</f>
        <v>41333</v>
      </c>
      <c r="H81" s="384"/>
      <c r="I81" s="384"/>
      <c r="J81" s="384"/>
    </row>
    <row r="82" spans="1:10" s="383" customFormat="1" ht="16.5" hidden="1" thickBot="1">
      <c r="A82" s="50" t="s">
        <v>24</v>
      </c>
      <c r="B82" s="95">
        <v>112</v>
      </c>
      <c r="C82" s="206">
        <v>0</v>
      </c>
      <c r="D82" s="388"/>
      <c r="E82" s="168">
        <v>0</v>
      </c>
      <c r="F82" s="384"/>
      <c r="G82" s="113" t="s">
        <v>25</v>
      </c>
      <c r="H82" s="205"/>
      <c r="I82" s="126" t="s">
        <v>18</v>
      </c>
      <c r="J82" s="126" t="s">
        <v>19</v>
      </c>
    </row>
    <row r="83" spans="1:10" s="383" customFormat="1" ht="15.75" hidden="1">
      <c r="A83" s="50" t="s">
        <v>24</v>
      </c>
      <c r="B83" s="95">
        <v>121</v>
      </c>
      <c r="C83" s="206">
        <v>416479</v>
      </c>
      <c r="D83" s="388">
        <v>2.998E-2</v>
      </c>
      <c r="E83" s="168">
        <v>12486.040419999999</v>
      </c>
      <c r="F83" s="384"/>
      <c r="G83" s="151" t="s">
        <v>28</v>
      </c>
      <c r="H83" s="152" t="s">
        <v>75</v>
      </c>
      <c r="I83" s="152"/>
      <c r="J83" s="97">
        <f>IF(-E95&lt;0,-E95,0)</f>
        <v>0</v>
      </c>
    </row>
    <row r="84" spans="1:10" s="383" customFormat="1" ht="15.75" hidden="1">
      <c r="A84" s="50" t="s">
        <v>24</v>
      </c>
      <c r="B84" s="95">
        <v>122</v>
      </c>
      <c r="C84" s="206">
        <v>0</v>
      </c>
      <c r="D84" s="388"/>
      <c r="E84" s="168">
        <v>0</v>
      </c>
      <c r="F84" s="384"/>
      <c r="G84" s="153" t="s">
        <v>29</v>
      </c>
      <c r="H84" s="7" t="s">
        <v>76</v>
      </c>
      <c r="I84" s="7">
        <f>IF(-E95&gt;0,-E95,0)</f>
        <v>5887.14</v>
      </c>
      <c r="J84" s="223"/>
    </row>
    <row r="85" spans="1:10" s="383" customFormat="1" ht="15.75" hidden="1">
      <c r="A85" s="50" t="s">
        <v>24</v>
      </c>
      <c r="B85" s="95">
        <v>131</v>
      </c>
      <c r="C85" s="206">
        <v>0</v>
      </c>
      <c r="D85" s="388">
        <v>5.7389999999999997E-2</v>
      </c>
      <c r="E85" s="168">
        <v>0</v>
      </c>
      <c r="F85" s="384"/>
      <c r="G85" s="153" t="s">
        <v>97</v>
      </c>
      <c r="H85" s="7" t="s">
        <v>26</v>
      </c>
      <c r="I85" s="8"/>
      <c r="J85" s="98">
        <f>-E93</f>
        <v>-750481.31367000006</v>
      </c>
    </row>
    <row r="86" spans="1:10" s="383" customFormat="1" ht="15.75" hidden="1">
      <c r="A86" s="50" t="s">
        <v>24</v>
      </c>
      <c r="B86" s="95">
        <v>132</v>
      </c>
      <c r="C86" s="206">
        <v>0</v>
      </c>
      <c r="D86" s="388"/>
      <c r="E86" s="168">
        <v>0</v>
      </c>
      <c r="F86" s="384"/>
      <c r="G86" s="153" t="s">
        <v>10</v>
      </c>
      <c r="H86" s="7" t="s">
        <v>17</v>
      </c>
      <c r="I86" s="7">
        <v>0</v>
      </c>
      <c r="J86" s="98"/>
    </row>
    <row r="87" spans="1:10" s="383" customFormat="1" ht="16.5" hidden="1" thickBot="1">
      <c r="A87" s="50" t="s">
        <v>24</v>
      </c>
      <c r="B87" s="95">
        <v>146</v>
      </c>
      <c r="C87" s="206">
        <v>2865845</v>
      </c>
      <c r="D87" s="238"/>
      <c r="E87" s="168">
        <v>0</v>
      </c>
      <c r="F87" s="384"/>
      <c r="G87" s="154" t="s">
        <v>98</v>
      </c>
      <c r="H87" s="147" t="s">
        <v>27</v>
      </c>
      <c r="I87" s="110">
        <f>-E75+E96</f>
        <v>744594.17367000016</v>
      </c>
      <c r="J87" s="107"/>
    </row>
    <row r="88" spans="1:10" s="383" customFormat="1" ht="15.75" hidden="1">
      <c r="A88" s="50" t="s">
        <v>151</v>
      </c>
      <c r="B88" s="95"/>
      <c r="C88" s="206"/>
      <c r="D88" s="121"/>
      <c r="E88" s="168">
        <v>0</v>
      </c>
      <c r="F88" s="384"/>
      <c r="G88" s="384"/>
      <c r="H88" s="384"/>
      <c r="I88" s="384"/>
      <c r="J88" s="337">
        <f>SUM(I83:J87)</f>
        <v>0</v>
      </c>
    </row>
    <row r="89" spans="1:10" s="383" customFormat="1" ht="15.75" hidden="1">
      <c r="A89" s="141" t="s">
        <v>143</v>
      </c>
      <c r="B89" s="95">
        <v>146</v>
      </c>
      <c r="C89" s="206"/>
      <c r="D89" s="121"/>
      <c r="E89" s="168">
        <v>0</v>
      </c>
      <c r="F89" s="384"/>
      <c r="G89" s="123"/>
      <c r="H89" s="7"/>
      <c r="I89" s="7"/>
      <c r="J89" s="7"/>
    </row>
    <row r="90" spans="1:10" s="383" customFormat="1" ht="15.75" hidden="1">
      <c r="A90" s="141" t="s">
        <v>105</v>
      </c>
      <c r="B90" s="95"/>
      <c r="C90" s="206"/>
      <c r="D90" s="121"/>
      <c r="E90" s="226">
        <v>0</v>
      </c>
      <c r="F90" s="384"/>
      <c r="G90" s="123"/>
      <c r="H90" s="7"/>
      <c r="I90" s="12"/>
      <c r="J90" s="12"/>
    </row>
    <row r="91" spans="1:10" s="383" customFormat="1" ht="16.5" hidden="1" thickBot="1">
      <c r="A91" s="50"/>
      <c r="B91" s="95"/>
      <c r="C91" s="159">
        <f>SUM(C80:C90)</f>
        <v>25584104</v>
      </c>
      <c r="D91" s="142"/>
      <c r="E91" s="207">
        <f>SUM(E80:E90)</f>
        <v>750481.31367000006</v>
      </c>
      <c r="F91" s="384"/>
      <c r="G91" s="123"/>
      <c r="H91" s="7"/>
      <c r="I91" s="7"/>
      <c r="J91" s="8"/>
    </row>
    <row r="92" spans="1:10" s="383" customFormat="1" ht="16.5" hidden="1" thickTop="1">
      <c r="A92" s="50"/>
      <c r="B92" s="95"/>
      <c r="C92" s="224">
        <v>25584104</v>
      </c>
      <c r="D92" s="142" t="s">
        <v>161</v>
      </c>
      <c r="E92" s="156">
        <v>0</v>
      </c>
      <c r="F92" s="384"/>
      <c r="G92" s="11"/>
      <c r="H92" s="7"/>
      <c r="I92" s="8"/>
      <c r="J92" s="7"/>
    </row>
    <row r="93" spans="1:10" s="383" customFormat="1" ht="16.5" hidden="1" thickBot="1">
      <c r="A93" s="50"/>
      <c r="B93" s="95"/>
      <c r="C93" s="230">
        <f>C92-C91</f>
        <v>0</v>
      </c>
      <c r="D93" s="142"/>
      <c r="E93" s="160">
        <f>SUM(E91:E92)</f>
        <v>750481.31367000006</v>
      </c>
      <c r="F93" s="384"/>
      <c r="G93" s="65" t="s">
        <v>158</v>
      </c>
      <c r="H93" s="7"/>
      <c r="I93" s="7"/>
      <c r="J93" s="7"/>
    </row>
    <row r="94" spans="1:10" s="383" customFormat="1" ht="16.5" hidden="1" thickTop="1">
      <c r="A94" s="384"/>
      <c r="B94" s="384"/>
      <c r="C94" s="384"/>
      <c r="D94" s="142" t="s">
        <v>87</v>
      </c>
      <c r="E94" s="50">
        <f>E93+E75</f>
        <v>-1798472.6743659079</v>
      </c>
      <c r="F94" s="384"/>
      <c r="G94" s="8">
        <f>(E75*(D95/12))+(E93*(D95/24))</f>
        <v>-5887.1402720024589</v>
      </c>
      <c r="H94" s="447"/>
      <c r="I94" s="447"/>
      <c r="J94" s="7"/>
    </row>
    <row r="95" spans="1:10" s="383" customFormat="1" ht="15.75" hidden="1">
      <c r="A95" s="384"/>
      <c r="B95" s="384"/>
      <c r="C95" s="50" t="s">
        <v>57</v>
      </c>
      <c r="D95" s="225">
        <v>3.2500000000000001E-2</v>
      </c>
      <c r="E95" s="119">
        <f>ROUND(((E75)+(SUM(E93))/2)*(D95/12),2)</f>
        <v>-5887.14</v>
      </c>
      <c r="F95" s="384"/>
      <c r="G95" s="8"/>
      <c r="H95" s="7"/>
      <c r="I95" s="12"/>
      <c r="J95" s="12"/>
    </row>
    <row r="96" spans="1:10" s="383" customFormat="1" ht="15.75" hidden="1">
      <c r="A96" s="384"/>
      <c r="B96" s="384"/>
      <c r="C96" s="50" t="s">
        <v>1</v>
      </c>
      <c r="D96" s="90">
        <f>A78</f>
        <v>41333</v>
      </c>
      <c r="E96" s="50">
        <f>SUM(E94:E95)</f>
        <v>-1804359.8143659078</v>
      </c>
      <c r="F96" s="384"/>
      <c r="G96" s="245"/>
    </row>
    <row r="97" spans="1:10" s="383" customFormat="1" ht="15.75" hidden="1" thickBot="1"/>
    <row r="98" spans="1:10" s="383" customFormat="1" ht="15.75" hidden="1">
      <c r="A98" s="73" t="s">
        <v>141</v>
      </c>
      <c r="B98" s="78"/>
      <c r="C98" s="79"/>
      <c r="D98" s="80"/>
      <c r="E98" s="81"/>
      <c r="G98" s="5"/>
      <c r="H98" s="5"/>
      <c r="I98" s="48"/>
      <c r="J98" s="48"/>
    </row>
    <row r="99" spans="1:10" s="383" customFormat="1" ht="15.75" hidden="1">
      <c r="A99" s="219">
        <v>41364</v>
      </c>
      <c r="B99" s="137"/>
      <c r="C99" s="11"/>
      <c r="D99" s="138"/>
      <c r="E99" s="77"/>
      <c r="G99" s="5"/>
      <c r="H99" s="5"/>
      <c r="I99" s="48"/>
      <c r="J99" s="48"/>
    </row>
    <row r="100" spans="1:10" s="383" customFormat="1" ht="16.5" hidden="1" thickBot="1">
      <c r="A100" s="139"/>
      <c r="B100" s="140"/>
      <c r="C100" s="131" t="s">
        <v>21</v>
      </c>
      <c r="D100" s="131" t="s">
        <v>22</v>
      </c>
      <c r="E100" s="128" t="s">
        <v>23</v>
      </c>
      <c r="F100" s="384"/>
      <c r="G100" s="384"/>
      <c r="H100" s="384"/>
      <c r="I100" s="384"/>
      <c r="J100" s="384"/>
    </row>
    <row r="101" spans="1:10" s="383" customFormat="1" ht="15.75" hidden="1">
      <c r="A101" s="50" t="s">
        <v>24</v>
      </c>
      <c r="B101" s="95">
        <v>101</v>
      </c>
      <c r="C101" s="206">
        <v>12776328</v>
      </c>
      <c r="D101" s="388">
        <v>3.3950000000000001E-2</v>
      </c>
      <c r="E101" s="168">
        <v>433756.33559999999</v>
      </c>
      <c r="F101" s="384"/>
      <c r="G101" s="384"/>
      <c r="H101" s="384"/>
      <c r="I101" s="384"/>
      <c r="J101" s="384"/>
    </row>
    <row r="102" spans="1:10" s="383" customFormat="1" ht="16.5" hidden="1" thickBot="1">
      <c r="A102" s="50" t="s">
        <v>24</v>
      </c>
      <c r="B102" s="95">
        <v>111</v>
      </c>
      <c r="C102" s="206">
        <v>4890087</v>
      </c>
      <c r="D102" s="388">
        <v>3.0599999999999999E-2</v>
      </c>
      <c r="E102" s="168">
        <v>149636.66219999999</v>
      </c>
      <c r="F102" s="384"/>
      <c r="G102" s="123">
        <f>A99</f>
        <v>41364</v>
      </c>
      <c r="H102" s="384"/>
      <c r="I102" s="384"/>
      <c r="J102" s="384"/>
    </row>
    <row r="103" spans="1:10" s="383" customFormat="1" ht="16.5" hidden="1" thickBot="1">
      <c r="A103" s="50" t="s">
        <v>24</v>
      </c>
      <c r="B103" s="95">
        <v>112</v>
      </c>
      <c r="C103" s="206">
        <v>0</v>
      </c>
      <c r="D103" s="388"/>
      <c r="E103" s="168">
        <v>0</v>
      </c>
      <c r="F103" s="384"/>
      <c r="G103" s="113" t="s">
        <v>25</v>
      </c>
      <c r="H103" s="205"/>
      <c r="I103" s="126" t="s">
        <v>18</v>
      </c>
      <c r="J103" s="126" t="s">
        <v>19</v>
      </c>
    </row>
    <row r="104" spans="1:10" s="383" customFormat="1" ht="15.75" hidden="1">
      <c r="A104" s="50" t="s">
        <v>24</v>
      </c>
      <c r="B104" s="95">
        <v>121</v>
      </c>
      <c r="C104" s="206">
        <v>526218</v>
      </c>
      <c r="D104" s="388">
        <v>2.998E-2</v>
      </c>
      <c r="E104" s="168">
        <v>15776.01564</v>
      </c>
      <c r="F104" s="384"/>
      <c r="G104" s="151" t="s">
        <v>28</v>
      </c>
      <c r="H104" s="152" t="s">
        <v>75</v>
      </c>
      <c r="I104" s="152"/>
      <c r="J104" s="97">
        <f>IF(-E116&lt;0,-E116,0)</f>
        <v>0</v>
      </c>
    </row>
    <row r="105" spans="1:10" s="383" customFormat="1" ht="15.75" hidden="1">
      <c r="A105" s="50" t="s">
        <v>24</v>
      </c>
      <c r="B105" s="95">
        <v>122</v>
      </c>
      <c r="C105" s="206">
        <v>0</v>
      </c>
      <c r="D105" s="388"/>
      <c r="E105" s="168">
        <v>0</v>
      </c>
      <c r="F105" s="384"/>
      <c r="G105" s="153" t="s">
        <v>29</v>
      </c>
      <c r="H105" s="7" t="s">
        <v>76</v>
      </c>
      <c r="I105" s="7">
        <f>IF(-E116&gt;0,-E116,0)</f>
        <v>4075.43</v>
      </c>
      <c r="J105" s="223"/>
    </row>
    <row r="106" spans="1:10" s="383" customFormat="1" ht="15.75" hidden="1">
      <c r="A106" s="50" t="s">
        <v>24</v>
      </c>
      <c r="B106" s="95">
        <v>131</v>
      </c>
      <c r="C106" s="206">
        <v>0</v>
      </c>
      <c r="D106" s="388">
        <v>5.7389999999999997E-2</v>
      </c>
      <c r="E106" s="168">
        <v>0</v>
      </c>
      <c r="F106" s="384"/>
      <c r="G106" s="153" t="s">
        <v>97</v>
      </c>
      <c r="H106" s="7" t="s">
        <v>26</v>
      </c>
      <c r="I106" s="8"/>
      <c r="J106" s="98">
        <f>-E114</f>
        <v>-599169.01344000001</v>
      </c>
    </row>
    <row r="107" spans="1:10" s="383" customFormat="1" ht="15.75" hidden="1">
      <c r="A107" s="50" t="s">
        <v>24</v>
      </c>
      <c r="B107" s="95">
        <v>132</v>
      </c>
      <c r="C107" s="206">
        <v>0</v>
      </c>
      <c r="D107" s="388"/>
      <c r="E107" s="168">
        <v>0</v>
      </c>
      <c r="F107" s="384"/>
      <c r="G107" s="153" t="s">
        <v>10</v>
      </c>
      <c r="H107" s="7" t="s">
        <v>17</v>
      </c>
      <c r="I107" s="7">
        <v>0</v>
      </c>
      <c r="J107" s="98"/>
    </row>
    <row r="108" spans="1:10" s="383" customFormat="1" ht="16.5" hidden="1" thickBot="1">
      <c r="A108" s="50" t="s">
        <v>24</v>
      </c>
      <c r="B108" s="95">
        <v>146</v>
      </c>
      <c r="C108" s="206">
        <v>2772085</v>
      </c>
      <c r="D108" s="238"/>
      <c r="E108" s="168">
        <v>0</v>
      </c>
      <c r="F108" s="384"/>
      <c r="G108" s="154" t="s">
        <v>98</v>
      </c>
      <c r="H108" s="147" t="s">
        <v>27</v>
      </c>
      <c r="I108" s="110">
        <f>-E96+E117</f>
        <v>595093.58344000019</v>
      </c>
      <c r="J108" s="107"/>
    </row>
    <row r="109" spans="1:10" s="383" customFormat="1" ht="15.75" hidden="1">
      <c r="A109" s="50" t="s">
        <v>151</v>
      </c>
      <c r="B109" s="95"/>
      <c r="C109" s="206"/>
      <c r="D109" s="121"/>
      <c r="E109" s="168">
        <v>0</v>
      </c>
      <c r="F109" s="384"/>
      <c r="G109" s="384"/>
      <c r="H109" s="384"/>
      <c r="I109" s="384"/>
      <c r="J109" s="337">
        <f>SUM(I104:J108)</f>
        <v>0</v>
      </c>
    </row>
    <row r="110" spans="1:10" s="383" customFormat="1" ht="15.75" hidden="1">
      <c r="A110" s="141" t="s">
        <v>143</v>
      </c>
      <c r="B110" s="95">
        <v>146</v>
      </c>
      <c r="C110" s="206"/>
      <c r="D110" s="121"/>
      <c r="E110" s="168">
        <v>0</v>
      </c>
      <c r="F110" s="384"/>
      <c r="G110" s="123"/>
      <c r="H110" s="7"/>
      <c r="I110" s="7"/>
      <c r="J110" s="7"/>
    </row>
    <row r="111" spans="1:10" s="383" customFormat="1" ht="15.75" hidden="1">
      <c r="A111" s="141" t="s">
        <v>105</v>
      </c>
      <c r="B111" s="95"/>
      <c r="C111" s="206"/>
      <c r="D111" s="121"/>
      <c r="E111" s="226">
        <v>0</v>
      </c>
      <c r="F111" s="384"/>
      <c r="G111" s="123"/>
      <c r="H111" s="7"/>
      <c r="I111" s="12"/>
      <c r="J111" s="12"/>
    </row>
    <row r="112" spans="1:10" s="383" customFormat="1" ht="16.5" hidden="1" thickBot="1">
      <c r="A112" s="50"/>
      <c r="B112" s="95"/>
      <c r="C112" s="159">
        <f>SUM(C101:C111)</f>
        <v>20964718</v>
      </c>
      <c r="D112" s="142"/>
      <c r="E112" s="207">
        <f>SUM(E101:E111)</f>
        <v>599169.01344000001</v>
      </c>
      <c r="F112" s="384"/>
      <c r="G112" s="123"/>
      <c r="H112" s="7"/>
      <c r="I112" s="7"/>
      <c r="J112" s="8"/>
    </row>
    <row r="113" spans="1:10" s="383" customFormat="1" ht="16.5" hidden="1" thickTop="1">
      <c r="A113" s="50"/>
      <c r="B113" s="95"/>
      <c r="C113" s="224">
        <v>20964718</v>
      </c>
      <c r="D113" s="142" t="s">
        <v>161</v>
      </c>
      <c r="E113" s="156">
        <v>0</v>
      </c>
      <c r="F113" s="384"/>
      <c r="G113" s="11"/>
      <c r="H113" s="7"/>
      <c r="I113" s="8"/>
      <c r="J113" s="7"/>
    </row>
    <row r="114" spans="1:10" s="383" customFormat="1" ht="16.5" hidden="1" thickBot="1">
      <c r="A114" s="50"/>
      <c r="B114" s="95"/>
      <c r="C114" s="230">
        <f>C113-C112</f>
        <v>0</v>
      </c>
      <c r="D114" s="142"/>
      <c r="E114" s="160">
        <f>SUM(E112:E113)</f>
        <v>599169.01344000001</v>
      </c>
      <c r="F114" s="384"/>
      <c r="G114" s="65" t="s">
        <v>158</v>
      </c>
      <c r="H114" s="7"/>
      <c r="I114" s="7"/>
      <c r="J114" s="7"/>
    </row>
    <row r="115" spans="1:10" s="383" customFormat="1" ht="16.5" hidden="1" thickTop="1">
      <c r="A115" s="384"/>
      <c r="B115" s="384"/>
      <c r="C115" s="384"/>
      <c r="D115" s="142" t="s">
        <v>87</v>
      </c>
      <c r="E115" s="50">
        <f>E114+E96</f>
        <v>-1205190.8009259077</v>
      </c>
      <c r="F115" s="384"/>
      <c r="G115" s="8">
        <f>(E96*(D116/12))+(E114*(D116/24))</f>
        <v>-4075.4331248743338</v>
      </c>
      <c r="H115" s="449"/>
      <c r="I115" s="449"/>
      <c r="J115" s="7"/>
    </row>
    <row r="116" spans="1:10" s="383" customFormat="1" ht="15.75" hidden="1">
      <c r="A116" s="384"/>
      <c r="B116" s="384"/>
      <c r="C116" s="50" t="s">
        <v>57</v>
      </c>
      <c r="D116" s="225">
        <v>3.2500000000000001E-2</v>
      </c>
      <c r="E116" s="119">
        <f>ROUND(((E96)+(SUM(E114))/2)*(D116/12),2)</f>
        <v>-4075.43</v>
      </c>
      <c r="F116" s="384"/>
      <c r="G116" s="8"/>
      <c r="H116" s="7"/>
      <c r="I116" s="12"/>
      <c r="J116" s="12"/>
    </row>
    <row r="117" spans="1:10" s="383" customFormat="1" ht="15.75" hidden="1">
      <c r="A117" s="384"/>
      <c r="B117" s="384"/>
      <c r="C117" s="50" t="s">
        <v>1</v>
      </c>
      <c r="D117" s="90">
        <f>A99</f>
        <v>41364</v>
      </c>
      <c r="E117" s="50">
        <f>SUM(E115:E116)</f>
        <v>-1209266.2309259076</v>
      </c>
      <c r="F117" s="384"/>
      <c r="G117" s="245"/>
    </row>
    <row r="118" spans="1:10" s="383" customFormat="1" ht="15.75" hidden="1" thickBot="1"/>
    <row r="119" spans="1:10" s="383" customFormat="1" ht="15.75" hidden="1">
      <c r="A119" s="73" t="s">
        <v>141</v>
      </c>
      <c r="B119" s="78"/>
      <c r="C119" s="79"/>
      <c r="D119" s="80"/>
      <c r="E119" s="81"/>
      <c r="G119" s="5"/>
      <c r="H119" s="5"/>
      <c r="I119" s="48"/>
      <c r="J119" s="48"/>
    </row>
    <row r="120" spans="1:10" s="383" customFormat="1" ht="15.75" hidden="1">
      <c r="A120" s="219">
        <v>41394</v>
      </c>
      <c r="B120" s="137"/>
      <c r="C120" s="11"/>
      <c r="D120" s="138"/>
      <c r="E120" s="77"/>
      <c r="G120" s="5"/>
      <c r="H120" s="5"/>
      <c r="I120" s="48"/>
      <c r="J120" s="48"/>
    </row>
    <row r="121" spans="1:10" s="383" customFormat="1" ht="16.5" hidden="1" thickBot="1">
      <c r="A121" s="139"/>
      <c r="B121" s="140"/>
      <c r="C121" s="131" t="s">
        <v>21</v>
      </c>
      <c r="D121" s="131" t="s">
        <v>22</v>
      </c>
      <c r="E121" s="128" t="s">
        <v>23</v>
      </c>
      <c r="F121" s="384"/>
      <c r="G121" s="384"/>
      <c r="H121" s="384"/>
      <c r="I121" s="384"/>
      <c r="J121" s="384"/>
    </row>
    <row r="122" spans="1:10" s="383" customFormat="1" ht="15.75" hidden="1">
      <c r="A122" s="50" t="s">
        <v>24</v>
      </c>
      <c r="B122" s="95">
        <v>101</v>
      </c>
      <c r="C122" s="206">
        <v>8689955</v>
      </c>
      <c r="D122" s="388">
        <v>3.3950000000000001E-2</v>
      </c>
      <c r="E122" s="168">
        <v>295023.97224999999</v>
      </c>
      <c r="F122" s="384"/>
      <c r="G122" s="384"/>
      <c r="H122" s="384"/>
      <c r="I122" s="384"/>
      <c r="J122" s="384"/>
    </row>
    <row r="123" spans="1:10" s="383" customFormat="1" ht="16.5" hidden="1" thickBot="1">
      <c r="A123" s="50" t="s">
        <v>24</v>
      </c>
      <c r="B123" s="95">
        <v>111</v>
      </c>
      <c r="C123" s="206">
        <v>3665435</v>
      </c>
      <c r="D123" s="388">
        <v>3.0599999999999999E-2</v>
      </c>
      <c r="E123" s="168">
        <v>112162.311</v>
      </c>
      <c r="F123" s="384"/>
      <c r="G123" s="123">
        <f>A120</f>
        <v>41394</v>
      </c>
      <c r="H123" s="384"/>
      <c r="I123" s="384"/>
      <c r="J123" s="384"/>
    </row>
    <row r="124" spans="1:10" s="383" customFormat="1" ht="16.5" hidden="1" thickBot="1">
      <c r="A124" s="50" t="s">
        <v>24</v>
      </c>
      <c r="B124" s="95">
        <v>112</v>
      </c>
      <c r="C124" s="206">
        <v>0</v>
      </c>
      <c r="D124" s="388"/>
      <c r="E124" s="168">
        <v>0</v>
      </c>
      <c r="F124" s="384"/>
      <c r="G124" s="113" t="s">
        <v>25</v>
      </c>
      <c r="H124" s="205"/>
      <c r="I124" s="126" t="s">
        <v>18</v>
      </c>
      <c r="J124" s="126" t="s">
        <v>19</v>
      </c>
    </row>
    <row r="125" spans="1:10" s="383" customFormat="1" ht="15.75" hidden="1">
      <c r="A125" s="50" t="s">
        <v>24</v>
      </c>
      <c r="B125" s="95">
        <v>121</v>
      </c>
      <c r="C125" s="206">
        <v>375679</v>
      </c>
      <c r="D125" s="388">
        <v>2.998E-2</v>
      </c>
      <c r="E125" s="168">
        <v>11262.85642</v>
      </c>
      <c r="F125" s="384"/>
      <c r="G125" s="151" t="s">
        <v>28</v>
      </c>
      <c r="H125" s="152" t="s">
        <v>75</v>
      </c>
      <c r="I125" s="152"/>
      <c r="J125" s="97">
        <f>IF(-E137&lt;0,-E137,0)</f>
        <v>0</v>
      </c>
    </row>
    <row r="126" spans="1:10" s="383" customFormat="1" ht="15.75" hidden="1">
      <c r="A126" s="50" t="s">
        <v>24</v>
      </c>
      <c r="B126" s="95">
        <v>122</v>
      </c>
      <c r="C126" s="206">
        <v>0</v>
      </c>
      <c r="D126" s="388"/>
      <c r="E126" s="168">
        <v>0</v>
      </c>
      <c r="F126" s="384"/>
      <c r="G126" s="153" t="s">
        <v>29</v>
      </c>
      <c r="H126" s="7" t="s">
        <v>76</v>
      </c>
      <c r="I126" s="7">
        <f>IF(-E137&gt;0,-E137,0)</f>
        <v>2708.45</v>
      </c>
      <c r="J126" s="223"/>
    </row>
    <row r="127" spans="1:10" s="383" customFormat="1" ht="15.75" hidden="1">
      <c r="A127" s="50" t="s">
        <v>24</v>
      </c>
      <c r="B127" s="95">
        <v>131</v>
      </c>
      <c r="C127" s="206">
        <v>0</v>
      </c>
      <c r="D127" s="388">
        <v>5.7389999999999997E-2</v>
      </c>
      <c r="E127" s="168">
        <v>0</v>
      </c>
      <c r="F127" s="384"/>
      <c r="G127" s="153" t="s">
        <v>97</v>
      </c>
      <c r="H127" s="7" t="s">
        <v>26</v>
      </c>
      <c r="I127" s="8"/>
      <c r="J127" s="98">
        <f>-E135</f>
        <v>-418449.13967</v>
      </c>
    </row>
    <row r="128" spans="1:10" s="383" customFormat="1" ht="15.75" hidden="1">
      <c r="A128" s="50" t="s">
        <v>24</v>
      </c>
      <c r="B128" s="95">
        <v>132</v>
      </c>
      <c r="C128" s="206">
        <v>0</v>
      </c>
      <c r="D128" s="388"/>
      <c r="E128" s="168">
        <v>0</v>
      </c>
      <c r="F128" s="384"/>
      <c r="G128" s="153" t="s">
        <v>10</v>
      </c>
      <c r="H128" s="7" t="s">
        <v>17</v>
      </c>
      <c r="I128" s="7">
        <v>0</v>
      </c>
      <c r="J128" s="98"/>
    </row>
    <row r="129" spans="1:10" s="383" customFormat="1" ht="16.5" hidden="1" thickBot="1">
      <c r="A129" s="50" t="s">
        <v>24</v>
      </c>
      <c r="B129" s="95">
        <v>146</v>
      </c>
      <c r="C129" s="206">
        <v>2439162</v>
      </c>
      <c r="D129" s="238"/>
      <c r="E129" s="168">
        <v>0</v>
      </c>
      <c r="F129" s="384"/>
      <c r="G129" s="154" t="s">
        <v>98</v>
      </c>
      <c r="H129" s="147" t="s">
        <v>27</v>
      </c>
      <c r="I129" s="110">
        <f>-E117+E138</f>
        <v>415740.68966999999</v>
      </c>
      <c r="J129" s="107"/>
    </row>
    <row r="130" spans="1:10" s="383" customFormat="1" ht="15.75" hidden="1">
      <c r="A130" s="50" t="s">
        <v>151</v>
      </c>
      <c r="B130" s="95"/>
      <c r="C130" s="206"/>
      <c r="D130" s="121"/>
      <c r="E130" s="168">
        <v>0</v>
      </c>
      <c r="F130" s="384"/>
      <c r="G130" s="384"/>
      <c r="H130" s="384"/>
      <c r="I130" s="384"/>
      <c r="J130" s="337">
        <f>SUM(I125:J129)</f>
        <v>0</v>
      </c>
    </row>
    <row r="131" spans="1:10" s="383" customFormat="1" ht="15.75" hidden="1">
      <c r="A131" s="141" t="s">
        <v>143</v>
      </c>
      <c r="B131" s="95">
        <v>146</v>
      </c>
      <c r="C131" s="206"/>
      <c r="D131" s="121"/>
      <c r="E131" s="168">
        <v>0</v>
      </c>
      <c r="F131" s="384"/>
      <c r="G131" s="123"/>
      <c r="H131" s="7"/>
      <c r="I131" s="7"/>
      <c r="J131" s="7"/>
    </row>
    <row r="132" spans="1:10" s="383" customFormat="1" ht="15.75" hidden="1">
      <c r="A132" s="141" t="s">
        <v>105</v>
      </c>
      <c r="B132" s="95"/>
      <c r="C132" s="206"/>
      <c r="D132" s="121"/>
      <c r="E132" s="226">
        <v>0</v>
      </c>
      <c r="F132" s="384"/>
      <c r="G132" s="123"/>
      <c r="H132" s="7"/>
      <c r="I132" s="12"/>
      <c r="J132" s="12"/>
    </row>
    <row r="133" spans="1:10" s="383" customFormat="1" ht="16.5" hidden="1" thickBot="1">
      <c r="A133" s="50"/>
      <c r="B133" s="95"/>
      <c r="C133" s="159">
        <f>SUM(C122:C132)</f>
        <v>15170231</v>
      </c>
      <c r="D133" s="142"/>
      <c r="E133" s="207">
        <f>SUM(E122:E132)</f>
        <v>418449.13967</v>
      </c>
      <c r="F133" s="384"/>
      <c r="G133" s="123"/>
      <c r="H133" s="7"/>
      <c r="I133" s="7"/>
      <c r="J133" s="8"/>
    </row>
    <row r="134" spans="1:10" s="383" customFormat="1" ht="16.5" hidden="1" thickTop="1">
      <c r="A134" s="50"/>
      <c r="B134" s="95"/>
      <c r="C134" s="224">
        <v>15170231</v>
      </c>
      <c r="D134" s="142" t="s">
        <v>161</v>
      </c>
      <c r="E134" s="156">
        <v>0</v>
      </c>
      <c r="F134" s="384"/>
      <c r="G134" s="11"/>
      <c r="H134" s="7"/>
      <c r="I134" s="8"/>
      <c r="J134" s="7"/>
    </row>
    <row r="135" spans="1:10" s="383" customFormat="1" ht="16.5" hidden="1" thickBot="1">
      <c r="A135" s="50"/>
      <c r="B135" s="95"/>
      <c r="C135" s="230">
        <f>C134-C133</f>
        <v>0</v>
      </c>
      <c r="D135" s="142"/>
      <c r="E135" s="160">
        <f>SUM(E133:E134)</f>
        <v>418449.13967</v>
      </c>
      <c r="F135" s="384"/>
      <c r="G135" s="65" t="s">
        <v>158</v>
      </c>
      <c r="H135" s="7"/>
      <c r="I135" s="7"/>
      <c r="J135" s="7"/>
    </row>
    <row r="136" spans="1:10" s="383" customFormat="1" ht="16.5" hidden="1" thickTop="1">
      <c r="A136" s="384"/>
      <c r="B136" s="384"/>
      <c r="C136" s="384"/>
      <c r="D136" s="142" t="s">
        <v>87</v>
      </c>
      <c r="E136" s="50">
        <f>E135+E117</f>
        <v>-790817.09125590767</v>
      </c>
      <c r="F136" s="384"/>
      <c r="G136" s="8">
        <f>(E117*(D137/12))+(E135*(D137/24))</f>
        <v>-2708.4461654545416</v>
      </c>
      <c r="H136" s="450"/>
      <c r="I136" s="450"/>
      <c r="J136" s="7"/>
    </row>
    <row r="137" spans="1:10" s="383" customFormat="1" ht="15.75" hidden="1">
      <c r="A137" s="384"/>
      <c r="B137" s="384"/>
      <c r="C137" s="50" t="s">
        <v>57</v>
      </c>
      <c r="D137" s="225">
        <v>3.2500000000000001E-2</v>
      </c>
      <c r="E137" s="119">
        <f>ROUND(((E117)+(SUM(E135))/2)*(D137/12),2)</f>
        <v>-2708.45</v>
      </c>
      <c r="F137" s="384"/>
      <c r="G137" s="8"/>
      <c r="H137" s="7"/>
      <c r="I137" s="12"/>
      <c r="J137" s="12"/>
    </row>
    <row r="138" spans="1:10" s="383" customFormat="1" ht="15.75" hidden="1">
      <c r="A138" s="384"/>
      <c r="B138" s="384"/>
      <c r="C138" s="50" t="s">
        <v>1</v>
      </c>
      <c r="D138" s="90">
        <f>A120</f>
        <v>41394</v>
      </c>
      <c r="E138" s="50">
        <f>SUM(E136:E137)</f>
        <v>-793525.54125590762</v>
      </c>
      <c r="F138" s="384"/>
      <c r="G138" s="384"/>
    </row>
    <row r="139" spans="1:10" s="383" customFormat="1" ht="15.75" hidden="1" thickBot="1"/>
    <row r="140" spans="1:10" s="383" customFormat="1" ht="15.75" hidden="1">
      <c r="A140" s="73" t="s">
        <v>141</v>
      </c>
      <c r="B140" s="78"/>
      <c r="C140" s="79"/>
      <c r="D140" s="80"/>
      <c r="E140" s="81"/>
      <c r="G140" s="5"/>
      <c r="H140" s="5"/>
      <c r="I140" s="48"/>
      <c r="J140" s="48"/>
    </row>
    <row r="141" spans="1:10" s="383" customFormat="1" ht="15.75" hidden="1">
      <c r="A141" s="219">
        <v>41425</v>
      </c>
      <c r="B141" s="137"/>
      <c r="C141" s="11"/>
      <c r="D141" s="138"/>
      <c r="E141" s="77"/>
      <c r="G141" s="5"/>
      <c r="H141" s="5"/>
      <c r="I141" s="48"/>
      <c r="J141" s="48"/>
    </row>
    <row r="142" spans="1:10" s="383" customFormat="1" ht="16.5" hidden="1" thickBot="1">
      <c r="A142" s="139"/>
      <c r="B142" s="140"/>
      <c r="C142" s="131" t="s">
        <v>21</v>
      </c>
      <c r="D142" s="131" t="s">
        <v>22</v>
      </c>
      <c r="E142" s="128" t="s">
        <v>23</v>
      </c>
      <c r="F142" s="384"/>
      <c r="G142" s="384"/>
      <c r="H142" s="384"/>
      <c r="I142" s="384"/>
      <c r="J142" s="384"/>
    </row>
    <row r="143" spans="1:10" s="383" customFormat="1" ht="15.75" hidden="1">
      <c r="A143" s="50" t="s">
        <v>24</v>
      </c>
      <c r="B143" s="95">
        <v>101</v>
      </c>
      <c r="C143" s="206">
        <v>4182901</v>
      </c>
      <c r="D143" s="388">
        <v>3.3950000000000001E-2</v>
      </c>
      <c r="E143" s="168">
        <v>142009.48895</v>
      </c>
      <c r="F143" s="384"/>
      <c r="G143" s="384"/>
      <c r="H143" s="384"/>
      <c r="I143" s="384"/>
      <c r="J143" s="384"/>
    </row>
    <row r="144" spans="1:10" s="383" customFormat="1" ht="16.5" hidden="1" thickBot="1">
      <c r="A144" s="50" t="s">
        <v>24</v>
      </c>
      <c r="B144" s="95">
        <v>111</v>
      </c>
      <c r="C144" s="206">
        <v>1970725</v>
      </c>
      <c r="D144" s="388">
        <v>3.0599999999999999E-2</v>
      </c>
      <c r="E144" s="168">
        <v>60304.184999999998</v>
      </c>
      <c r="F144" s="384"/>
      <c r="G144" s="123">
        <f>A141</f>
        <v>41425</v>
      </c>
      <c r="H144" s="384"/>
      <c r="I144" s="384"/>
      <c r="J144" s="384"/>
    </row>
    <row r="145" spans="1:10" s="383" customFormat="1" ht="16.5" hidden="1" thickBot="1">
      <c r="A145" s="50" t="s">
        <v>24</v>
      </c>
      <c r="B145" s="95">
        <v>112</v>
      </c>
      <c r="C145" s="206">
        <v>0</v>
      </c>
      <c r="D145" s="388"/>
      <c r="E145" s="168">
        <v>0</v>
      </c>
      <c r="F145" s="384"/>
      <c r="G145" s="113" t="s">
        <v>25</v>
      </c>
      <c r="H145" s="205"/>
      <c r="I145" s="126" t="s">
        <v>18</v>
      </c>
      <c r="J145" s="126" t="s">
        <v>19</v>
      </c>
    </row>
    <row r="146" spans="1:10" s="383" customFormat="1" ht="15.75" hidden="1">
      <c r="A146" s="50" t="s">
        <v>24</v>
      </c>
      <c r="B146" s="95">
        <v>121</v>
      </c>
      <c r="C146" s="206">
        <v>339319</v>
      </c>
      <c r="D146" s="388">
        <v>2.998E-2</v>
      </c>
      <c r="E146" s="168">
        <v>10172.78362</v>
      </c>
      <c r="F146" s="384"/>
      <c r="G146" s="151" t="s">
        <v>28</v>
      </c>
      <c r="H146" s="152" t="s">
        <v>75</v>
      </c>
      <c r="I146" s="152"/>
      <c r="J146" s="97">
        <f>IF(-E158&lt;0,-E158,0)</f>
        <v>0</v>
      </c>
    </row>
    <row r="147" spans="1:10" s="383" customFormat="1" ht="15.75" hidden="1">
      <c r="A147" s="50" t="s">
        <v>24</v>
      </c>
      <c r="B147" s="95">
        <v>122</v>
      </c>
      <c r="C147" s="206">
        <v>0</v>
      </c>
      <c r="D147" s="388"/>
      <c r="E147" s="168">
        <v>0</v>
      </c>
      <c r="F147" s="384"/>
      <c r="G147" s="153" t="s">
        <v>29</v>
      </c>
      <c r="H147" s="7" t="s">
        <v>76</v>
      </c>
      <c r="I147" s="7">
        <f>IF(-E158&gt;0,-E158,0)</f>
        <v>1861.39</v>
      </c>
      <c r="J147" s="223"/>
    </row>
    <row r="148" spans="1:10" s="383" customFormat="1" ht="15.75" hidden="1">
      <c r="A148" s="50" t="s">
        <v>24</v>
      </c>
      <c r="B148" s="95">
        <v>131</v>
      </c>
      <c r="C148" s="206">
        <v>0</v>
      </c>
      <c r="D148" s="388">
        <v>5.7389999999999997E-2</v>
      </c>
      <c r="E148" s="168">
        <v>0</v>
      </c>
      <c r="F148" s="384"/>
      <c r="G148" s="153" t="s">
        <v>97</v>
      </c>
      <c r="H148" s="7" t="s">
        <v>26</v>
      </c>
      <c r="I148" s="8"/>
      <c r="J148" s="98">
        <f>-E156</f>
        <v>-212486.45757</v>
      </c>
    </row>
    <row r="149" spans="1:10" s="383" customFormat="1" ht="15.75" hidden="1">
      <c r="A149" s="50" t="s">
        <v>24</v>
      </c>
      <c r="B149" s="95">
        <v>132</v>
      </c>
      <c r="C149" s="206">
        <v>0</v>
      </c>
      <c r="D149" s="388"/>
      <c r="E149" s="168">
        <v>0</v>
      </c>
      <c r="F149" s="384"/>
      <c r="G149" s="153" t="s">
        <v>10</v>
      </c>
      <c r="H149" s="7" t="s">
        <v>17</v>
      </c>
      <c r="I149" s="7">
        <v>0</v>
      </c>
      <c r="J149" s="98"/>
    </row>
    <row r="150" spans="1:10" s="383" customFormat="1" ht="16.5" hidden="1" thickBot="1">
      <c r="A150" s="50" t="s">
        <v>24</v>
      </c>
      <c r="B150" s="95">
        <v>146</v>
      </c>
      <c r="C150" s="206">
        <v>1979128</v>
      </c>
      <c r="D150" s="238"/>
      <c r="E150" s="168">
        <v>0</v>
      </c>
      <c r="F150" s="384"/>
      <c r="G150" s="154" t="s">
        <v>98</v>
      </c>
      <c r="H150" s="147" t="s">
        <v>27</v>
      </c>
      <c r="I150" s="110">
        <f>-E138+E159</f>
        <v>210625.06756999996</v>
      </c>
      <c r="J150" s="107"/>
    </row>
    <row r="151" spans="1:10" s="383" customFormat="1" ht="15.75" hidden="1">
      <c r="A151" s="50" t="s">
        <v>151</v>
      </c>
      <c r="B151" s="95"/>
      <c r="C151" s="206"/>
      <c r="D151" s="121"/>
      <c r="E151" s="168">
        <v>0</v>
      </c>
      <c r="F151" s="384"/>
      <c r="G151" s="384"/>
      <c r="H151" s="384"/>
      <c r="I151" s="384"/>
      <c r="J151" s="337">
        <f>SUM(I146:J150)</f>
        <v>0</v>
      </c>
    </row>
    <row r="152" spans="1:10" s="383" customFormat="1" ht="15.75" hidden="1">
      <c r="A152" s="141" t="s">
        <v>143</v>
      </c>
      <c r="B152" s="95">
        <v>146</v>
      </c>
      <c r="C152" s="206"/>
      <c r="D152" s="121"/>
      <c r="E152" s="168">
        <v>0</v>
      </c>
      <c r="F152" s="384"/>
      <c r="G152" s="123"/>
      <c r="H152" s="7"/>
      <c r="I152" s="7"/>
      <c r="J152" s="7"/>
    </row>
    <row r="153" spans="1:10" s="383" customFormat="1" ht="15.75" hidden="1">
      <c r="A153" s="141" t="s">
        <v>105</v>
      </c>
      <c r="B153" s="95"/>
      <c r="C153" s="206"/>
      <c r="D153" s="121"/>
      <c r="E153" s="226">
        <v>0</v>
      </c>
      <c r="F153" s="384"/>
      <c r="G153" s="123"/>
      <c r="H153" s="7"/>
      <c r="I153" s="12"/>
      <c r="J153" s="12"/>
    </row>
    <row r="154" spans="1:10" s="383" customFormat="1" ht="16.5" hidden="1" thickBot="1">
      <c r="A154" s="50"/>
      <c r="B154" s="95"/>
      <c r="C154" s="159">
        <f>SUM(C143:C153)</f>
        <v>8472073</v>
      </c>
      <c r="D154" s="142"/>
      <c r="E154" s="207">
        <f>SUM(E143:E153)</f>
        <v>212486.45757</v>
      </c>
      <c r="F154" s="384"/>
      <c r="G154" s="123"/>
      <c r="H154" s="7"/>
      <c r="I154" s="7"/>
      <c r="J154" s="8"/>
    </row>
    <row r="155" spans="1:10" s="383" customFormat="1" ht="16.5" hidden="1" thickTop="1">
      <c r="A155" s="50"/>
      <c r="B155" s="95"/>
      <c r="C155" s="224">
        <v>8472073</v>
      </c>
      <c r="D155" s="142" t="s">
        <v>161</v>
      </c>
      <c r="E155" s="156">
        <v>0</v>
      </c>
      <c r="F155" s="384"/>
      <c r="G155" s="11"/>
      <c r="H155" s="7"/>
      <c r="I155" s="8"/>
      <c r="J155" s="7"/>
    </row>
    <row r="156" spans="1:10" s="383" customFormat="1" ht="16.5" hidden="1" thickBot="1">
      <c r="A156" s="50"/>
      <c r="B156" s="95"/>
      <c r="C156" s="230">
        <f>C155-C154</f>
        <v>0</v>
      </c>
      <c r="D156" s="142"/>
      <c r="E156" s="160">
        <f>SUM(E154:E155)</f>
        <v>212486.45757</v>
      </c>
      <c r="F156" s="384"/>
      <c r="G156" s="65" t="s">
        <v>158</v>
      </c>
      <c r="H156" s="7"/>
      <c r="I156" s="7"/>
      <c r="J156" s="7"/>
    </row>
    <row r="157" spans="1:10" s="383" customFormat="1" ht="16.5" hidden="1" thickTop="1">
      <c r="A157" s="384"/>
      <c r="B157" s="384"/>
      <c r="C157" s="384"/>
      <c r="D157" s="142" t="s">
        <v>87</v>
      </c>
      <c r="E157" s="50">
        <f>E156+E138</f>
        <v>-581039.08368590765</v>
      </c>
      <c r="F157" s="384"/>
      <c r="G157" s="8">
        <f>(E138*(D158/12))+(E156*(D158/24))</f>
        <v>-1861.389596275375</v>
      </c>
      <c r="H157" s="452"/>
      <c r="I157" s="452"/>
      <c r="J157" s="7"/>
    </row>
    <row r="158" spans="1:10" s="383" customFormat="1" ht="15.75" hidden="1">
      <c r="A158" s="384"/>
      <c r="B158" s="384"/>
      <c r="C158" s="50" t="s">
        <v>57</v>
      </c>
      <c r="D158" s="225">
        <v>3.2500000000000001E-2</v>
      </c>
      <c r="E158" s="119">
        <f>ROUND(((E138)+(SUM(E156))/2)*(D158/12),2)</f>
        <v>-1861.39</v>
      </c>
      <c r="F158" s="384"/>
      <c r="G158" s="8"/>
      <c r="H158" s="7"/>
      <c r="I158" s="12"/>
      <c r="J158" s="12"/>
    </row>
    <row r="159" spans="1:10" s="383" customFormat="1" ht="15.75" hidden="1">
      <c r="A159" s="384"/>
      <c r="B159" s="384"/>
      <c r="C159" s="50" t="s">
        <v>1</v>
      </c>
      <c r="D159" s="90">
        <f>A141</f>
        <v>41425</v>
      </c>
      <c r="E159" s="50">
        <f>SUM(E157:E158)</f>
        <v>-582900.47368590767</v>
      </c>
      <c r="F159" s="384"/>
      <c r="G159" s="245"/>
    </row>
    <row r="160" spans="1:10" s="383" customFormat="1" ht="15.75" hidden="1" thickBot="1"/>
    <row r="161" spans="1:10" s="383" customFormat="1" ht="15.75" hidden="1">
      <c r="A161" s="73" t="s">
        <v>141</v>
      </c>
      <c r="B161" s="78"/>
      <c r="C161" s="79"/>
      <c r="D161" s="80"/>
      <c r="E161" s="81"/>
      <c r="G161" s="5"/>
      <c r="H161" s="5"/>
      <c r="I161" s="48"/>
      <c r="J161" s="48"/>
    </row>
    <row r="162" spans="1:10" s="383" customFormat="1" ht="15.75" hidden="1">
      <c r="A162" s="219">
        <v>41426</v>
      </c>
      <c r="B162" s="137"/>
      <c r="C162" s="11"/>
      <c r="D162" s="138"/>
      <c r="E162" s="77"/>
      <c r="G162" s="5"/>
      <c r="H162" s="5"/>
      <c r="I162" s="48"/>
      <c r="J162" s="48"/>
    </row>
    <row r="163" spans="1:10" s="383" customFormat="1" ht="16.5" hidden="1" thickBot="1">
      <c r="A163" s="139"/>
      <c r="B163" s="140"/>
      <c r="C163" s="131" t="s">
        <v>21</v>
      </c>
      <c r="D163" s="131" t="s">
        <v>22</v>
      </c>
      <c r="E163" s="128" t="s">
        <v>23</v>
      </c>
      <c r="F163" s="384"/>
      <c r="G163" s="384"/>
      <c r="H163" s="384"/>
      <c r="I163" s="384"/>
      <c r="J163" s="384"/>
    </row>
    <row r="164" spans="1:10" s="383" customFormat="1" ht="15.75" hidden="1">
      <c r="A164" s="50" t="s">
        <v>24</v>
      </c>
      <c r="B164" s="95">
        <v>101</v>
      </c>
      <c r="C164" s="206">
        <v>2800295</v>
      </c>
      <c r="D164" s="388">
        <v>3.3950000000000001E-2</v>
      </c>
      <c r="E164" s="168">
        <v>95070.015249999997</v>
      </c>
      <c r="F164" s="384"/>
      <c r="G164" s="384"/>
      <c r="H164" s="384"/>
      <c r="I164" s="384"/>
      <c r="J164" s="384"/>
    </row>
    <row r="165" spans="1:10" s="383" customFormat="1" ht="16.5" hidden="1" thickBot="1">
      <c r="A165" s="50" t="s">
        <v>24</v>
      </c>
      <c r="B165" s="95">
        <v>111</v>
      </c>
      <c r="C165" s="206">
        <v>1678252</v>
      </c>
      <c r="D165" s="388">
        <v>3.0599999999999999E-2</v>
      </c>
      <c r="E165" s="168">
        <v>51354.511200000001</v>
      </c>
      <c r="F165" s="384"/>
      <c r="G165" s="123">
        <f>A162</f>
        <v>41426</v>
      </c>
      <c r="H165" s="384"/>
      <c r="I165" s="384"/>
      <c r="J165" s="384"/>
    </row>
    <row r="166" spans="1:10" s="383" customFormat="1" ht="16.5" hidden="1" thickBot="1">
      <c r="A166" s="50" t="s">
        <v>24</v>
      </c>
      <c r="B166" s="95">
        <v>112</v>
      </c>
      <c r="C166" s="206">
        <v>0</v>
      </c>
      <c r="D166" s="388"/>
      <c r="E166" s="168">
        <v>0</v>
      </c>
      <c r="F166" s="384"/>
      <c r="G166" s="113" t="s">
        <v>25</v>
      </c>
      <c r="H166" s="205"/>
      <c r="I166" s="126" t="s">
        <v>18</v>
      </c>
      <c r="J166" s="126" t="s">
        <v>19</v>
      </c>
    </row>
    <row r="167" spans="1:10" s="383" customFormat="1" ht="15.75" hidden="1">
      <c r="A167" s="50" t="s">
        <v>24</v>
      </c>
      <c r="B167" s="95">
        <v>121</v>
      </c>
      <c r="C167" s="206">
        <v>339158</v>
      </c>
      <c r="D167" s="388">
        <v>2.998E-2</v>
      </c>
      <c r="E167" s="168">
        <v>10167.956840000001</v>
      </c>
      <c r="F167" s="384"/>
      <c r="G167" s="151" t="s">
        <v>28</v>
      </c>
      <c r="H167" s="152" t="s">
        <v>75</v>
      </c>
      <c r="I167" s="152"/>
      <c r="J167" s="97">
        <f>IF(-E179&lt;0,-E179,0)</f>
        <v>0</v>
      </c>
    </row>
    <row r="168" spans="1:10" s="383" customFormat="1" ht="15.75" hidden="1">
      <c r="A168" s="50" t="s">
        <v>24</v>
      </c>
      <c r="B168" s="95">
        <v>122</v>
      </c>
      <c r="C168" s="206">
        <v>0</v>
      </c>
      <c r="D168" s="388"/>
      <c r="E168" s="168">
        <v>0</v>
      </c>
      <c r="F168" s="384"/>
      <c r="G168" s="153" t="s">
        <v>29</v>
      </c>
      <c r="H168" s="7" t="s">
        <v>76</v>
      </c>
      <c r="I168" s="7">
        <f>IF(-E179&gt;0,-E179,0)</f>
        <v>1366.64</v>
      </c>
      <c r="J168" s="223"/>
    </row>
    <row r="169" spans="1:10" s="383" customFormat="1" ht="15.75" hidden="1">
      <c r="A169" s="50" t="s">
        <v>24</v>
      </c>
      <c r="B169" s="95">
        <v>131</v>
      </c>
      <c r="C169" s="206">
        <v>0</v>
      </c>
      <c r="D169" s="388">
        <v>5.7389999999999997E-2</v>
      </c>
      <c r="E169" s="168">
        <v>0</v>
      </c>
      <c r="F169" s="384"/>
      <c r="G169" s="153" t="s">
        <v>97</v>
      </c>
      <c r="H169" s="7" t="s">
        <v>26</v>
      </c>
      <c r="I169" s="8"/>
      <c r="J169" s="98">
        <f>-E177</f>
        <v>-156592.48329</v>
      </c>
    </row>
    <row r="170" spans="1:10" s="383" customFormat="1" ht="15.75" hidden="1">
      <c r="A170" s="50" t="s">
        <v>24</v>
      </c>
      <c r="B170" s="95">
        <v>132</v>
      </c>
      <c r="C170" s="206">
        <v>0</v>
      </c>
      <c r="D170" s="388"/>
      <c r="E170" s="168">
        <v>0</v>
      </c>
      <c r="F170" s="384"/>
      <c r="G170" s="153" t="s">
        <v>10</v>
      </c>
      <c r="H170" s="7" t="s">
        <v>17</v>
      </c>
      <c r="I170" s="7">
        <v>0</v>
      </c>
      <c r="J170" s="98"/>
    </row>
    <row r="171" spans="1:10" s="383" customFormat="1" ht="16.5" hidden="1" thickBot="1">
      <c r="A171" s="50" t="s">
        <v>24</v>
      </c>
      <c r="B171" s="95">
        <v>146</v>
      </c>
      <c r="C171" s="206">
        <v>1585130</v>
      </c>
      <c r="D171" s="238"/>
      <c r="E171" s="168">
        <v>0</v>
      </c>
      <c r="F171" s="384"/>
      <c r="G171" s="154" t="s">
        <v>98</v>
      </c>
      <c r="H171" s="147" t="s">
        <v>27</v>
      </c>
      <c r="I171" s="110">
        <f>-E159+E180</f>
        <v>155225.84328999999</v>
      </c>
      <c r="J171" s="107"/>
    </row>
    <row r="172" spans="1:10" s="383" customFormat="1" ht="15.75" hidden="1">
      <c r="A172" s="50" t="s">
        <v>151</v>
      </c>
      <c r="B172" s="95"/>
      <c r="C172" s="206"/>
      <c r="D172" s="121"/>
      <c r="E172" s="168">
        <v>0</v>
      </c>
      <c r="F172" s="384"/>
      <c r="G172" s="384"/>
      <c r="H172" s="384"/>
      <c r="I172" s="384"/>
      <c r="J172" s="337">
        <f>SUM(I167:J171)</f>
        <v>0</v>
      </c>
    </row>
    <row r="173" spans="1:10" s="383" customFormat="1" ht="15.75" hidden="1">
      <c r="A173" s="141" t="s">
        <v>143</v>
      </c>
      <c r="B173" s="95">
        <v>146</v>
      </c>
      <c r="C173" s="206"/>
      <c r="D173" s="121"/>
      <c r="E173" s="168">
        <v>0</v>
      </c>
      <c r="F173" s="384"/>
      <c r="G173" s="123"/>
      <c r="H173" s="7"/>
      <c r="I173" s="7"/>
      <c r="J173" s="7"/>
    </row>
    <row r="174" spans="1:10" s="383" customFormat="1" ht="15.75" hidden="1">
      <c r="A174" s="141" t="s">
        <v>105</v>
      </c>
      <c r="B174" s="95"/>
      <c r="C174" s="206"/>
      <c r="D174" s="121"/>
      <c r="E174" s="226">
        <v>0</v>
      </c>
      <c r="F174" s="384"/>
      <c r="G174" s="123"/>
      <c r="H174" s="7"/>
      <c r="I174" s="12"/>
      <c r="J174" s="12"/>
    </row>
    <row r="175" spans="1:10" s="383" customFormat="1" ht="16.5" hidden="1" thickBot="1">
      <c r="A175" s="50"/>
      <c r="B175" s="95"/>
      <c r="C175" s="159">
        <f>SUM(C164:C174)</f>
        <v>6402835</v>
      </c>
      <c r="D175" s="142"/>
      <c r="E175" s="207">
        <f>SUM(E164:E174)</f>
        <v>156592.48329</v>
      </c>
      <c r="F175" s="384"/>
      <c r="G175" s="123"/>
      <c r="H175" s="7"/>
      <c r="I175" s="7"/>
      <c r="J175" s="8"/>
    </row>
    <row r="176" spans="1:10" s="383" customFormat="1" ht="16.5" hidden="1" thickTop="1">
      <c r="A176" s="50"/>
      <c r="B176" s="95"/>
      <c r="C176" s="224">
        <v>6402835</v>
      </c>
      <c r="D176" s="142" t="s">
        <v>161</v>
      </c>
      <c r="E176" s="156">
        <v>0</v>
      </c>
      <c r="F176" s="384"/>
      <c r="G176" s="11"/>
      <c r="H176" s="7"/>
      <c r="I176" s="8"/>
      <c r="J176" s="7"/>
    </row>
    <row r="177" spans="1:10" s="383" customFormat="1" ht="16.5" hidden="1" thickBot="1">
      <c r="A177" s="50"/>
      <c r="B177" s="95"/>
      <c r="C177" s="230">
        <f>C176-C175</f>
        <v>0</v>
      </c>
      <c r="D177" s="142"/>
      <c r="E177" s="160">
        <f>SUM(E175:E176)</f>
        <v>156592.48329</v>
      </c>
      <c r="F177" s="384"/>
      <c r="G177" s="65" t="s">
        <v>158</v>
      </c>
      <c r="H177" s="7"/>
      <c r="I177" s="7"/>
      <c r="J177" s="7"/>
    </row>
    <row r="178" spans="1:10" s="383" customFormat="1" ht="16.5" hidden="1" thickTop="1">
      <c r="A178" s="384"/>
      <c r="B178" s="384"/>
      <c r="C178" s="384"/>
      <c r="D178" s="142" t="s">
        <v>87</v>
      </c>
      <c r="E178" s="50">
        <f>E177+E159</f>
        <v>-426307.99039590766</v>
      </c>
      <c r="F178" s="384"/>
      <c r="G178" s="8">
        <f>(E159*(D179/12))+(E177*(D179/24))</f>
        <v>-1366.6364617774584</v>
      </c>
      <c r="H178" s="453"/>
      <c r="I178" s="453"/>
      <c r="J178" s="7"/>
    </row>
    <row r="179" spans="1:10" s="383" customFormat="1" ht="15.75" hidden="1">
      <c r="A179" s="384"/>
      <c r="B179" s="384"/>
      <c r="C179" s="50" t="s">
        <v>57</v>
      </c>
      <c r="D179" s="225">
        <v>3.2500000000000001E-2</v>
      </c>
      <c r="E179" s="119">
        <f>ROUND(((E159)+(SUM(E177))/2)*(D179/12),2)</f>
        <v>-1366.64</v>
      </c>
      <c r="F179" s="384"/>
      <c r="G179" s="8"/>
      <c r="H179" s="7"/>
      <c r="I179" s="12"/>
      <c r="J179" s="12"/>
    </row>
    <row r="180" spans="1:10" s="383" customFormat="1" ht="15.75" hidden="1">
      <c r="A180" s="384"/>
      <c r="B180" s="384"/>
      <c r="C180" s="50" t="s">
        <v>1</v>
      </c>
      <c r="D180" s="90">
        <v>41455</v>
      </c>
      <c r="E180" s="50">
        <f>SUM(E178:E179)</f>
        <v>-427674.63039590768</v>
      </c>
      <c r="F180" s="384"/>
      <c r="G180" s="245"/>
    </row>
    <row r="181" spans="1:10" s="383" customFormat="1" ht="15.75" hidden="1" thickBot="1"/>
    <row r="182" spans="1:10" s="383" customFormat="1" ht="15.75" hidden="1">
      <c r="A182" s="73" t="s">
        <v>141</v>
      </c>
      <c r="B182" s="78"/>
      <c r="C182" s="79"/>
      <c r="D182" s="80"/>
      <c r="E182" s="81"/>
      <c r="G182" s="5"/>
      <c r="H182" s="5"/>
      <c r="I182" s="48"/>
      <c r="J182" s="48"/>
    </row>
    <row r="183" spans="1:10" s="383" customFormat="1" ht="15.75" hidden="1">
      <c r="A183" s="219">
        <v>41456</v>
      </c>
      <c r="B183" s="137"/>
      <c r="C183" s="11"/>
      <c r="D183" s="138"/>
      <c r="E183" s="77"/>
      <c r="G183" s="5"/>
      <c r="H183" s="5"/>
      <c r="I183" s="48"/>
      <c r="J183" s="48"/>
    </row>
    <row r="184" spans="1:10" s="383" customFormat="1" ht="16.5" hidden="1" thickBot="1">
      <c r="A184" s="139"/>
      <c r="B184" s="140"/>
      <c r="C184" s="131" t="s">
        <v>21</v>
      </c>
      <c r="D184" s="131" t="s">
        <v>22</v>
      </c>
      <c r="E184" s="128" t="s">
        <v>23</v>
      </c>
      <c r="F184" s="384"/>
      <c r="G184" s="384"/>
      <c r="H184" s="384"/>
      <c r="I184" s="384"/>
      <c r="J184" s="384"/>
    </row>
    <row r="185" spans="1:10" s="383" customFormat="1" ht="15.75" hidden="1">
      <c r="A185" s="50" t="s">
        <v>24</v>
      </c>
      <c r="B185" s="95">
        <v>101</v>
      </c>
      <c r="C185" s="206">
        <v>2082299</v>
      </c>
      <c r="D185" s="388">
        <v>3.3950000000000001E-2</v>
      </c>
      <c r="E185" s="168">
        <v>70694.051050000009</v>
      </c>
      <c r="F185" s="384"/>
      <c r="G185" s="384"/>
      <c r="H185" s="384"/>
      <c r="I185" s="384"/>
      <c r="J185" s="384"/>
    </row>
    <row r="186" spans="1:10" s="383" customFormat="1" ht="16.5" hidden="1" thickBot="1">
      <c r="A186" s="50" t="s">
        <v>24</v>
      </c>
      <c r="B186" s="95">
        <v>111</v>
      </c>
      <c r="C186" s="206">
        <v>1140112</v>
      </c>
      <c r="D186" s="388">
        <v>3.0599999999999999E-2</v>
      </c>
      <c r="E186" s="168">
        <v>34887.427199999998</v>
      </c>
      <c r="F186" s="384"/>
      <c r="G186" s="123">
        <f>A183</f>
        <v>41456</v>
      </c>
      <c r="H186" s="384"/>
      <c r="I186" s="384"/>
      <c r="J186" s="384"/>
    </row>
    <row r="187" spans="1:10" s="383" customFormat="1" ht="16.5" hidden="1" thickBot="1">
      <c r="A187" s="50" t="s">
        <v>24</v>
      </c>
      <c r="B187" s="95">
        <v>112</v>
      </c>
      <c r="C187" s="206">
        <v>0</v>
      </c>
      <c r="D187" s="388"/>
      <c r="E187" s="168">
        <v>0</v>
      </c>
      <c r="F187" s="384"/>
      <c r="G187" s="113" t="s">
        <v>25</v>
      </c>
      <c r="H187" s="205"/>
      <c r="I187" s="126" t="s">
        <v>18</v>
      </c>
      <c r="J187" s="126" t="s">
        <v>19</v>
      </c>
    </row>
    <row r="188" spans="1:10" s="383" customFormat="1" ht="15.75" hidden="1">
      <c r="A188" s="50" t="s">
        <v>24</v>
      </c>
      <c r="B188" s="95">
        <v>121</v>
      </c>
      <c r="C188" s="206">
        <v>304732</v>
      </c>
      <c r="D188" s="388">
        <v>2.998E-2</v>
      </c>
      <c r="E188" s="168">
        <v>9135.8653599999998</v>
      </c>
      <c r="F188" s="384"/>
      <c r="G188" s="151" t="s">
        <v>28</v>
      </c>
      <c r="H188" s="152" t="s">
        <v>75</v>
      </c>
      <c r="I188" s="152"/>
      <c r="J188" s="97">
        <f>IF(-E200&lt;0,-E200,0)</f>
        <v>0</v>
      </c>
    </row>
    <row r="189" spans="1:10" s="383" customFormat="1" ht="15.75" hidden="1">
      <c r="A189" s="50" t="s">
        <v>24</v>
      </c>
      <c r="B189" s="95">
        <v>122</v>
      </c>
      <c r="C189" s="206">
        <v>0</v>
      </c>
      <c r="D189" s="388"/>
      <c r="E189" s="168">
        <v>0</v>
      </c>
      <c r="F189" s="384"/>
      <c r="G189" s="153" t="s">
        <v>29</v>
      </c>
      <c r="H189" s="7" t="s">
        <v>76</v>
      </c>
      <c r="I189" s="7">
        <f>IF(-E200&gt;0,-E200,0)</f>
        <v>1002.94</v>
      </c>
      <c r="J189" s="223"/>
    </row>
    <row r="190" spans="1:10" s="383" customFormat="1" ht="15.75" hidden="1">
      <c r="A190" s="50" t="s">
        <v>24</v>
      </c>
      <c r="B190" s="95">
        <v>131</v>
      </c>
      <c r="C190" s="206">
        <v>0</v>
      </c>
      <c r="D190" s="388">
        <v>5.7389999999999997E-2</v>
      </c>
      <c r="E190" s="168">
        <v>0</v>
      </c>
      <c r="F190" s="384"/>
      <c r="G190" s="153" t="s">
        <v>97</v>
      </c>
      <c r="H190" s="7" t="s">
        <v>26</v>
      </c>
      <c r="I190" s="8"/>
      <c r="J190" s="98">
        <f>-E198</f>
        <v>-114717.34361000001</v>
      </c>
    </row>
    <row r="191" spans="1:10" s="383" customFormat="1" ht="15.75" hidden="1">
      <c r="A191" s="50" t="s">
        <v>24</v>
      </c>
      <c r="B191" s="95">
        <v>132</v>
      </c>
      <c r="C191" s="206">
        <v>0</v>
      </c>
      <c r="D191" s="388"/>
      <c r="E191" s="168">
        <v>0</v>
      </c>
      <c r="F191" s="384"/>
      <c r="G191" s="153" t="s">
        <v>10</v>
      </c>
      <c r="H191" s="7" t="s">
        <v>17</v>
      </c>
      <c r="I191" s="7">
        <v>0</v>
      </c>
      <c r="J191" s="98"/>
    </row>
    <row r="192" spans="1:10" s="383" customFormat="1" ht="16.5" hidden="1" thickBot="1">
      <c r="A192" s="50" t="s">
        <v>24</v>
      </c>
      <c r="B192" s="95">
        <v>146</v>
      </c>
      <c r="C192" s="206">
        <v>1657043</v>
      </c>
      <c r="D192" s="238"/>
      <c r="E192" s="168">
        <v>0</v>
      </c>
      <c r="F192" s="384"/>
      <c r="G192" s="154" t="s">
        <v>98</v>
      </c>
      <c r="H192" s="147" t="s">
        <v>27</v>
      </c>
      <c r="I192" s="110">
        <f>-E180+E201</f>
        <v>113714.40360999998</v>
      </c>
      <c r="J192" s="107"/>
    </row>
    <row r="193" spans="1:10" s="383" customFormat="1" ht="15.75" hidden="1">
      <c r="A193" s="50" t="s">
        <v>151</v>
      </c>
      <c r="B193" s="95"/>
      <c r="C193" s="206"/>
      <c r="D193" s="121"/>
      <c r="E193" s="168">
        <v>0</v>
      </c>
      <c r="F193" s="384"/>
      <c r="G193" s="384"/>
      <c r="H193" s="384"/>
      <c r="I193" s="384"/>
      <c r="J193" s="337">
        <f>SUM(I188:J192)</f>
        <v>0</v>
      </c>
    </row>
    <row r="194" spans="1:10" s="383" customFormat="1" ht="15.75" hidden="1">
      <c r="A194" s="141" t="s">
        <v>143</v>
      </c>
      <c r="B194" s="95">
        <v>146</v>
      </c>
      <c r="C194" s="206"/>
      <c r="D194" s="121"/>
      <c r="E194" s="168">
        <v>0</v>
      </c>
      <c r="F194" s="384"/>
      <c r="G194" s="123"/>
      <c r="H194" s="7"/>
      <c r="I194" s="7"/>
      <c r="J194" s="7"/>
    </row>
    <row r="195" spans="1:10" s="383" customFormat="1" ht="15.75" hidden="1">
      <c r="A195" s="141" t="s">
        <v>105</v>
      </c>
      <c r="B195" s="95"/>
      <c r="C195" s="206"/>
      <c r="D195" s="121"/>
      <c r="E195" s="226">
        <v>0</v>
      </c>
      <c r="F195" s="384"/>
      <c r="G195" s="123"/>
      <c r="H195" s="7"/>
      <c r="I195" s="12"/>
      <c r="J195" s="12"/>
    </row>
    <row r="196" spans="1:10" s="383" customFormat="1" ht="16.5" hidden="1" thickBot="1">
      <c r="A196" s="50"/>
      <c r="B196" s="95"/>
      <c r="C196" s="159">
        <f>SUM(C185:C195)</f>
        <v>5184186</v>
      </c>
      <c r="D196" s="142"/>
      <c r="E196" s="207">
        <f>SUM(E185:E195)</f>
        <v>114717.34361000001</v>
      </c>
      <c r="F196" s="384"/>
      <c r="G196" s="123"/>
      <c r="H196" s="7"/>
      <c r="I196" s="7"/>
      <c r="J196" s="8"/>
    </row>
    <row r="197" spans="1:10" s="383" customFormat="1" ht="16.5" hidden="1" thickTop="1">
      <c r="A197" s="50"/>
      <c r="B197" s="95"/>
      <c r="C197" s="224">
        <v>5184186</v>
      </c>
      <c r="D197" s="142" t="s">
        <v>161</v>
      </c>
      <c r="E197" s="156">
        <v>0</v>
      </c>
      <c r="F197" s="384"/>
      <c r="G197" s="11"/>
      <c r="H197" s="7"/>
      <c r="I197" s="8"/>
      <c r="J197" s="7"/>
    </row>
    <row r="198" spans="1:10" s="383" customFormat="1" ht="16.5" hidden="1" thickBot="1">
      <c r="A198" s="50"/>
      <c r="B198" s="95"/>
      <c r="C198" s="230">
        <f>C197-C196</f>
        <v>0</v>
      </c>
      <c r="D198" s="142"/>
      <c r="E198" s="160">
        <f>SUM(E196:E197)</f>
        <v>114717.34361000001</v>
      </c>
      <c r="F198" s="384"/>
      <c r="G198" s="65" t="s">
        <v>158</v>
      </c>
      <c r="H198" s="7"/>
      <c r="I198" s="7"/>
      <c r="J198" s="7"/>
    </row>
    <row r="199" spans="1:10" s="383" customFormat="1" ht="16.5" hidden="1" thickTop="1">
      <c r="A199" s="384"/>
      <c r="B199" s="384"/>
      <c r="C199" s="384"/>
      <c r="D199" s="142" t="s">
        <v>87</v>
      </c>
      <c r="E199" s="50">
        <f>E198+E180</f>
        <v>-312957.28678590769</v>
      </c>
      <c r="F199" s="384"/>
      <c r="G199" s="8">
        <f>(E180*(D200/12))+(E198*(D200/24))</f>
        <v>-1002.9390545170418</v>
      </c>
      <c r="H199" s="454"/>
      <c r="I199" s="454"/>
      <c r="J199" s="7"/>
    </row>
    <row r="200" spans="1:10" s="383" customFormat="1" ht="15.75" hidden="1">
      <c r="A200" s="384"/>
      <c r="B200" s="384"/>
      <c r="C200" s="50" t="s">
        <v>57</v>
      </c>
      <c r="D200" s="225">
        <v>3.2500000000000001E-2</v>
      </c>
      <c r="E200" s="119">
        <f>ROUND(((E180)+(SUM(E198))/2)*(D200/12),2)</f>
        <v>-1002.94</v>
      </c>
      <c r="F200" s="384"/>
      <c r="G200" s="8"/>
      <c r="H200" s="7"/>
      <c r="I200" s="12"/>
      <c r="J200" s="12"/>
    </row>
    <row r="201" spans="1:10" s="383" customFormat="1" ht="15.75" hidden="1">
      <c r="A201" s="384"/>
      <c r="B201" s="384"/>
      <c r="C201" s="50" t="s">
        <v>1</v>
      </c>
      <c r="D201" s="90">
        <f>A183</f>
        <v>41456</v>
      </c>
      <c r="E201" s="50">
        <f>SUM(E199:E200)</f>
        <v>-313960.2267859077</v>
      </c>
      <c r="F201" s="384"/>
      <c r="G201" s="245"/>
    </row>
    <row r="202" spans="1:10" ht="15.75" hidden="1" thickBot="1"/>
    <row r="203" spans="1:10" s="383" customFormat="1" ht="15.75" hidden="1">
      <c r="A203" s="73" t="s">
        <v>141</v>
      </c>
      <c r="B203" s="78"/>
      <c r="C203" s="79"/>
      <c r="D203" s="80"/>
      <c r="E203" s="81"/>
      <c r="G203" s="5"/>
      <c r="H203" s="5"/>
      <c r="I203" s="48"/>
      <c r="J203" s="48"/>
    </row>
    <row r="204" spans="1:10" s="383" customFormat="1" ht="15.75" hidden="1">
      <c r="A204" s="219">
        <v>41487</v>
      </c>
      <c r="B204" s="137"/>
      <c r="C204" s="11"/>
      <c r="D204" s="138"/>
      <c r="E204" s="77"/>
      <c r="G204" s="5"/>
      <c r="H204" s="5"/>
      <c r="I204" s="48"/>
      <c r="J204" s="48"/>
    </row>
    <row r="205" spans="1:10" s="383" customFormat="1" ht="16.5" hidden="1" thickBot="1">
      <c r="A205" s="139"/>
      <c r="B205" s="140"/>
      <c r="C205" s="131" t="s">
        <v>21</v>
      </c>
      <c r="D205" s="131" t="s">
        <v>22</v>
      </c>
      <c r="E205" s="128" t="s">
        <v>23</v>
      </c>
      <c r="F205" s="384"/>
      <c r="G205" s="384"/>
      <c r="H205" s="384"/>
      <c r="I205" s="384"/>
      <c r="J205" s="384"/>
    </row>
    <row r="206" spans="1:10" s="383" customFormat="1" ht="15.75" hidden="1">
      <c r="A206" s="50" t="s">
        <v>24</v>
      </c>
      <c r="B206" s="95">
        <v>101</v>
      </c>
      <c r="C206" s="206">
        <v>2046635</v>
      </c>
      <c r="D206" s="388">
        <v>3.3950000000000001E-2</v>
      </c>
      <c r="E206" s="168">
        <v>69483.258249999999</v>
      </c>
      <c r="F206" s="384"/>
      <c r="G206" s="384"/>
      <c r="H206" s="384"/>
      <c r="I206" s="384"/>
      <c r="J206" s="384"/>
    </row>
    <row r="207" spans="1:10" s="383" customFormat="1" ht="16.5" hidden="1" thickBot="1">
      <c r="A207" s="50" t="s">
        <v>24</v>
      </c>
      <c r="B207" s="95">
        <v>111</v>
      </c>
      <c r="C207" s="206">
        <v>1287109</v>
      </c>
      <c r="D207" s="388">
        <v>3.0599999999999999E-2</v>
      </c>
      <c r="E207" s="168">
        <v>39385.535400000001</v>
      </c>
      <c r="F207" s="384"/>
      <c r="G207" s="123">
        <f>A204</f>
        <v>41487</v>
      </c>
      <c r="H207" s="384"/>
      <c r="I207" s="384"/>
      <c r="J207" s="384"/>
    </row>
    <row r="208" spans="1:10" s="383" customFormat="1" ht="16.5" hidden="1" thickBot="1">
      <c r="A208" s="50" t="s">
        <v>24</v>
      </c>
      <c r="B208" s="95">
        <v>112</v>
      </c>
      <c r="C208" s="206">
        <v>0</v>
      </c>
      <c r="D208" s="388"/>
      <c r="E208" s="168">
        <v>0</v>
      </c>
      <c r="F208" s="384"/>
      <c r="G208" s="113" t="s">
        <v>25</v>
      </c>
      <c r="H208" s="205"/>
      <c r="I208" s="126" t="s">
        <v>18</v>
      </c>
      <c r="J208" s="126" t="s">
        <v>19</v>
      </c>
    </row>
    <row r="209" spans="1:10" s="383" customFormat="1" ht="15.75" hidden="1">
      <c r="A209" s="50" t="s">
        <v>24</v>
      </c>
      <c r="B209" s="95">
        <v>121</v>
      </c>
      <c r="C209" s="206">
        <v>364418</v>
      </c>
      <c r="D209" s="388">
        <v>2.998E-2</v>
      </c>
      <c r="E209" s="168">
        <v>10925.25164</v>
      </c>
      <c r="F209" s="384"/>
      <c r="G209" s="151" t="s">
        <v>28</v>
      </c>
      <c r="H209" s="152" t="s">
        <v>75</v>
      </c>
      <c r="I209" s="152"/>
      <c r="J209" s="97">
        <f>IF(-E221&lt;0,-E221,0)</f>
        <v>0</v>
      </c>
    </row>
    <row r="210" spans="1:10" s="383" customFormat="1" ht="15.75" hidden="1">
      <c r="A210" s="50" t="s">
        <v>24</v>
      </c>
      <c r="B210" s="95">
        <v>122</v>
      </c>
      <c r="C210" s="206">
        <v>0</v>
      </c>
      <c r="D210" s="388"/>
      <c r="E210" s="168">
        <v>0</v>
      </c>
      <c r="F210" s="384"/>
      <c r="G210" s="153" t="s">
        <v>29</v>
      </c>
      <c r="H210" s="7" t="s">
        <v>76</v>
      </c>
      <c r="I210" s="7">
        <f>IF(-E221&gt;0,-E221,0)</f>
        <v>688.09</v>
      </c>
      <c r="J210" s="223"/>
    </row>
    <row r="211" spans="1:10" s="383" customFormat="1" ht="15.75" hidden="1">
      <c r="A211" s="50" t="s">
        <v>24</v>
      </c>
      <c r="B211" s="95">
        <v>131</v>
      </c>
      <c r="C211" s="206">
        <v>0</v>
      </c>
      <c r="D211" s="388">
        <v>5.7389999999999997E-2</v>
      </c>
      <c r="E211" s="168">
        <v>0</v>
      </c>
      <c r="F211" s="384"/>
      <c r="G211" s="153" t="s">
        <v>97</v>
      </c>
      <c r="H211" s="7" t="s">
        <v>26</v>
      </c>
      <c r="I211" s="8"/>
      <c r="J211" s="98">
        <f>-E219</f>
        <v>-119794.04529000001</v>
      </c>
    </row>
    <row r="212" spans="1:10" s="383" customFormat="1" ht="15.75" hidden="1">
      <c r="A212" s="50" t="s">
        <v>24</v>
      </c>
      <c r="B212" s="95">
        <v>132</v>
      </c>
      <c r="C212" s="206">
        <v>0</v>
      </c>
      <c r="D212" s="388"/>
      <c r="E212" s="168">
        <v>0</v>
      </c>
      <c r="F212" s="384"/>
      <c r="G212" s="153" t="s">
        <v>10</v>
      </c>
      <c r="H212" s="7" t="s">
        <v>17</v>
      </c>
      <c r="I212" s="7">
        <v>0</v>
      </c>
      <c r="J212" s="98"/>
    </row>
    <row r="213" spans="1:10" s="383" customFormat="1" ht="16.5" hidden="1" thickBot="1">
      <c r="A213" s="50" t="s">
        <v>24</v>
      </c>
      <c r="B213" s="95">
        <v>146</v>
      </c>
      <c r="C213" s="206">
        <v>1709756</v>
      </c>
      <c r="D213" s="238"/>
      <c r="E213" s="168">
        <v>0</v>
      </c>
      <c r="F213" s="384"/>
      <c r="G213" s="154" t="s">
        <v>98</v>
      </c>
      <c r="H213" s="147" t="s">
        <v>27</v>
      </c>
      <c r="I213" s="110">
        <f>-E201+E222</f>
        <v>119105.95529000001</v>
      </c>
      <c r="J213" s="107"/>
    </row>
    <row r="214" spans="1:10" s="383" customFormat="1" ht="15.75" hidden="1">
      <c r="A214" s="50" t="s">
        <v>151</v>
      </c>
      <c r="B214" s="95"/>
      <c r="C214" s="206"/>
      <c r="D214" s="121"/>
      <c r="E214" s="168">
        <v>0</v>
      </c>
      <c r="F214" s="384"/>
      <c r="G214" s="384"/>
      <c r="H214" s="384"/>
      <c r="I214" s="384"/>
      <c r="J214" s="337">
        <f>SUM(I209:J213)</f>
        <v>0</v>
      </c>
    </row>
    <row r="215" spans="1:10" s="383" customFormat="1" ht="15.75" hidden="1">
      <c r="A215" s="141" t="s">
        <v>143</v>
      </c>
      <c r="B215" s="95">
        <v>146</v>
      </c>
      <c r="C215" s="206"/>
      <c r="D215" s="121"/>
      <c r="E215" s="168">
        <v>0</v>
      </c>
      <c r="F215" s="384"/>
      <c r="G215" s="123"/>
      <c r="H215" s="7"/>
      <c r="I215" s="7"/>
      <c r="J215" s="7"/>
    </row>
    <row r="216" spans="1:10" s="383" customFormat="1" ht="15.75" hidden="1">
      <c r="A216" s="141" t="s">
        <v>105</v>
      </c>
      <c r="B216" s="95"/>
      <c r="C216" s="206"/>
      <c r="D216" s="121"/>
      <c r="E216" s="226">
        <v>0</v>
      </c>
      <c r="F216" s="384"/>
      <c r="G216" s="123"/>
      <c r="H216" s="7"/>
      <c r="I216" s="12"/>
      <c r="J216" s="12"/>
    </row>
    <row r="217" spans="1:10" s="383" customFormat="1" ht="16.5" hidden="1" thickBot="1">
      <c r="A217" s="50"/>
      <c r="B217" s="95"/>
      <c r="C217" s="159">
        <f>SUM(C206:C216)</f>
        <v>5407918</v>
      </c>
      <c r="D217" s="142"/>
      <c r="E217" s="207">
        <f>SUM(E206:E216)</f>
        <v>119794.04529000001</v>
      </c>
      <c r="F217" s="384"/>
      <c r="G217" s="123"/>
      <c r="H217" s="7"/>
      <c r="I217" s="7"/>
      <c r="J217" s="8"/>
    </row>
    <row r="218" spans="1:10" s="383" customFormat="1" ht="16.5" hidden="1" thickTop="1">
      <c r="A218" s="50"/>
      <c r="B218" s="95"/>
      <c r="C218" s="224">
        <v>5407918</v>
      </c>
      <c r="D218" s="142" t="s">
        <v>161</v>
      </c>
      <c r="E218" s="156">
        <v>0</v>
      </c>
      <c r="F218" s="384"/>
      <c r="G218" s="11"/>
      <c r="H218" s="7"/>
      <c r="I218" s="8"/>
      <c r="J218" s="7"/>
    </row>
    <row r="219" spans="1:10" s="383" customFormat="1" ht="16.5" hidden="1" thickBot="1">
      <c r="A219" s="50"/>
      <c r="B219" s="95"/>
      <c r="C219" s="230">
        <f>C218-C217</f>
        <v>0</v>
      </c>
      <c r="D219" s="142"/>
      <c r="E219" s="160">
        <f>SUM(E217:E218)</f>
        <v>119794.04529000001</v>
      </c>
      <c r="F219" s="384"/>
      <c r="G219" s="65" t="s">
        <v>158</v>
      </c>
      <c r="H219" s="7"/>
      <c r="I219" s="7"/>
      <c r="J219" s="7"/>
    </row>
    <row r="220" spans="1:10" s="383" customFormat="1" ht="16.5" hidden="1" thickTop="1">
      <c r="A220" s="384"/>
      <c r="B220" s="384"/>
      <c r="C220" s="384"/>
      <c r="D220" s="142" t="s">
        <v>87</v>
      </c>
      <c r="E220" s="50">
        <f>E219+E201</f>
        <v>-194166.18149590769</v>
      </c>
      <c r="F220" s="384"/>
      <c r="G220" s="8">
        <f>(E201*(D221/12))+(E219*(D221/24))</f>
        <v>-688.08784454829174</v>
      </c>
      <c r="H220" s="455"/>
      <c r="I220" s="455"/>
      <c r="J220" s="7"/>
    </row>
    <row r="221" spans="1:10" s="383" customFormat="1" ht="15.75" hidden="1">
      <c r="A221" s="384"/>
      <c r="B221" s="384"/>
      <c r="C221" s="50" t="s">
        <v>57</v>
      </c>
      <c r="D221" s="225">
        <v>3.2500000000000001E-2</v>
      </c>
      <c r="E221" s="119">
        <f>ROUND(((E201)+(SUM(E219))/2)*(D221/12),2)</f>
        <v>-688.09</v>
      </c>
      <c r="F221" s="384"/>
      <c r="G221" s="8"/>
      <c r="H221" s="7"/>
      <c r="I221" s="12"/>
      <c r="J221" s="12"/>
    </row>
    <row r="222" spans="1:10" s="383" customFormat="1" ht="15.75">
      <c r="A222" s="384"/>
      <c r="B222" s="384"/>
      <c r="C222" s="50" t="s">
        <v>1</v>
      </c>
      <c r="D222" s="90">
        <f>A204</f>
        <v>41487</v>
      </c>
      <c r="E222" s="50">
        <f>SUM(E220:E221)</f>
        <v>-194854.27149590768</v>
      </c>
      <c r="F222" s="384"/>
      <c r="G222" s="245"/>
    </row>
    <row r="223" spans="1:10" ht="15.75" thickBot="1"/>
    <row r="224" spans="1:10" s="383" customFormat="1" ht="15.75">
      <c r="A224" s="73" t="s">
        <v>141</v>
      </c>
      <c r="B224" s="78"/>
      <c r="C224" s="79"/>
      <c r="D224" s="80"/>
      <c r="E224" s="81"/>
      <c r="G224" s="5"/>
      <c r="H224" s="5"/>
      <c r="I224" s="48"/>
      <c r="J224" s="48"/>
    </row>
    <row r="225" spans="1:10" s="383" customFormat="1" ht="15.75">
      <c r="A225" s="219">
        <v>41518</v>
      </c>
      <c r="B225" s="137"/>
      <c r="C225" s="11"/>
      <c r="D225" s="138"/>
      <c r="E225" s="77"/>
      <c r="G225" s="5"/>
      <c r="H225" s="5"/>
      <c r="I225" s="48"/>
      <c r="J225" s="48"/>
    </row>
    <row r="226" spans="1:10" s="383" customFormat="1" ht="16.5" thickBot="1">
      <c r="A226" s="139"/>
      <c r="B226" s="140"/>
      <c r="C226" s="131" t="s">
        <v>21</v>
      </c>
      <c r="D226" s="131" t="s">
        <v>22</v>
      </c>
      <c r="E226" s="128" t="s">
        <v>23</v>
      </c>
      <c r="F226" s="384"/>
      <c r="G226" s="384"/>
      <c r="H226" s="384"/>
      <c r="I226" s="384"/>
      <c r="J226" s="384"/>
    </row>
    <row r="227" spans="1:10" s="383" customFormat="1" ht="15.75">
      <c r="A227" s="50" t="s">
        <v>24</v>
      </c>
      <c r="B227" s="95">
        <v>101</v>
      </c>
      <c r="C227" s="206">
        <v>2647538</v>
      </c>
      <c r="D227" s="388">
        <v>3.3950000000000001E-2</v>
      </c>
      <c r="E227" s="168">
        <v>89883.915099999998</v>
      </c>
      <c r="F227" s="384"/>
      <c r="G227" s="384"/>
      <c r="H227" s="384"/>
      <c r="I227" s="384"/>
      <c r="J227" s="384"/>
    </row>
    <row r="228" spans="1:10" s="383" customFormat="1" ht="16.5" thickBot="1">
      <c r="A228" s="50" t="s">
        <v>24</v>
      </c>
      <c r="B228" s="95">
        <v>111</v>
      </c>
      <c r="C228" s="206">
        <v>1599551</v>
      </c>
      <c r="D228" s="388">
        <v>3.0599999999999999E-2</v>
      </c>
      <c r="E228" s="168">
        <v>48946.260600000001</v>
      </c>
      <c r="F228" s="384"/>
      <c r="G228" s="123">
        <f>A225</f>
        <v>41518</v>
      </c>
      <c r="H228" s="384"/>
      <c r="I228" s="384"/>
      <c r="J228" s="384"/>
    </row>
    <row r="229" spans="1:10" s="383" customFormat="1" ht="16.5" thickBot="1">
      <c r="A229" s="50" t="s">
        <v>24</v>
      </c>
      <c r="B229" s="95">
        <v>112</v>
      </c>
      <c r="C229" s="206">
        <v>0</v>
      </c>
      <c r="D229" s="388"/>
      <c r="E229" s="168">
        <v>0</v>
      </c>
      <c r="F229" s="384"/>
      <c r="G229" s="113" t="s">
        <v>25</v>
      </c>
      <c r="H229" s="205"/>
      <c r="I229" s="126" t="s">
        <v>18</v>
      </c>
      <c r="J229" s="126" t="s">
        <v>19</v>
      </c>
    </row>
    <row r="230" spans="1:10" s="383" customFormat="1" ht="15.75">
      <c r="A230" s="50" t="s">
        <v>24</v>
      </c>
      <c r="B230" s="95">
        <v>121</v>
      </c>
      <c r="C230" s="206">
        <v>344046</v>
      </c>
      <c r="D230" s="388">
        <v>2.998E-2</v>
      </c>
      <c r="E230" s="168">
        <v>10314.49908</v>
      </c>
      <c r="F230" s="384"/>
      <c r="G230" s="151" t="s">
        <v>28</v>
      </c>
      <c r="H230" s="152" t="s">
        <v>75</v>
      </c>
      <c r="I230" s="152"/>
      <c r="J230" s="97">
        <f>IF(-E242&lt;0,-E242,0)</f>
        <v>0</v>
      </c>
    </row>
    <row r="231" spans="1:10" s="383" customFormat="1" ht="15.75">
      <c r="A231" s="50" t="s">
        <v>24</v>
      </c>
      <c r="B231" s="95">
        <v>122</v>
      </c>
      <c r="C231" s="206">
        <v>0</v>
      </c>
      <c r="D231" s="388"/>
      <c r="E231" s="168">
        <v>0</v>
      </c>
      <c r="F231" s="384"/>
      <c r="G231" s="153" t="s">
        <v>29</v>
      </c>
      <c r="H231" s="7" t="s">
        <v>76</v>
      </c>
      <c r="I231" s="7">
        <f>IF(-E242&gt;0,-E242,0)</f>
        <v>325.76</v>
      </c>
      <c r="J231" s="223"/>
    </row>
    <row r="232" spans="1:10" s="383" customFormat="1" ht="15.75">
      <c r="A232" s="50" t="s">
        <v>24</v>
      </c>
      <c r="B232" s="95">
        <v>131</v>
      </c>
      <c r="C232" s="206">
        <v>0</v>
      </c>
      <c r="D232" s="388">
        <v>5.7389999999999997E-2</v>
      </c>
      <c r="E232" s="168">
        <v>0</v>
      </c>
      <c r="F232" s="384"/>
      <c r="G232" s="153" t="s">
        <v>97</v>
      </c>
      <c r="H232" s="7" t="s">
        <v>26</v>
      </c>
      <c r="I232" s="8"/>
      <c r="J232" s="98">
        <f>-E240</f>
        <v>-149144.67478</v>
      </c>
    </row>
    <row r="233" spans="1:10" s="383" customFormat="1" ht="15.75">
      <c r="A233" s="50" t="s">
        <v>24</v>
      </c>
      <c r="B233" s="95">
        <v>132</v>
      </c>
      <c r="C233" s="206">
        <v>0</v>
      </c>
      <c r="D233" s="388"/>
      <c r="E233" s="168">
        <v>0</v>
      </c>
      <c r="F233" s="384"/>
      <c r="G233" s="153" t="s">
        <v>10</v>
      </c>
      <c r="H233" s="7" t="s">
        <v>17</v>
      </c>
      <c r="I233" s="7">
        <v>0</v>
      </c>
      <c r="J233" s="98"/>
    </row>
    <row r="234" spans="1:10" s="383" customFormat="1" ht="16.5" thickBot="1">
      <c r="A234" s="50" t="s">
        <v>24</v>
      </c>
      <c r="B234" s="95">
        <v>146</v>
      </c>
      <c r="C234" s="206">
        <v>1818699</v>
      </c>
      <c r="D234" s="238"/>
      <c r="E234" s="168">
        <v>0</v>
      </c>
      <c r="F234" s="384"/>
      <c r="G234" s="154" t="s">
        <v>98</v>
      </c>
      <c r="H234" s="147" t="s">
        <v>27</v>
      </c>
      <c r="I234" s="110">
        <f>-E222+E243</f>
        <v>148818.91477999999</v>
      </c>
      <c r="J234" s="107"/>
    </row>
    <row r="235" spans="1:10" s="383" customFormat="1" ht="15.75">
      <c r="A235" s="50" t="s">
        <v>151</v>
      </c>
      <c r="B235" s="95"/>
      <c r="C235" s="206"/>
      <c r="D235" s="121"/>
      <c r="E235" s="168">
        <v>0</v>
      </c>
      <c r="F235" s="384"/>
      <c r="G235" s="384"/>
      <c r="H235" s="384"/>
      <c r="I235" s="384"/>
      <c r="J235" s="337">
        <f>SUM(I230:J234)</f>
        <v>0</v>
      </c>
    </row>
    <row r="236" spans="1:10" s="383" customFormat="1" ht="15.75">
      <c r="A236" s="141" t="s">
        <v>143</v>
      </c>
      <c r="B236" s="95">
        <v>146</v>
      </c>
      <c r="C236" s="206"/>
      <c r="D236" s="121"/>
      <c r="E236" s="168">
        <v>0</v>
      </c>
      <c r="F236" s="384"/>
      <c r="G236" s="123"/>
      <c r="H236" s="7"/>
      <c r="I236" s="7"/>
      <c r="J236" s="7"/>
    </row>
    <row r="237" spans="1:10" s="383" customFormat="1" ht="15.75">
      <c r="A237" s="141" t="s">
        <v>105</v>
      </c>
      <c r="B237" s="95"/>
      <c r="C237" s="206"/>
      <c r="D237" s="121"/>
      <c r="E237" s="226">
        <v>0</v>
      </c>
      <c r="F237" s="384"/>
      <c r="G237" s="123"/>
      <c r="H237" s="7"/>
      <c r="I237" s="12"/>
      <c r="J237" s="12"/>
    </row>
    <row r="238" spans="1:10" s="383" customFormat="1" ht="16.5" thickBot="1">
      <c r="A238" s="50"/>
      <c r="B238" s="95"/>
      <c r="C238" s="159">
        <f>SUM(C227:C237)</f>
        <v>6409834</v>
      </c>
      <c r="D238" s="142"/>
      <c r="E238" s="207">
        <f>SUM(E227:E237)</f>
        <v>149144.67478</v>
      </c>
      <c r="F238" s="384"/>
      <c r="G238" s="123"/>
      <c r="H238" s="7"/>
      <c r="I238" s="7"/>
      <c r="J238" s="8"/>
    </row>
    <row r="239" spans="1:10" s="383" customFormat="1" ht="16.5" thickTop="1">
      <c r="A239" s="50"/>
      <c r="B239" s="95"/>
      <c r="C239" s="224">
        <v>6409834</v>
      </c>
      <c r="D239" s="142" t="s">
        <v>161</v>
      </c>
      <c r="E239" s="156">
        <v>0</v>
      </c>
      <c r="F239" s="384"/>
      <c r="G239" s="11"/>
      <c r="H239" s="7"/>
      <c r="I239" s="8"/>
      <c r="J239" s="7"/>
    </row>
    <row r="240" spans="1:10" s="383" customFormat="1" ht="16.5" thickBot="1">
      <c r="A240" s="50"/>
      <c r="B240" s="95"/>
      <c r="C240" s="230">
        <f>C239-C238</f>
        <v>0</v>
      </c>
      <c r="D240" s="142"/>
      <c r="E240" s="160">
        <f>SUM(E238:E239)</f>
        <v>149144.67478</v>
      </c>
      <c r="F240" s="384"/>
      <c r="G240" s="65" t="s">
        <v>158</v>
      </c>
      <c r="H240" s="7"/>
      <c r="I240" s="7"/>
      <c r="J240" s="7"/>
    </row>
    <row r="241" spans="1:10" s="383" customFormat="1" ht="16.5" thickTop="1">
      <c r="A241" s="384"/>
      <c r="B241" s="384"/>
      <c r="C241" s="384"/>
      <c r="D241" s="142" t="s">
        <v>87</v>
      </c>
      <c r="E241" s="50">
        <f>E240+E222</f>
        <v>-45709.596715907683</v>
      </c>
      <c r="F241" s="384"/>
      <c r="G241" s="8">
        <f>(E222*(D242/12))+(E240*(D242/24))</f>
        <v>-325.7635715368333</v>
      </c>
      <c r="H241" s="456"/>
      <c r="I241" s="456"/>
      <c r="J241" s="7"/>
    </row>
    <row r="242" spans="1:10" s="383" customFormat="1" ht="15.75">
      <c r="A242" s="384"/>
      <c r="B242" s="384"/>
      <c r="C242" s="50" t="s">
        <v>57</v>
      </c>
      <c r="D242" s="225">
        <v>3.2500000000000001E-2</v>
      </c>
      <c r="E242" s="119">
        <f>ROUND(((E222)+(SUM(E240))/2)*(D242/12),2)</f>
        <v>-325.76</v>
      </c>
      <c r="F242" s="384"/>
      <c r="G242" s="8"/>
      <c r="H242" s="7"/>
      <c r="I242" s="12"/>
      <c r="J242" s="12"/>
    </row>
    <row r="243" spans="1:10" s="383" customFormat="1" ht="15.75">
      <c r="A243" s="384"/>
      <c r="B243" s="384"/>
      <c r="C243" s="50" t="s">
        <v>1</v>
      </c>
      <c r="D243" s="90">
        <f>A225</f>
        <v>41518</v>
      </c>
      <c r="E243" s="50">
        <f>SUM(E241:E242)</f>
        <v>-46035.356715907685</v>
      </c>
      <c r="F243" s="384"/>
      <c r="G243" s="245"/>
    </row>
    <row r="244" spans="1:10" ht="15.75" thickBot="1"/>
    <row r="245" spans="1:10" s="383" customFormat="1" ht="15.75">
      <c r="A245" s="73" t="s">
        <v>141</v>
      </c>
      <c r="B245" s="78"/>
      <c r="C245" s="79"/>
      <c r="D245" s="80"/>
      <c r="E245" s="81"/>
      <c r="G245" s="5"/>
      <c r="H245" s="5"/>
      <c r="I245" s="48"/>
      <c r="J245" s="48"/>
    </row>
    <row r="246" spans="1:10" s="383" customFormat="1" ht="15.75">
      <c r="A246" s="219">
        <v>41578</v>
      </c>
      <c r="B246" s="137"/>
      <c r="C246" s="11"/>
      <c r="D246" s="138"/>
      <c r="E246" s="77"/>
      <c r="G246" s="5"/>
      <c r="H246" s="5"/>
      <c r="I246" s="48"/>
      <c r="J246" s="48"/>
    </row>
    <row r="247" spans="1:10" s="383" customFormat="1" ht="16.5" thickBot="1">
      <c r="A247" s="139"/>
      <c r="B247" s="140"/>
      <c r="C247" s="131" t="s">
        <v>21</v>
      </c>
      <c r="D247" s="131" t="s">
        <v>22</v>
      </c>
      <c r="E247" s="128" t="s">
        <v>23</v>
      </c>
      <c r="F247" s="384"/>
      <c r="G247" s="384"/>
      <c r="H247" s="384"/>
      <c r="I247" s="384"/>
      <c r="J247" s="384"/>
    </row>
    <row r="248" spans="1:10" s="383" customFormat="1" ht="15.75">
      <c r="A248" s="50" t="s">
        <v>24</v>
      </c>
      <c r="B248" s="95">
        <v>101</v>
      </c>
      <c r="C248" s="206">
        <v>9244353</v>
      </c>
      <c r="D248" s="388">
        <v>3.3950000000000001E-2</v>
      </c>
      <c r="E248" s="168">
        <v>313845.78435000003</v>
      </c>
      <c r="F248" s="384"/>
      <c r="G248" s="384"/>
      <c r="H248" s="384"/>
      <c r="I248" s="384"/>
      <c r="J248" s="384"/>
    </row>
    <row r="249" spans="1:10" s="383" customFormat="1" ht="16.5" thickBot="1">
      <c r="A249" s="50" t="s">
        <v>24</v>
      </c>
      <c r="B249" s="95">
        <v>111</v>
      </c>
      <c r="C249" s="206">
        <v>3880001</v>
      </c>
      <c r="D249" s="388">
        <v>3.0599999999999999E-2</v>
      </c>
      <c r="E249" s="168">
        <v>118728.0306</v>
      </c>
      <c r="F249" s="384"/>
      <c r="G249" s="123">
        <f>A246</f>
        <v>41578</v>
      </c>
      <c r="H249" s="384"/>
      <c r="I249" s="384"/>
      <c r="J249" s="384"/>
    </row>
    <row r="250" spans="1:10" s="383" customFormat="1" ht="16.5" thickBot="1">
      <c r="A250" s="50" t="s">
        <v>24</v>
      </c>
      <c r="B250" s="95">
        <v>112</v>
      </c>
      <c r="C250" s="206">
        <v>0</v>
      </c>
      <c r="D250" s="388"/>
      <c r="E250" s="168">
        <v>0</v>
      </c>
      <c r="F250" s="384"/>
      <c r="G250" s="113" t="s">
        <v>25</v>
      </c>
      <c r="H250" s="205"/>
      <c r="I250" s="126" t="s">
        <v>18</v>
      </c>
      <c r="J250" s="126" t="s">
        <v>19</v>
      </c>
    </row>
    <row r="251" spans="1:10" s="383" customFormat="1" ht="15.75">
      <c r="A251" s="50" t="s">
        <v>24</v>
      </c>
      <c r="B251" s="95">
        <v>121</v>
      </c>
      <c r="C251" s="206">
        <v>595792</v>
      </c>
      <c r="D251" s="388">
        <v>2.998E-2</v>
      </c>
      <c r="E251" s="168">
        <v>17861.844160000001</v>
      </c>
      <c r="F251" s="384"/>
      <c r="G251" s="151" t="s">
        <v>28</v>
      </c>
      <c r="H251" s="152" t="s">
        <v>75</v>
      </c>
      <c r="I251" s="152"/>
      <c r="J251" s="97">
        <f>IF(-E263&lt;0,-E263,0)</f>
        <v>-485.29</v>
      </c>
    </row>
    <row r="252" spans="1:10" s="383" customFormat="1" ht="15.75">
      <c r="A252" s="50" t="s">
        <v>24</v>
      </c>
      <c r="B252" s="95">
        <v>122</v>
      </c>
      <c r="C252" s="206">
        <v>0</v>
      </c>
      <c r="D252" s="388"/>
      <c r="E252" s="168">
        <v>0</v>
      </c>
      <c r="F252" s="384"/>
      <c r="G252" s="153" t="s">
        <v>29</v>
      </c>
      <c r="H252" s="7" t="s">
        <v>76</v>
      </c>
      <c r="I252" s="7">
        <f>IF(-E263&gt;0,-E263,0)</f>
        <v>0</v>
      </c>
      <c r="J252" s="223"/>
    </row>
    <row r="253" spans="1:10" s="383" customFormat="1" ht="15.75">
      <c r="A253" s="50" t="s">
        <v>24</v>
      </c>
      <c r="B253" s="95">
        <v>131</v>
      </c>
      <c r="C253" s="206">
        <v>0</v>
      </c>
      <c r="D253" s="388">
        <v>5.7389999999999997E-2</v>
      </c>
      <c r="E253" s="168">
        <v>0</v>
      </c>
      <c r="F253" s="384"/>
      <c r="G253" s="153" t="s">
        <v>97</v>
      </c>
      <c r="H253" s="7" t="s">
        <v>26</v>
      </c>
      <c r="I253" s="8"/>
      <c r="J253" s="98">
        <f>-E261</f>
        <v>-450435.65911000001</v>
      </c>
    </row>
    <row r="254" spans="1:10" s="383" customFormat="1" ht="15.75">
      <c r="A254" s="50" t="s">
        <v>24</v>
      </c>
      <c r="B254" s="95">
        <v>132</v>
      </c>
      <c r="C254" s="206">
        <v>0</v>
      </c>
      <c r="D254" s="388"/>
      <c r="E254" s="168">
        <v>0</v>
      </c>
      <c r="F254" s="384"/>
      <c r="G254" s="153" t="s">
        <v>10</v>
      </c>
      <c r="H254" s="7" t="s">
        <v>17</v>
      </c>
      <c r="I254" s="7">
        <v>0</v>
      </c>
      <c r="J254" s="98"/>
    </row>
    <row r="255" spans="1:10" s="383" customFormat="1" ht="16.5" thickBot="1">
      <c r="A255" s="50" t="s">
        <v>24</v>
      </c>
      <c r="B255" s="95">
        <v>146</v>
      </c>
      <c r="C255" s="206">
        <v>2531895</v>
      </c>
      <c r="D255" s="238"/>
      <c r="E255" s="168">
        <v>0</v>
      </c>
      <c r="F255" s="384"/>
      <c r="G255" s="154" t="s">
        <v>98</v>
      </c>
      <c r="H255" s="147" t="s">
        <v>27</v>
      </c>
      <c r="I255" s="110">
        <f>-E243+E264</f>
        <v>450920.94910999999</v>
      </c>
      <c r="J255" s="107"/>
    </row>
    <row r="256" spans="1:10" s="383" customFormat="1" ht="15.75">
      <c r="A256" s="50" t="s">
        <v>151</v>
      </c>
      <c r="B256" s="95"/>
      <c r="C256" s="206"/>
      <c r="D256" s="121"/>
      <c r="E256" s="168">
        <v>0</v>
      </c>
      <c r="F256" s="384"/>
      <c r="G256" s="384"/>
      <c r="H256" s="384"/>
      <c r="I256" s="384"/>
      <c r="J256" s="337">
        <f>SUM(I251:J255)</f>
        <v>0</v>
      </c>
    </row>
    <row r="257" spans="1:10" s="383" customFormat="1" ht="15.75">
      <c r="A257" s="141" t="s">
        <v>143</v>
      </c>
      <c r="B257" s="95">
        <v>146</v>
      </c>
      <c r="C257" s="206"/>
      <c r="D257" s="121"/>
      <c r="E257" s="168">
        <v>0</v>
      </c>
      <c r="F257" s="384"/>
      <c r="G257" s="123"/>
      <c r="H257" s="7"/>
      <c r="I257" s="7"/>
      <c r="J257" s="7"/>
    </row>
    <row r="258" spans="1:10" s="383" customFormat="1" ht="15.75">
      <c r="A258" s="141" t="s">
        <v>105</v>
      </c>
      <c r="B258" s="95"/>
      <c r="C258" s="206"/>
      <c r="D258" s="121"/>
      <c r="E258" s="226">
        <v>0</v>
      </c>
      <c r="F258" s="384"/>
      <c r="G258" s="123"/>
      <c r="H258" s="7"/>
      <c r="I258" s="12"/>
      <c r="J258" s="12"/>
    </row>
    <row r="259" spans="1:10" s="383" customFormat="1" ht="16.5" thickBot="1">
      <c r="A259" s="50"/>
      <c r="B259" s="95"/>
      <c r="C259" s="159">
        <f>SUM(C248:C258)</f>
        <v>16252041</v>
      </c>
      <c r="D259" s="142"/>
      <c r="E259" s="207">
        <f>SUM(E248:E258)</f>
        <v>450435.65911000001</v>
      </c>
      <c r="F259" s="384"/>
      <c r="G259" s="123"/>
      <c r="H259" s="7"/>
      <c r="I259" s="7"/>
      <c r="J259" s="8"/>
    </row>
    <row r="260" spans="1:10" s="383" customFormat="1" ht="16.5" thickTop="1">
      <c r="A260" s="50"/>
      <c r="B260" s="95"/>
      <c r="C260" s="224">
        <v>16252041</v>
      </c>
      <c r="D260" s="142" t="s">
        <v>161</v>
      </c>
      <c r="E260" s="156">
        <v>0</v>
      </c>
      <c r="F260" s="384"/>
      <c r="G260" s="11"/>
      <c r="H260" s="7"/>
      <c r="I260" s="8"/>
      <c r="J260" s="7"/>
    </row>
    <row r="261" spans="1:10" s="383" customFormat="1" ht="16.5" thickBot="1">
      <c r="A261" s="50"/>
      <c r="B261" s="95"/>
      <c r="C261" s="230">
        <f>C260-C259</f>
        <v>0</v>
      </c>
      <c r="D261" s="142"/>
      <c r="E261" s="160">
        <f>SUM(E259:E260)</f>
        <v>450435.65911000001</v>
      </c>
      <c r="F261" s="384"/>
      <c r="G261" s="65" t="s">
        <v>158</v>
      </c>
      <c r="H261" s="7"/>
      <c r="I261" s="7"/>
      <c r="J261" s="7"/>
    </row>
    <row r="262" spans="1:10" s="383" customFormat="1" ht="16.5" thickTop="1">
      <c r="A262" s="384"/>
      <c r="B262" s="384"/>
      <c r="C262" s="384"/>
      <c r="D262" s="142" t="s">
        <v>87</v>
      </c>
      <c r="E262" s="50">
        <f>E261+E243</f>
        <v>404400.30239409232</v>
      </c>
      <c r="F262" s="384"/>
      <c r="G262" s="8">
        <f>(E243*(D263/12))+(E261*(D263/24))</f>
        <v>485.28586393920841</v>
      </c>
      <c r="H262" s="457"/>
      <c r="I262" s="457"/>
      <c r="J262" s="7"/>
    </row>
    <row r="263" spans="1:10" s="383" customFormat="1" ht="15.75">
      <c r="A263" s="384"/>
      <c r="B263" s="384"/>
      <c r="C263" s="50" t="s">
        <v>57</v>
      </c>
      <c r="D263" s="225">
        <v>3.2500000000000001E-2</v>
      </c>
      <c r="E263" s="119">
        <f>ROUND(((E243)+(SUM(E261))/2)*(D263/12),2)</f>
        <v>485.29</v>
      </c>
      <c r="F263" s="384"/>
      <c r="G263" s="8"/>
      <c r="H263" s="7"/>
      <c r="I263" s="12"/>
      <c r="J263" s="12"/>
    </row>
    <row r="264" spans="1:10" s="383" customFormat="1" ht="15.75">
      <c r="A264" s="384"/>
      <c r="B264" s="384"/>
      <c r="C264" s="50" t="s">
        <v>1</v>
      </c>
      <c r="D264" s="90">
        <f>A246</f>
        <v>41578</v>
      </c>
      <c r="E264" s="50">
        <f>SUM(E262:E263)</f>
        <v>404885.59239409229</v>
      </c>
      <c r="F264" s="384"/>
      <c r="G264" s="245"/>
    </row>
    <row r="265" spans="1:10" s="383" customFormat="1" ht="15.75">
      <c r="A265" s="384"/>
      <c r="B265" s="384"/>
      <c r="C265" s="50"/>
      <c r="D265" s="442" t="s">
        <v>230</v>
      </c>
      <c r="E265" s="64">
        <f>-'WA Def 191010'!C109</f>
        <v>1145801.7486667871</v>
      </c>
      <c r="F265" s="384"/>
      <c r="G265" s="245"/>
    </row>
    <row r="266" spans="1:10" s="383" customFormat="1" ht="16.5" thickBot="1">
      <c r="A266" s="384"/>
      <c r="B266" s="384"/>
      <c r="C266" s="50"/>
      <c r="D266" s="442" t="s">
        <v>231</v>
      </c>
      <c r="E266" s="160">
        <f>E265+E264</f>
        <v>1550687.3410608794</v>
      </c>
      <c r="F266" s="384"/>
      <c r="G266" s="245"/>
    </row>
    <row r="267" spans="1:10" s="383" customFormat="1" ht="16.5" thickTop="1" thickBot="1"/>
    <row r="268" spans="1:10" s="383" customFormat="1" ht="15.75">
      <c r="A268" s="73" t="s">
        <v>141</v>
      </c>
      <c r="B268" s="78"/>
      <c r="C268" s="79"/>
      <c r="D268" s="80"/>
      <c r="E268" s="81"/>
      <c r="G268" s="5"/>
      <c r="H268" s="5"/>
      <c r="I268" s="48"/>
      <c r="J268" s="48"/>
    </row>
    <row r="269" spans="1:10" s="383" customFormat="1" ht="15.75">
      <c r="A269" s="219">
        <v>41608</v>
      </c>
      <c r="B269" s="137"/>
      <c r="C269" s="11"/>
      <c r="D269" s="138"/>
      <c r="E269" s="77"/>
      <c r="G269" s="5"/>
      <c r="H269" s="5"/>
      <c r="I269" s="48"/>
      <c r="J269" s="48"/>
    </row>
    <row r="270" spans="1:10" s="383" customFormat="1" ht="16.5" thickBot="1">
      <c r="A270" s="139"/>
      <c r="B270" s="140"/>
      <c r="C270" s="131" t="s">
        <v>21</v>
      </c>
      <c r="D270" s="131" t="s">
        <v>22</v>
      </c>
      <c r="E270" s="128" t="s">
        <v>23</v>
      </c>
      <c r="F270" s="384"/>
      <c r="G270" s="384"/>
      <c r="H270" s="384"/>
      <c r="I270" s="384"/>
      <c r="J270" s="384"/>
    </row>
    <row r="271" spans="1:10" s="383" customFormat="1" ht="15.75">
      <c r="A271" s="50" t="s">
        <v>24</v>
      </c>
      <c r="B271" s="95">
        <v>101</v>
      </c>
      <c r="C271" s="206">
        <v>15070678</v>
      </c>
      <c r="D271" s="388" t="s">
        <v>187</v>
      </c>
      <c r="E271" s="168">
        <v>-28858.639999999999</v>
      </c>
      <c r="F271" s="384"/>
      <c r="G271" s="384"/>
      <c r="H271" s="384"/>
      <c r="I271" s="384"/>
      <c r="J271" s="384"/>
    </row>
    <row r="272" spans="1:10" s="383" customFormat="1" ht="16.5" thickBot="1">
      <c r="A272" s="50" t="s">
        <v>24</v>
      </c>
      <c r="B272" s="95">
        <v>111</v>
      </c>
      <c r="C272" s="206">
        <v>5651303</v>
      </c>
      <c r="D272" s="388" t="s">
        <v>187</v>
      </c>
      <c r="E272" s="168">
        <v>-36478.370000000003</v>
      </c>
      <c r="F272" s="384"/>
      <c r="G272" s="123">
        <f>A269</f>
        <v>41608</v>
      </c>
      <c r="H272" s="384"/>
      <c r="I272" s="384"/>
      <c r="J272" s="384"/>
    </row>
    <row r="273" spans="1:10" s="383" customFormat="1" ht="16.5" thickBot="1">
      <c r="A273" s="50" t="s">
        <v>24</v>
      </c>
      <c r="B273" s="95">
        <v>112</v>
      </c>
      <c r="C273" s="206">
        <v>0</v>
      </c>
      <c r="D273" s="388" t="s">
        <v>187</v>
      </c>
      <c r="E273" s="168">
        <v>0</v>
      </c>
      <c r="F273" s="384"/>
      <c r="G273" s="113" t="s">
        <v>25</v>
      </c>
      <c r="H273" s="205"/>
      <c r="I273" s="126" t="s">
        <v>18</v>
      </c>
      <c r="J273" s="126" t="s">
        <v>19</v>
      </c>
    </row>
    <row r="274" spans="1:10" s="383" customFormat="1" ht="15.75">
      <c r="A274" s="50" t="s">
        <v>24</v>
      </c>
      <c r="B274" s="95">
        <v>121</v>
      </c>
      <c r="C274" s="206">
        <v>396185</v>
      </c>
      <c r="D274" s="388" t="s">
        <v>187</v>
      </c>
      <c r="E274" s="168">
        <v>-16940.830000000002</v>
      </c>
      <c r="F274" s="384"/>
      <c r="G274" s="151" t="s">
        <v>28</v>
      </c>
      <c r="H274" s="152" t="s">
        <v>75</v>
      </c>
      <c r="I274" s="467"/>
      <c r="J274" s="468">
        <f>IF(-E286&lt;0,-E286,0)</f>
        <v>-4107.12</v>
      </c>
    </row>
    <row r="275" spans="1:10" s="383" customFormat="1" ht="15.75">
      <c r="A275" s="50" t="s">
        <v>24</v>
      </c>
      <c r="B275" s="95">
        <v>122</v>
      </c>
      <c r="C275" s="206">
        <v>0</v>
      </c>
      <c r="D275" s="388" t="s">
        <v>187</v>
      </c>
      <c r="E275" s="168">
        <v>0</v>
      </c>
      <c r="F275" s="384"/>
      <c r="G275" s="153" t="s">
        <v>29</v>
      </c>
      <c r="H275" s="7" t="s">
        <v>76</v>
      </c>
      <c r="I275" s="469">
        <f>IF(-E286&gt;0,-E286,0)</f>
        <v>0</v>
      </c>
      <c r="J275" s="459"/>
    </row>
    <row r="276" spans="1:10" s="383" customFormat="1" ht="15.75">
      <c r="A276" s="50" t="s">
        <v>24</v>
      </c>
      <c r="B276" s="95">
        <v>131</v>
      </c>
      <c r="C276" s="206">
        <v>0</v>
      </c>
      <c r="D276" s="388" t="s">
        <v>187</v>
      </c>
      <c r="E276" s="168">
        <v>0</v>
      </c>
      <c r="F276" s="384"/>
      <c r="G276" s="153" t="s">
        <v>97</v>
      </c>
      <c r="H276" s="7" t="s">
        <v>26</v>
      </c>
      <c r="I276" s="469">
        <f>IF(-E284&gt;0,-E284,0)</f>
        <v>68424.86</v>
      </c>
      <c r="J276" s="459">
        <f>IF(-E284&lt;0,-E284,0)</f>
        <v>0</v>
      </c>
    </row>
    <row r="277" spans="1:10" s="383" customFormat="1" ht="15.75">
      <c r="A277" s="50" t="s">
        <v>24</v>
      </c>
      <c r="B277" s="95">
        <v>132</v>
      </c>
      <c r="C277" s="206">
        <v>0</v>
      </c>
      <c r="D277" s="388" t="s">
        <v>187</v>
      </c>
      <c r="E277" s="168">
        <v>0</v>
      </c>
      <c r="F277" s="384"/>
      <c r="G277" s="153" t="s">
        <v>10</v>
      </c>
      <c r="H277" s="7" t="s">
        <v>17</v>
      </c>
      <c r="I277" s="469"/>
      <c r="J277" s="459"/>
    </row>
    <row r="278" spans="1:10" s="383" customFormat="1" ht="16.5" thickBot="1">
      <c r="A278" s="50" t="s">
        <v>24</v>
      </c>
      <c r="B278" s="95">
        <v>146</v>
      </c>
      <c r="C278" s="206">
        <v>2936207</v>
      </c>
      <c r="D278" s="388" t="s">
        <v>187</v>
      </c>
      <c r="E278" s="168">
        <v>0</v>
      </c>
      <c r="F278" s="384"/>
      <c r="G278" s="154" t="s">
        <v>98</v>
      </c>
      <c r="H278" s="147" t="s">
        <v>27</v>
      </c>
      <c r="I278" s="461">
        <f>IF(-(E266-E287)&lt;0,0,-(E266-E287))</f>
        <v>0</v>
      </c>
      <c r="J278" s="470">
        <f>IF(-(E266-E287)&gt;0,0,-(E266-E287))</f>
        <v>-64317.739999999991</v>
      </c>
    </row>
    <row r="279" spans="1:10" s="383" customFormat="1" ht="15.75">
      <c r="A279" s="50" t="s">
        <v>151</v>
      </c>
      <c r="B279" s="95"/>
      <c r="C279" s="206"/>
      <c r="D279" s="388"/>
      <c r="E279" s="168">
        <v>0</v>
      </c>
      <c r="F279" s="384"/>
      <c r="G279" s="384"/>
      <c r="H279" s="384"/>
      <c r="I279" s="384"/>
      <c r="J279" s="337">
        <f>SUM(I274:J278)</f>
        <v>0</v>
      </c>
    </row>
    <row r="280" spans="1:10" s="383" customFormat="1" ht="15.75">
      <c r="A280" s="141" t="s">
        <v>143</v>
      </c>
      <c r="B280" s="95">
        <v>146</v>
      </c>
      <c r="C280" s="206"/>
      <c r="D280" s="121"/>
      <c r="E280" s="168">
        <v>0</v>
      </c>
      <c r="F280" s="384"/>
      <c r="G280" s="123"/>
      <c r="H280" s="7"/>
      <c r="I280" s="7"/>
      <c r="J280" s="7"/>
    </row>
    <row r="281" spans="1:10" s="383" customFormat="1" ht="15.75">
      <c r="A281" s="141" t="s">
        <v>105</v>
      </c>
      <c r="B281" s="95"/>
      <c r="C281" s="206"/>
      <c r="D281" s="121"/>
      <c r="E281" s="226">
        <v>13852.98</v>
      </c>
      <c r="F281" s="384"/>
      <c r="G281" s="123"/>
      <c r="H281" s="7"/>
      <c r="I281" s="12"/>
      <c r="J281" s="12"/>
    </row>
    <row r="282" spans="1:10" s="383" customFormat="1" ht="16.5" thickBot="1">
      <c r="A282" s="50"/>
      <c r="B282" s="95"/>
      <c r="C282" s="159">
        <f>SUM(C271:C281)</f>
        <v>24054373</v>
      </c>
      <c r="D282" s="142"/>
      <c r="E282" s="207">
        <f>SUM(E271:E281)</f>
        <v>-68424.86</v>
      </c>
      <c r="F282" s="384">
        <f>SUM(E271:E274)</f>
        <v>-82277.84</v>
      </c>
      <c r="G282" s="123"/>
      <c r="H282" s="7"/>
      <c r="I282" s="7"/>
      <c r="J282" s="8"/>
    </row>
    <row r="283" spans="1:10" s="383" customFormat="1" ht="16.5" thickTop="1">
      <c r="A283" s="50"/>
      <c r="B283" s="95"/>
      <c r="C283" s="224">
        <v>24054373</v>
      </c>
      <c r="D283" s="142" t="s">
        <v>161</v>
      </c>
      <c r="E283" s="156">
        <v>0</v>
      </c>
      <c r="F283" s="384"/>
      <c r="G283" s="11"/>
      <c r="H283" s="7"/>
      <c r="I283" s="8"/>
      <c r="J283" s="7"/>
    </row>
    <row r="284" spans="1:10" s="383" customFormat="1" ht="16.5" thickBot="1">
      <c r="A284" s="50"/>
      <c r="B284" s="95"/>
      <c r="C284" s="230">
        <f>C283-C282</f>
        <v>0</v>
      </c>
      <c r="D284" s="142"/>
      <c r="E284" s="160">
        <f>SUM(E282:E283)</f>
        <v>-68424.86</v>
      </c>
      <c r="F284" s="384"/>
      <c r="G284" s="65" t="s">
        <v>158</v>
      </c>
      <c r="H284" s="7"/>
      <c r="I284" s="7"/>
      <c r="J284" s="7"/>
    </row>
    <row r="285" spans="1:10" s="383" customFormat="1" ht="16.5" thickTop="1">
      <c r="A285" s="384"/>
      <c r="B285" s="384"/>
      <c r="C285" s="384"/>
      <c r="D285" s="142" t="s">
        <v>87</v>
      </c>
      <c r="E285" s="50">
        <f>E284+E266</f>
        <v>1482262.4810608793</v>
      </c>
      <c r="F285" s="384"/>
      <c r="G285" s="8">
        <f>(E266*(D286/12))+(E284*(D286/24))</f>
        <v>4107.1195507898819</v>
      </c>
      <c r="H285" s="465"/>
      <c r="I285" s="465"/>
      <c r="J285" s="7"/>
    </row>
    <row r="286" spans="1:10" s="383" customFormat="1" ht="15.75">
      <c r="A286" s="384"/>
      <c r="B286" s="384"/>
      <c r="C286" s="50" t="s">
        <v>57</v>
      </c>
      <c r="D286" s="225">
        <v>3.2500000000000001E-2</v>
      </c>
      <c r="E286" s="119">
        <f>ROUND(((E266)+(SUM(E284))/2)*(D286/12),2)</f>
        <v>4107.12</v>
      </c>
      <c r="F286" s="384"/>
      <c r="G286" s="8"/>
      <c r="H286" s="7"/>
      <c r="I286" s="12"/>
      <c r="J286" s="12"/>
    </row>
    <row r="287" spans="1:10" s="383" customFormat="1" ht="15.75">
      <c r="A287" s="384"/>
      <c r="B287" s="384"/>
      <c r="C287" s="50" t="s">
        <v>1</v>
      </c>
      <c r="D287" s="90">
        <f>A269</f>
        <v>41608</v>
      </c>
      <c r="E287" s="50">
        <f>SUM(E285:E286)</f>
        <v>1486369.6010608794</v>
      </c>
      <c r="F287" s="384"/>
      <c r="G287" s="245"/>
    </row>
    <row r="288" spans="1:10" s="383" customFormat="1" ht="15.75" thickBot="1"/>
    <row r="289" spans="1:10" s="383" customFormat="1" ht="15.75">
      <c r="A289" s="73" t="s">
        <v>141</v>
      </c>
      <c r="B289" s="78"/>
      <c r="C289" s="79"/>
      <c r="D289" s="80"/>
      <c r="E289" s="81"/>
      <c r="G289" s="5"/>
      <c r="H289" s="5"/>
      <c r="I289" s="48"/>
      <c r="J289" s="48"/>
    </row>
    <row r="290" spans="1:10" s="383" customFormat="1" ht="15.75">
      <c r="A290" s="219">
        <f>EOMONTH(A269,1)</f>
        <v>41639</v>
      </c>
      <c r="B290" s="137"/>
      <c r="C290" s="11"/>
      <c r="D290" s="138"/>
      <c r="E290" s="77"/>
      <c r="G290" s="5"/>
      <c r="H290" s="5"/>
      <c r="I290" s="48"/>
      <c r="J290" s="48"/>
    </row>
    <row r="291" spans="1:10" s="383" customFormat="1" ht="16.5" thickBot="1">
      <c r="A291" s="139"/>
      <c r="B291" s="140"/>
      <c r="C291" s="131" t="s">
        <v>21</v>
      </c>
      <c r="D291" s="131" t="s">
        <v>22</v>
      </c>
      <c r="E291" s="128" t="s">
        <v>23</v>
      </c>
      <c r="F291" s="384"/>
      <c r="G291" s="384"/>
      <c r="H291" s="384"/>
      <c r="I291" s="384"/>
      <c r="J291" s="384"/>
    </row>
    <row r="292" spans="1:10" s="383" customFormat="1" ht="15.75">
      <c r="A292" s="50" t="s">
        <v>24</v>
      </c>
      <c r="B292" s="95">
        <v>101</v>
      </c>
      <c r="C292" s="206">
        <f>Jan!$G$23</f>
        <v>20257484</v>
      </c>
      <c r="D292" s="388" t="s">
        <v>187</v>
      </c>
      <c r="E292" s="168">
        <v>-56737.25</v>
      </c>
      <c r="F292" s="384"/>
      <c r="G292" s="384"/>
      <c r="H292" s="384"/>
      <c r="I292" s="384"/>
      <c r="J292" s="384"/>
    </row>
    <row r="293" spans="1:10" s="383" customFormat="1" ht="16.5" thickBot="1">
      <c r="A293" s="50" t="s">
        <v>24</v>
      </c>
      <c r="B293" s="95">
        <v>111</v>
      </c>
      <c r="C293" s="206">
        <f>Jan!$G$25</f>
        <v>6608892</v>
      </c>
      <c r="D293" s="388" t="s">
        <v>187</v>
      </c>
      <c r="E293" s="168">
        <v>-36348.93</v>
      </c>
      <c r="F293" s="384"/>
      <c r="G293" s="123">
        <f>A290</f>
        <v>41639</v>
      </c>
      <c r="H293" s="384"/>
      <c r="I293" s="384"/>
      <c r="J293" s="384"/>
    </row>
    <row r="294" spans="1:10" s="383" customFormat="1" ht="16.5" thickBot="1">
      <c r="A294" s="50" t="s">
        <v>24</v>
      </c>
      <c r="B294" s="95">
        <v>112</v>
      </c>
      <c r="C294" s="206">
        <f>Jan!$G$26</f>
        <v>10558</v>
      </c>
      <c r="D294" s="388" t="s">
        <v>187</v>
      </c>
      <c r="E294" s="168">
        <v>0</v>
      </c>
      <c r="F294" s="384"/>
      <c r="G294" s="113" t="s">
        <v>25</v>
      </c>
      <c r="H294" s="205"/>
      <c r="I294" s="126" t="s">
        <v>18</v>
      </c>
      <c r="J294" s="126" t="s">
        <v>19</v>
      </c>
    </row>
    <row r="295" spans="1:10" s="383" customFormat="1" ht="15.75">
      <c r="A295" s="50" t="s">
        <v>24</v>
      </c>
      <c r="B295" s="95">
        <v>121</v>
      </c>
      <c r="C295" s="206">
        <f>Jan!$G$27</f>
        <v>362835</v>
      </c>
      <c r="D295" s="388" t="s">
        <v>187</v>
      </c>
      <c r="E295" s="168">
        <v>-8844.16</v>
      </c>
      <c r="F295" s="384"/>
      <c r="G295" s="151" t="s">
        <v>28</v>
      </c>
      <c r="H295" s="152" t="s">
        <v>75</v>
      </c>
      <c r="I295" s="467"/>
      <c r="J295" s="468">
        <f>IF(-E307&lt;0,-E307,0)</f>
        <v>-3887.55</v>
      </c>
    </row>
    <row r="296" spans="1:10" s="383" customFormat="1" ht="15.75">
      <c r="A296" s="50" t="s">
        <v>24</v>
      </c>
      <c r="B296" s="95">
        <v>122</v>
      </c>
      <c r="C296" s="206">
        <v>0</v>
      </c>
      <c r="D296" s="388" t="s">
        <v>187</v>
      </c>
      <c r="E296" s="168">
        <v>0</v>
      </c>
      <c r="F296" s="384"/>
      <c r="G296" s="153" t="s">
        <v>29</v>
      </c>
      <c r="H296" s="7" t="s">
        <v>76</v>
      </c>
      <c r="I296" s="469">
        <f>IF(-E307&gt;0,-E307,0)</f>
        <v>0</v>
      </c>
      <c r="J296" s="459"/>
    </row>
    <row r="297" spans="1:10" s="383" customFormat="1" ht="15.75">
      <c r="A297" s="50" t="s">
        <v>24</v>
      </c>
      <c r="B297" s="95">
        <v>131</v>
      </c>
      <c r="C297" s="206">
        <f>Jan!$G$29</f>
        <v>0</v>
      </c>
      <c r="D297" s="388" t="s">
        <v>187</v>
      </c>
      <c r="E297" s="168">
        <v>0</v>
      </c>
      <c r="F297" s="384"/>
      <c r="G297" s="153" t="s">
        <v>97</v>
      </c>
      <c r="H297" s="7" t="s">
        <v>26</v>
      </c>
      <c r="I297" s="469">
        <f>IF(-E305&gt;0,-E305,0)</f>
        <v>101930.34</v>
      </c>
      <c r="J297" s="459">
        <f>IF(-E305&lt;0,-E305,0)</f>
        <v>0</v>
      </c>
    </row>
    <row r="298" spans="1:10" s="383" customFormat="1" ht="15.75">
      <c r="A298" s="50" t="s">
        <v>24</v>
      </c>
      <c r="B298" s="95">
        <v>132</v>
      </c>
      <c r="C298" s="206">
        <v>0</v>
      </c>
      <c r="D298" s="388" t="s">
        <v>187</v>
      </c>
      <c r="E298" s="168">
        <v>0</v>
      </c>
      <c r="F298" s="384"/>
      <c r="G298" s="153" t="s">
        <v>10</v>
      </c>
      <c r="H298" s="7" t="s">
        <v>17</v>
      </c>
      <c r="I298" s="469"/>
      <c r="J298" s="459"/>
    </row>
    <row r="299" spans="1:10" s="383" customFormat="1" ht="16.5" thickBot="1">
      <c r="A299" s="50" t="s">
        <v>24</v>
      </c>
      <c r="B299" s="95">
        <v>146</v>
      </c>
      <c r="C299" s="206">
        <f>Jan!$G$31</f>
        <v>3629622</v>
      </c>
      <c r="D299" s="388" t="s">
        <v>187</v>
      </c>
      <c r="E299" s="168">
        <v>0</v>
      </c>
      <c r="F299" s="384"/>
      <c r="G299" s="154" t="s">
        <v>98</v>
      </c>
      <c r="H299" s="147" t="s">
        <v>27</v>
      </c>
      <c r="I299" s="461">
        <f>IF(-(E287-E308)&lt;0,0,-(E287-E308))</f>
        <v>0</v>
      </c>
      <c r="J299" s="470">
        <f>IF(-(E287-E308)&gt;0,0,-(E287-E308))</f>
        <v>-98042.790000000037</v>
      </c>
    </row>
    <row r="300" spans="1:10" s="383" customFormat="1" ht="15.75">
      <c r="A300" s="50" t="s">
        <v>151</v>
      </c>
      <c r="B300" s="95"/>
      <c r="C300" s="206"/>
      <c r="D300" s="388"/>
      <c r="E300" s="168">
        <v>0</v>
      </c>
      <c r="F300" s="384"/>
      <c r="G300" s="384"/>
      <c r="H300" s="384"/>
      <c r="I300" s="384"/>
      <c r="J300" s="337">
        <f>SUM(I295:J299)</f>
        <v>0</v>
      </c>
    </row>
    <row r="301" spans="1:10" s="383" customFormat="1" ht="15.75">
      <c r="A301" s="141" t="s">
        <v>143</v>
      </c>
      <c r="B301" s="95">
        <v>146</v>
      </c>
      <c r="C301" s="206"/>
      <c r="D301" s="121"/>
      <c r="E301" s="168">
        <v>0</v>
      </c>
      <c r="F301" s="384"/>
      <c r="G301" s="123"/>
      <c r="H301" s="7"/>
      <c r="I301" s="7"/>
      <c r="J301" s="7"/>
    </row>
    <row r="302" spans="1:10" s="383" customFormat="1" ht="15.75">
      <c r="A302" s="141" t="s">
        <v>105</v>
      </c>
      <c r="B302" s="95"/>
      <c r="C302" s="206"/>
      <c r="D302" s="121"/>
      <c r="E302" s="226">
        <v>0</v>
      </c>
      <c r="F302" s="384"/>
      <c r="G302" s="123"/>
      <c r="H302" s="7"/>
      <c r="I302" s="12"/>
      <c r="J302" s="12"/>
    </row>
    <row r="303" spans="1:10" s="383" customFormat="1" ht="16.5" thickBot="1">
      <c r="A303" s="50"/>
      <c r="B303" s="95"/>
      <c r="C303" s="159">
        <f>SUM(C292:C302)</f>
        <v>30869391</v>
      </c>
      <c r="D303" s="142"/>
      <c r="E303" s="207">
        <f>SUM(E292:E302)</f>
        <v>-101930.34</v>
      </c>
      <c r="F303" s="384"/>
      <c r="G303" s="123"/>
      <c r="H303" s="7"/>
      <c r="I303" s="7"/>
      <c r="J303" s="8"/>
    </row>
    <row r="304" spans="1:10" s="383" customFormat="1" ht="16.5" thickTop="1">
      <c r="A304" s="50"/>
      <c r="B304" s="95"/>
      <c r="C304" s="224">
        <v>34418458</v>
      </c>
      <c r="D304" s="142" t="s">
        <v>161</v>
      </c>
      <c r="E304" s="156">
        <v>0</v>
      </c>
      <c r="F304" s="384"/>
      <c r="G304" s="11"/>
      <c r="H304" s="7"/>
      <c r="I304" s="8"/>
      <c r="J304" s="7"/>
    </row>
    <row r="305" spans="1:10" s="383" customFormat="1" ht="16.5" thickBot="1">
      <c r="A305" s="50"/>
      <c r="B305" s="95"/>
      <c r="C305" s="230">
        <f>C304-C303</f>
        <v>3549067</v>
      </c>
      <c r="D305" s="142"/>
      <c r="E305" s="160">
        <f>SUM(E303:E304)</f>
        <v>-101930.34</v>
      </c>
      <c r="F305" s="384"/>
      <c r="G305" s="65" t="s">
        <v>158</v>
      </c>
      <c r="H305" s="7"/>
      <c r="I305" s="7"/>
      <c r="J305" s="7"/>
    </row>
    <row r="306" spans="1:10" s="383" customFormat="1" ht="16.5" thickTop="1">
      <c r="A306" s="384"/>
      <c r="B306" s="384"/>
      <c r="C306" s="384"/>
      <c r="D306" s="142" t="s">
        <v>87</v>
      </c>
      <c r="E306" s="50">
        <f>E305+E287</f>
        <v>1384439.2610608793</v>
      </c>
      <c r="F306" s="384"/>
      <c r="G306" s="8">
        <f>(E287*(D307/12))+(E305*(D307/24))</f>
        <v>3887.5536674565483</v>
      </c>
      <c r="H306" s="471"/>
      <c r="I306" s="471"/>
      <c r="J306" s="7"/>
    </row>
    <row r="307" spans="1:10" s="383" customFormat="1" ht="15.75">
      <c r="A307" s="384"/>
      <c r="B307" s="384"/>
      <c r="C307" s="50" t="s">
        <v>57</v>
      </c>
      <c r="D307" s="225">
        <v>3.2500000000000001E-2</v>
      </c>
      <c r="E307" s="119">
        <f>ROUND(((E287)+(SUM(E305))/2)*(D307/12),2)</f>
        <v>3887.55</v>
      </c>
      <c r="F307" s="384"/>
      <c r="G307" s="8"/>
      <c r="H307" s="7"/>
      <c r="I307" s="12"/>
      <c r="J307" s="12"/>
    </row>
    <row r="308" spans="1:10" s="383" customFormat="1" ht="15.75">
      <c r="A308" s="384"/>
      <c r="B308" s="384"/>
      <c r="C308" s="50" t="s">
        <v>1</v>
      </c>
      <c r="D308" s="90">
        <f>A290</f>
        <v>41639</v>
      </c>
      <c r="E308" s="50">
        <f>SUM(E306:E307)</f>
        <v>1388326.8110608794</v>
      </c>
      <c r="F308" s="384"/>
      <c r="G308" s="474" t="s">
        <v>244</v>
      </c>
      <c r="H308" s="475" t="e">
        <f>_xll.Get_Balance(I308,"YTD","USD","Total","A","","001","191000","GD","WA","DL")-E308</f>
        <v>#VALUE!</v>
      </c>
      <c r="I308" s="476">
        <v>201312</v>
      </c>
    </row>
    <row r="309" spans="1:10" s="383" customFormat="1"/>
  </sheetData>
  <mergeCells count="1">
    <mergeCell ref="G67:I70"/>
  </mergeCells>
  <conditionalFormatting sqref="C28">
    <cfRule type="cellIs" dxfId="67" priority="68" operator="notEqual">
      <formula>0</formula>
    </cfRule>
  </conditionalFormatting>
  <conditionalFormatting sqref="J23">
    <cfRule type="cellIs" dxfId="66" priority="66" stopIfTrue="1" operator="equal">
      <formula>0</formula>
    </cfRule>
    <cfRule type="cellIs" dxfId="65" priority="67" stopIfTrue="1" operator="notEqual">
      <formula>0</formula>
    </cfRule>
  </conditionalFormatting>
  <conditionalFormatting sqref="C51">
    <cfRule type="cellIs" dxfId="64" priority="65" operator="notEqual">
      <formula>0</formula>
    </cfRule>
  </conditionalFormatting>
  <conditionalFormatting sqref="J46">
    <cfRule type="cellIs" dxfId="63" priority="63" stopIfTrue="1" operator="equal">
      <formula>0</formula>
    </cfRule>
    <cfRule type="cellIs" dxfId="62" priority="64" stopIfTrue="1" operator="notEqual">
      <formula>0</formula>
    </cfRule>
  </conditionalFormatting>
  <conditionalFormatting sqref="J46">
    <cfRule type="cellIs" dxfId="61" priority="61" stopIfTrue="1" operator="equal">
      <formula>0</formula>
    </cfRule>
    <cfRule type="cellIs" dxfId="60" priority="62" stopIfTrue="1" operator="notEqual">
      <formula>0</formula>
    </cfRule>
  </conditionalFormatting>
  <conditionalFormatting sqref="C72">
    <cfRule type="cellIs" dxfId="59" priority="60" operator="notEqual">
      <formula>0</formula>
    </cfRule>
  </conditionalFormatting>
  <conditionalFormatting sqref="J67">
    <cfRule type="cellIs" dxfId="58" priority="58" stopIfTrue="1" operator="equal">
      <formula>0</formula>
    </cfRule>
    <cfRule type="cellIs" dxfId="57" priority="59" stopIfTrue="1" operator="notEqual">
      <formula>0</formula>
    </cfRule>
  </conditionalFormatting>
  <conditionalFormatting sqref="J67">
    <cfRule type="cellIs" dxfId="56" priority="56" stopIfTrue="1" operator="equal">
      <formula>0</formula>
    </cfRule>
    <cfRule type="cellIs" dxfId="55" priority="57" stopIfTrue="1" operator="notEqual">
      <formula>0</formula>
    </cfRule>
  </conditionalFormatting>
  <conditionalFormatting sqref="C93">
    <cfRule type="cellIs" dxfId="54" priority="55" operator="notEqual">
      <formula>0</formula>
    </cfRule>
  </conditionalFormatting>
  <conditionalFormatting sqref="J88">
    <cfRule type="cellIs" dxfId="53" priority="53" stopIfTrue="1" operator="equal">
      <formula>0</formula>
    </cfRule>
    <cfRule type="cellIs" dxfId="52" priority="54" stopIfTrue="1" operator="notEqual">
      <formula>0</formula>
    </cfRule>
  </conditionalFormatting>
  <conditionalFormatting sqref="J88">
    <cfRule type="cellIs" dxfId="51" priority="51" stopIfTrue="1" operator="equal">
      <formula>0</formula>
    </cfRule>
    <cfRule type="cellIs" dxfId="50" priority="52" stopIfTrue="1" operator="notEqual">
      <formula>0</formula>
    </cfRule>
  </conditionalFormatting>
  <conditionalFormatting sqref="C114">
    <cfRule type="cellIs" dxfId="49" priority="50" operator="notEqual">
      <formula>0</formula>
    </cfRule>
  </conditionalFormatting>
  <conditionalFormatting sqref="J109">
    <cfRule type="cellIs" dxfId="48" priority="48" stopIfTrue="1" operator="equal">
      <formula>0</formula>
    </cfRule>
    <cfRule type="cellIs" dxfId="47" priority="49" stopIfTrue="1" operator="notEqual">
      <formula>0</formula>
    </cfRule>
  </conditionalFormatting>
  <conditionalFormatting sqref="J109">
    <cfRule type="cellIs" dxfId="46" priority="46" stopIfTrue="1" operator="equal">
      <formula>0</formula>
    </cfRule>
    <cfRule type="cellIs" dxfId="45" priority="47" stopIfTrue="1" operator="notEqual">
      <formula>0</formula>
    </cfRule>
  </conditionalFormatting>
  <conditionalFormatting sqref="C135">
    <cfRule type="cellIs" dxfId="44" priority="45" operator="notEqual">
      <formula>0</formula>
    </cfRule>
  </conditionalFormatting>
  <conditionalFormatting sqref="J130">
    <cfRule type="cellIs" dxfId="43" priority="43" stopIfTrue="1" operator="equal">
      <formula>0</formula>
    </cfRule>
    <cfRule type="cellIs" dxfId="42" priority="44" stopIfTrue="1" operator="notEqual">
      <formula>0</formula>
    </cfRule>
  </conditionalFormatting>
  <conditionalFormatting sqref="J130">
    <cfRule type="cellIs" dxfId="41" priority="41" stopIfTrue="1" operator="equal">
      <formula>0</formula>
    </cfRule>
    <cfRule type="cellIs" dxfId="40" priority="42" stopIfTrue="1" operator="notEqual">
      <formula>0</formula>
    </cfRule>
  </conditionalFormatting>
  <conditionalFormatting sqref="C156">
    <cfRule type="cellIs" dxfId="39" priority="40" operator="notEqual">
      <formula>0</formula>
    </cfRule>
  </conditionalFormatting>
  <conditionalFormatting sqref="J151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J151">
    <cfRule type="cellIs" dxfId="36" priority="36" stopIfTrue="1" operator="equal">
      <formula>0</formula>
    </cfRule>
    <cfRule type="cellIs" dxfId="35" priority="37" stopIfTrue="1" operator="notEqual">
      <formula>0</formula>
    </cfRule>
  </conditionalFormatting>
  <conditionalFormatting sqref="C177">
    <cfRule type="cellIs" dxfId="34" priority="35" operator="notEqual">
      <formula>0</formula>
    </cfRule>
  </conditionalFormatting>
  <conditionalFormatting sqref="J172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J172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C198">
    <cfRule type="cellIs" dxfId="29" priority="30" operator="notEqual">
      <formula>0</formula>
    </cfRule>
  </conditionalFormatting>
  <conditionalFormatting sqref="J193">
    <cfRule type="cellIs" dxfId="28" priority="28" stopIfTrue="1" operator="equal">
      <formula>0</formula>
    </cfRule>
    <cfRule type="cellIs" dxfId="27" priority="29" stopIfTrue="1" operator="notEqual">
      <formula>0</formula>
    </cfRule>
  </conditionalFormatting>
  <conditionalFormatting sqref="J193">
    <cfRule type="cellIs" dxfId="26" priority="26" stopIfTrue="1" operator="equal">
      <formula>0</formula>
    </cfRule>
    <cfRule type="cellIs" dxfId="25" priority="27" stopIfTrue="1" operator="notEqual">
      <formula>0</formula>
    </cfRule>
  </conditionalFormatting>
  <conditionalFormatting sqref="C219">
    <cfRule type="cellIs" dxfId="24" priority="25" operator="notEqual">
      <formula>0</formula>
    </cfRule>
  </conditionalFormatting>
  <conditionalFormatting sqref="J214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J214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C240">
    <cfRule type="cellIs" dxfId="19" priority="20" operator="notEqual">
      <formula>0</formula>
    </cfRule>
  </conditionalFormatting>
  <conditionalFormatting sqref="J235">
    <cfRule type="cellIs" dxfId="18" priority="18" stopIfTrue="1" operator="equal">
      <formula>0</formula>
    </cfRule>
    <cfRule type="cellIs" dxfId="17" priority="19" stopIfTrue="1" operator="notEqual">
      <formula>0</formula>
    </cfRule>
  </conditionalFormatting>
  <conditionalFormatting sqref="J235">
    <cfRule type="cellIs" dxfId="16" priority="16" stopIfTrue="1" operator="equal">
      <formula>0</formula>
    </cfRule>
    <cfRule type="cellIs" dxfId="15" priority="17" stopIfTrue="1" operator="notEqual">
      <formula>0</formula>
    </cfRule>
  </conditionalFormatting>
  <conditionalFormatting sqref="C261">
    <cfRule type="cellIs" dxfId="14" priority="15" operator="notEqual">
      <formula>0</formula>
    </cfRule>
  </conditionalFormatting>
  <conditionalFormatting sqref="J256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J256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C284">
    <cfRule type="cellIs" dxfId="9" priority="10" operator="notEqual">
      <formula>0</formula>
    </cfRule>
  </conditionalFormatting>
  <conditionalFormatting sqref="J279">
    <cfRule type="cellIs" dxfId="8" priority="8" stopIfTrue="1" operator="equal">
      <formula>0</formula>
    </cfRule>
    <cfRule type="cellIs" dxfId="7" priority="9" stopIfTrue="1" operator="notEqual">
      <formula>0</formula>
    </cfRule>
  </conditionalFormatting>
  <conditionalFormatting sqref="J279">
    <cfRule type="cellIs" dxfId="6" priority="6" stopIfTrue="1" operator="equal">
      <formula>0</formula>
    </cfRule>
    <cfRule type="cellIs" dxfId="5" priority="7" stopIfTrue="1" operator="notEqual">
      <formula>0</formula>
    </cfRule>
  </conditionalFormatting>
  <conditionalFormatting sqref="C305">
    <cfRule type="cellIs" dxfId="4" priority="5" operator="notEqual">
      <formula>0</formula>
    </cfRule>
  </conditionalFormatting>
  <conditionalFormatting sqref="J300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J300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gridLinesSet="0"/>
  <pageMargins left="0.5" right="0.25" top="0.92" bottom="0.5" header="0.25" footer="0.25"/>
  <pageSetup scale="45" fitToHeight="2" orientation="portrait" horizontalDpi="300" verticalDpi="300" r:id="rId1"/>
  <headerFooter alignWithMargins="0">
    <oddHeader>&amp;L&amp;12Prior Period Unrecovered Gas Costs
Washington
191000</oddHeader>
    <oddFooter>&amp;L&amp;F&amp;C&amp;A&amp;R&amp;D  &amp;T</oddFooter>
  </headerFooter>
  <customProperties>
    <customPr name="xxe4aP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W24"/>
  <sheetViews>
    <sheetView zoomScale="85" zoomScaleNormal="85" workbookViewId="0">
      <selection activeCell="E24" sqref="E24"/>
    </sheetView>
  </sheetViews>
  <sheetFormatPr defaultColWidth="8.85546875" defaultRowHeight="15"/>
  <cols>
    <col min="1" max="1" width="9.140625" style="644" customWidth="1"/>
    <col min="2" max="2" width="8.85546875" style="644"/>
    <col min="3" max="3" width="1.7109375" style="645" customWidth="1"/>
    <col min="4" max="4" width="11.7109375" style="645" customWidth="1"/>
    <col min="5" max="5" width="13.7109375" style="644" customWidth="1"/>
    <col min="6" max="7" width="14.28515625" style="675" customWidth="1"/>
    <col min="8" max="8" width="14.7109375" style="644" bestFit="1" customWidth="1"/>
    <col min="9" max="9" width="12.140625" style="644" customWidth="1"/>
    <col min="10" max="10" width="15.28515625" style="675" bestFit="1" customWidth="1"/>
    <col min="11" max="11" width="1.7109375" style="645" customWidth="1"/>
    <col min="12" max="12" width="13.5703125" style="644" customWidth="1"/>
    <col min="13" max="13" width="13.85546875" style="644" bestFit="1" customWidth="1"/>
    <col min="14" max="16" width="8.85546875" style="644"/>
    <col min="17" max="17" width="12.7109375" style="644" customWidth="1"/>
    <col min="18" max="19" width="13.140625" style="644" bestFit="1" customWidth="1"/>
    <col min="20" max="16384" width="8.85546875" style="644"/>
  </cols>
  <sheetData>
    <row r="1" spans="1:15" s="639" customFormat="1" ht="15.75">
      <c r="A1" s="637" t="s">
        <v>13</v>
      </c>
      <c r="B1" s="638"/>
      <c r="C1" s="638"/>
      <c r="D1" s="638"/>
      <c r="E1" s="638"/>
      <c r="F1" s="638"/>
      <c r="G1" s="638"/>
      <c r="H1" s="638"/>
    </row>
    <row r="2" spans="1:15" s="639" customFormat="1" ht="15.75">
      <c r="A2" s="637" t="s">
        <v>0</v>
      </c>
      <c r="B2" s="638"/>
      <c r="C2" s="638"/>
      <c r="D2" s="638"/>
      <c r="E2" s="638"/>
      <c r="F2" s="638"/>
      <c r="G2" s="638"/>
      <c r="H2" s="638"/>
    </row>
    <row r="3" spans="1:15" s="639" customFormat="1" ht="15.75">
      <c r="A3" s="637" t="s">
        <v>341</v>
      </c>
      <c r="B3" s="638"/>
      <c r="C3" s="638"/>
      <c r="D3" s="638"/>
      <c r="E3" s="638"/>
      <c r="F3" s="638"/>
      <c r="G3" s="638"/>
      <c r="H3" s="638"/>
    </row>
    <row r="4" spans="1:15" s="642" customFormat="1" ht="18.75" thickBot="1">
      <c r="A4" s="640"/>
      <c r="B4" s="641"/>
      <c r="C4" s="641"/>
      <c r="D4" s="641"/>
      <c r="E4" s="641"/>
      <c r="F4" s="641"/>
      <c r="G4" s="641"/>
      <c r="H4" s="641"/>
    </row>
    <row r="5" spans="1:15" s="647" customFormat="1" ht="16.5" thickBot="1">
      <c r="A5" s="643"/>
      <c r="B5" s="644"/>
      <c r="C5" s="645"/>
      <c r="D5" s="688" t="s">
        <v>342</v>
      </c>
      <c r="E5" s="689"/>
      <c r="F5" s="689"/>
      <c r="G5" s="689"/>
      <c r="H5" s="689"/>
      <c r="I5" s="689"/>
      <c r="J5" s="690"/>
      <c r="K5" s="646"/>
      <c r="L5" s="644"/>
      <c r="M5" s="644"/>
      <c r="N5" s="644"/>
      <c r="O5" s="644"/>
    </row>
    <row r="6" spans="1:15" s="647" customFormat="1" ht="56.45" customHeight="1">
      <c r="A6" s="648" t="s">
        <v>322</v>
      </c>
      <c r="B6" s="649" t="s">
        <v>253</v>
      </c>
      <c r="C6" s="650"/>
      <c r="D6" s="651" t="s">
        <v>323</v>
      </c>
      <c r="E6" s="651" t="s">
        <v>346</v>
      </c>
      <c r="F6" s="651" t="s">
        <v>250</v>
      </c>
      <c r="G6" s="651" t="s">
        <v>3</v>
      </c>
      <c r="H6" s="651" t="s">
        <v>2</v>
      </c>
      <c r="I6" s="651" t="s">
        <v>4</v>
      </c>
      <c r="J6" s="651" t="s">
        <v>56</v>
      </c>
      <c r="K6" s="650"/>
      <c r="L6" s="652" t="s">
        <v>324</v>
      </c>
      <c r="M6" s="652" t="s">
        <v>325</v>
      </c>
    </row>
    <row r="7" spans="1:15" s="647" customFormat="1">
      <c r="A7" s="653" t="s">
        <v>326</v>
      </c>
      <c r="B7" s="657">
        <v>3.5000000000000003E-2</v>
      </c>
      <c r="C7" s="658"/>
      <c r="D7" s="659">
        <v>0</v>
      </c>
      <c r="E7" s="659">
        <v>0</v>
      </c>
      <c r="F7" s="654">
        <v>-6818269.0499999998</v>
      </c>
      <c r="G7" s="659">
        <v>-2913519.2274390003</v>
      </c>
      <c r="H7" s="659">
        <v>-491376.17008000147</v>
      </c>
      <c r="I7" s="654">
        <f>ROUND(((F7)*(B7/12))+((SUM(G7:H7)/2)*(B7/12)),2)</f>
        <v>-24852.09</v>
      </c>
      <c r="J7" s="654">
        <f>SUM(F7:I7)</f>
        <v>-10248016.537519</v>
      </c>
      <c r="K7" s="660"/>
      <c r="L7" s="655">
        <f>_xll.Get_Balance(A7,"YTD","USD","Total","A","","001","191010","GD","WA","DL")</f>
        <v>-10248016.539999999</v>
      </c>
      <c r="M7" s="656">
        <f>L7-J7</f>
        <v>-2.4809986352920532E-3</v>
      </c>
    </row>
    <row r="8" spans="1:15" s="647" customFormat="1">
      <c r="A8" s="653" t="s">
        <v>327</v>
      </c>
      <c r="B8" s="657">
        <v>3.5000000000000003E-2</v>
      </c>
      <c r="C8" s="658"/>
      <c r="D8" s="659">
        <v>0</v>
      </c>
      <c r="E8" s="659">
        <v>0</v>
      </c>
      <c r="F8" s="654">
        <f t="shared" ref="F8:F16" si="0">J7+E8</f>
        <v>-10248016.537519</v>
      </c>
      <c r="G8" s="659">
        <v>-1856358.6126210007</v>
      </c>
      <c r="H8" s="659">
        <v>-201411.09328799881</v>
      </c>
      <c r="I8" s="654">
        <f>ROUND(((F8)*(B8/12))+((SUM(G8:H8)/2)*(B8/12)),2)</f>
        <v>-32890.959999999999</v>
      </c>
      <c r="J8" s="654">
        <f t="shared" ref="J8:J21" si="1">SUM(F8:I8)</f>
        <v>-12338677.203428</v>
      </c>
      <c r="K8" s="660"/>
      <c r="L8" s="655">
        <f>_xll.Get_Balance(A8,"YTD","USD","Total","A","","001","191010","GD","WA","DL")</f>
        <v>-12338677.210000001</v>
      </c>
      <c r="M8" s="656">
        <f t="shared" ref="M8:M21" si="2">L8-J8</f>
        <v>-6.5720006823539734E-3</v>
      </c>
    </row>
    <row r="9" spans="1:15" s="647" customFormat="1">
      <c r="A9" s="653" t="s">
        <v>328</v>
      </c>
      <c r="B9" s="657">
        <v>3.5000000000000003E-2</v>
      </c>
      <c r="C9" s="658"/>
      <c r="D9" s="659">
        <v>0</v>
      </c>
      <c r="E9" s="659">
        <v>0</v>
      </c>
      <c r="F9" s="654">
        <f t="shared" si="0"/>
        <v>-12338677.203428</v>
      </c>
      <c r="G9" s="659">
        <v>-916596.2697570005</v>
      </c>
      <c r="H9" s="659">
        <v>-696753.01067200163</v>
      </c>
      <c r="I9" s="654">
        <f t="shared" ref="I9:I15" si="3">ROUND(((F9)*(B9/12))+((SUM(G9:H9)/2)*(B9/12)),2)</f>
        <v>-38340.61</v>
      </c>
      <c r="J9" s="654">
        <f t="shared" si="1"/>
        <v>-13990367.093857002</v>
      </c>
      <c r="K9" s="660"/>
      <c r="L9" s="655">
        <f>_xll.Get_Balance(A9,"YTD","USD","Total","A","","001","191010","GD","WA","DL")</f>
        <v>-13990367.1</v>
      </c>
      <c r="M9" s="656">
        <f t="shared" si="2"/>
        <v>-6.1429981142282486E-3</v>
      </c>
    </row>
    <row r="10" spans="1:15" s="647" customFormat="1">
      <c r="A10" s="653" t="s">
        <v>329</v>
      </c>
      <c r="B10" s="657">
        <v>3.7100000000000001E-2</v>
      </c>
      <c r="C10" s="658"/>
      <c r="D10" s="659">
        <v>0</v>
      </c>
      <c r="E10" s="659">
        <v>0</v>
      </c>
      <c r="F10" s="654">
        <f t="shared" si="0"/>
        <v>-13990367.093857002</v>
      </c>
      <c r="G10" s="659">
        <v>-225142.70389499958</v>
      </c>
      <c r="H10" s="659">
        <v>-912928.80422000168</v>
      </c>
      <c r="I10" s="654">
        <f t="shared" si="3"/>
        <v>-45012.82</v>
      </c>
      <c r="J10" s="654">
        <f t="shared" si="1"/>
        <v>-15173451.421972003</v>
      </c>
      <c r="K10" s="660"/>
      <c r="L10" s="655">
        <f>_xll.Get_Balance(A10,"YTD","USD","Total","A","","001","191010","GD","WA","DL")</f>
        <v>-15173451.43</v>
      </c>
      <c r="M10" s="656">
        <f t="shared" si="2"/>
        <v>-8.0279968678951263E-3</v>
      </c>
    </row>
    <row r="11" spans="1:15" s="647" customFormat="1">
      <c r="A11" s="653" t="s">
        <v>330</v>
      </c>
      <c r="B11" s="657">
        <v>3.7100000000000001E-2</v>
      </c>
      <c r="C11" s="658"/>
      <c r="D11" s="659">
        <v>0</v>
      </c>
      <c r="E11" s="659">
        <v>0</v>
      </c>
      <c r="F11" s="654">
        <f t="shared" si="0"/>
        <v>-15173451.421972003</v>
      </c>
      <c r="G11" s="659">
        <v>604158.21510300005</v>
      </c>
      <c r="H11" s="659">
        <v>-482101.19766700035</v>
      </c>
      <c r="I11" s="654">
        <f t="shared" si="3"/>
        <v>-46722.57</v>
      </c>
      <c r="J11" s="654">
        <f t="shared" si="1"/>
        <v>-15098116.974536004</v>
      </c>
      <c r="K11" s="660"/>
      <c r="L11" s="655">
        <f>_xll.Get_Balance(A11,"YTD","USD","Total","A","","001","191010","GD","WA","DL")</f>
        <v>-15098116.98</v>
      </c>
      <c r="M11" s="656">
        <f t="shared" si="2"/>
        <v>-5.4639969021081924E-3</v>
      </c>
    </row>
    <row r="12" spans="1:15" s="647" customFormat="1">
      <c r="A12" s="653" t="s">
        <v>331</v>
      </c>
      <c r="B12" s="657">
        <v>3.7100000000000001E-2</v>
      </c>
      <c r="C12" s="658"/>
      <c r="D12" s="659">
        <v>0</v>
      </c>
      <c r="E12" s="659">
        <v>0</v>
      </c>
      <c r="F12" s="654">
        <f t="shared" si="0"/>
        <v>-15098116.974536004</v>
      </c>
      <c r="G12" s="659">
        <v>953286.75289800053</v>
      </c>
      <c r="H12" s="659">
        <v>-580245.48787200102</v>
      </c>
      <c r="I12" s="654">
        <f t="shared" si="3"/>
        <v>-46101.69</v>
      </c>
      <c r="J12" s="654">
        <f t="shared" si="1"/>
        <v>-14771177.399510004</v>
      </c>
      <c r="K12" s="660"/>
      <c r="L12" s="655">
        <f>_xll.Get_Balance(A12,"YTD","USD","Total","A","","001","191010","GD","WA","DL")</f>
        <v>-14771177.4</v>
      </c>
      <c r="M12" s="656">
        <f t="shared" si="2"/>
        <v>-4.8999674618244171E-4</v>
      </c>
    </row>
    <row r="13" spans="1:15" s="647" customFormat="1">
      <c r="A13" s="653" t="s">
        <v>332</v>
      </c>
      <c r="B13" s="657">
        <v>3.9600000000000003E-2</v>
      </c>
      <c r="C13" s="658"/>
      <c r="D13" s="659">
        <v>0</v>
      </c>
      <c r="E13" s="659">
        <v>0</v>
      </c>
      <c r="F13" s="654">
        <f t="shared" si="0"/>
        <v>-14771177.399510004</v>
      </c>
      <c r="G13" s="659">
        <v>1129801.1151090004</v>
      </c>
      <c r="H13" s="659">
        <v>-2217856.2503400007</v>
      </c>
      <c r="I13" s="654">
        <f t="shared" si="3"/>
        <v>-50540.18</v>
      </c>
      <c r="J13" s="654">
        <f>SUM(F13:I13)</f>
        <v>-15909772.714741003</v>
      </c>
      <c r="K13" s="660"/>
      <c r="L13" s="655">
        <f>_xll.Get_Balance(A13,"YTD","USD","Total","A","","001","191010","GD","WA","DL")</f>
        <v>-15909772.720000001</v>
      </c>
      <c r="M13" s="656">
        <f t="shared" si="2"/>
        <v>-5.2589979022741318E-3</v>
      </c>
    </row>
    <row r="14" spans="1:15" s="647" customFormat="1">
      <c r="A14" s="653" t="s">
        <v>333</v>
      </c>
      <c r="B14" s="657">
        <v>3.9600000000000003E-2</v>
      </c>
      <c r="C14" s="658"/>
      <c r="D14" s="659">
        <v>0</v>
      </c>
      <c r="E14" s="659">
        <v>0</v>
      </c>
      <c r="F14" s="654">
        <f t="shared" si="0"/>
        <v>-15909772.714741003</v>
      </c>
      <c r="G14" s="659">
        <v>1095472.3340190002</v>
      </c>
      <c r="H14" s="659">
        <v>-2108794.2989039999</v>
      </c>
      <c r="I14" s="654">
        <f t="shared" si="3"/>
        <v>-54174.23</v>
      </c>
      <c r="J14" s="654">
        <f>SUM(F14:I14)</f>
        <v>-16977268.909626003</v>
      </c>
      <c r="K14" s="660"/>
      <c r="L14" s="655">
        <f>_xll.Get_Balance(A14,"YTD","USD","Total","A","","001","191010","GD","WA","DL")</f>
        <v>-16977268.91</v>
      </c>
      <c r="M14" s="656">
        <f t="shared" si="2"/>
        <v>-3.739967942237854E-4</v>
      </c>
    </row>
    <row r="15" spans="1:15" s="647" customFormat="1">
      <c r="A15" s="653" t="s">
        <v>334</v>
      </c>
      <c r="B15" s="657">
        <v>3.9600000000000003E-2</v>
      </c>
      <c r="C15" s="658"/>
      <c r="D15" s="659">
        <v>0</v>
      </c>
      <c r="E15" s="659">
        <v>0</v>
      </c>
      <c r="F15" s="654">
        <f t="shared" si="0"/>
        <v>-16977268.909626003</v>
      </c>
      <c r="G15" s="659">
        <v>853220.47718099994</v>
      </c>
      <c r="H15" s="659">
        <v>-2779163.5886399997</v>
      </c>
      <c r="I15" s="654">
        <f t="shared" si="3"/>
        <v>-59202.79</v>
      </c>
      <c r="J15" s="654">
        <f t="shared" si="1"/>
        <v>-18962414.811085001</v>
      </c>
      <c r="K15" s="660"/>
      <c r="L15" s="655">
        <f>_xll.Get_Balance(A15,"YTD","USD","Total","A","","001","191010","GD","WA","DL")</f>
        <v>-18962414.809999999</v>
      </c>
      <c r="M15" s="656">
        <f t="shared" si="2"/>
        <v>1.0850019752979279E-3</v>
      </c>
    </row>
    <row r="16" spans="1:15" s="647" customFormat="1">
      <c r="A16" s="653" t="s">
        <v>335</v>
      </c>
      <c r="B16" s="657">
        <v>4.2099999999999999E-2</v>
      </c>
      <c r="C16" s="658"/>
      <c r="D16" s="659">
        <v>0</v>
      </c>
      <c r="E16" s="659">
        <v>0</v>
      </c>
      <c r="F16" s="654">
        <f t="shared" si="0"/>
        <v>-18962414.811085001</v>
      </c>
      <c r="G16" s="659">
        <v>15042.059238000307</v>
      </c>
      <c r="H16" s="659">
        <v>-2935887.7038159985</v>
      </c>
      <c r="I16" s="654">
        <f>ROUND(((F16)*(B16/12))+((SUM(G16:H16)/2)*(B16/12)),2)</f>
        <v>-71650.12</v>
      </c>
      <c r="J16" s="654">
        <f t="shared" si="1"/>
        <v>-21954910.575662997</v>
      </c>
      <c r="K16" s="660"/>
      <c r="L16" s="655">
        <f>_xll.Get_Balance(A16,"YTD","USD","Total","A","","001","191010","GD","WA","DL")</f>
        <v>-21954910.57</v>
      </c>
      <c r="M16" s="656">
        <f t="shared" si="2"/>
        <v>5.6629963219165802E-3</v>
      </c>
    </row>
    <row r="17" spans="1:23" s="647" customFormat="1">
      <c r="A17" s="653" t="s">
        <v>336</v>
      </c>
      <c r="B17" s="657">
        <v>4.2099999999999999E-2</v>
      </c>
      <c r="C17" s="658"/>
      <c r="D17" s="659">
        <v>35.15</v>
      </c>
      <c r="E17" s="659">
        <f>-J12</f>
        <v>14771177.399510004</v>
      </c>
      <c r="F17" s="654">
        <f>J16+E17+D17</f>
        <v>-7183698.0261529926</v>
      </c>
      <c r="G17" s="659">
        <v>-592732.92055399995</v>
      </c>
      <c r="H17" s="659">
        <v>-386463.99829400051</v>
      </c>
      <c r="I17" s="654">
        <f>ROUND(((J16+E17)*(B17/12))+((SUM(G17:H17)/2)*(B17/12)),2)</f>
        <v>-26920.61</v>
      </c>
      <c r="J17" s="654">
        <f>SUM(F17:I17)</f>
        <v>-8189815.5550009934</v>
      </c>
      <c r="K17" s="660"/>
      <c r="L17" s="655">
        <f>_xll.Get_Balance(A17,"YTD","USD","Total","A","","001","191010","GD","WA","DL")</f>
        <v>-8189815.5499999998</v>
      </c>
      <c r="M17" s="656">
        <f t="shared" si="2"/>
        <v>5.0009936094284058E-3</v>
      </c>
    </row>
    <row r="18" spans="1:23" s="647" customFormat="1" ht="15.75" thickBot="1">
      <c r="A18" s="661" t="s">
        <v>337</v>
      </c>
      <c r="B18" s="662">
        <v>4.2099999999999999E-2</v>
      </c>
      <c r="C18" s="658"/>
      <c r="D18" s="663">
        <v>0</v>
      </c>
      <c r="E18" s="663">
        <v>0</v>
      </c>
      <c r="F18" s="664">
        <f>J17+E18+D18</f>
        <v>-8189815.5550009934</v>
      </c>
      <c r="G18" s="663">
        <v>-1678391.1285159995</v>
      </c>
      <c r="H18" s="663">
        <v>-1205525.6512180055</v>
      </c>
      <c r="I18" s="664">
        <f>ROUND(((F18)*(B18/12))+((SUM(G18:H18)/2)*(B18/12)),2)</f>
        <v>-33791.47</v>
      </c>
      <c r="J18" s="664">
        <f t="shared" si="1"/>
        <v>-11107523.804734999</v>
      </c>
      <c r="K18" s="660"/>
      <c r="L18" s="665">
        <f>_xll.Get_Balance(A18,"YTD","USD","Total","A","","001","191010","GD","WA","DL")</f>
        <v>-11107523.800000001</v>
      </c>
      <c r="M18" s="666">
        <f t="shared" si="2"/>
        <v>4.7349985688924789E-3</v>
      </c>
    </row>
    <row r="19" spans="1:23" s="647" customFormat="1" collapsed="1">
      <c r="A19" s="667" t="s">
        <v>338</v>
      </c>
      <c r="B19" s="668">
        <v>4.2500000000000003E-2</v>
      </c>
      <c r="C19" s="658"/>
      <c r="D19" s="669">
        <v>0</v>
      </c>
      <c r="E19" s="669">
        <v>0</v>
      </c>
      <c r="F19" s="670">
        <f>J18+E19</f>
        <v>-11107523.804734999</v>
      </c>
      <c r="G19" s="669">
        <v>-1348640.4203420002</v>
      </c>
      <c r="H19" s="669">
        <v>-743591.89883300196</v>
      </c>
      <c r="I19" s="654">
        <f>ROUND(((F19)*(B19/12))+((SUM(G19:H19)/2)*(B19/12)),2)</f>
        <v>-43044.14</v>
      </c>
      <c r="J19" s="670">
        <f t="shared" si="1"/>
        <v>-13242800.263910003</v>
      </c>
      <c r="K19" s="660"/>
      <c r="L19" s="655">
        <f>_xll.Get_Balance(A19,"YTD","USD","Total","A","","001","191010","GD","WA","DL")</f>
        <v>-13242800.26</v>
      </c>
      <c r="M19" s="656">
        <f t="shared" si="2"/>
        <v>3.9100032299757004E-3</v>
      </c>
    </row>
    <row r="20" spans="1:23" s="647" customFormat="1">
      <c r="A20" s="653" t="s">
        <v>339</v>
      </c>
      <c r="B20" s="668">
        <v>4.2500000000000003E-2</v>
      </c>
      <c r="C20" s="658"/>
      <c r="D20" s="659">
        <v>0</v>
      </c>
      <c r="E20" s="659">
        <v>0</v>
      </c>
      <c r="F20" s="670">
        <f>J19+E20</f>
        <v>-13242800.263910003</v>
      </c>
      <c r="G20" s="669">
        <v>-1492728.8649899999</v>
      </c>
      <c r="H20" s="669">
        <v>1500599.2415440008</v>
      </c>
      <c r="I20" s="654">
        <f>ROUND(((F20)*(B20/12))+((SUM(G20:H20)/2)*(B20/12)),2)</f>
        <v>-46887.65</v>
      </c>
      <c r="J20" s="654">
        <f t="shared" si="1"/>
        <v>-13281817.537356002</v>
      </c>
      <c r="K20" s="660"/>
      <c r="L20" s="655">
        <f>_xll.Get_Balance(A20,"YTD","USD","Total","A","","001","191010","GD","WA","DL")</f>
        <v>-13281817.529999999</v>
      </c>
      <c r="M20" s="656">
        <f t="shared" si="2"/>
        <v>7.3560029268264771E-3</v>
      </c>
    </row>
    <row r="21" spans="1:23" s="647" customFormat="1">
      <c r="A21" s="653" t="s">
        <v>340</v>
      </c>
      <c r="B21" s="668">
        <v>4.2500000000000003E-2</v>
      </c>
      <c r="C21" s="658"/>
      <c r="D21" s="659">
        <v>0</v>
      </c>
      <c r="E21" s="659">
        <v>0</v>
      </c>
      <c r="F21" s="670">
        <f>J20+E21</f>
        <v>-13281817.537356002</v>
      </c>
      <c r="G21" s="669">
        <v>-772819.73601999972</v>
      </c>
      <c r="H21" s="669">
        <v>262271.11627200013</v>
      </c>
      <c r="I21" s="654">
        <f>ROUND(((F21)*(B21/12))+((SUM(G21:H21)/2)*(B21/12)),2)</f>
        <v>-47943.87</v>
      </c>
      <c r="J21" s="654">
        <f t="shared" si="1"/>
        <v>-13840310.027104001</v>
      </c>
      <c r="K21" s="660"/>
      <c r="L21" s="655">
        <f>_xll.Get_Balance(A21,"YTD","USD","Total","A","","001","191010","GD","WA","DL")</f>
        <v>-13840310.02</v>
      </c>
      <c r="M21" s="656">
        <f t="shared" si="2"/>
        <v>7.1040019392967224E-3</v>
      </c>
    </row>
    <row r="22" spans="1:23" ht="15.75">
      <c r="Q22" s="674"/>
      <c r="R22" s="673"/>
      <c r="S22" s="673"/>
      <c r="T22" s="672"/>
      <c r="U22" s="645"/>
      <c r="V22" s="645"/>
      <c r="W22" s="645"/>
    </row>
    <row r="23" spans="1:23">
      <c r="Q23" s="645"/>
      <c r="R23" s="645"/>
      <c r="S23" s="645"/>
      <c r="T23" s="645"/>
      <c r="U23" s="645"/>
      <c r="V23" s="645"/>
      <c r="W23" s="645"/>
    </row>
    <row r="24" spans="1:23">
      <c r="Q24" s="645"/>
      <c r="R24" s="645"/>
      <c r="S24" s="645"/>
      <c r="T24" s="645"/>
      <c r="U24" s="645"/>
      <c r="V24" s="645"/>
      <c r="W24" s="645"/>
    </row>
  </sheetData>
  <mergeCells count="1">
    <mergeCell ref="D5:J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W24"/>
  <sheetViews>
    <sheetView zoomScale="85" zoomScaleNormal="85" workbookViewId="0">
      <selection activeCell="E24" sqref="E24"/>
    </sheetView>
  </sheetViews>
  <sheetFormatPr defaultColWidth="8.85546875" defaultRowHeight="15"/>
  <cols>
    <col min="1" max="1" width="9.140625" style="644" customWidth="1"/>
    <col min="2" max="2" width="8.85546875" style="644"/>
    <col min="3" max="3" width="1.7109375" style="645" customWidth="1"/>
    <col min="4" max="4" width="11.7109375" style="645" customWidth="1"/>
    <col min="5" max="5" width="13.7109375" style="644" customWidth="1"/>
    <col min="6" max="7" width="14.28515625" style="675" customWidth="1"/>
    <col min="8" max="8" width="14.7109375" style="644" bestFit="1" customWidth="1"/>
    <col min="9" max="9" width="12.140625" style="644" customWidth="1"/>
    <col min="10" max="10" width="15.28515625" style="675" bestFit="1" customWidth="1"/>
    <col min="11" max="11" width="1.7109375" style="645" customWidth="1"/>
    <col min="12" max="12" width="13.5703125" style="644" customWidth="1"/>
    <col min="13" max="13" width="13.85546875" style="644" bestFit="1" customWidth="1"/>
    <col min="14" max="16" width="8.85546875" style="644"/>
    <col min="17" max="17" width="12.7109375" style="644" customWidth="1"/>
    <col min="18" max="19" width="13.140625" style="644" bestFit="1" customWidth="1"/>
    <col min="20" max="16384" width="8.85546875" style="644"/>
  </cols>
  <sheetData>
    <row r="1" spans="1:17" s="639" customFormat="1" ht="15.75">
      <c r="A1" s="637" t="s">
        <v>13</v>
      </c>
      <c r="B1" s="638"/>
      <c r="C1" s="638"/>
      <c r="D1" s="638"/>
      <c r="E1" s="638"/>
      <c r="F1" s="638"/>
      <c r="G1" s="638"/>
      <c r="H1" s="638"/>
    </row>
    <row r="2" spans="1:17" s="639" customFormat="1" ht="15.75">
      <c r="A2" s="637" t="s">
        <v>46</v>
      </c>
      <c r="B2" s="638"/>
      <c r="C2" s="638"/>
      <c r="D2" s="638"/>
      <c r="E2" s="638"/>
      <c r="F2" s="638"/>
      <c r="G2" s="638"/>
      <c r="H2" s="638"/>
    </row>
    <row r="3" spans="1:17" s="639" customFormat="1" ht="15.75">
      <c r="A3" s="637" t="s">
        <v>341</v>
      </c>
      <c r="B3" s="638"/>
      <c r="C3" s="638"/>
      <c r="D3" s="638"/>
      <c r="E3" s="638"/>
      <c r="F3" s="638"/>
      <c r="G3" s="638"/>
      <c r="H3" s="638"/>
    </row>
    <row r="4" spans="1:17" s="642" customFormat="1" ht="18.75" thickBot="1">
      <c r="A4" s="640"/>
      <c r="B4" s="641"/>
      <c r="C4" s="641"/>
      <c r="D4" s="641"/>
      <c r="E4" s="641"/>
      <c r="F4" s="641"/>
      <c r="G4" s="641"/>
      <c r="H4" s="641"/>
    </row>
    <row r="5" spans="1:17" s="647" customFormat="1" ht="16.5" thickBot="1">
      <c r="A5" s="643"/>
      <c r="B5" s="644"/>
      <c r="C5" s="645"/>
      <c r="D5" s="688" t="s">
        <v>342</v>
      </c>
      <c r="E5" s="689"/>
      <c r="F5" s="689"/>
      <c r="G5" s="689"/>
      <c r="H5" s="689"/>
      <c r="I5" s="689"/>
      <c r="J5" s="690"/>
      <c r="K5" s="646"/>
      <c r="L5" s="644"/>
      <c r="M5" s="644"/>
      <c r="N5" s="644"/>
      <c r="O5" s="644"/>
    </row>
    <row r="6" spans="1:17" s="647" customFormat="1" ht="56.45" customHeight="1">
      <c r="A6" s="648" t="s">
        <v>322</v>
      </c>
      <c r="B6" s="649" t="s">
        <v>253</v>
      </c>
      <c r="C6" s="650"/>
      <c r="D6" s="651" t="s">
        <v>323</v>
      </c>
      <c r="E6" s="651" t="s">
        <v>346</v>
      </c>
      <c r="F6" s="651" t="s">
        <v>250</v>
      </c>
      <c r="G6" s="651" t="s">
        <v>3</v>
      </c>
      <c r="H6" s="651" t="s">
        <v>2</v>
      </c>
      <c r="I6" s="651" t="s">
        <v>4</v>
      </c>
      <c r="J6" s="651" t="s">
        <v>56</v>
      </c>
      <c r="K6" s="650"/>
      <c r="L6" s="652" t="s">
        <v>324</v>
      </c>
      <c r="M6" s="652" t="s">
        <v>325</v>
      </c>
    </row>
    <row r="7" spans="1:17" s="647" customFormat="1">
      <c r="A7" s="653" t="s">
        <v>326</v>
      </c>
      <c r="B7" s="657">
        <v>0.01</v>
      </c>
      <c r="C7" s="658"/>
      <c r="D7" s="659">
        <v>0</v>
      </c>
      <c r="E7" s="659">
        <v>0</v>
      </c>
      <c r="F7" s="654">
        <v>-3636402.23</v>
      </c>
      <c r="G7" s="659">
        <v>-1124312.9336709999</v>
      </c>
      <c r="H7" s="659">
        <v>-217727.43546999991</v>
      </c>
      <c r="I7" s="654">
        <f>ROUND(((F7)*(B7/12))+((SUM(G7:H7)/2)*(B7/12)),2)</f>
        <v>-3589.52</v>
      </c>
      <c r="J7" s="654">
        <f>SUM(F7:I7)</f>
        <v>-4982032.1191409994</v>
      </c>
      <c r="K7" s="660"/>
      <c r="L7" s="655">
        <f>_xll.Get_Balance(A7,"YTD","USD","Total","A","","001","191010","GD","ID","DL")</f>
        <v>-4982032.12</v>
      </c>
      <c r="M7" s="656">
        <f>L7-J7</f>
        <v>-8.5900072008371353E-4</v>
      </c>
    </row>
    <row r="8" spans="1:17" s="647" customFormat="1">
      <c r="A8" s="653" t="s">
        <v>327</v>
      </c>
      <c r="B8" s="657">
        <v>0.01</v>
      </c>
      <c r="C8" s="658"/>
      <c r="D8" s="659">
        <v>0</v>
      </c>
      <c r="E8" s="659">
        <v>0</v>
      </c>
      <c r="F8" s="654">
        <f t="shared" ref="F8:F16" si="0">J7+E8</f>
        <v>-4982032.1191409994</v>
      </c>
      <c r="G8" s="659">
        <v>-640372.66759899992</v>
      </c>
      <c r="H8" s="659">
        <v>-84389.379861999769</v>
      </c>
      <c r="I8" s="654">
        <f>ROUND(((F8)*(B8/12))+((SUM(G8:H8)/2)*(B8/12)),2)</f>
        <v>-4453.68</v>
      </c>
      <c r="J8" s="654">
        <f t="shared" ref="J8:J21" si="1">SUM(F8:I8)</f>
        <v>-5711247.8466019984</v>
      </c>
      <c r="K8" s="660"/>
      <c r="L8" s="655">
        <f>_xll.Get_Balance(A8,"YTD","USD","Total","A","","001","191010","GD","ID","DL")</f>
        <v>-5711247.8499999996</v>
      </c>
      <c r="M8" s="656">
        <f t="shared" ref="M8:M21" si="2">L8-J8</f>
        <v>-3.3980011940002441E-3</v>
      </c>
    </row>
    <row r="9" spans="1:17" s="647" customFormat="1">
      <c r="A9" s="653" t="s">
        <v>328</v>
      </c>
      <c r="B9" s="657">
        <v>0.01</v>
      </c>
      <c r="C9" s="658"/>
      <c r="D9" s="659">
        <v>0</v>
      </c>
      <c r="E9" s="659">
        <v>0</v>
      </c>
      <c r="F9" s="654">
        <f t="shared" si="0"/>
        <v>-5711247.8466019984</v>
      </c>
      <c r="G9" s="659">
        <v>-408480.45094300003</v>
      </c>
      <c r="H9" s="659">
        <v>-329270.69572800025</v>
      </c>
      <c r="I9" s="654">
        <f t="shared" ref="I9:I15" si="3">ROUND(((F9)*(B9/12))+((SUM(G9:H9)/2)*(B9/12)),2)</f>
        <v>-5066.7700000000004</v>
      </c>
      <c r="J9" s="654">
        <f t="shared" si="1"/>
        <v>-6454065.7632729979</v>
      </c>
      <c r="K9" s="660"/>
      <c r="L9" s="655">
        <f>_xll.Get_Balance(A9,"YTD","USD","Total","A","","001","191010","GD","ID","DL")</f>
        <v>-6454065.7699999996</v>
      </c>
      <c r="M9" s="656">
        <f t="shared" si="2"/>
        <v>-6.7270016297698021E-3</v>
      </c>
    </row>
    <row r="10" spans="1:17" s="647" customFormat="1">
      <c r="A10" s="653" t="s">
        <v>329</v>
      </c>
      <c r="B10" s="657">
        <v>0.01</v>
      </c>
      <c r="C10" s="658"/>
      <c r="D10" s="659">
        <v>0</v>
      </c>
      <c r="E10" s="659">
        <v>0</v>
      </c>
      <c r="F10" s="654">
        <f t="shared" si="0"/>
        <v>-6454065.7632729979</v>
      </c>
      <c r="G10" s="659">
        <v>-126214.21559499972</v>
      </c>
      <c r="H10" s="659">
        <v>-440151.27622999996</v>
      </c>
      <c r="I10" s="654">
        <f t="shared" si="3"/>
        <v>-5614.37</v>
      </c>
      <c r="J10" s="654">
        <f t="shared" si="1"/>
        <v>-7026045.6250979975</v>
      </c>
      <c r="K10" s="660"/>
      <c r="L10" s="655">
        <f>_xll.Get_Balance(A10,"YTD","USD","Total","A","","001","191010","GD","ID","DL")</f>
        <v>-7026045.6299999999</v>
      </c>
      <c r="M10" s="656">
        <f t="shared" si="2"/>
        <v>-4.9020024016499519E-3</v>
      </c>
    </row>
    <row r="11" spans="1:17" s="647" customFormat="1">
      <c r="A11" s="653" t="s">
        <v>330</v>
      </c>
      <c r="B11" s="657">
        <v>0.01</v>
      </c>
      <c r="C11" s="658"/>
      <c r="D11" s="659">
        <v>0</v>
      </c>
      <c r="E11" s="659">
        <v>0</v>
      </c>
      <c r="F11" s="654">
        <f t="shared" si="0"/>
        <v>-7026045.6250979975</v>
      </c>
      <c r="G11" s="659">
        <v>205125.27402700001</v>
      </c>
      <c r="H11" s="659">
        <v>-244744.84833299997</v>
      </c>
      <c r="I11" s="654">
        <f t="shared" si="3"/>
        <v>-5871.55</v>
      </c>
      <c r="J11" s="654">
        <f t="shared" si="1"/>
        <v>-7071536.7494039973</v>
      </c>
      <c r="K11" s="660"/>
      <c r="L11" s="655">
        <f>_xll.Get_Balance(A11,"YTD","USD","Total","A","","001","191010","GD","ID","DL")</f>
        <v>-7071536.75</v>
      </c>
      <c r="M11" s="656">
        <f t="shared" si="2"/>
        <v>-5.9600267559289932E-4</v>
      </c>
    </row>
    <row r="12" spans="1:17" s="647" customFormat="1">
      <c r="A12" s="653" t="s">
        <v>331</v>
      </c>
      <c r="B12" s="657">
        <v>0.01</v>
      </c>
      <c r="C12" s="658"/>
      <c r="D12" s="659">
        <v>0</v>
      </c>
      <c r="E12" s="659">
        <v>0</v>
      </c>
      <c r="F12" s="654">
        <f t="shared" si="0"/>
        <v>-7071536.7494039973</v>
      </c>
      <c r="G12" s="659">
        <v>347787.41086200019</v>
      </c>
      <c r="H12" s="659">
        <v>-324186.75672800053</v>
      </c>
      <c r="I12" s="654">
        <f t="shared" si="3"/>
        <v>-5883.11</v>
      </c>
      <c r="J12" s="654">
        <f t="shared" si="1"/>
        <v>-7053819.2052699989</v>
      </c>
      <c r="K12" s="660"/>
      <c r="L12" s="655">
        <f>_xll.Get_Balance(A12,"YTD","USD","Total","A","","001","191010","GD","ID","DL")</f>
        <v>-7053819.21</v>
      </c>
      <c r="M12" s="656">
        <f t="shared" si="2"/>
        <v>-4.7300010919570923E-3</v>
      </c>
    </row>
    <row r="13" spans="1:17" s="647" customFormat="1">
      <c r="A13" s="653" t="s">
        <v>332</v>
      </c>
      <c r="B13" s="657">
        <v>0.01</v>
      </c>
      <c r="C13" s="658"/>
      <c r="D13" s="659">
        <v>0</v>
      </c>
      <c r="E13" s="659">
        <v>0</v>
      </c>
      <c r="F13" s="654">
        <f t="shared" si="0"/>
        <v>-7053819.2052699989</v>
      </c>
      <c r="G13" s="659">
        <v>434764.70247100014</v>
      </c>
      <c r="H13" s="659">
        <v>-1187641.0790100005</v>
      </c>
      <c r="I13" s="654">
        <f t="shared" si="3"/>
        <v>-6191.88</v>
      </c>
      <c r="J13" s="654">
        <f>SUM(F13:I13)</f>
        <v>-7812887.4618089991</v>
      </c>
      <c r="K13" s="660"/>
      <c r="L13" s="655">
        <f>_xll.Get_Balance(A13,"YTD","USD","Total","A","","001","191010","GD","ID","DL")</f>
        <v>-7812887.4699999997</v>
      </c>
      <c r="M13" s="656">
        <f t="shared" si="2"/>
        <v>-8.1910006701946259E-3</v>
      </c>
    </row>
    <row r="14" spans="1:17" s="647" customFormat="1">
      <c r="A14" s="653" t="s">
        <v>333</v>
      </c>
      <c r="B14" s="657">
        <v>0.01</v>
      </c>
      <c r="C14" s="658"/>
      <c r="D14" s="659">
        <v>0</v>
      </c>
      <c r="E14" s="659">
        <v>0</v>
      </c>
      <c r="F14" s="654">
        <f t="shared" si="0"/>
        <v>-7812887.4618089991</v>
      </c>
      <c r="G14" s="659">
        <v>381249.17529100023</v>
      </c>
      <c r="H14" s="659">
        <v>-1323183.6971459999</v>
      </c>
      <c r="I14" s="654">
        <f t="shared" si="3"/>
        <v>-6903.21</v>
      </c>
      <c r="J14" s="654">
        <f>SUM(F14:I14)</f>
        <v>-8761725.1936639994</v>
      </c>
      <c r="K14" s="660"/>
      <c r="L14" s="655">
        <f>_xll.Get_Balance(A14,"YTD","USD","Total","A","","001","191010","GD","ID","DL")</f>
        <v>-8761725.1999999993</v>
      </c>
      <c r="M14" s="656">
        <f t="shared" si="2"/>
        <v>-6.3359998166561127E-3</v>
      </c>
    </row>
    <row r="15" spans="1:17" s="647" customFormat="1">
      <c r="A15" s="653" t="s">
        <v>334</v>
      </c>
      <c r="B15" s="657">
        <v>0.01</v>
      </c>
      <c r="C15" s="658"/>
      <c r="D15" s="659">
        <v>0</v>
      </c>
      <c r="E15" s="659">
        <v>0</v>
      </c>
      <c r="F15" s="654">
        <f t="shared" si="0"/>
        <v>-8761725.1936639994</v>
      </c>
      <c r="G15" s="659">
        <v>366051.02451899991</v>
      </c>
      <c r="H15" s="659">
        <v>-1205028.0759599996</v>
      </c>
      <c r="I15" s="654">
        <f t="shared" si="3"/>
        <v>-7651.01</v>
      </c>
      <c r="J15" s="654">
        <f t="shared" si="1"/>
        <v>-9608353.2551049981</v>
      </c>
      <c r="K15" s="660"/>
      <c r="L15" s="655">
        <f>_xll.Get_Balance(A15,"YTD","USD","Total","A","","001","191010","GD","ID","DL")</f>
        <v>-9608353.2599999998</v>
      </c>
      <c r="M15" s="656">
        <f t="shared" si="2"/>
        <v>-4.8950016498565674E-3</v>
      </c>
    </row>
    <row r="16" spans="1:17" s="647" customFormat="1">
      <c r="A16" s="653" t="s">
        <v>335</v>
      </c>
      <c r="B16" s="657">
        <v>0.01</v>
      </c>
      <c r="C16" s="658"/>
      <c r="D16" s="659">
        <v>0</v>
      </c>
      <c r="E16" s="659">
        <v>0</v>
      </c>
      <c r="F16" s="654">
        <f t="shared" si="0"/>
        <v>-9608353.2551049981</v>
      </c>
      <c r="G16" s="659">
        <v>-100974.55569799966</v>
      </c>
      <c r="H16" s="659">
        <v>-1567468.5970339996</v>
      </c>
      <c r="I16" s="654">
        <f>ROUND(((F16)*(B16/12))+((SUM(G16:H16)/2)*(B16/12)),2)</f>
        <v>-8702.15</v>
      </c>
      <c r="J16" s="654">
        <f>SUM(F16:I16)-0.01</f>
        <v>-11285498.567836998</v>
      </c>
      <c r="K16" s="660"/>
      <c r="L16" s="655">
        <f>_xll.Get_Balance(A16,"YTD","USD","Total","A","","001","191010","GD","ID","DL")</f>
        <v>-11285498.560000001</v>
      </c>
      <c r="M16" s="656">
        <f t="shared" si="2"/>
        <v>7.8369975090026855E-3</v>
      </c>
      <c r="Q16" s="676"/>
    </row>
    <row r="17" spans="1:23" s="647" customFormat="1">
      <c r="A17" s="653" t="s">
        <v>336</v>
      </c>
      <c r="B17" s="657">
        <v>0.01</v>
      </c>
      <c r="C17" s="658"/>
      <c r="D17" s="659">
        <v>16.07</v>
      </c>
      <c r="E17" s="659">
        <f>-J12-0.44</f>
        <v>7053818.7652699985</v>
      </c>
      <c r="F17" s="654">
        <f>J16</f>
        <v>-11285498.567836998</v>
      </c>
      <c r="G17" s="659">
        <v>-348265.1694459999</v>
      </c>
      <c r="H17" s="659">
        <v>-137219.40170599986</v>
      </c>
      <c r="I17" s="654">
        <f>ROUND(((J16+E17+D17)*(B17/12))+((SUM(G17:H17)/2)*(B17/12)),2)</f>
        <v>-3728.67</v>
      </c>
      <c r="J17" s="654">
        <f>SUM(D17:I17)</f>
        <v>-4720876.973718999</v>
      </c>
      <c r="K17" s="660"/>
      <c r="L17" s="655">
        <f>_xll.Get_Balance(A17,"YTD","USD","Total","A","","001","191010","GD","ID","DL")</f>
        <v>-4720876.96</v>
      </c>
      <c r="M17" s="656">
        <f t="shared" si="2"/>
        <v>1.3718998990952969E-2</v>
      </c>
      <c r="P17" s="676"/>
      <c r="Q17" s="676"/>
    </row>
    <row r="18" spans="1:23" s="647" customFormat="1" ht="15.75" thickBot="1">
      <c r="A18" s="661" t="s">
        <v>337</v>
      </c>
      <c r="B18" s="662">
        <v>0.01</v>
      </c>
      <c r="C18" s="658"/>
      <c r="D18" s="663">
        <v>0</v>
      </c>
      <c r="E18" s="663">
        <v>0</v>
      </c>
      <c r="F18" s="664">
        <f>J17+E18+D18</f>
        <v>-4720876.973718999</v>
      </c>
      <c r="G18" s="663">
        <v>-800149.73148399976</v>
      </c>
      <c r="H18" s="663">
        <v>-548636.05878200196</v>
      </c>
      <c r="I18" s="664">
        <f>ROUND(((F18)*(B18/12))+((SUM(G18:H18)/2)*(B18/12)),2)</f>
        <v>-4496.0600000000004</v>
      </c>
      <c r="J18" s="664">
        <f t="shared" si="1"/>
        <v>-6074158.8239850001</v>
      </c>
      <c r="K18" s="660"/>
      <c r="L18" s="665">
        <f>_xll.Get_Balance(A18,"YTD","USD","Total","A","","001","191010","GD","ID","DL")</f>
        <v>-6074157.96</v>
      </c>
      <c r="M18" s="666">
        <f t="shared" si="2"/>
        <v>0.86398500017821789</v>
      </c>
      <c r="Q18" s="676"/>
    </row>
    <row r="19" spans="1:23" s="647" customFormat="1" collapsed="1">
      <c r="A19" s="667" t="s">
        <v>338</v>
      </c>
      <c r="B19" s="668">
        <v>0.01</v>
      </c>
      <c r="C19" s="658"/>
      <c r="D19" s="669">
        <v>0</v>
      </c>
      <c r="E19" s="669">
        <v>0</v>
      </c>
      <c r="F19" s="670">
        <f>J18+E19</f>
        <v>-6074158.8239850001</v>
      </c>
      <c r="G19" s="669">
        <v>-519151.51254800009</v>
      </c>
      <c r="H19" s="669">
        <v>-301284.36970700044</v>
      </c>
      <c r="I19" s="654">
        <f>ROUND(((F19)*(B19/12))+((SUM(G19:H19)/2)*(B19/12)),2)</f>
        <v>-5403.65</v>
      </c>
      <c r="J19" s="670">
        <f t="shared" si="1"/>
        <v>-6899998.3562400015</v>
      </c>
      <c r="K19" s="660"/>
      <c r="L19" s="671">
        <f>_xll.Get_Balance(A19,"YTD","USD","Total","A","","001","191010","GD","ID","DL")</f>
        <v>-6899997.4900000002</v>
      </c>
      <c r="M19" s="656">
        <f t="shared" si="2"/>
        <v>0.86624000128358603</v>
      </c>
    </row>
    <row r="20" spans="1:23" s="647" customFormat="1">
      <c r="A20" s="653" t="s">
        <v>339</v>
      </c>
      <c r="B20" s="668">
        <v>0.01</v>
      </c>
      <c r="C20" s="658"/>
      <c r="D20" s="659">
        <v>0</v>
      </c>
      <c r="E20" s="659">
        <v>0</v>
      </c>
      <c r="F20" s="670">
        <f>J19+E20</f>
        <v>-6899998.3562400015</v>
      </c>
      <c r="G20" s="669">
        <v>-744879.28500999999</v>
      </c>
      <c r="H20" s="669">
        <v>725761.23845600011</v>
      </c>
      <c r="I20" s="654">
        <f>ROUND(((F20)*(B20/12))+((SUM(G20:H20)/2)*(B20/12)),2)</f>
        <v>-5757.96</v>
      </c>
      <c r="J20" s="654">
        <f t="shared" si="1"/>
        <v>-6924874.3627940016</v>
      </c>
      <c r="K20" s="660"/>
      <c r="L20" s="655">
        <f>_xll.Get_Balance(A20,"YTD","USD","Total","A","","001","191010","GD","ID","DL")</f>
        <v>-6924873.5</v>
      </c>
      <c r="M20" s="656">
        <f t="shared" si="2"/>
        <v>0.86279400158673525</v>
      </c>
    </row>
    <row r="21" spans="1:23" s="647" customFormat="1">
      <c r="A21" s="653" t="s">
        <v>340</v>
      </c>
      <c r="B21" s="668">
        <v>0.01</v>
      </c>
      <c r="C21" s="658"/>
      <c r="D21" s="659">
        <v>0</v>
      </c>
      <c r="E21" s="659">
        <v>0</v>
      </c>
      <c r="F21" s="670">
        <f>J20+E21</f>
        <v>-6924874.3627940016</v>
      </c>
      <c r="G21" s="669">
        <v>-378360.96397999988</v>
      </c>
      <c r="H21" s="669">
        <v>135080.40372800035</v>
      </c>
      <c r="I21" s="654">
        <f>ROUND(((F21)*(B21/12))+((SUM(G21:H21)/2)*(B21/12)),2)</f>
        <v>-5872.1</v>
      </c>
      <c r="J21" s="654">
        <f t="shared" si="1"/>
        <v>-7174027.0230459999</v>
      </c>
      <c r="K21" s="660"/>
      <c r="L21" s="655">
        <f>_xll.Get_Balance(A21,"YTD","USD","Total","A","","001","191010","GD","ID","DL")</f>
        <v>-7174026.1600000001</v>
      </c>
      <c r="M21" s="656">
        <f t="shared" si="2"/>
        <v>0.86304599978029728</v>
      </c>
    </row>
    <row r="22" spans="1:23" ht="15.75">
      <c r="Q22" s="674"/>
      <c r="R22" s="673"/>
      <c r="S22" s="673"/>
      <c r="T22" s="672"/>
      <c r="U22" s="645"/>
      <c r="V22" s="645"/>
      <c r="W22" s="645"/>
    </row>
    <row r="23" spans="1:23">
      <c r="Q23" s="645"/>
      <c r="R23" s="645"/>
      <c r="S23" s="645"/>
      <c r="T23" s="645"/>
      <c r="U23" s="645"/>
      <c r="V23" s="645"/>
      <c r="W23" s="645"/>
    </row>
    <row r="24" spans="1:23">
      <c r="Q24" s="645"/>
      <c r="R24" s="645"/>
      <c r="S24" s="645"/>
      <c r="T24" s="645"/>
      <c r="U24" s="645"/>
      <c r="V24" s="645"/>
      <c r="W24" s="645"/>
    </row>
  </sheetData>
  <mergeCells count="1">
    <mergeCell ref="D5:J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X24"/>
  <sheetViews>
    <sheetView zoomScale="85" zoomScaleNormal="85" workbookViewId="0">
      <selection activeCell="E24" sqref="E24"/>
    </sheetView>
  </sheetViews>
  <sheetFormatPr defaultColWidth="8.85546875" defaultRowHeight="15"/>
  <cols>
    <col min="1" max="1" width="9.140625" style="644" customWidth="1"/>
    <col min="2" max="2" width="8.85546875" style="644"/>
    <col min="3" max="3" width="1.7109375" style="645" customWidth="1"/>
    <col min="4" max="4" width="11.7109375" style="645" customWidth="1"/>
    <col min="5" max="5" width="13.7109375" style="644" customWidth="1"/>
    <col min="6" max="7" width="14.28515625" style="675" customWidth="1"/>
    <col min="8" max="8" width="14.7109375" style="644" bestFit="1" customWidth="1"/>
    <col min="9" max="9" width="13.7109375" style="644" customWidth="1"/>
    <col min="10" max="10" width="1.7109375" style="644" customWidth="1"/>
    <col min="11" max="11" width="15.28515625" style="675" bestFit="1" customWidth="1"/>
    <col min="12" max="12" width="12.7109375" style="645" bestFit="1" customWidth="1"/>
    <col min="13" max="13" width="13.5703125" style="644" customWidth="1"/>
    <col min="14" max="14" width="13.85546875" style="644" bestFit="1" customWidth="1"/>
    <col min="15" max="17" width="8.85546875" style="644"/>
    <col min="18" max="18" width="12.7109375" style="644" customWidth="1"/>
    <col min="19" max="20" width="13.140625" style="644" bestFit="1" customWidth="1"/>
    <col min="21" max="16384" width="8.85546875" style="644"/>
  </cols>
  <sheetData>
    <row r="1" spans="1:16" s="639" customFormat="1" ht="15.75">
      <c r="A1" s="637" t="s">
        <v>13</v>
      </c>
      <c r="B1" s="638"/>
      <c r="C1" s="638"/>
      <c r="D1" s="638"/>
      <c r="E1" s="638"/>
      <c r="F1" s="638"/>
      <c r="G1" s="638"/>
      <c r="H1" s="638"/>
    </row>
    <row r="2" spans="1:16" s="639" customFormat="1" ht="15.75">
      <c r="A2" s="637" t="s">
        <v>0</v>
      </c>
      <c r="B2" s="638"/>
      <c r="C2" s="638"/>
      <c r="D2" s="638"/>
      <c r="E2" s="638"/>
      <c r="F2" s="638"/>
      <c r="G2" s="638"/>
      <c r="H2" s="638"/>
    </row>
    <row r="3" spans="1:16" s="639" customFormat="1" ht="15.75">
      <c r="A3" s="637" t="s">
        <v>343</v>
      </c>
      <c r="B3" s="638"/>
      <c r="C3" s="638"/>
      <c r="D3" s="638"/>
      <c r="E3" s="638"/>
      <c r="F3" s="638"/>
      <c r="G3" s="638"/>
      <c r="H3" s="638"/>
    </row>
    <row r="4" spans="1:16" s="642" customFormat="1" ht="18.75" thickBot="1">
      <c r="A4" s="640"/>
      <c r="B4" s="641"/>
      <c r="C4" s="641"/>
      <c r="D4" s="641"/>
      <c r="E4" s="641"/>
      <c r="F4" s="641"/>
      <c r="G4" s="641"/>
      <c r="H4" s="641"/>
    </row>
    <row r="5" spans="1:16" s="647" customFormat="1" ht="16.5" thickBot="1">
      <c r="A5" s="643"/>
      <c r="B5" s="644"/>
      <c r="C5" s="645"/>
      <c r="D5" s="688" t="s">
        <v>344</v>
      </c>
      <c r="E5" s="689"/>
      <c r="F5" s="689"/>
      <c r="G5" s="689"/>
      <c r="H5" s="689"/>
      <c r="I5" s="690"/>
      <c r="J5" s="678"/>
      <c r="K5" s="679"/>
      <c r="L5" s="680"/>
      <c r="M5" s="644"/>
      <c r="N5" s="644"/>
      <c r="O5" s="644"/>
      <c r="P5" s="644"/>
    </row>
    <row r="6" spans="1:16" s="647" customFormat="1" ht="56.45" customHeight="1">
      <c r="A6" s="648" t="s">
        <v>322</v>
      </c>
      <c r="B6" s="649" t="s">
        <v>253</v>
      </c>
      <c r="C6" s="650"/>
      <c r="D6" s="651" t="s">
        <v>323</v>
      </c>
      <c r="E6" s="651" t="s">
        <v>345</v>
      </c>
      <c r="F6" s="651" t="s">
        <v>250</v>
      </c>
      <c r="G6" s="651" t="s">
        <v>23</v>
      </c>
      <c r="H6" s="651" t="s">
        <v>4</v>
      </c>
      <c r="I6" s="651" t="s">
        <v>56</v>
      </c>
      <c r="J6" s="651"/>
      <c r="K6" s="677" t="s">
        <v>324</v>
      </c>
      <c r="L6" s="677" t="s">
        <v>325</v>
      </c>
    </row>
    <row r="7" spans="1:16" s="647" customFormat="1">
      <c r="A7" s="653" t="s">
        <v>326</v>
      </c>
      <c r="B7" s="657">
        <v>3.5000000000000003E-2</v>
      </c>
      <c r="C7" s="658"/>
      <c r="D7" s="659">
        <v>0</v>
      </c>
      <c r="E7" s="659">
        <v>0</v>
      </c>
      <c r="F7" s="654">
        <v>-9990002.7400000002</v>
      </c>
      <c r="G7" s="659">
        <v>3150615.2519499999</v>
      </c>
      <c r="H7" s="654">
        <f t="shared" ref="H7:H16" si="0">ROUND(((F7)*(B7/12))+((SUM(G7)/2)*(B7/12)),2)</f>
        <v>-24542.86</v>
      </c>
      <c r="I7" s="654">
        <f>SUM(D7:H7)</f>
        <v>-6863930.3480500011</v>
      </c>
      <c r="J7" s="654"/>
      <c r="K7" s="655">
        <f>_xll.Get_Balance(A7,"YTD","USD","Total","A","","001","191000","GD","WA","DL")</f>
        <v>-6863930.1399999997</v>
      </c>
      <c r="L7" s="656">
        <f t="shared" ref="L7:L21" si="1">K7-I7</f>
        <v>0.20805000141263008</v>
      </c>
    </row>
    <row r="8" spans="1:16" s="647" customFormat="1">
      <c r="A8" s="653" t="s">
        <v>327</v>
      </c>
      <c r="B8" s="657">
        <v>3.5000000000000003E-2</v>
      </c>
      <c r="C8" s="658"/>
      <c r="D8" s="659">
        <v>0</v>
      </c>
      <c r="E8" s="659">
        <v>0</v>
      </c>
      <c r="F8" s="654">
        <f t="shared" ref="F8:F16" si="2">I7+E8</f>
        <v>-6863930.3480500011</v>
      </c>
      <c r="G8" s="659">
        <v>2304083.3887400003</v>
      </c>
      <c r="H8" s="654">
        <f t="shared" si="0"/>
        <v>-16659.68</v>
      </c>
      <c r="I8" s="654">
        <f t="shared" ref="I8:I21" si="3">SUM(D8:H8)</f>
        <v>-4576506.6393100005</v>
      </c>
      <c r="J8" s="654"/>
      <c r="K8" s="655">
        <f>_xll.Get_Balance(A8,"YTD","USD","Total","A","","001","191000","GD","WA","DL")</f>
        <v>-4576506.43</v>
      </c>
      <c r="L8" s="656">
        <f t="shared" si="1"/>
        <v>0.20931000076234341</v>
      </c>
    </row>
    <row r="9" spans="1:16" s="647" customFormat="1">
      <c r="A9" s="653" t="s">
        <v>328</v>
      </c>
      <c r="B9" s="657">
        <v>3.5000000000000003E-2</v>
      </c>
      <c r="C9" s="658"/>
      <c r="D9" s="659">
        <v>0</v>
      </c>
      <c r="E9" s="659">
        <v>0</v>
      </c>
      <c r="F9" s="654">
        <f t="shared" si="2"/>
        <v>-4576506.6393100005</v>
      </c>
      <c r="G9" s="659">
        <v>1736541.60424</v>
      </c>
      <c r="H9" s="654">
        <f t="shared" si="0"/>
        <v>-10815.69</v>
      </c>
      <c r="I9" s="654">
        <f t="shared" si="3"/>
        <v>-2850780.7250700002</v>
      </c>
      <c r="J9" s="654"/>
      <c r="K9" s="655">
        <f>_xll.Get_Balance(A9,"YTD","USD","Total","A","","001","191000","GD","WA","DL")</f>
        <v>-2850780.51</v>
      </c>
      <c r="L9" s="656">
        <f t="shared" si="1"/>
        <v>0.21507000038400292</v>
      </c>
    </row>
    <row r="10" spans="1:16" s="647" customFormat="1">
      <c r="A10" s="653" t="s">
        <v>329</v>
      </c>
      <c r="B10" s="657">
        <v>3.7100000000000001E-2</v>
      </c>
      <c r="C10" s="658"/>
      <c r="D10" s="659">
        <v>0</v>
      </c>
      <c r="E10" s="659">
        <v>0</v>
      </c>
      <c r="F10" s="654">
        <f t="shared" si="2"/>
        <v>-2850780.7250700002</v>
      </c>
      <c r="G10" s="659">
        <v>1190246.3468200001</v>
      </c>
      <c r="H10" s="654">
        <f t="shared" si="0"/>
        <v>-6973.74</v>
      </c>
      <c r="I10" s="654">
        <f t="shared" si="3"/>
        <v>-1667508.1182500001</v>
      </c>
      <c r="J10" s="654"/>
      <c r="K10" s="655">
        <f>_xll.Get_Balance(A10,"YTD","USD","Total","A","","001","191000","GD","WA","DL")</f>
        <v>-1667507.9</v>
      </c>
      <c r="L10" s="656">
        <f t="shared" si="1"/>
        <v>0.21825000015087426</v>
      </c>
    </row>
    <row r="11" spans="1:16" s="647" customFormat="1">
      <c r="A11" s="653" t="s">
        <v>330</v>
      </c>
      <c r="B11" s="657">
        <v>3.7100000000000001E-2</v>
      </c>
      <c r="C11" s="658"/>
      <c r="D11" s="659">
        <v>0</v>
      </c>
      <c r="E11" s="659">
        <v>0</v>
      </c>
      <c r="F11" s="654">
        <f t="shared" si="2"/>
        <v>-1667508.1182500001</v>
      </c>
      <c r="G11" s="659">
        <v>643346.16116000002</v>
      </c>
      <c r="H11" s="654">
        <f t="shared" si="0"/>
        <v>-4160.87</v>
      </c>
      <c r="I11" s="654">
        <f t="shared" si="3"/>
        <v>-1028322.82709</v>
      </c>
      <c r="J11" s="654"/>
      <c r="K11" s="655">
        <f>_xll.Get_Balance(A11,"YTD","USD","Total","A","","001","191000","GD","WA","DL")</f>
        <v>-1028322.61</v>
      </c>
      <c r="L11" s="656">
        <f t="shared" si="1"/>
        <v>0.21709000004921108</v>
      </c>
    </row>
    <row r="12" spans="1:16" s="647" customFormat="1">
      <c r="A12" s="653" t="s">
        <v>331</v>
      </c>
      <c r="B12" s="657">
        <v>3.7100000000000001E-2</v>
      </c>
      <c r="C12" s="658"/>
      <c r="D12" s="659">
        <v>0</v>
      </c>
      <c r="E12" s="659">
        <v>0</v>
      </c>
      <c r="F12" s="654">
        <f t="shared" si="2"/>
        <v>-1028322.82709</v>
      </c>
      <c r="G12" s="659">
        <v>382561.98726999998</v>
      </c>
      <c r="H12" s="654">
        <f t="shared" si="0"/>
        <v>-2587.85</v>
      </c>
      <c r="I12" s="654">
        <f t="shared" si="3"/>
        <v>-648348.68982000009</v>
      </c>
      <c r="J12" s="654"/>
      <c r="K12" s="655">
        <f>_xll.Get_Balance(A12,"YTD","USD","Total","A","","001","191000","GD","WA","DL")</f>
        <v>-648348.48</v>
      </c>
      <c r="L12" s="656">
        <f t="shared" si="1"/>
        <v>0.20982000010553747</v>
      </c>
    </row>
    <row r="13" spans="1:16" s="647" customFormat="1">
      <c r="A13" s="653" t="s">
        <v>332</v>
      </c>
      <c r="B13" s="657">
        <v>3.9600000000000003E-2</v>
      </c>
      <c r="C13" s="658"/>
      <c r="D13" s="659">
        <v>0</v>
      </c>
      <c r="E13" s="659">
        <v>0</v>
      </c>
      <c r="F13" s="654">
        <f t="shared" si="2"/>
        <v>-648348.68982000009</v>
      </c>
      <c r="G13" s="659">
        <v>307250.94208999997</v>
      </c>
      <c r="H13" s="654">
        <f t="shared" si="0"/>
        <v>-1632.59</v>
      </c>
      <c r="I13" s="654">
        <f t="shared" si="3"/>
        <v>-342730.33773000014</v>
      </c>
      <c r="J13" s="654"/>
      <c r="K13" s="655">
        <f>_xll.Get_Balance(A13,"YTD","USD","Total","A","","001","191000","GD","WA","DL")</f>
        <v>-342730.12</v>
      </c>
      <c r="L13" s="656">
        <f t="shared" si="1"/>
        <v>0.21773000014945865</v>
      </c>
    </row>
    <row r="14" spans="1:16" s="647" customFormat="1">
      <c r="A14" s="653" t="s">
        <v>333</v>
      </c>
      <c r="B14" s="657">
        <v>3.9600000000000003E-2</v>
      </c>
      <c r="C14" s="658"/>
      <c r="D14" s="659">
        <v>0</v>
      </c>
      <c r="E14" s="659">
        <v>0</v>
      </c>
      <c r="F14" s="654">
        <f t="shared" si="2"/>
        <v>-342730.33773000014</v>
      </c>
      <c r="G14" s="659">
        <v>310200.28219000006</v>
      </c>
      <c r="H14" s="654">
        <f t="shared" si="0"/>
        <v>-619.17999999999995</v>
      </c>
      <c r="I14" s="654">
        <f t="shared" si="3"/>
        <v>-33149.235540000089</v>
      </c>
      <c r="J14" s="654"/>
      <c r="K14" s="655">
        <f>_xll.Get_Balance(A14,"YTD","USD","Total","A","","001","191000","GD","WA","DL")</f>
        <v>-33149.019999999997</v>
      </c>
      <c r="L14" s="656">
        <f t="shared" si="1"/>
        <v>0.21554000009200536</v>
      </c>
    </row>
    <row r="15" spans="1:16" s="647" customFormat="1">
      <c r="A15" s="653" t="s">
        <v>334</v>
      </c>
      <c r="B15" s="657">
        <v>3.9600000000000003E-2</v>
      </c>
      <c r="C15" s="658"/>
      <c r="D15" s="659">
        <v>0</v>
      </c>
      <c r="E15" s="659">
        <v>0</v>
      </c>
      <c r="F15" s="654">
        <f t="shared" si="2"/>
        <v>-33149.235540000089</v>
      </c>
      <c r="G15" s="659">
        <v>461554.45064999996</v>
      </c>
      <c r="H15" s="654">
        <f t="shared" si="0"/>
        <v>652.16999999999996</v>
      </c>
      <c r="I15" s="654">
        <f t="shared" si="3"/>
        <v>429057.38510999986</v>
      </c>
      <c r="J15" s="654"/>
      <c r="K15" s="655">
        <f>_xll.Get_Balance(A15,"YTD","USD","Total","A","","001","191000","GD","WA","DL")</f>
        <v>429057.6</v>
      </c>
      <c r="L15" s="656">
        <f t="shared" si="1"/>
        <v>0.21489000011933967</v>
      </c>
    </row>
    <row r="16" spans="1:16" s="647" customFormat="1">
      <c r="A16" s="653" t="s">
        <v>335</v>
      </c>
      <c r="B16" s="657">
        <v>4.2099999999999999E-2</v>
      </c>
      <c r="C16" s="658"/>
      <c r="D16" s="659">
        <v>0</v>
      </c>
      <c r="E16" s="659">
        <v>0</v>
      </c>
      <c r="F16" s="654">
        <f t="shared" si="2"/>
        <v>429057.38510999986</v>
      </c>
      <c r="G16" s="659">
        <v>1086057.4122600001</v>
      </c>
      <c r="H16" s="654">
        <f t="shared" si="0"/>
        <v>3410.4</v>
      </c>
      <c r="I16" s="654">
        <f t="shared" si="3"/>
        <v>1518525.19737</v>
      </c>
      <c r="J16" s="654"/>
      <c r="K16" s="655">
        <f>_xll.Get_Balance(A16,"YTD","USD","Total","A","","001","191000","GD","WA","DL")</f>
        <v>1518525.41</v>
      </c>
      <c r="L16" s="656">
        <f t="shared" si="1"/>
        <v>0.21262999996542931</v>
      </c>
    </row>
    <row r="17" spans="1:24" s="647" customFormat="1">
      <c r="A17" s="653" t="s">
        <v>336</v>
      </c>
      <c r="B17" s="657">
        <v>4.2099999999999999E-2</v>
      </c>
      <c r="C17" s="658"/>
      <c r="D17" s="659">
        <v>0</v>
      </c>
      <c r="E17" s="659">
        <v>-14771212.550000001</v>
      </c>
      <c r="F17" s="654">
        <f>I16</f>
        <v>1518525.19737</v>
      </c>
      <c r="G17" s="659">
        <v>1765228</v>
      </c>
      <c r="H17" s="654">
        <f>ROUND(((I16+E17)*(B17/12))+((G17/2)*(B17/12)),2)</f>
        <v>-43398.34</v>
      </c>
      <c r="I17" s="654">
        <f t="shared" si="3"/>
        <v>-11530857.69263</v>
      </c>
      <c r="J17" s="654"/>
      <c r="K17" s="655">
        <f>_xll.Get_Balance(A17,"YTD","USD","Total","A","","001","191000","GD","WA","DL")</f>
        <v>-11530628.439999999</v>
      </c>
      <c r="L17" s="656">
        <f t="shared" si="1"/>
        <v>229.252630000934</v>
      </c>
      <c r="M17" s="681"/>
    </row>
    <row r="18" spans="1:24" s="647" customFormat="1" ht="15.75" thickBot="1">
      <c r="A18" s="661" t="s">
        <v>337</v>
      </c>
      <c r="B18" s="662">
        <v>4.2099999999999999E-2</v>
      </c>
      <c r="C18" s="658"/>
      <c r="D18" s="663">
        <v>130571.12</v>
      </c>
      <c r="E18" s="663">
        <v>0</v>
      </c>
      <c r="F18" s="664">
        <f>I17</f>
        <v>-11530857.69263</v>
      </c>
      <c r="G18" s="663">
        <v>2662901</v>
      </c>
      <c r="H18" s="664">
        <f>ROUND(((I17+E18)*(B18/12))+(((G18+D18)/2)*(B18/12)),2)</f>
        <v>-35553.879999999997</v>
      </c>
      <c r="I18" s="664">
        <f>SUM(D18:H18)</f>
        <v>-8772939.4526300021</v>
      </c>
      <c r="J18" s="664"/>
      <c r="K18" s="665">
        <f>_xll.Get_Balance(A18,"YTD","USD","Total","A","","001","191000","GD","WA","DL")</f>
        <v>-8772480.3499999996</v>
      </c>
      <c r="L18" s="666">
        <f t="shared" si="1"/>
        <v>459.10263000242412</v>
      </c>
      <c r="N18" s="676"/>
    </row>
    <row r="19" spans="1:24" s="647" customFormat="1" collapsed="1">
      <c r="A19" s="667" t="s">
        <v>338</v>
      </c>
      <c r="B19" s="668">
        <v>4.2500000000000003E-2</v>
      </c>
      <c r="C19" s="658"/>
      <c r="D19" s="669">
        <v>0</v>
      </c>
      <c r="E19" s="669">
        <v>0</v>
      </c>
      <c r="F19" s="670">
        <f>I18+E19</f>
        <v>-8772939.4526300021</v>
      </c>
      <c r="G19" s="669">
        <v>2350032.8516000002</v>
      </c>
      <c r="H19" s="670">
        <f>ROUND(((F19+G19/2)*B19/12),2)</f>
        <v>-26909.31</v>
      </c>
      <c r="I19" s="670">
        <f>SUM(D19:H19)</f>
        <v>-6449815.911030001</v>
      </c>
      <c r="J19" s="670"/>
      <c r="K19" s="655">
        <f>_xll.Get_Balance(A19,"YTD","USD","Total","A","","001","191000","GD","WA","DL")</f>
        <v>-6449815.9100000001</v>
      </c>
      <c r="L19" s="656">
        <f t="shared" si="1"/>
        <v>1.0300008580088615E-3</v>
      </c>
    </row>
    <row r="20" spans="1:24" s="647" customFormat="1">
      <c r="A20" s="653" t="s">
        <v>339</v>
      </c>
      <c r="B20" s="668">
        <v>4.2500000000000003E-2</v>
      </c>
      <c r="C20" s="658"/>
      <c r="D20" s="659">
        <v>-370.51</v>
      </c>
      <c r="E20" s="659">
        <v>0</v>
      </c>
      <c r="F20" s="670">
        <f>I19+E20</f>
        <v>-6449815.911030001</v>
      </c>
      <c r="G20" s="669">
        <v>2209994.9905999997</v>
      </c>
      <c r="H20" s="654">
        <f>ROUND(((I19+E20)*(B20/12))+((SUM(G20+D20)/2)*(B20/12)),2)</f>
        <v>-18930.22</v>
      </c>
      <c r="I20" s="654">
        <f t="shared" si="3"/>
        <v>-4259121.6504300004</v>
      </c>
      <c r="J20" s="654"/>
      <c r="K20" s="655">
        <f>_xll.Get_Balance(A20,"YTD","USD","Total","A","","001","191000","GD","WA","DL")</f>
        <v>-4259121.6500000004</v>
      </c>
      <c r="L20" s="656">
        <f t="shared" si="1"/>
        <v>4.3000001460313797E-4</v>
      </c>
    </row>
    <row r="21" spans="1:24" s="647" customFormat="1">
      <c r="A21" s="653" t="s">
        <v>340</v>
      </c>
      <c r="B21" s="668">
        <v>4.2500000000000003E-2</v>
      </c>
      <c r="C21" s="658"/>
      <c r="D21" s="659">
        <v>0</v>
      </c>
      <c r="E21" s="659">
        <v>0</v>
      </c>
      <c r="F21" s="670">
        <f>I20+E21</f>
        <v>-4259121.6504300004</v>
      </c>
      <c r="G21" s="669">
        <v>1867178.4966399998</v>
      </c>
      <c r="H21" s="654">
        <f>ROUND(((F21+G21/2)*B21/12),2)</f>
        <v>-11777.93</v>
      </c>
      <c r="I21" s="654">
        <f t="shared" si="3"/>
        <v>-2403721.083790001</v>
      </c>
      <c r="J21" s="654"/>
      <c r="K21" s="655">
        <f>_xll.Get_Balance(A21,"YTD","USD","Total","A","","001","191000","GD","WA","DL")</f>
        <v>-2403721.08</v>
      </c>
      <c r="L21" s="656">
        <f t="shared" si="1"/>
        <v>3.790000919252634E-3</v>
      </c>
      <c r="N21" s="676"/>
    </row>
    <row r="22" spans="1:24" ht="15.75">
      <c r="R22" s="674"/>
      <c r="S22" s="673"/>
      <c r="T22" s="673"/>
      <c r="U22" s="672"/>
      <c r="V22" s="645"/>
      <c r="W22" s="645"/>
      <c r="X22" s="645"/>
    </row>
    <row r="23" spans="1:24">
      <c r="R23" s="645"/>
      <c r="S23" s="645"/>
      <c r="T23" s="645"/>
      <c r="U23" s="645"/>
      <c r="V23" s="645"/>
      <c r="W23" s="645"/>
      <c r="X23" s="645"/>
    </row>
    <row r="24" spans="1:24">
      <c r="R24" s="645"/>
      <c r="S24" s="645"/>
      <c r="T24" s="645"/>
      <c r="U24" s="645"/>
      <c r="V24" s="645"/>
      <c r="W24" s="645"/>
      <c r="X24" s="645"/>
    </row>
  </sheetData>
  <mergeCells count="1">
    <mergeCell ref="D5:I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X24"/>
  <sheetViews>
    <sheetView zoomScale="85" zoomScaleNormal="85" workbookViewId="0">
      <selection activeCell="H27" sqref="H27"/>
    </sheetView>
  </sheetViews>
  <sheetFormatPr defaultColWidth="8.85546875" defaultRowHeight="15"/>
  <cols>
    <col min="1" max="1" width="9.140625" style="644" customWidth="1"/>
    <col min="2" max="2" width="8.85546875" style="644"/>
    <col min="3" max="3" width="1.7109375" style="645" customWidth="1"/>
    <col min="4" max="4" width="11.7109375" style="645" customWidth="1"/>
    <col min="5" max="5" width="13.7109375" style="644" customWidth="1"/>
    <col min="6" max="7" width="14.28515625" style="675" customWidth="1"/>
    <col min="8" max="8" width="14.7109375" style="644" bestFit="1" customWidth="1"/>
    <col min="9" max="9" width="13.7109375" style="644" customWidth="1"/>
    <col min="10" max="10" width="1.7109375" style="644" customWidth="1"/>
    <col min="11" max="11" width="15.28515625" style="675" bestFit="1" customWidth="1"/>
    <col min="12" max="12" width="12.7109375" style="645" bestFit="1" customWidth="1"/>
    <col min="13" max="13" width="13.5703125" style="644" customWidth="1"/>
    <col min="14" max="14" width="13.85546875" style="644" bestFit="1" customWidth="1"/>
    <col min="15" max="17" width="8.85546875" style="644"/>
    <col min="18" max="18" width="12.7109375" style="644" customWidth="1"/>
    <col min="19" max="20" width="13.140625" style="644" bestFit="1" customWidth="1"/>
    <col min="21" max="16384" width="8.85546875" style="644"/>
  </cols>
  <sheetData>
    <row r="1" spans="1:16" s="639" customFormat="1" ht="15.75">
      <c r="A1" s="637" t="s">
        <v>13</v>
      </c>
      <c r="B1" s="638"/>
      <c r="C1" s="638"/>
      <c r="D1" s="638"/>
      <c r="E1" s="638"/>
      <c r="F1" s="638"/>
      <c r="G1" s="638"/>
      <c r="H1" s="638"/>
    </row>
    <row r="2" spans="1:16" s="639" customFormat="1" ht="15.75">
      <c r="A2" s="637" t="s">
        <v>46</v>
      </c>
      <c r="B2" s="638"/>
      <c r="C2" s="638"/>
      <c r="D2" s="638"/>
      <c r="E2" s="638"/>
      <c r="F2" s="638"/>
      <c r="G2" s="638"/>
      <c r="H2" s="638"/>
    </row>
    <row r="3" spans="1:16" s="639" customFormat="1" ht="15.75">
      <c r="A3" s="637" t="s">
        <v>343</v>
      </c>
      <c r="B3" s="638"/>
      <c r="C3" s="638"/>
      <c r="D3" s="638"/>
      <c r="E3" s="638"/>
      <c r="F3" s="638"/>
      <c r="G3" s="638"/>
      <c r="H3" s="638"/>
    </row>
    <row r="4" spans="1:16" s="642" customFormat="1" ht="18.75" thickBot="1">
      <c r="A4" s="640"/>
      <c r="B4" s="641"/>
      <c r="C4" s="641"/>
      <c r="D4" s="641"/>
      <c r="E4" s="641"/>
      <c r="F4" s="641"/>
      <c r="G4" s="641"/>
      <c r="H4" s="641"/>
    </row>
    <row r="5" spans="1:16" s="647" customFormat="1" ht="16.5" thickBot="1">
      <c r="A5" s="643"/>
      <c r="B5" s="644"/>
      <c r="C5" s="645"/>
      <c r="D5" s="688" t="s">
        <v>344</v>
      </c>
      <c r="E5" s="689"/>
      <c r="F5" s="689"/>
      <c r="G5" s="689"/>
      <c r="H5" s="689"/>
      <c r="I5" s="690"/>
      <c r="J5" s="678"/>
      <c r="K5" s="679"/>
      <c r="L5" s="680"/>
      <c r="M5" s="644"/>
      <c r="N5" s="644"/>
      <c r="O5" s="644"/>
      <c r="P5" s="644"/>
    </row>
    <row r="6" spans="1:16" s="647" customFormat="1" ht="56.45" customHeight="1">
      <c r="A6" s="648" t="s">
        <v>322</v>
      </c>
      <c r="B6" s="649" t="s">
        <v>253</v>
      </c>
      <c r="C6" s="650"/>
      <c r="D6" s="651" t="s">
        <v>323</v>
      </c>
      <c r="E6" s="651" t="s">
        <v>345</v>
      </c>
      <c r="F6" s="651" t="s">
        <v>250</v>
      </c>
      <c r="G6" s="651" t="s">
        <v>23</v>
      </c>
      <c r="H6" s="651" t="s">
        <v>4</v>
      </c>
      <c r="I6" s="651" t="s">
        <v>56</v>
      </c>
      <c r="J6" s="651"/>
      <c r="K6" s="677" t="s">
        <v>324</v>
      </c>
      <c r="L6" s="677" t="s">
        <v>325</v>
      </c>
    </row>
    <row r="7" spans="1:16" s="647" customFormat="1">
      <c r="A7" s="653" t="s">
        <v>326</v>
      </c>
      <c r="B7" s="657">
        <v>0.01</v>
      </c>
      <c r="C7" s="658"/>
      <c r="D7" s="659">
        <v>0</v>
      </c>
      <c r="E7" s="659">
        <v>0</v>
      </c>
      <c r="F7" s="654">
        <v>-4876312.2</v>
      </c>
      <c r="G7" s="659">
        <v>1485669.0544799999</v>
      </c>
      <c r="H7" s="654">
        <f t="shared" ref="H7:H16" si="0">ROUND(((F7)*(B7/12))+((SUM(G7)/2)*(B7/12)),2)</f>
        <v>-3444.56</v>
      </c>
      <c r="I7" s="654">
        <f>SUM(D7:H7)</f>
        <v>-3394087.7055200003</v>
      </c>
      <c r="J7" s="654"/>
      <c r="K7" s="655">
        <f>_xll.Get_Balance(A7,"YTD","USD","Total","A","","001","191000","GD","ID","DL")</f>
        <v>-3394087.71</v>
      </c>
      <c r="L7" s="656">
        <f t="shared" ref="L7:L21" si="1">K7-I7</f>
        <v>-4.4799996539950371E-3</v>
      </c>
    </row>
    <row r="8" spans="1:16" s="647" customFormat="1">
      <c r="A8" s="653" t="s">
        <v>327</v>
      </c>
      <c r="B8" s="657">
        <v>0.01</v>
      </c>
      <c r="C8" s="658"/>
      <c r="D8" s="659">
        <v>0</v>
      </c>
      <c r="E8" s="659">
        <v>0</v>
      </c>
      <c r="F8" s="654">
        <f t="shared" ref="F8:F16" si="2">I7+E8</f>
        <v>-3394087.7055200003</v>
      </c>
      <c r="G8" s="659">
        <v>1040390.9957999999</v>
      </c>
      <c r="H8" s="654">
        <f t="shared" si="0"/>
        <v>-2394.91</v>
      </c>
      <c r="I8" s="654">
        <f t="shared" ref="I8:I21" si="3">SUM(D8:H8)</f>
        <v>-2356091.6197200008</v>
      </c>
      <c r="J8" s="654"/>
      <c r="K8" s="655">
        <f>_xll.Get_Balance(A8,"YTD","USD","Total","A","","001","191000","GD","ID","DL")</f>
        <v>-2356091.62</v>
      </c>
      <c r="L8" s="656">
        <f t="shared" si="1"/>
        <v>-2.7999933809041977E-4</v>
      </c>
    </row>
    <row r="9" spans="1:16" s="647" customFormat="1">
      <c r="A9" s="653" t="s">
        <v>328</v>
      </c>
      <c r="B9" s="657">
        <v>0.01</v>
      </c>
      <c r="C9" s="658"/>
      <c r="D9" s="659">
        <v>0</v>
      </c>
      <c r="E9" s="659">
        <v>0</v>
      </c>
      <c r="F9" s="654">
        <f t="shared" si="2"/>
        <v>-2356091.6197200008</v>
      </c>
      <c r="G9" s="659">
        <v>891458.62103999988</v>
      </c>
      <c r="H9" s="654">
        <f t="shared" si="0"/>
        <v>-1591.97</v>
      </c>
      <c r="I9" s="654">
        <f t="shared" si="3"/>
        <v>-1466224.9686800009</v>
      </c>
      <c r="J9" s="654"/>
      <c r="K9" s="655">
        <f>_xll.Get_Balance(A9,"YTD","USD","Total","A","","001","191000","GD","ID","DL")</f>
        <v>-1466224.97</v>
      </c>
      <c r="L9" s="656">
        <f t="shared" si="1"/>
        <v>-1.3199991080909967E-3</v>
      </c>
    </row>
    <row r="10" spans="1:16" s="647" customFormat="1">
      <c r="A10" s="653" t="s">
        <v>329</v>
      </c>
      <c r="B10" s="657">
        <v>0.01</v>
      </c>
      <c r="C10" s="658"/>
      <c r="D10" s="659">
        <v>0</v>
      </c>
      <c r="E10" s="659">
        <v>0</v>
      </c>
      <c r="F10" s="654">
        <f t="shared" si="2"/>
        <v>-1466224.9686800009</v>
      </c>
      <c r="G10" s="659">
        <v>625286.12223999994</v>
      </c>
      <c r="H10" s="654">
        <f t="shared" si="0"/>
        <v>-961.32</v>
      </c>
      <c r="I10" s="654">
        <f t="shared" si="3"/>
        <v>-841900.16644000087</v>
      </c>
      <c r="J10" s="654"/>
      <c r="K10" s="655">
        <f>_xll.Get_Balance(A10,"YTD","USD","Total","A","","001","191000","GD","ID","DL")</f>
        <v>-841900.17</v>
      </c>
      <c r="L10" s="656">
        <f t="shared" si="1"/>
        <v>-3.5599991679191589E-3</v>
      </c>
    </row>
    <row r="11" spans="1:16" s="647" customFormat="1">
      <c r="A11" s="653" t="s">
        <v>330</v>
      </c>
      <c r="B11" s="657">
        <v>0.01</v>
      </c>
      <c r="C11" s="658"/>
      <c r="D11" s="659">
        <v>0</v>
      </c>
      <c r="E11" s="659">
        <v>0</v>
      </c>
      <c r="F11" s="654">
        <f t="shared" si="2"/>
        <v>-841900.16644000087</v>
      </c>
      <c r="G11" s="659">
        <v>365738.12703999999</v>
      </c>
      <c r="H11" s="654">
        <f t="shared" si="0"/>
        <v>-549.19000000000005</v>
      </c>
      <c r="I11" s="654">
        <f t="shared" si="3"/>
        <v>-476711.22940000088</v>
      </c>
      <c r="J11" s="654"/>
      <c r="K11" s="655">
        <f>_xll.Get_Balance(A11,"YTD","USD","Total","A","","001","191000","GD","ID","DL")</f>
        <v>-476711.24</v>
      </c>
      <c r="L11" s="656">
        <f t="shared" si="1"/>
        <v>-1.0599999106489122E-2</v>
      </c>
    </row>
    <row r="12" spans="1:16" s="647" customFormat="1">
      <c r="A12" s="653" t="s">
        <v>331</v>
      </c>
      <c r="B12" s="657">
        <v>0.01</v>
      </c>
      <c r="C12" s="658"/>
      <c r="D12" s="659">
        <v>0</v>
      </c>
      <c r="E12" s="659">
        <v>0</v>
      </c>
      <c r="F12" s="654">
        <f t="shared" si="2"/>
        <v>-476711.22940000088</v>
      </c>
      <c r="G12" s="659">
        <v>237611.55235999997</v>
      </c>
      <c r="H12" s="654">
        <f t="shared" si="0"/>
        <v>-298.25</v>
      </c>
      <c r="I12" s="654">
        <f t="shared" si="3"/>
        <v>-239397.92704000091</v>
      </c>
      <c r="J12" s="654"/>
      <c r="K12" s="655">
        <f>_xll.Get_Balance(A12,"YTD","USD","Total","A","","001","191000","GD","ID","DL")</f>
        <v>-239397.94</v>
      </c>
      <c r="L12" s="656">
        <f t="shared" si="1"/>
        <v>-1.2959999090526253E-2</v>
      </c>
    </row>
    <row r="13" spans="1:16" s="647" customFormat="1">
      <c r="A13" s="653" t="s">
        <v>332</v>
      </c>
      <c r="B13" s="657">
        <v>0.01</v>
      </c>
      <c r="C13" s="658"/>
      <c r="D13" s="659">
        <v>0</v>
      </c>
      <c r="E13" s="659">
        <v>0</v>
      </c>
      <c r="F13" s="654">
        <f t="shared" si="2"/>
        <v>-239397.92704000091</v>
      </c>
      <c r="G13" s="659">
        <v>187929.91619999998</v>
      </c>
      <c r="H13" s="654">
        <f t="shared" si="0"/>
        <v>-121.19</v>
      </c>
      <c r="I13" s="654">
        <f t="shared" si="3"/>
        <v>-51589.200840000936</v>
      </c>
      <c r="J13" s="654"/>
      <c r="K13" s="655">
        <f>_xll.Get_Balance(A13,"YTD","USD","Total","A","","001","191000","GD","ID","DL")</f>
        <v>-51589.22</v>
      </c>
      <c r="L13" s="656">
        <f t="shared" si="1"/>
        <v>-1.9159999064868316E-2</v>
      </c>
    </row>
    <row r="14" spans="1:16" s="647" customFormat="1">
      <c r="A14" s="653" t="s">
        <v>333</v>
      </c>
      <c r="B14" s="657">
        <v>0.01</v>
      </c>
      <c r="C14" s="658"/>
      <c r="D14" s="659">
        <v>0</v>
      </c>
      <c r="E14" s="659">
        <v>0</v>
      </c>
      <c r="F14" s="654">
        <f t="shared" si="2"/>
        <v>-51589.200840000936</v>
      </c>
      <c r="G14" s="659">
        <v>219009.42128000001</v>
      </c>
      <c r="H14" s="654">
        <f t="shared" si="0"/>
        <v>48.26</v>
      </c>
      <c r="I14" s="654">
        <f t="shared" si="3"/>
        <v>167468.48043999908</v>
      </c>
      <c r="J14" s="654"/>
      <c r="K14" s="655">
        <f>_xll.Get_Balance(A14,"YTD","USD","Total","A","","001","191000","GD","ID","DL")</f>
        <v>167468.46</v>
      </c>
      <c r="L14" s="656">
        <f t="shared" si="1"/>
        <v>-2.0439999090740457E-2</v>
      </c>
    </row>
    <row r="15" spans="1:16" s="647" customFormat="1">
      <c r="A15" s="653" t="s">
        <v>334</v>
      </c>
      <c r="B15" s="657">
        <v>0.01</v>
      </c>
      <c r="C15" s="658"/>
      <c r="D15" s="659">
        <v>0</v>
      </c>
      <c r="E15" s="659">
        <v>0</v>
      </c>
      <c r="F15" s="654">
        <f t="shared" si="2"/>
        <v>167468.48043999908</v>
      </c>
      <c r="G15" s="659">
        <v>226872.35427999997</v>
      </c>
      <c r="H15" s="654">
        <f t="shared" si="0"/>
        <v>234.09</v>
      </c>
      <c r="I15" s="654">
        <f t="shared" si="3"/>
        <v>394574.92471999908</v>
      </c>
      <c r="J15" s="654"/>
      <c r="K15" s="655">
        <f>_xll.Get_Balance(A15,"YTD","USD","Total","A","","001","191000","GD","ID","DL")</f>
        <v>394574.9</v>
      </c>
      <c r="L15" s="656">
        <f t="shared" si="1"/>
        <v>-2.4719999055378139E-2</v>
      </c>
    </row>
    <row r="16" spans="1:16" s="647" customFormat="1">
      <c r="A16" s="653" t="s">
        <v>335</v>
      </c>
      <c r="B16" s="657">
        <v>0.01</v>
      </c>
      <c r="C16" s="658"/>
      <c r="D16" s="659">
        <v>0</v>
      </c>
      <c r="E16" s="659">
        <v>0</v>
      </c>
      <c r="F16" s="654">
        <f t="shared" si="2"/>
        <v>394574.92471999908</v>
      </c>
      <c r="G16" s="659">
        <v>629393.18415999995</v>
      </c>
      <c r="H16" s="654">
        <f t="shared" si="0"/>
        <v>591.05999999999995</v>
      </c>
      <c r="I16" s="654">
        <f t="shared" si="3"/>
        <v>1024559.1688799991</v>
      </c>
      <c r="J16" s="654"/>
      <c r="K16" s="655">
        <f>_xll.Get_Balance(A16,"YTD","USD","Total","A","","001","191000","GD","ID","DL")</f>
        <v>1024559.14</v>
      </c>
      <c r="L16" s="656">
        <f t="shared" si="1"/>
        <v>-2.8879999066703022E-2</v>
      </c>
    </row>
    <row r="17" spans="1:24" s="647" customFormat="1">
      <c r="A17" s="653" t="s">
        <v>336</v>
      </c>
      <c r="B17" s="657">
        <v>0.01</v>
      </c>
      <c r="C17" s="658"/>
      <c r="D17" s="659">
        <v>-12233.26</v>
      </c>
      <c r="E17" s="659">
        <v>-7053834.8600000003</v>
      </c>
      <c r="F17" s="654">
        <f>I16</f>
        <v>1024559.1688799991</v>
      </c>
      <c r="G17" s="659">
        <v>886838</v>
      </c>
      <c r="H17" s="654">
        <f>ROUND(((I16+E17)*(B17/12))+((G17/2)*(B17/12)),2)</f>
        <v>-4654.88</v>
      </c>
      <c r="I17" s="654">
        <f t="shared" si="3"/>
        <v>-5159325.8311200012</v>
      </c>
      <c r="J17" s="654"/>
      <c r="K17" s="655">
        <f>_xll.Get_Balance(A17,"YTD","USD","Total","A","","001","191000","GD","ID","DL")</f>
        <v>-5159291.96</v>
      </c>
      <c r="L17" s="656">
        <f t="shared" si="1"/>
        <v>33.871120001189411</v>
      </c>
      <c r="M17" s="681"/>
    </row>
    <row r="18" spans="1:24" s="647" customFormat="1" ht="15.75" thickBot="1">
      <c r="A18" s="661" t="s">
        <v>337</v>
      </c>
      <c r="B18" s="662">
        <v>0.01</v>
      </c>
      <c r="C18" s="658"/>
      <c r="D18" s="663">
        <v>81340</v>
      </c>
      <c r="E18" s="663">
        <v>0</v>
      </c>
      <c r="F18" s="664">
        <f>I17</f>
        <v>-5159325.8311200012</v>
      </c>
      <c r="G18" s="663">
        <v>1270294</v>
      </c>
      <c r="H18" s="664">
        <f>ROUND(((F18+E18)*(B18/12))+(((G18+D18)/2)*(B18/12)),2)</f>
        <v>-3736.26</v>
      </c>
      <c r="I18" s="664">
        <f>SUM(D18:H18)</f>
        <v>-3811428.0911200009</v>
      </c>
      <c r="J18" s="664"/>
      <c r="K18" s="665">
        <f>_xll.Get_Balance(A18,"YTD","USD","Total","A","","001","191000","GD","ID","DL")</f>
        <v>-3811350.1</v>
      </c>
      <c r="L18" s="666">
        <f t="shared" si="1"/>
        <v>77.991120000835508</v>
      </c>
      <c r="N18" s="676"/>
    </row>
    <row r="19" spans="1:24" s="647" customFormat="1" collapsed="1">
      <c r="A19" s="667" t="s">
        <v>338</v>
      </c>
      <c r="B19" s="668">
        <v>0.01</v>
      </c>
      <c r="C19" s="658"/>
      <c r="D19" s="669">
        <v>0</v>
      </c>
      <c r="E19" s="669">
        <v>0</v>
      </c>
      <c r="F19" s="670">
        <f>I18+E19</f>
        <v>-3811428.0911200009</v>
      </c>
      <c r="G19" s="669">
        <v>1020678.49</v>
      </c>
      <c r="H19" s="670">
        <f>ROUND(((F19+G19/2)*B19/12),2)</f>
        <v>-2750.91</v>
      </c>
      <c r="I19" s="670">
        <f>SUM(D19:H19)</f>
        <v>-2793500.5111200009</v>
      </c>
      <c r="J19" s="670"/>
      <c r="K19" s="671">
        <f>_xll.Get_Balance(A19,"YTD","USD","Total","A","","001","191000","GD","ID","DL")</f>
        <v>-2793500.52</v>
      </c>
      <c r="L19" s="656">
        <f t="shared" si="1"/>
        <v>-8.8799991644918919E-3</v>
      </c>
    </row>
    <row r="20" spans="1:24" s="647" customFormat="1">
      <c r="A20" s="653" t="s">
        <v>339</v>
      </c>
      <c r="B20" s="668">
        <v>0.01</v>
      </c>
      <c r="C20" s="658"/>
      <c r="D20" s="659">
        <v>0</v>
      </c>
      <c r="E20" s="659">
        <v>0</v>
      </c>
      <c r="F20" s="670">
        <f>I19+E20</f>
        <v>-2793500.5111200009</v>
      </c>
      <c r="G20" s="669">
        <v>1088930.17</v>
      </c>
      <c r="H20" s="654">
        <f>ROUND(((I19+E20)*(B20/12))+((SUM(G20+D20)/2)*(B20/12)),2)</f>
        <v>-1874.2</v>
      </c>
      <c r="I20" s="654">
        <f t="shared" si="3"/>
        <v>-1706444.5411200009</v>
      </c>
      <c r="J20" s="654"/>
      <c r="K20" s="655">
        <f>_xll.Get_Balance(A20,"YTD","USD","Total","A","","001","191000","GD","ID","DL")</f>
        <v>-1706444.55</v>
      </c>
      <c r="L20" s="656">
        <f t="shared" si="1"/>
        <v>-8.8799991644918919E-3</v>
      </c>
    </row>
    <row r="21" spans="1:24" s="647" customFormat="1">
      <c r="A21" s="653" t="s">
        <v>340</v>
      </c>
      <c r="B21" s="668">
        <v>0.01</v>
      </c>
      <c r="C21" s="658"/>
      <c r="D21" s="659">
        <v>0</v>
      </c>
      <c r="E21" s="659">
        <v>0</v>
      </c>
      <c r="F21" s="670">
        <f>I20+E21</f>
        <v>-1706444.5411200009</v>
      </c>
      <c r="G21" s="669">
        <v>888381.94</v>
      </c>
      <c r="H21" s="654">
        <f>ROUND(((F21+G21/2)*B21/12),2)</f>
        <v>-1051.8800000000001</v>
      </c>
      <c r="I21" s="654">
        <f t="shared" si="3"/>
        <v>-819114.48112000094</v>
      </c>
      <c r="J21" s="654"/>
      <c r="K21" s="655">
        <f>_xll.Get_Balance(A21,"YTD","USD","Total","A","","001","191000","GD","ID","DL")</f>
        <v>-819114.49</v>
      </c>
      <c r="L21" s="656">
        <f t="shared" si="1"/>
        <v>-8.87999904807657E-3</v>
      </c>
      <c r="N21" s="676"/>
    </row>
    <row r="22" spans="1:24" ht="15.75">
      <c r="R22" s="674"/>
      <c r="S22" s="673"/>
      <c r="T22" s="673"/>
      <c r="U22" s="672"/>
      <c r="V22" s="645"/>
      <c r="W22" s="645"/>
      <c r="X22" s="645"/>
    </row>
    <row r="23" spans="1:24">
      <c r="R23" s="645"/>
      <c r="S23" s="645"/>
      <c r="T23" s="645"/>
      <c r="U23" s="645"/>
      <c r="V23" s="645"/>
      <c r="W23" s="645"/>
      <c r="X23" s="645"/>
    </row>
    <row r="24" spans="1:24">
      <c r="R24" s="645"/>
      <c r="S24" s="645"/>
      <c r="T24" s="645"/>
      <c r="U24" s="645"/>
      <c r="V24" s="645"/>
      <c r="W24" s="645"/>
      <c r="X24" s="645"/>
    </row>
  </sheetData>
  <mergeCells count="1">
    <mergeCell ref="D5:I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00CC66"/>
    <pageSetUpPr fitToPage="1"/>
  </sheetPr>
  <dimension ref="A1:U1485"/>
  <sheetViews>
    <sheetView showGridLines="0" topLeftCell="A7" zoomScale="70" zoomScaleNormal="70" workbookViewId="0">
      <selection activeCell="L23" sqref="L23:L27"/>
    </sheetView>
  </sheetViews>
  <sheetFormatPr defaultColWidth="16" defaultRowHeight="15"/>
  <cols>
    <col min="1" max="1" width="46.28515625" style="1" customWidth="1"/>
    <col min="2" max="2" width="25.5703125" style="1" customWidth="1"/>
    <col min="3" max="3" width="25.28515625" style="1" customWidth="1"/>
    <col min="4" max="4" width="2.7109375" style="30" customWidth="1"/>
    <col min="5" max="5" width="4.28515625" style="1" customWidth="1"/>
    <col min="6" max="6" width="26.7109375" style="1" customWidth="1"/>
    <col min="7" max="7" width="19" style="1" customWidth="1"/>
    <col min="8" max="8" width="22" style="1" customWidth="1"/>
    <col min="9" max="9" width="20.42578125" style="1" customWidth="1"/>
    <col min="10" max="10" width="26.28515625" style="1" customWidth="1"/>
    <col min="11" max="11" width="21.85546875" style="1" bestFit="1" customWidth="1"/>
    <col min="12" max="12" width="23.85546875" style="1" customWidth="1"/>
    <col min="13" max="13" width="20.85546875" style="1" bestFit="1" customWidth="1"/>
    <col min="14" max="15" width="16" style="1"/>
    <col min="16" max="16" width="16.28515625" style="1" bestFit="1" customWidth="1"/>
    <col min="17" max="16384" width="16" style="1"/>
  </cols>
  <sheetData>
    <row r="1" spans="1:13" ht="16.5" thickBot="1">
      <c r="A1" s="145" t="s">
        <v>64</v>
      </c>
      <c r="B1" s="29"/>
      <c r="C1" s="527">
        <v>201801</v>
      </c>
      <c r="F1" s="528">
        <f>C1</f>
        <v>201801</v>
      </c>
      <c r="G1" s="38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"/>
    </row>
    <row r="2" spans="1:13" ht="15.75">
      <c r="C2" s="31"/>
      <c r="F2" s="38"/>
      <c r="G2" s="38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"/>
    </row>
    <row r="3" spans="1:13" ht="16.5" thickBot="1">
      <c r="A3" s="63" t="s">
        <v>110</v>
      </c>
      <c r="C3" s="32"/>
      <c r="D3" s="33"/>
      <c r="F3" s="50" t="s">
        <v>72</v>
      </c>
      <c r="G3" s="38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"/>
    </row>
    <row r="4" spans="1:13" ht="15.75">
      <c r="A4" s="38" t="s">
        <v>88</v>
      </c>
      <c r="C4" s="559">
        <v>3655974.78</v>
      </c>
      <c r="D4" s="34"/>
      <c r="F4" s="38"/>
      <c r="G4" s="38"/>
      <c r="H4" s="11"/>
      <c r="I4" s="38"/>
      <c r="J4" s="38"/>
      <c r="L4" s="38"/>
      <c r="M4" s="38"/>
    </row>
    <row r="5" spans="1:13" ht="14.25" customHeight="1">
      <c r="A5" s="38" t="s">
        <v>31</v>
      </c>
      <c r="C5" s="559">
        <f>28431.47-1275.62</f>
        <v>27155.850000000002</v>
      </c>
      <c r="D5" s="34"/>
      <c r="F5" s="38"/>
      <c r="G5" s="38"/>
      <c r="H5" s="11"/>
      <c r="I5" s="591">
        <v>0.69059999999999999</v>
      </c>
      <c r="J5" s="591">
        <v>0.30940000000000001</v>
      </c>
      <c r="K5" s="444">
        <f>ROUND(G45/(G45+K43),4)</f>
        <v>0.70330000000000004</v>
      </c>
      <c r="L5" s="444">
        <f>1-K5</f>
        <v>0.29669999999999996</v>
      </c>
      <c r="M5" s="38"/>
    </row>
    <row r="6" spans="1:13" ht="16.5" thickBot="1">
      <c r="A6" s="49" t="s">
        <v>30</v>
      </c>
      <c r="C6" s="560">
        <f>-1494747.7-426339.9-121811.4-137037.83-78568.35-98131.26</f>
        <v>-2356636.44</v>
      </c>
      <c r="D6" s="34"/>
      <c r="F6" s="38"/>
      <c r="G6" s="38"/>
      <c r="H6" s="38"/>
      <c r="I6" s="38"/>
      <c r="J6" s="38"/>
      <c r="K6" s="38"/>
      <c r="L6" s="38"/>
      <c r="M6" s="38"/>
    </row>
    <row r="7" spans="1:13" ht="16.5" thickBot="1">
      <c r="A7" s="66" t="s">
        <v>140</v>
      </c>
      <c r="C7" s="100">
        <f>SUM(C4:C6)</f>
        <v>1326494.19</v>
      </c>
      <c r="D7" s="35"/>
      <c r="F7" s="166" t="s">
        <v>139</v>
      </c>
      <c r="G7" s="166"/>
      <c r="H7" s="125">
        <f>C34</f>
        <v>2253440.5299999993</v>
      </c>
      <c r="I7" s="167">
        <f>H7*I5</f>
        <v>1556226.0300179995</v>
      </c>
      <c r="J7" s="167">
        <f>H7*J5</f>
        <v>697214.49998199986</v>
      </c>
      <c r="K7" s="167"/>
      <c r="L7" s="167"/>
      <c r="M7" s="38"/>
    </row>
    <row r="8" spans="1:13" ht="15.75">
      <c r="A8" s="1" t="s">
        <v>89</v>
      </c>
      <c r="C8" s="559">
        <v>252729.32</v>
      </c>
      <c r="D8" s="35"/>
      <c r="F8" s="38"/>
      <c r="G8" s="38"/>
      <c r="H8" s="168"/>
      <c r="I8" s="168"/>
      <c r="J8" s="168"/>
      <c r="K8" s="168"/>
      <c r="L8" s="168"/>
      <c r="M8" s="38"/>
    </row>
    <row r="9" spans="1:13" ht="15.75">
      <c r="A9" s="38" t="s">
        <v>90</v>
      </c>
      <c r="C9" s="559">
        <f>8973.45+5.43</f>
        <v>8978.880000000001</v>
      </c>
      <c r="D9" s="36"/>
      <c r="F9" s="166" t="s">
        <v>119</v>
      </c>
      <c r="G9" s="38"/>
      <c r="H9" s="167">
        <f>C56</f>
        <v>7455235.2899999982</v>
      </c>
      <c r="I9" s="167"/>
      <c r="J9" s="167"/>
      <c r="K9" s="167">
        <f>H9*K5</f>
        <v>5243266.9794569993</v>
      </c>
      <c r="L9" s="167">
        <f>H9*L5</f>
        <v>2211968.3105429993</v>
      </c>
      <c r="M9" s="38"/>
    </row>
    <row r="10" spans="1:13" ht="15.75">
      <c r="A10" s="49" t="s">
        <v>91</v>
      </c>
      <c r="C10" s="560">
        <v>-3418.47</v>
      </c>
      <c r="D10" s="36"/>
      <c r="F10" s="169" t="s">
        <v>44</v>
      </c>
      <c r="G10" s="38"/>
      <c r="H10" s="167">
        <f>C57</f>
        <v>5580.95</v>
      </c>
      <c r="I10" s="167"/>
      <c r="J10" s="167"/>
      <c r="K10" s="167">
        <f>H10</f>
        <v>5580.95</v>
      </c>
      <c r="L10" s="167"/>
      <c r="M10" s="38"/>
    </row>
    <row r="11" spans="1:13">
      <c r="A11" s="66" t="s">
        <v>145</v>
      </c>
      <c r="C11" s="100">
        <f>SUM(C8:C10)</f>
        <v>258289.73</v>
      </c>
      <c r="D11" s="36"/>
      <c r="F11" s="169" t="s">
        <v>45</v>
      </c>
      <c r="G11" s="38"/>
      <c r="H11" s="170">
        <f>C58</f>
        <v>4185.79</v>
      </c>
      <c r="I11" s="167"/>
      <c r="J11" s="167"/>
      <c r="K11" s="170"/>
      <c r="L11" s="170">
        <f>H11</f>
        <v>4185.79</v>
      </c>
      <c r="M11" s="38"/>
    </row>
    <row r="12" spans="1:13" ht="15.75">
      <c r="A12" s="1" t="s">
        <v>165</v>
      </c>
      <c r="C12" s="559">
        <f>200789.19+1706.01</f>
        <v>202495.2</v>
      </c>
      <c r="D12" s="36"/>
      <c r="F12" s="169" t="s">
        <v>138</v>
      </c>
      <c r="G12" s="38"/>
      <c r="H12" s="167">
        <f>H9+H10+H11</f>
        <v>7465002.0299999984</v>
      </c>
      <c r="I12" s="167"/>
      <c r="J12" s="167"/>
      <c r="K12" s="167">
        <f>SUM(K9:K11)</f>
        <v>5248847.9294569995</v>
      </c>
      <c r="L12" s="167">
        <f>SUM(L9:L11)</f>
        <v>2216154.1005429993</v>
      </c>
      <c r="M12" s="38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"/>
    </row>
    <row r="14" spans="1:13" ht="16.5" thickBot="1">
      <c r="A14" s="66" t="s">
        <v>92</v>
      </c>
      <c r="C14" s="100">
        <f>SUM(C12:C13)</f>
        <v>202495.2</v>
      </c>
      <c r="D14" s="37"/>
      <c r="F14" s="50" t="s">
        <v>69</v>
      </c>
      <c r="G14" s="175"/>
      <c r="H14" s="125">
        <f>H12+H7</f>
        <v>9718442.5599999987</v>
      </c>
      <c r="I14" s="176">
        <f>SUM(I7:I13)</f>
        <v>1556226.0300179995</v>
      </c>
      <c r="J14" s="176">
        <f>SUM(J7:J13)</f>
        <v>697214.49998199986</v>
      </c>
      <c r="K14" s="176">
        <f>K12</f>
        <v>5248847.9294569995</v>
      </c>
      <c r="L14" s="176">
        <f>L12</f>
        <v>2216154.1005429993</v>
      </c>
      <c r="M14" s="38"/>
    </row>
    <row r="15" spans="1:13" ht="15.75">
      <c r="A15" s="1" t="s">
        <v>183</v>
      </c>
      <c r="C15" s="559">
        <f>411773.16+3986.07</f>
        <v>415759.23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"/>
      <c r="L15" s="173">
        <f>H12-K14-L14</f>
        <v>0</v>
      </c>
      <c r="M15" s="38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"/>
      <c r="L16" s="179"/>
      <c r="M16" s="38"/>
    </row>
    <row r="17" spans="1:14" ht="15.75" thickBot="1">
      <c r="A17" s="66" t="s">
        <v>185</v>
      </c>
      <c r="C17" s="100">
        <f>SUM(C15:C16)</f>
        <v>415759.23</v>
      </c>
      <c r="D17" s="37"/>
      <c r="F17" s="171"/>
      <c r="G17" s="172"/>
      <c r="H17" s="179"/>
      <c r="I17" s="180"/>
      <c r="J17" s="183"/>
      <c r="K17" s="38"/>
      <c r="L17" s="179"/>
      <c r="M17" s="38"/>
    </row>
    <row r="18" spans="1:14" ht="16.5" thickBot="1">
      <c r="A18" s="1" t="s">
        <v>163</v>
      </c>
      <c r="C18" s="559">
        <f>83248.66+10571.6-991.71</f>
        <v>92828.55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4" ht="15.75">
      <c r="A19" s="46" t="s">
        <v>164</v>
      </c>
      <c r="C19" s="560">
        <f>908.45</f>
        <v>908.45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4" ht="16.5" thickBot="1">
      <c r="A20" s="67" t="s">
        <v>93</v>
      </c>
      <c r="C20" s="100">
        <f>SUM(C18:C19)</f>
        <v>93737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4" ht="15.75">
      <c r="A21" s="46" t="s">
        <v>149</v>
      </c>
      <c r="B21" s="383"/>
      <c r="C21" s="560">
        <f>1850+820.3</f>
        <v>2670.3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4" ht="18" customHeight="1">
      <c r="A22" s="65" t="s">
        <v>149</v>
      </c>
      <c r="C22" s="100">
        <f>SUM(C21)</f>
        <v>2670.3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4" ht="15.75">
      <c r="A23" s="208" t="s">
        <v>180</v>
      </c>
      <c r="C23" s="100">
        <v>0</v>
      </c>
      <c r="D23" s="36"/>
      <c r="F23" s="200" t="s">
        <v>37</v>
      </c>
      <c r="G23" s="562">
        <v>20257484</v>
      </c>
      <c r="H23" s="624">
        <v>0.10743999999999999</v>
      </c>
      <c r="I23" s="196">
        <f t="shared" ref="I23:I31" si="0">G23*H23</f>
        <v>2176464.0809599999</v>
      </c>
      <c r="J23" s="200" t="s">
        <v>37</v>
      </c>
      <c r="K23" s="562">
        <v>8822773</v>
      </c>
      <c r="L23" s="624">
        <v>0.10496999999999999</v>
      </c>
      <c r="M23" s="196">
        <f>K23*L23</f>
        <v>926126.48180999991</v>
      </c>
      <c r="N23" s="383"/>
    </row>
    <row r="24" spans="1:14" ht="15.75">
      <c r="A24" s="208" t="s">
        <v>186</v>
      </c>
      <c r="C24" s="311">
        <v>0</v>
      </c>
      <c r="D24" s="36"/>
      <c r="F24" s="200" t="s">
        <v>305</v>
      </c>
      <c r="G24" s="562">
        <v>22671</v>
      </c>
      <c r="H24" s="624">
        <v>0.10743999999999999</v>
      </c>
      <c r="I24" s="196">
        <f t="shared" si="0"/>
        <v>2435.7722399999998</v>
      </c>
      <c r="J24" s="200" t="s">
        <v>38</v>
      </c>
      <c r="K24" s="562">
        <v>2761366</v>
      </c>
      <c r="L24" s="624">
        <v>0.10496999999999999</v>
      </c>
      <c r="M24" s="196">
        <f t="shared" ref="M24:M27" si="1">K24*L24</f>
        <v>289860.58901999996</v>
      </c>
      <c r="N24" s="383"/>
    </row>
    <row r="25" spans="1:14" ht="15.75">
      <c r="A25" s="208" t="s">
        <v>189</v>
      </c>
      <c r="C25" s="313">
        <v>0</v>
      </c>
      <c r="D25" s="36"/>
      <c r="F25" s="200" t="s">
        <v>38</v>
      </c>
      <c r="G25" s="562">
        <v>6608892</v>
      </c>
      <c r="H25" s="624">
        <v>9.8650000000000002E-2</v>
      </c>
      <c r="I25" s="196">
        <f t="shared" si="0"/>
        <v>651967.19579999999</v>
      </c>
      <c r="J25" s="200" t="s">
        <v>39</v>
      </c>
      <c r="K25" s="562">
        <v>3610</v>
      </c>
      <c r="L25" s="624">
        <v>0.10496999999999999</v>
      </c>
      <c r="M25" s="196">
        <f t="shared" si="1"/>
        <v>378.94169999999997</v>
      </c>
      <c r="N25" s="383"/>
    </row>
    <row r="26" spans="1:14" ht="15.75">
      <c r="A26" s="209" t="s">
        <v>313</v>
      </c>
      <c r="C26" s="314">
        <v>0</v>
      </c>
      <c r="D26" s="36"/>
      <c r="F26" s="200" t="s">
        <v>39</v>
      </c>
      <c r="G26" s="562">
        <v>10558</v>
      </c>
      <c r="H26" s="624">
        <v>9.8650000000000002E-2</v>
      </c>
      <c r="I26" s="196">
        <f t="shared" si="0"/>
        <v>1041.5467000000001</v>
      </c>
      <c r="J26" s="200" t="s">
        <v>40</v>
      </c>
      <c r="K26" s="261"/>
      <c r="L26" s="624">
        <v>0.10496999999999999</v>
      </c>
      <c r="M26" s="196">
        <f t="shared" si="1"/>
        <v>0</v>
      </c>
      <c r="N26" s="383"/>
    </row>
    <row r="27" spans="1:14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362835</v>
      </c>
      <c r="H27" s="624">
        <v>0.10433000000000001</v>
      </c>
      <c r="I27" s="196">
        <f t="shared" si="0"/>
        <v>37854.575550000001</v>
      </c>
      <c r="J27" s="200" t="s">
        <v>41</v>
      </c>
      <c r="K27" s="261"/>
      <c r="L27" s="624">
        <v>0.10496999999999999</v>
      </c>
      <c r="M27" s="196">
        <f t="shared" si="1"/>
        <v>0</v>
      </c>
      <c r="N27" s="383"/>
    </row>
    <row r="28" spans="1:14" ht="16.5" thickBot="1">
      <c r="A28" s="210" t="s">
        <v>150</v>
      </c>
      <c r="C28" s="311">
        <v>0</v>
      </c>
      <c r="D28" s="37"/>
      <c r="F28" s="200" t="s">
        <v>41</v>
      </c>
      <c r="G28" s="562">
        <v>65295</v>
      </c>
      <c r="H28" s="624">
        <v>0.10433000000000001</v>
      </c>
      <c r="I28" s="196">
        <f t="shared" si="0"/>
        <v>6812.2273500000001</v>
      </c>
      <c r="J28" s="199" t="s">
        <v>127</v>
      </c>
      <c r="K28" s="181">
        <f>SUM(K23:K27)</f>
        <v>11587749</v>
      </c>
      <c r="L28" s="182"/>
      <c r="M28" s="197">
        <f>SUM(M23:M27)</f>
        <v>1216366.0125299999</v>
      </c>
      <c r="N28" s="383"/>
    </row>
    <row r="29" spans="1:14" ht="17.25" thickTop="1" thickBot="1">
      <c r="A29" s="210" t="s">
        <v>167</v>
      </c>
      <c r="B29" s="38"/>
      <c r="C29" s="311">
        <v>0</v>
      </c>
      <c r="D29" s="36"/>
      <c r="F29" s="200" t="s">
        <v>42</v>
      </c>
      <c r="G29" s="562">
        <v>0</v>
      </c>
      <c r="H29" s="624">
        <v>6.2480000000000001E-2</v>
      </c>
      <c r="I29" s="196">
        <f t="shared" si="0"/>
        <v>0</v>
      </c>
      <c r="J29" s="199"/>
      <c r="K29" s="231">
        <v>11587749</v>
      </c>
      <c r="L29" s="187" t="s">
        <v>102</v>
      </c>
      <c r="M29" s="464">
        <f>M28/K28</f>
        <v>0.10496999999999999</v>
      </c>
      <c r="N29" s="383"/>
    </row>
    <row r="30" spans="1:14" ht="16.5" thickBot="1">
      <c r="A30" s="2" t="s">
        <v>111</v>
      </c>
      <c r="C30" s="125">
        <f>C7+C11+C14+C17+C20+C22+C27+C28+C29</f>
        <v>2299445.6499999994</v>
      </c>
      <c r="D30" s="37"/>
      <c r="F30" s="200" t="s">
        <v>43</v>
      </c>
      <c r="G30" s="562">
        <v>139102</v>
      </c>
      <c r="H30" s="624">
        <v>6.2480000000000001E-2</v>
      </c>
      <c r="I30" s="196">
        <f t="shared" si="0"/>
        <v>8691.0929599999999</v>
      </c>
      <c r="J30" s="200"/>
      <c r="K30" s="230">
        <f>K28-K29</f>
        <v>0</v>
      </c>
      <c r="L30" s="182"/>
      <c r="M30" s="198"/>
    </row>
    <row r="31" spans="1:14" ht="15.75">
      <c r="A31" s="1" t="s">
        <v>112</v>
      </c>
      <c r="C31" s="559">
        <v>-8961.94</v>
      </c>
      <c r="D31" s="39"/>
      <c r="F31" s="200" t="s">
        <v>74</v>
      </c>
      <c r="G31" s="562">
        <v>3629622</v>
      </c>
      <c r="H31" s="682">
        <v>5.4000000000000001E-4</v>
      </c>
      <c r="I31" s="196">
        <f t="shared" si="0"/>
        <v>1959.9958799999999</v>
      </c>
      <c r="J31" s="153"/>
      <c r="K31" s="7"/>
      <c r="L31" s="182"/>
      <c r="M31" s="198"/>
    </row>
    <row r="32" spans="1:14" ht="16.5" thickBot="1">
      <c r="A32" s="2" t="s">
        <v>116</v>
      </c>
      <c r="B32" s="2" t="s">
        <v>117</v>
      </c>
      <c r="C32" s="578">
        <f>C30+C31</f>
        <v>2290483.7099999995</v>
      </c>
      <c r="D32" s="40"/>
      <c r="F32" s="199" t="s">
        <v>127</v>
      </c>
      <c r="G32" s="181">
        <f>SUM(G23:G31)</f>
        <v>31096459</v>
      </c>
      <c r="H32" s="7"/>
      <c r="I32" s="197">
        <f>SUM(I23:I31)</f>
        <v>2887226.4874399994</v>
      </c>
      <c r="J32" s="192"/>
      <c r="K32" s="193"/>
      <c r="L32" s="7"/>
      <c r="M32" s="190"/>
    </row>
    <row r="33" spans="1:17" ht="17.25" thickTop="1" thickBot="1">
      <c r="A33" s="1" t="s">
        <v>113</v>
      </c>
      <c r="C33" s="578">
        <f>-C5-C9-C13-C16-C19</f>
        <v>-37043.18</v>
      </c>
      <c r="D33" s="36"/>
      <c r="F33" s="186"/>
      <c r="G33" s="231">
        <v>31096459</v>
      </c>
      <c r="H33" s="187" t="s">
        <v>102</v>
      </c>
      <c r="I33" s="216">
        <f>I32/G32</f>
        <v>9.2847436019644528E-2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2253440.5299999993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5">
        <v>8822773</v>
      </c>
      <c r="L36" s="624">
        <v>0.21725</v>
      </c>
      <c r="M36" s="196">
        <f t="shared" ref="M36:M42" si="2">K36*L36</f>
        <v>1916747.4342499999</v>
      </c>
      <c r="N36" s="383"/>
      <c r="P36" s="272"/>
      <c r="Q36" s="272"/>
    </row>
    <row r="37" spans="1:17" ht="15.75">
      <c r="A37" s="7" t="s">
        <v>129</v>
      </c>
      <c r="B37" s="86" t="s">
        <v>115</v>
      </c>
      <c r="C37" s="559">
        <v>9310111.5999999996</v>
      </c>
      <c r="D37" s="36"/>
      <c r="F37" s="200" t="s">
        <v>37</v>
      </c>
      <c r="G37" s="605">
        <v>20257484</v>
      </c>
      <c r="H37" s="624">
        <v>0.21817</v>
      </c>
      <c r="I37" s="196">
        <f t="shared" ref="I37:I44" si="3">G37*H37</f>
        <v>4419575.2842800003</v>
      </c>
      <c r="J37" s="200" t="s">
        <v>38</v>
      </c>
      <c r="K37" s="605">
        <v>2761366</v>
      </c>
      <c r="L37" s="624">
        <v>0.21725</v>
      </c>
      <c r="M37" s="196">
        <f t="shared" si="2"/>
        <v>599906.7635</v>
      </c>
      <c r="N37" s="383"/>
      <c r="P37" s="272"/>
      <c r="Q37" s="272"/>
    </row>
    <row r="38" spans="1:17" ht="15.75">
      <c r="A38" s="144" t="s">
        <v>14</v>
      </c>
      <c r="B38" s="86" t="s">
        <v>115</v>
      </c>
      <c r="C38" s="559">
        <v>0</v>
      </c>
      <c r="D38" s="36"/>
      <c r="F38" s="200" t="s">
        <v>305</v>
      </c>
      <c r="G38" s="605">
        <v>22671</v>
      </c>
      <c r="H38" s="624">
        <v>0.21817</v>
      </c>
      <c r="I38" s="196">
        <f t="shared" si="3"/>
        <v>4946.1320699999997</v>
      </c>
      <c r="J38" s="200" t="s">
        <v>39</v>
      </c>
      <c r="K38" s="605">
        <v>3610</v>
      </c>
      <c r="L38" s="624">
        <v>0.21725</v>
      </c>
      <c r="M38" s="196">
        <f t="shared" si="2"/>
        <v>784.27250000000004</v>
      </c>
      <c r="N38" s="383"/>
      <c r="P38" s="272"/>
      <c r="Q38" s="272"/>
    </row>
    <row r="39" spans="1:17" ht="15.75">
      <c r="A39" s="7" t="s">
        <v>146</v>
      </c>
      <c r="B39" s="86" t="s">
        <v>147</v>
      </c>
      <c r="C39" s="559">
        <v>-92480.2</v>
      </c>
      <c r="D39" s="36"/>
      <c r="F39" s="200" t="s">
        <v>38</v>
      </c>
      <c r="G39" s="605">
        <v>6608892</v>
      </c>
      <c r="H39" s="624">
        <v>0.21817</v>
      </c>
      <c r="I39" s="196">
        <f t="shared" si="3"/>
        <v>1441861.9676399999</v>
      </c>
      <c r="J39" s="200" t="s">
        <v>40</v>
      </c>
      <c r="K39" s="262">
        <f>K26</f>
        <v>0</v>
      </c>
      <c r="L39" s="624">
        <v>0.21725</v>
      </c>
      <c r="M39" s="196">
        <f t="shared" si="2"/>
        <v>0</v>
      </c>
      <c r="N39" s="383"/>
      <c r="P39" s="272"/>
      <c r="Q39" s="272"/>
    </row>
    <row r="40" spans="1:17" ht="15.75">
      <c r="A40" s="7" t="s">
        <v>131</v>
      </c>
      <c r="B40" s="86" t="s">
        <v>132</v>
      </c>
      <c r="C40" s="559">
        <v>2270713.2799999998</v>
      </c>
      <c r="D40" s="36"/>
      <c r="F40" s="200" t="s">
        <v>39</v>
      </c>
      <c r="G40" s="605">
        <v>10558</v>
      </c>
      <c r="H40" s="624">
        <v>0.21817</v>
      </c>
      <c r="I40" s="196">
        <f t="shared" si="3"/>
        <v>2303.4388600000002</v>
      </c>
      <c r="J40" s="200" t="s">
        <v>41</v>
      </c>
      <c r="K40" s="262">
        <f>K27</f>
        <v>0</v>
      </c>
      <c r="L40" s="624">
        <v>0.21725</v>
      </c>
      <c r="M40" s="196">
        <f t="shared" si="2"/>
        <v>0</v>
      </c>
      <c r="N40" s="383"/>
      <c r="P40" s="272"/>
      <c r="Q40" s="272"/>
    </row>
    <row r="41" spans="1:17" ht="15.75">
      <c r="A41" s="7" t="s">
        <v>153</v>
      </c>
      <c r="B41" s="6" t="s">
        <v>155</v>
      </c>
      <c r="C41" s="559">
        <v>1919.57</v>
      </c>
      <c r="D41" s="36"/>
      <c r="F41" s="200" t="s">
        <v>40</v>
      </c>
      <c r="G41" s="605">
        <v>362835</v>
      </c>
      <c r="H41" s="624">
        <v>0.21817</v>
      </c>
      <c r="I41" s="196">
        <f t="shared" si="3"/>
        <v>79159.711949999997</v>
      </c>
      <c r="J41" s="200" t="s">
        <v>42</v>
      </c>
      <c r="K41" s="261">
        <v>0</v>
      </c>
      <c r="L41" s="624">
        <v>0.21725</v>
      </c>
      <c r="M41" s="196">
        <f t="shared" si="2"/>
        <v>0</v>
      </c>
      <c r="N41" s="383"/>
      <c r="P41" s="272"/>
      <c r="Q41" s="272"/>
    </row>
    <row r="42" spans="1:17" ht="16.5" thickBot="1">
      <c r="A42" s="7" t="s">
        <v>178</v>
      </c>
      <c r="B42" s="229" t="s">
        <v>179</v>
      </c>
      <c r="C42" s="559">
        <v>895916.94</v>
      </c>
      <c r="D42" s="37"/>
      <c r="F42" s="200" t="s">
        <v>41</v>
      </c>
      <c r="G42" s="605">
        <v>65295</v>
      </c>
      <c r="H42" s="624">
        <v>0.21817</v>
      </c>
      <c r="I42" s="196">
        <f t="shared" si="3"/>
        <v>14245.41015</v>
      </c>
      <c r="J42" s="200" t="s">
        <v>43</v>
      </c>
      <c r="K42" s="263">
        <v>0</v>
      </c>
      <c r="L42" s="624">
        <v>0.21725</v>
      </c>
      <c r="M42" s="196">
        <f t="shared" si="2"/>
        <v>0</v>
      </c>
      <c r="N42" s="383"/>
      <c r="P42" s="272"/>
      <c r="Q42" s="272"/>
    </row>
    <row r="43" spans="1:17" ht="16.5" thickBot="1">
      <c r="A43" s="85" t="s">
        <v>123</v>
      </c>
      <c r="B43" s="12"/>
      <c r="C43" s="125">
        <f>SUM(C37:C42)</f>
        <v>12386181.189999999</v>
      </c>
      <c r="D43" s="36"/>
      <c r="F43" s="200" t="s">
        <v>42</v>
      </c>
      <c r="G43" s="605">
        <v>0</v>
      </c>
      <c r="H43" s="624">
        <v>0.21817</v>
      </c>
      <c r="I43" s="196">
        <f t="shared" si="3"/>
        <v>0</v>
      </c>
      <c r="J43" s="199" t="s">
        <v>133</v>
      </c>
      <c r="K43" s="181">
        <f>SUM(K36:K42)</f>
        <v>11587749</v>
      </c>
      <c r="L43" s="182"/>
      <c r="M43" s="197">
        <f>SUM(M36:M42)</f>
        <v>2517438.4702499998</v>
      </c>
    </row>
    <row r="44" spans="1:17" ht="16.5" thickBot="1">
      <c r="A44" s="83" t="s">
        <v>177</v>
      </c>
      <c r="B44" s="84" t="s">
        <v>120</v>
      </c>
      <c r="C44" s="559">
        <f>-447647.7+3873607.53-24735.54+1377.31</f>
        <v>3402601.5999999996</v>
      </c>
      <c r="D44" s="37"/>
      <c r="F44" s="200" t="s">
        <v>43</v>
      </c>
      <c r="G44" s="605">
        <v>139102</v>
      </c>
      <c r="H44" s="624">
        <v>0.21817</v>
      </c>
      <c r="I44" s="196">
        <f t="shared" si="3"/>
        <v>30347.88334</v>
      </c>
      <c r="J44" s="194"/>
      <c r="K44" s="232">
        <v>11587749</v>
      </c>
      <c r="L44" s="189" t="s">
        <v>102</v>
      </c>
      <c r="M44" s="217">
        <f>M43/K43</f>
        <v>0.21724999999999997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27466837</v>
      </c>
      <c r="H45" s="182"/>
      <c r="I45" s="197">
        <f>SUM(I37:I44)</f>
        <v>5992439.8282900015</v>
      </c>
      <c r="J45" s="124"/>
      <c r="K45" s="230">
        <f>K43-K44</f>
        <v>0</v>
      </c>
      <c r="L45" s="38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27466837</v>
      </c>
      <c r="H46" s="189" t="s">
        <v>102</v>
      </c>
      <c r="I46" s="215">
        <f>I45/G45</f>
        <v>0.21817000000000006</v>
      </c>
      <c r="J46" s="124"/>
      <c r="K46" s="230"/>
      <c r="L46" s="384"/>
      <c r="M46" s="124"/>
    </row>
    <row r="47" spans="1:17" ht="19.5" customHeight="1">
      <c r="A47" s="1" t="s">
        <v>137</v>
      </c>
      <c r="B47" s="6" t="s">
        <v>115</v>
      </c>
      <c r="C47" s="122">
        <v>0</v>
      </c>
      <c r="D47" s="36"/>
      <c r="F47" s="38"/>
      <c r="G47" s="230">
        <f>G45-G46</f>
        <v>0</v>
      </c>
      <c r="H47" s="38"/>
      <c r="I47" s="38"/>
      <c r="J47" s="124"/>
      <c r="K47" s="230"/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"/>
      <c r="G48" s="38"/>
      <c r="H48" s="38"/>
      <c r="I48" s="38"/>
      <c r="J48" s="124"/>
      <c r="K48" s="114"/>
      <c r="L48" s="38"/>
      <c r="M48" s="68"/>
    </row>
    <row r="49" spans="1:21" ht="15.75">
      <c r="A49" s="7" t="s">
        <v>130</v>
      </c>
      <c r="B49" s="86" t="s">
        <v>152</v>
      </c>
      <c r="C49" s="559">
        <v>19453.97</v>
      </c>
      <c r="D49" s="36"/>
      <c r="F49" s="38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"/>
    </row>
    <row r="50" spans="1:21" ht="16.5" thickBot="1">
      <c r="A50" s="7" t="s">
        <v>222</v>
      </c>
      <c r="B50" s="218" t="s">
        <v>152</v>
      </c>
      <c r="C50" s="559">
        <v>3069.37</v>
      </c>
      <c r="D50" s="37"/>
      <c r="F50" s="50" t="s">
        <v>73</v>
      </c>
      <c r="G50" s="38"/>
      <c r="H50" s="130" t="s">
        <v>2</v>
      </c>
      <c r="I50" s="131" t="s">
        <v>3</v>
      </c>
      <c r="J50" s="131" t="s">
        <v>2</v>
      </c>
      <c r="K50" s="128" t="s">
        <v>3</v>
      </c>
      <c r="L50" s="38"/>
      <c r="M50" s="38"/>
    </row>
    <row r="51" spans="1:21" ht="15.75">
      <c r="A51" s="7" t="s">
        <v>308</v>
      </c>
      <c r="B51" s="451" t="s">
        <v>152</v>
      </c>
      <c r="C51" s="559">
        <v>5858.93</v>
      </c>
      <c r="D51" s="36"/>
      <c r="F51" s="38"/>
      <c r="G51" s="38"/>
      <c r="H51" s="151"/>
      <c r="I51" s="152"/>
      <c r="J51" s="152"/>
      <c r="K51" s="152"/>
      <c r="L51" s="126" t="s">
        <v>103</v>
      </c>
      <c r="M51" s="38"/>
    </row>
    <row r="52" spans="1:21" ht="15.75">
      <c r="A52" s="22" t="s">
        <v>118</v>
      </c>
      <c r="B52" s="6"/>
      <c r="C52" s="579">
        <f>-C33</f>
        <v>37043.18</v>
      </c>
      <c r="D52" s="33"/>
      <c r="F52" s="38" t="s">
        <v>136</v>
      </c>
      <c r="G52" s="38"/>
      <c r="H52" s="212">
        <f>K12</f>
        <v>5248847.9294569995</v>
      </c>
      <c r="I52" s="115">
        <f>I14</f>
        <v>1556226.0300179995</v>
      </c>
      <c r="J52" s="115">
        <f>L12</f>
        <v>2216154.1005429993</v>
      </c>
      <c r="K52" s="115">
        <f>J14</f>
        <v>697214.49998199986</v>
      </c>
      <c r="L52" s="132">
        <f>SUM(H52:K52)</f>
        <v>9718442.5599999987</v>
      </c>
      <c r="M52" s="38"/>
    </row>
    <row r="53" spans="1:21" ht="16.5" thickBot="1">
      <c r="A53" s="384" t="s">
        <v>315</v>
      </c>
      <c r="B53" s="623" t="s">
        <v>316</v>
      </c>
      <c r="C53" s="559">
        <f>7821.52+0.01</f>
        <v>7821.5300000000007</v>
      </c>
      <c r="D53" s="36"/>
      <c r="F53" s="1" t="s">
        <v>109</v>
      </c>
      <c r="H53" s="212">
        <f>-I45</f>
        <v>-5992439.8282900015</v>
      </c>
      <c r="I53" s="115">
        <f>-I32</f>
        <v>-2887226.4874399994</v>
      </c>
      <c r="J53" s="115">
        <f>-M43</f>
        <v>-2517438.4702499998</v>
      </c>
      <c r="K53" s="115">
        <f>-M28</f>
        <v>-1216366.0125299999</v>
      </c>
      <c r="L53" s="260">
        <f>SUM(H53:K53)</f>
        <v>-12613470.79851</v>
      </c>
    </row>
    <row r="54" spans="1:21" ht="16.5" thickBot="1">
      <c r="A54" s="381" t="s">
        <v>124</v>
      </c>
      <c r="B54" s="472" t="s">
        <v>296</v>
      </c>
      <c r="C54" s="559">
        <f>-538419.62-4072845.36-3427529.5</f>
        <v>-8038794.4799999995</v>
      </c>
      <c r="D54" s="36"/>
      <c r="F54" s="1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-2895028.2385100015</v>
      </c>
    </row>
    <row r="55" spans="1:21" ht="16.5" thickBot="1">
      <c r="A55" s="1" t="s">
        <v>312</v>
      </c>
      <c r="B55" s="6" t="s">
        <v>190</v>
      </c>
      <c r="C55" s="559">
        <v>-375000</v>
      </c>
      <c r="D55" s="36"/>
      <c r="F55" s="1" t="s">
        <v>71</v>
      </c>
      <c r="H55" s="125">
        <f>H52+H53+H54</f>
        <v>-743591.89883300196</v>
      </c>
      <c r="I55" s="125">
        <f>I52+I53+I54</f>
        <v>-1331000.4574219999</v>
      </c>
      <c r="J55" s="125">
        <f>J52+J53+J54</f>
        <v>-301284.36970700044</v>
      </c>
      <c r="K55" s="125">
        <f>K52+K53+K54</f>
        <v>-519151.51254800009</v>
      </c>
      <c r="L55" s="47">
        <f>SUM(H55:K55)</f>
        <v>-2895028.2385100024</v>
      </c>
    </row>
    <row r="56" spans="1:21" ht="16.5" thickBot="1">
      <c r="A56" s="82" t="s">
        <v>119</v>
      </c>
      <c r="B56" s="84"/>
      <c r="C56" s="160">
        <f>SUM(C43:C55)</f>
        <v>7455235.2899999982</v>
      </c>
      <c r="D56" s="36"/>
      <c r="F56" s="239" t="s">
        <v>181</v>
      </c>
      <c r="H56" s="1" t="s">
        <v>173</v>
      </c>
      <c r="I56" s="5">
        <f>SUM(H55:I55)</f>
        <v>-2074592.3562550019</v>
      </c>
      <c r="J56" s="15" t="s">
        <v>174</v>
      </c>
      <c r="K56" s="1">
        <f>SUM(J55:K55)</f>
        <v>-820435.88225500053</v>
      </c>
      <c r="L56" s="213">
        <f>ROUND(L54-L55,3)</f>
        <v>0</v>
      </c>
      <c r="T56" s="42"/>
    </row>
    <row r="57" spans="1:21" ht="16.5" thickTop="1">
      <c r="A57" s="1" t="s">
        <v>121</v>
      </c>
      <c r="B57" s="6" t="s">
        <v>115</v>
      </c>
      <c r="C57" s="559">
        <v>5580.95</v>
      </c>
      <c r="D57" s="36"/>
      <c r="F57" s="396" t="s">
        <v>181</v>
      </c>
      <c r="H57" s="96"/>
    </row>
    <row r="58" spans="1:21" ht="16.5" thickBot="1">
      <c r="A58" s="1" t="s">
        <v>122</v>
      </c>
      <c r="B58" s="6" t="s">
        <v>115</v>
      </c>
      <c r="C58" s="559">
        <v>4185.79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7465002.0299999984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9718442.5599999987</v>
      </c>
      <c r="D61" s="37"/>
      <c r="H61" s="348" t="e">
        <f>SUM('WA - Def-Amtz (current)'!AN5:AN10,'WA - Def-Amtz (current)'!AN35:AN40,'WA - Def-Amtz (current)'!AN70:AN73,#REF!,#REF!,#REF!)+'WA - Def-Amtz (current)'!AN43+#REF!</f>
        <v>#REF!</v>
      </c>
      <c r="I61" s="448" t="e">
        <f>SUM('WA - Def-Amtz (current)'!AO5:AO10,'WA - Def-Amtz (current)'!AO35:AO40,'WA - Def-Amtz (current)'!AO70:AO73,#REF!,#REF!,#REF!)+'WA - Def-Amtz (current)'!AO44+#REF!</f>
        <v>#REF!</v>
      </c>
      <c r="J61" s="1">
        <f>H53+I53+J53+K53</f>
        <v>-12613470.79851</v>
      </c>
    </row>
    <row r="62" spans="1:21" ht="15.75">
      <c r="A62" s="2"/>
      <c r="B62" s="9" t="s">
        <v>160</v>
      </c>
      <c r="C62" s="349">
        <v>9718442.5600000005</v>
      </c>
      <c r="G62" s="5"/>
      <c r="I62" s="135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G63" s="383"/>
      <c r="H63" s="383"/>
      <c r="I63" s="383"/>
      <c r="J63" s="383"/>
      <c r="S63" s="6"/>
    </row>
    <row r="64" spans="1:21" ht="15.75">
      <c r="A64" s="44"/>
      <c r="C64" s="350"/>
      <c r="D64" s="43"/>
      <c r="G64" s="383"/>
      <c r="H64" s="383"/>
      <c r="I64" s="383"/>
      <c r="J64" s="383"/>
      <c r="N64" s="22"/>
      <c r="U64" s="2"/>
    </row>
    <row r="65" spans="1:21" ht="15.75">
      <c r="A65" s="44"/>
      <c r="C65" s="8"/>
      <c r="D65" s="36"/>
      <c r="G65" s="383"/>
      <c r="H65" s="383"/>
      <c r="I65" s="383"/>
      <c r="J65" s="383"/>
      <c r="N65" s="22"/>
      <c r="S65" s="23"/>
    </row>
    <row r="66" spans="1:21" ht="15.75">
      <c r="A66" s="2"/>
      <c r="C66" s="8"/>
      <c r="D66" s="36"/>
      <c r="G66" s="383"/>
      <c r="H66" s="96"/>
      <c r="I66" s="383"/>
      <c r="J66" s="383"/>
      <c r="N66" s="22"/>
      <c r="S66" s="24"/>
    </row>
    <row r="67" spans="1:21">
      <c r="C67" s="100"/>
      <c r="D67" s="36"/>
      <c r="G67" s="383"/>
      <c r="H67" s="383"/>
      <c r="I67" s="383"/>
      <c r="J67" s="383"/>
      <c r="N67" s="22"/>
      <c r="S67" s="25"/>
    </row>
    <row r="68" spans="1:21">
      <c r="D68" s="36"/>
      <c r="G68" s="383"/>
      <c r="H68" s="383"/>
      <c r="I68" s="383"/>
      <c r="J68" s="383"/>
      <c r="N68" s="22"/>
      <c r="S68" s="24"/>
    </row>
    <row r="69" spans="1:21">
      <c r="D69" s="37"/>
      <c r="G69" s="383"/>
      <c r="H69" s="383"/>
      <c r="I69" s="383"/>
      <c r="J69" s="383"/>
      <c r="N69" s="22"/>
    </row>
    <row r="70" spans="1:21">
      <c r="D70" s="36"/>
      <c r="G70" s="383"/>
      <c r="H70" s="383"/>
      <c r="I70" s="383"/>
      <c r="J70" s="383"/>
      <c r="N70" s="22"/>
      <c r="S70" s="26"/>
    </row>
    <row r="71" spans="1:21">
      <c r="D71" s="36"/>
      <c r="G71" s="383"/>
      <c r="H71" s="383"/>
      <c r="I71" s="383"/>
      <c r="J71" s="383"/>
    </row>
    <row r="72" spans="1:21">
      <c r="D72" s="36"/>
      <c r="G72" s="383"/>
      <c r="H72" s="383"/>
      <c r="I72" s="383"/>
      <c r="J72" s="383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1">
        <v>-2130</v>
      </c>
    </row>
    <row r="1485" spans="3:3">
      <c r="C1485" s="1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3 L56 I62">
    <cfRule type="cellIs" dxfId="288" priority="27" stopIfTrue="1" operator="equal">
      <formula>0</formula>
    </cfRule>
    <cfRule type="cellIs" dxfId="287" priority="28" stopIfTrue="1" operator="notEqual">
      <formula>0</formula>
    </cfRule>
  </conditionalFormatting>
  <conditionalFormatting sqref="G34 G47 K30 K45:K47">
    <cfRule type="cellIs" dxfId="286" priority="20" operator="notEqual">
      <formula>0</formula>
    </cfRule>
  </conditionalFormatting>
  <conditionalFormatting sqref="C63">
    <cfRule type="cellIs" dxfId="285" priority="14" stopIfTrue="1" operator="equal">
      <formula>0</formula>
    </cfRule>
    <cfRule type="cellIs" dxfId="284" priority="15" stopIfTrue="1" operator="notEqual">
      <formula>0</formula>
    </cfRule>
  </conditionalFormatting>
  <conditionalFormatting sqref="K30">
    <cfRule type="cellIs" dxfId="283" priority="13" operator="notEqual">
      <formula>0</formula>
    </cfRule>
  </conditionalFormatting>
  <conditionalFormatting sqref="G59">
    <cfRule type="cellIs" dxfId="282" priority="2" operator="equal">
      <formula>"ERROR"</formula>
    </cfRule>
  </conditionalFormatting>
  <conditionalFormatting sqref="G59">
    <cfRule type="cellIs" dxfId="281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7">
    <tabColor rgb="FF00CC66"/>
    <pageSetUpPr fitToPage="1"/>
  </sheetPr>
  <dimension ref="A1:U1485"/>
  <sheetViews>
    <sheetView showGridLines="0" topLeftCell="A22" zoomScale="70" zoomScaleNormal="70" workbookViewId="0">
      <selection activeCell="H61" sqref="H61:I61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4" width="16" style="383"/>
    <col min="15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Jan!C1+1</f>
        <v>201802</v>
      </c>
      <c r="F1" s="528">
        <f>C1</f>
        <v>201802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59">
        <v>3302170.75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59">
        <f>31936.15-1356.32</f>
        <v>30579.83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0.67810000000000004</v>
      </c>
      <c r="L5" s="444">
        <f>1-K5</f>
        <v>0.32189999999999996</v>
      </c>
      <c r="M5" s="384"/>
    </row>
    <row r="6" spans="1:13" ht="16.5" thickBot="1">
      <c r="A6" s="49" t="s">
        <v>30</v>
      </c>
      <c r="C6" s="560">
        <f>-1350094.69-385081.19-110023.2-123776.1-70964.96-88634.69</f>
        <v>-2128574.83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1204175.75</v>
      </c>
      <c r="D7" s="35"/>
      <c r="F7" s="166" t="s">
        <v>139</v>
      </c>
      <c r="G7" s="166"/>
      <c r="H7" s="125">
        <f>C34</f>
        <v>2050580.85</v>
      </c>
      <c r="I7" s="167">
        <f>H7*I5</f>
        <v>1416131.1350100001</v>
      </c>
      <c r="J7" s="167">
        <f>H7*J5</f>
        <v>634449.71499000001</v>
      </c>
      <c r="K7" s="167"/>
      <c r="L7" s="167"/>
      <c r="M7" s="384"/>
    </row>
    <row r="8" spans="1:13" ht="15.75">
      <c r="A8" s="383" t="s">
        <v>89</v>
      </c>
      <c r="C8" s="559">
        <v>228271.63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59">
        <f>8020.76+20438.86+25218.45</f>
        <v>53678.070000000007</v>
      </c>
      <c r="D9" s="36"/>
      <c r="F9" s="166" t="s">
        <v>119</v>
      </c>
      <c r="G9" s="384"/>
      <c r="H9" s="167">
        <f>C56</f>
        <v>7856148.2400000002</v>
      </c>
      <c r="I9" s="167"/>
      <c r="J9" s="167"/>
      <c r="K9" s="167">
        <f>H9*K5</f>
        <v>5327254.1215440007</v>
      </c>
      <c r="L9" s="167">
        <f>H9*L5</f>
        <v>2528894.118456</v>
      </c>
      <c r="M9" s="384"/>
    </row>
    <row r="10" spans="1:13" ht="15.75">
      <c r="A10" s="49" t="s">
        <v>91</v>
      </c>
      <c r="C10" s="560">
        <f>-3087.64</f>
        <v>-3087.64</v>
      </c>
      <c r="D10" s="36"/>
      <c r="F10" s="169" t="s">
        <v>44</v>
      </c>
      <c r="G10" s="384"/>
      <c r="H10" s="167">
        <f>C57</f>
        <v>39031.120000000003</v>
      </c>
      <c r="I10" s="167"/>
      <c r="J10" s="167"/>
      <c r="K10" s="167">
        <f>H10</f>
        <v>39031.120000000003</v>
      </c>
      <c r="L10" s="167"/>
      <c r="M10" s="384"/>
    </row>
    <row r="11" spans="1:13">
      <c r="A11" s="66" t="s">
        <v>145</v>
      </c>
      <c r="C11" s="100">
        <f>SUM(C8:C10)</f>
        <v>278862.06</v>
      </c>
      <c r="D11" s="36"/>
      <c r="F11" s="169" t="s">
        <v>45</v>
      </c>
      <c r="G11" s="384"/>
      <c r="H11" s="170">
        <f>C58</f>
        <v>16847.12</v>
      </c>
      <c r="I11" s="167"/>
      <c r="J11" s="167"/>
      <c r="K11" s="170"/>
      <c r="L11" s="170">
        <f>H11</f>
        <v>16847.12</v>
      </c>
      <c r="M11" s="384"/>
    </row>
    <row r="12" spans="1:13" ht="15.75">
      <c r="A12" s="383" t="s">
        <v>165</v>
      </c>
      <c r="C12" s="559">
        <f>192542.32-5898</f>
        <v>186644.32</v>
      </c>
      <c r="D12" s="36"/>
      <c r="F12" s="169" t="s">
        <v>138</v>
      </c>
      <c r="G12" s="384"/>
      <c r="H12" s="167">
        <f>H9+H10+H11</f>
        <v>7912026.4800000004</v>
      </c>
      <c r="I12" s="167"/>
      <c r="J12" s="167"/>
      <c r="K12" s="167">
        <f>SUM(K9:K11)</f>
        <v>5366285.2415440008</v>
      </c>
      <c r="L12" s="167">
        <f>SUM(L9:L11)</f>
        <v>2545741.2384560001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186644.32</v>
      </c>
      <c r="D14" s="37"/>
      <c r="F14" s="50" t="s">
        <v>69</v>
      </c>
      <c r="G14" s="175"/>
      <c r="H14" s="125">
        <f>H12+H7</f>
        <v>9962607.3300000001</v>
      </c>
      <c r="I14" s="176">
        <f>SUM(I7:I13)</f>
        <v>1416131.1350100001</v>
      </c>
      <c r="J14" s="176">
        <f>SUM(J7:J13)</f>
        <v>634449.71499000001</v>
      </c>
      <c r="K14" s="176">
        <f>K12</f>
        <v>5366285.2415440008</v>
      </c>
      <c r="L14" s="176">
        <f>L12</f>
        <v>2545741.2384560001</v>
      </c>
      <c r="M14" s="384"/>
    </row>
    <row r="15" spans="1:13" ht="15.75">
      <c r="A15" s="383" t="s">
        <v>183</v>
      </c>
      <c r="C15" s="559">
        <f>394860.7-12095.45</f>
        <v>382765.25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382765.25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59">
        <f>79829.44+10137.4-2766.73</f>
        <v>87200.11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3" ht="15.75">
      <c r="A19" s="46" t="s">
        <v>164</v>
      </c>
      <c r="C19" s="560">
        <f>2240.22</f>
        <v>2240.2199999999998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89440.33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0">
        <f>1884.24+1850</f>
        <v>3734.24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3734.24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1">
        <v>18179866</v>
      </c>
      <c r="H23" s="388" t="s">
        <v>306</v>
      </c>
      <c r="I23" s="582">
        <v>2081351</v>
      </c>
      <c r="J23" s="200" t="s">
        <v>37</v>
      </c>
      <c r="K23" s="561">
        <v>9222783</v>
      </c>
      <c r="L23" s="388" t="s">
        <v>306</v>
      </c>
      <c r="M23" s="582">
        <v>1027603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1">
        <v>21014</v>
      </c>
      <c r="H24" s="388" t="s">
        <v>306</v>
      </c>
      <c r="I24" s="582">
        <v>2402</v>
      </c>
      <c r="J24" s="200" t="s">
        <v>38</v>
      </c>
      <c r="K24" s="561">
        <v>3135975</v>
      </c>
      <c r="L24" s="388" t="s">
        <v>306</v>
      </c>
      <c r="M24" s="582">
        <v>351342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1">
        <v>7202971</v>
      </c>
      <c r="H25" s="388" t="s">
        <v>306</v>
      </c>
      <c r="I25" s="582">
        <v>759003</v>
      </c>
      <c r="J25" s="200" t="s">
        <v>39</v>
      </c>
      <c r="K25" s="561">
        <v>3435</v>
      </c>
      <c r="L25" s="388" t="s">
        <v>306</v>
      </c>
      <c r="M25" s="582">
        <v>384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1">
        <v>21563</v>
      </c>
      <c r="H26" s="388" t="s">
        <v>306</v>
      </c>
      <c r="I26" s="582">
        <v>2123</v>
      </c>
      <c r="J26" s="200" t="s">
        <v>40</v>
      </c>
      <c r="K26" s="561">
        <v>0</v>
      </c>
      <c r="L26" s="388" t="s">
        <v>306</v>
      </c>
      <c r="M26" s="582">
        <f t="shared" ref="M26:M27" si="0">K26*L26</f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1">
        <v>448875</v>
      </c>
      <c r="H27" s="388" t="s">
        <v>306</v>
      </c>
      <c r="I27" s="582">
        <v>48583</v>
      </c>
      <c r="J27" s="200" t="s">
        <v>41</v>
      </c>
      <c r="K27" s="561">
        <v>0</v>
      </c>
      <c r="L27" s="388" t="s">
        <v>306</v>
      </c>
      <c r="M27" s="582">
        <f t="shared" si="0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1">
        <v>48826</v>
      </c>
      <c r="H28" s="388" t="s">
        <v>306</v>
      </c>
      <c r="I28" s="582">
        <v>5622</v>
      </c>
      <c r="J28" s="199" t="s">
        <v>127</v>
      </c>
      <c r="K28" s="181">
        <f>SUM(K23:K27)</f>
        <v>12362193</v>
      </c>
      <c r="L28" s="182"/>
      <c r="M28" s="197">
        <f>SUM(M23:M27)</f>
        <v>1379329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1">
        <v>0</v>
      </c>
      <c r="H29" s="388" t="s">
        <v>306</v>
      </c>
      <c r="I29" s="582">
        <v>0</v>
      </c>
      <c r="J29" s="199"/>
      <c r="K29" s="231">
        <v>12362193</v>
      </c>
      <c r="L29" s="187" t="s">
        <v>102</v>
      </c>
      <c r="M29" s="464">
        <f>M28/K28</f>
        <v>0.11157640072436986</v>
      </c>
    </row>
    <row r="30" spans="1:13" ht="16.5" thickBot="1">
      <c r="A30" s="2" t="s">
        <v>111</v>
      </c>
      <c r="C30" s="125">
        <f>C7+C11+C14+C17+C20+C22+C27+C28+C29</f>
        <v>2145621.9500000002</v>
      </c>
      <c r="D30" s="37"/>
      <c r="F30" s="200" t="s">
        <v>43</v>
      </c>
      <c r="G30" s="561">
        <v>117328</v>
      </c>
      <c r="H30" s="388" t="s">
        <v>306</v>
      </c>
      <c r="I30" s="582">
        <v>7875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v>-8542.98</v>
      </c>
      <c r="D31" s="39"/>
      <c r="F31" s="200" t="s">
        <v>74</v>
      </c>
      <c r="G31" s="561">
        <v>3567188</v>
      </c>
      <c r="H31" s="388" t="s">
        <v>306</v>
      </c>
      <c r="I31" s="582">
        <v>1901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2137078.9700000002</v>
      </c>
      <c r="D32" s="40"/>
      <c r="F32" s="199" t="s">
        <v>127</v>
      </c>
      <c r="G32" s="181">
        <f>SUM(G23:G31)</f>
        <v>29607631</v>
      </c>
      <c r="H32" s="7"/>
      <c r="I32" s="197">
        <f>SUM(I23:I31)</f>
        <v>2908860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310">
        <f>-C5-C9-C13-C16-C19</f>
        <v>-86498.12000000001</v>
      </c>
      <c r="D33" s="36"/>
      <c r="F33" s="186"/>
      <c r="G33" s="231">
        <v>29607631</v>
      </c>
      <c r="H33" s="187" t="s">
        <v>102</v>
      </c>
      <c r="I33" s="216">
        <f>I32/G32</f>
        <v>9.8246968830434295E-2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2050580.85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0">
        <f>K23</f>
        <v>9222783</v>
      </c>
      <c r="L36" s="388" t="s">
        <v>306</v>
      </c>
      <c r="M36" s="582">
        <v>1347216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9543034.9000000004</v>
      </c>
      <c r="D37" s="36"/>
      <c r="F37" s="200" t="s">
        <v>37</v>
      </c>
      <c r="G37" s="580">
        <v>18179866</v>
      </c>
      <c r="H37" s="388" t="s">
        <v>306</v>
      </c>
      <c r="I37" s="582">
        <v>2666323</v>
      </c>
      <c r="J37" s="200" t="s">
        <v>38</v>
      </c>
      <c r="K37" s="580">
        <f>K24</f>
        <v>3135975</v>
      </c>
      <c r="L37" s="388" t="s">
        <v>306</v>
      </c>
      <c r="M37" s="582">
        <v>472170</v>
      </c>
      <c r="P37" s="272"/>
      <c r="Q37" s="272"/>
    </row>
    <row r="38" spans="1:17" ht="15.75">
      <c r="A38" s="144" t="s">
        <v>14</v>
      </c>
      <c r="B38" s="531" t="s">
        <v>115</v>
      </c>
      <c r="C38" s="559">
        <v>0</v>
      </c>
      <c r="D38" s="36"/>
      <c r="F38" s="200" t="s">
        <v>305</v>
      </c>
      <c r="G38" s="580">
        <v>21014</v>
      </c>
      <c r="H38" s="388" t="s">
        <v>306</v>
      </c>
      <c r="I38" s="582">
        <v>3079</v>
      </c>
      <c r="J38" s="200" t="s">
        <v>39</v>
      </c>
      <c r="K38" s="580">
        <f>K25</f>
        <v>3435</v>
      </c>
      <c r="L38" s="388" t="s">
        <v>306</v>
      </c>
      <c r="M38" s="582">
        <v>594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-78881.08</v>
      </c>
      <c r="D39" s="36"/>
      <c r="F39" s="200" t="s">
        <v>38</v>
      </c>
      <c r="G39" s="580">
        <v>7202971</v>
      </c>
      <c r="H39" s="388" t="s">
        <v>306</v>
      </c>
      <c r="I39" s="582">
        <v>1097244</v>
      </c>
      <c r="J39" s="200" t="s">
        <v>40</v>
      </c>
      <c r="K39" s="580">
        <f>K26</f>
        <v>0</v>
      </c>
      <c r="L39" s="388" t="s">
        <v>306</v>
      </c>
      <c r="M39" s="582">
        <f t="shared" ref="M39:M42" si="1">K39*L39</f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1620475.5</v>
      </c>
      <c r="D40" s="36"/>
      <c r="F40" s="200" t="s">
        <v>39</v>
      </c>
      <c r="G40" s="580">
        <v>21563</v>
      </c>
      <c r="H40" s="388" t="s">
        <v>306</v>
      </c>
      <c r="I40" s="582">
        <v>3152</v>
      </c>
      <c r="J40" s="200" t="s">
        <v>41</v>
      </c>
      <c r="K40" s="580">
        <f>K27</f>
        <v>0</v>
      </c>
      <c r="L40" s="388" t="s">
        <v>306</v>
      </c>
      <c r="M40" s="582">
        <f t="shared" si="1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87624.95</v>
      </c>
      <c r="D41" s="36"/>
      <c r="F41" s="200" t="s">
        <v>40</v>
      </c>
      <c r="G41" s="580">
        <v>448875</v>
      </c>
      <c r="H41" s="388" t="s">
        <v>306</v>
      </c>
      <c r="I41" s="582">
        <v>65803</v>
      </c>
      <c r="J41" s="200" t="s">
        <v>42</v>
      </c>
      <c r="K41" s="580">
        <v>0</v>
      </c>
      <c r="L41" s="388" t="s">
        <v>306</v>
      </c>
      <c r="M41" s="582">
        <f t="shared" si="1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827715.23</v>
      </c>
      <c r="D42" s="37"/>
      <c r="F42" s="200" t="s">
        <v>41</v>
      </c>
      <c r="G42" s="580">
        <v>48826</v>
      </c>
      <c r="H42" s="388" t="s">
        <v>306</v>
      </c>
      <c r="I42" s="582">
        <v>9365</v>
      </c>
      <c r="J42" s="200" t="s">
        <v>43</v>
      </c>
      <c r="K42" s="580">
        <v>0</v>
      </c>
      <c r="L42" s="388" t="s">
        <v>306</v>
      </c>
      <c r="M42" s="582">
        <f t="shared" si="1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11999969.5</v>
      </c>
      <c r="D43" s="36"/>
      <c r="F43" s="200" t="s">
        <v>42</v>
      </c>
      <c r="G43" s="580">
        <v>0</v>
      </c>
      <c r="H43" s="388" t="s">
        <v>306</v>
      </c>
      <c r="I43" s="582">
        <v>0</v>
      </c>
      <c r="J43" s="199" t="s">
        <v>133</v>
      </c>
      <c r="K43" s="181">
        <f>SUM(K36:K42)</f>
        <v>12362193</v>
      </c>
      <c r="L43" s="182"/>
      <c r="M43" s="197">
        <f>SUM(M36:M42)</f>
        <v>1819980</v>
      </c>
    </row>
    <row r="44" spans="1:17" ht="16.5" thickBot="1">
      <c r="A44" s="83" t="s">
        <v>177</v>
      </c>
      <c r="B44" s="84" t="s">
        <v>120</v>
      </c>
      <c r="C44" s="559">
        <f>-466167.08+4763434.38-34955.1+6300.92</f>
        <v>4268613.12</v>
      </c>
      <c r="D44" s="37"/>
      <c r="F44" s="200" t="s">
        <v>43</v>
      </c>
      <c r="G44" s="580">
        <v>117328</v>
      </c>
      <c r="H44" s="388" t="s">
        <v>306</v>
      </c>
      <c r="I44" s="582">
        <v>20720</v>
      </c>
      <c r="J44" s="194"/>
      <c r="K44" s="232">
        <v>12362193</v>
      </c>
      <c r="L44" s="189" t="s">
        <v>102</v>
      </c>
      <c r="M44" s="217">
        <f>M43/K43</f>
        <v>0.14722145172786091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26040443</v>
      </c>
      <c r="H45" s="182"/>
      <c r="I45" s="197">
        <f>SUM(I37:I44)</f>
        <v>3865686</v>
      </c>
      <c r="J45" s="85"/>
      <c r="K45" s="230">
        <f>K43-K44</f>
        <v>0</v>
      </c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26040443</v>
      </c>
      <c r="H46" s="189" t="s">
        <v>102</v>
      </c>
      <c r="I46" s="215">
        <f>I45/G45</f>
        <v>0.14844931785530685</v>
      </c>
      <c r="J46" s="85"/>
      <c r="K46" s="231"/>
      <c r="L46" s="187"/>
      <c r="M46" s="556"/>
    </row>
    <row r="47" spans="1:17" ht="15.75">
      <c r="A47" s="383" t="s">
        <v>137</v>
      </c>
      <c r="B47" s="6" t="s">
        <v>115</v>
      </c>
      <c r="C47" s="122">
        <v>0</v>
      </c>
      <c r="D47" s="36"/>
      <c r="F47" s="384"/>
      <c r="G47" s="230">
        <f>G45-G46</f>
        <v>0</v>
      </c>
      <c r="H47" s="384"/>
      <c r="I47" s="384"/>
      <c r="J47" s="124"/>
      <c r="K47" s="230"/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15979.98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2533.2199999999998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2513.29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86498.12000000001</v>
      </c>
      <c r="D52" s="33"/>
      <c r="F52" s="384" t="s">
        <v>136</v>
      </c>
      <c r="G52" s="384"/>
      <c r="H52" s="212">
        <f>K12</f>
        <v>5366285.2415440008</v>
      </c>
      <c r="I52" s="115">
        <f>I14</f>
        <v>1416131.1350100001</v>
      </c>
      <c r="J52" s="115">
        <f>L12</f>
        <v>2545741.2384560001</v>
      </c>
      <c r="K52" s="115">
        <f>J14</f>
        <v>634449.71499000001</v>
      </c>
      <c r="L52" s="132">
        <f>SUM(H52:K52)</f>
        <v>9962607.3300000001</v>
      </c>
      <c r="M52" s="384"/>
    </row>
    <row r="53" spans="1:21" ht="16.5" thickBot="1">
      <c r="A53" s="384" t="s">
        <v>315</v>
      </c>
      <c r="B53" s="635" t="s">
        <v>316</v>
      </c>
      <c r="C53" s="559">
        <v>6015.52</v>
      </c>
      <c r="D53" s="36"/>
      <c r="F53" s="383" t="s">
        <v>109</v>
      </c>
      <c r="H53" s="212">
        <f>-I45</f>
        <v>-3865686</v>
      </c>
      <c r="I53" s="115">
        <f>-I32</f>
        <v>-2908860</v>
      </c>
      <c r="J53" s="115">
        <f>-M43</f>
        <v>-1819980</v>
      </c>
      <c r="K53" s="115">
        <f>-M28</f>
        <v>-1379329</v>
      </c>
      <c r="L53" s="260">
        <f>SUM(H53:K53)</f>
        <v>-9973855</v>
      </c>
    </row>
    <row r="54" spans="1:21" ht="16.5" thickBot="1">
      <c r="A54" s="381" t="s">
        <v>124</v>
      </c>
      <c r="B54" s="472" t="s">
        <v>296</v>
      </c>
      <c r="C54" s="559">
        <f>-565084.1-5558647.79-2034242.62</f>
        <v>-8157974.5099999998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-11247.669999999925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1500599.2415440008</v>
      </c>
      <c r="I55" s="125">
        <f>I52+I53+I54</f>
        <v>-1492728.8649899999</v>
      </c>
      <c r="J55" s="125">
        <f>IFERROR(J52+J53+J54,0)</f>
        <v>725761.23845600011</v>
      </c>
      <c r="K55" s="125">
        <f>K52+K53+K54</f>
        <v>-744879.28500999999</v>
      </c>
      <c r="L55" s="47">
        <f>SUM(H55:K55)</f>
        <v>-11247.669999998994</v>
      </c>
    </row>
    <row r="56" spans="1:21" ht="16.5" thickBot="1">
      <c r="A56" s="82" t="s">
        <v>119</v>
      </c>
      <c r="B56" s="84"/>
      <c r="C56" s="160">
        <f>SUM(C43:C55)</f>
        <v>7856148.2400000002</v>
      </c>
      <c r="D56" s="36"/>
      <c r="F56" s="239" t="s">
        <v>181</v>
      </c>
      <c r="H56" s="383" t="s">
        <v>173</v>
      </c>
      <c r="I56" s="5">
        <f>SUM(H55:I55)</f>
        <v>7870.3765540008899</v>
      </c>
      <c r="J56" s="15" t="s">
        <v>174</v>
      </c>
      <c r="K56" s="383">
        <f>SUM(J55:K55)</f>
        <v>-19118.046553999884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39031.120000000003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59">
        <v>16847.12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7912026.4800000004</v>
      </c>
      <c r="D59" s="36"/>
      <c r="F59" s="542" t="s">
        <v>303</v>
      </c>
      <c r="G59" s="543" t="str">
        <f>IF(OR(AND(I56&gt;0,K56&gt;0),AND(I56&lt;0,K56&lt;0)),"OK","ERROR")</f>
        <v>ERROR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9962607.3300000001</v>
      </c>
      <c r="D61" s="37"/>
      <c r="H61" s="348" t="e">
        <f>SUM('WA - Def-Amtz (current)'!AN5:AN10,'WA - Def-Amtz (current)'!AN35:AN40,'WA - Def-Amtz (current)'!AN70:AN73,#REF!,#REF!,#REF!)+'WA - Def-Amtz (current)'!AN43+#REF!</f>
        <v>#REF!</v>
      </c>
      <c r="I61" s="448" t="e">
        <f>SUM('WA - Def-Amtz (current)'!AO5:AO10,'WA - Def-Amtz (current)'!AO35:AO40,'WA - Def-Amtz (current)'!AO70:AO73,#REF!,#REF!,#REF!)+'WA - Def-Amtz (current)'!AO44+#REF!</f>
        <v>#REF!</v>
      </c>
      <c r="J61" s="383">
        <f>H53+I53+J53+K53</f>
        <v>-9973855</v>
      </c>
    </row>
    <row r="62" spans="1:21" ht="15.75">
      <c r="A62" s="2"/>
      <c r="B62" s="9" t="s">
        <v>160</v>
      </c>
      <c r="C62" s="607">
        <v>9962607.3300000001</v>
      </c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50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H66" s="9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80" priority="9" stopIfTrue="1" operator="equal">
      <formula>0</formula>
    </cfRule>
    <cfRule type="cellIs" dxfId="279" priority="10" stopIfTrue="1" operator="notEqual">
      <formula>0</formula>
    </cfRule>
  </conditionalFormatting>
  <conditionalFormatting sqref="G34 G47 K30 K47">
    <cfRule type="cellIs" dxfId="278" priority="8" operator="notEqual">
      <formula>0</formula>
    </cfRule>
  </conditionalFormatting>
  <conditionalFormatting sqref="C63">
    <cfRule type="cellIs" dxfId="277" priority="6" stopIfTrue="1" operator="equal">
      <formula>0</formula>
    </cfRule>
    <cfRule type="cellIs" dxfId="276" priority="7" stopIfTrue="1" operator="notEqual">
      <formula>0</formula>
    </cfRule>
  </conditionalFormatting>
  <conditionalFormatting sqref="K30">
    <cfRule type="cellIs" dxfId="275" priority="5" operator="notEqual">
      <formula>0</formula>
    </cfRule>
  </conditionalFormatting>
  <conditionalFormatting sqref="G59">
    <cfRule type="cellIs" dxfId="274" priority="4" operator="equal">
      <formula>"""ERROR"""</formula>
    </cfRule>
  </conditionalFormatting>
  <conditionalFormatting sqref="G59">
    <cfRule type="cellIs" dxfId="273" priority="3" operator="equal">
      <formula>"ERROR"</formula>
    </cfRule>
  </conditionalFormatting>
  <conditionalFormatting sqref="G59">
    <cfRule type="cellIs" dxfId="272" priority="2" operator="equal">
      <formula>"ERROR"</formula>
    </cfRule>
  </conditionalFormatting>
  <conditionalFormatting sqref="K45">
    <cfRule type="cellIs" dxfId="271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8">
    <tabColor rgb="FF00CC66"/>
    <pageSetUpPr fitToPage="1"/>
  </sheetPr>
  <dimension ref="A1:U1485"/>
  <sheetViews>
    <sheetView showGridLines="0" topLeftCell="A28" zoomScale="70" zoomScaleNormal="70" workbookViewId="0">
      <selection activeCell="C63" sqref="C63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Feb!C1+1</f>
        <v>201803</v>
      </c>
      <c r="F1" s="528">
        <f>C1</f>
        <v>201803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f>3655974.78</f>
        <v>3655974.78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19618.65</f>
        <v>19618.650000000001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0.68479999999999996</v>
      </c>
      <c r="L5" s="444">
        <f>1-K5</f>
        <v>0.31520000000000004</v>
      </c>
      <c r="M5" s="384"/>
    </row>
    <row r="6" spans="1:13" ht="16.5" thickBot="1">
      <c r="A6" s="49" t="s">
        <v>30</v>
      </c>
      <c r="C6" s="568">
        <f>-78568.35-98131.26-1494747.7-426339.9-121811.4-137037.83</f>
        <v>-2356636.44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1318956.9899999998</v>
      </c>
      <c r="D7" s="35"/>
      <c r="F7" s="166" t="s">
        <v>139</v>
      </c>
      <c r="G7" s="166"/>
      <c r="H7" s="125">
        <f>C34</f>
        <v>2206228.3000000003</v>
      </c>
      <c r="I7" s="167">
        <f>H7*I5</f>
        <v>1523621.2639800003</v>
      </c>
      <c r="J7" s="167">
        <f>H7*J5</f>
        <v>682607.03602000012</v>
      </c>
      <c r="K7" s="167"/>
      <c r="L7" s="167"/>
      <c r="M7" s="384"/>
    </row>
    <row r="8" spans="1:13" ht="15.75">
      <c r="A8" s="383" t="s">
        <v>89</v>
      </c>
      <c r="C8" s="567">
        <f>252729.32</f>
        <v>252729.32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f>8961.92</f>
        <v>8961.92</v>
      </c>
      <c r="D9" s="36"/>
      <c r="F9" s="166" t="s">
        <v>119</v>
      </c>
      <c r="G9" s="384"/>
      <c r="H9" s="167">
        <f>C56</f>
        <v>5743116.8900000006</v>
      </c>
      <c r="I9" s="167"/>
      <c r="J9" s="167"/>
      <c r="K9" s="167">
        <f>H9*K5</f>
        <v>3932886.4462720002</v>
      </c>
      <c r="L9" s="167">
        <f>H9*L5</f>
        <v>1810230.4437280004</v>
      </c>
      <c r="M9" s="384"/>
    </row>
    <row r="10" spans="1:13" ht="15.75">
      <c r="A10" s="49" t="s">
        <v>91</v>
      </c>
      <c r="C10" s="568">
        <v>-3418.47</v>
      </c>
      <c r="D10" s="36"/>
      <c r="F10" s="169" t="s">
        <v>44</v>
      </c>
      <c r="G10" s="384"/>
      <c r="H10" s="167">
        <f>C57</f>
        <v>-74701.33</v>
      </c>
      <c r="I10" s="167"/>
      <c r="J10" s="167"/>
      <c r="K10" s="167">
        <f>H10</f>
        <v>-74701.33</v>
      </c>
      <c r="L10" s="167"/>
      <c r="M10" s="384"/>
    </row>
    <row r="11" spans="1:13">
      <c r="A11" s="66" t="s">
        <v>145</v>
      </c>
      <c r="C11" s="100">
        <f>SUM(C8:C10)</f>
        <v>258272.77000000002</v>
      </c>
      <c r="D11" s="36"/>
      <c r="F11" s="169" t="s">
        <v>45</v>
      </c>
      <c r="G11" s="384"/>
      <c r="H11" s="170">
        <f>C58</f>
        <v>-34446.04</v>
      </c>
      <c r="I11" s="167"/>
      <c r="J11" s="167"/>
      <c r="K11" s="170"/>
      <c r="L11" s="170">
        <f>H11</f>
        <v>-34446.04</v>
      </c>
      <c r="M11" s="384"/>
    </row>
    <row r="12" spans="1:13" ht="15.75">
      <c r="A12" s="383" t="s">
        <v>165</v>
      </c>
      <c r="C12" s="567">
        <f>191628.73-1256.28</f>
        <v>190372.45</v>
      </c>
      <c r="D12" s="36"/>
      <c r="F12" s="169" t="s">
        <v>138</v>
      </c>
      <c r="G12" s="384"/>
      <c r="H12" s="167">
        <f>H9+H10+H11</f>
        <v>5633969.5200000005</v>
      </c>
      <c r="I12" s="167"/>
      <c r="J12" s="167"/>
      <c r="K12" s="167">
        <f>SUM(K9:K11)</f>
        <v>3858185.1162720001</v>
      </c>
      <c r="L12" s="167">
        <f>SUM(L9:L11)</f>
        <v>1775784.4037280004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190372.45</v>
      </c>
      <c r="D14" s="37"/>
      <c r="F14" s="50" t="s">
        <v>69</v>
      </c>
      <c r="G14" s="175"/>
      <c r="H14" s="125">
        <f>H12+H7</f>
        <v>7840197.8200000003</v>
      </c>
      <c r="I14" s="176">
        <f>SUM(I7:I13)</f>
        <v>1523621.2639800003</v>
      </c>
      <c r="J14" s="176">
        <f>SUM(J7:J13)</f>
        <v>682607.03602000012</v>
      </c>
      <c r="K14" s="176">
        <f>K12</f>
        <v>3858185.1162720001</v>
      </c>
      <c r="L14" s="176">
        <f>L12</f>
        <v>1775784.4037280004</v>
      </c>
      <c r="M14" s="384"/>
    </row>
    <row r="15" spans="1:13" ht="15.75">
      <c r="A15" s="383" t="s">
        <v>183</v>
      </c>
      <c r="C15" s="567">
        <f>392987.14-2576.2</f>
        <v>390410.94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390410.94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67">
        <f>79450.67+10089.3-460.96</f>
        <v>89079.01</v>
      </c>
      <c r="D18" s="36"/>
      <c r="F18" s="693" t="s">
        <v>134</v>
      </c>
      <c r="G18" s="694"/>
      <c r="H18" s="694"/>
      <c r="I18" s="695"/>
      <c r="J18" s="693" t="s">
        <v>135</v>
      </c>
      <c r="K18" s="694"/>
      <c r="L18" s="694"/>
      <c r="M18" s="695"/>
    </row>
    <row r="19" spans="1:13" ht="15.75">
      <c r="A19" s="46" t="s">
        <v>164</v>
      </c>
      <c r="C19" s="555">
        <v>0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89079.01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7">
        <f>1850+2129.49</f>
        <v>3979.49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3979.49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1">
        <v>15771469</v>
      </c>
      <c r="H23" s="388" t="s">
        <v>306</v>
      </c>
      <c r="I23" s="582">
        <v>1689163</v>
      </c>
      <c r="J23" s="200" t="s">
        <v>37</v>
      </c>
      <c r="K23" s="561">
        <v>7413396</v>
      </c>
      <c r="L23" s="388" t="s">
        <v>306</v>
      </c>
      <c r="M23" s="582">
        <v>779254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1">
        <v>19043</v>
      </c>
      <c r="H24" s="388" t="s">
        <v>306</v>
      </c>
      <c r="I24" s="582">
        <v>2041</v>
      </c>
      <c r="J24" s="200" t="s">
        <v>38</v>
      </c>
      <c r="K24" s="561">
        <v>2669250</v>
      </c>
      <c r="L24" s="388" t="s">
        <v>306</v>
      </c>
      <c r="M24" s="582">
        <v>281330</v>
      </c>
    </row>
    <row r="25" spans="1:13" ht="15.75">
      <c r="A25" s="208" t="s">
        <v>189</v>
      </c>
      <c r="C25" s="557">
        <v>0</v>
      </c>
      <c r="D25" s="36"/>
      <c r="F25" s="200" t="s">
        <v>38</v>
      </c>
      <c r="G25" s="561">
        <v>5606266</v>
      </c>
      <c r="H25" s="388" t="s">
        <v>306</v>
      </c>
      <c r="I25" s="582">
        <v>554510</v>
      </c>
      <c r="J25" s="200" t="s">
        <v>39</v>
      </c>
      <c r="K25" s="561">
        <v>3652</v>
      </c>
      <c r="L25" s="388" t="s">
        <v>306</v>
      </c>
      <c r="M25" s="582">
        <v>384</v>
      </c>
    </row>
    <row r="26" spans="1:13" ht="15.75">
      <c r="A26" s="209" t="s">
        <v>188</v>
      </c>
      <c r="C26" s="558">
        <v>0</v>
      </c>
      <c r="D26" s="36"/>
      <c r="F26" s="200" t="s">
        <v>39</v>
      </c>
      <c r="G26" s="561">
        <v>7893</v>
      </c>
      <c r="H26" s="388" t="s">
        <v>306</v>
      </c>
      <c r="I26" s="582">
        <v>775</v>
      </c>
      <c r="J26" s="200" t="s">
        <v>40</v>
      </c>
      <c r="K26" s="261"/>
      <c r="L26" s="388" t="s">
        <v>306</v>
      </c>
      <c r="M26" s="196"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1">
        <v>345298</v>
      </c>
      <c r="H27" s="388" t="s">
        <v>306</v>
      </c>
      <c r="I27" s="582">
        <v>35924</v>
      </c>
      <c r="J27" s="200" t="s">
        <v>41</v>
      </c>
      <c r="K27" s="261"/>
      <c r="L27" s="388" t="s">
        <v>306</v>
      </c>
      <c r="M27" s="196"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1">
        <v>51647</v>
      </c>
      <c r="H28" s="388" t="s">
        <v>306</v>
      </c>
      <c r="I28" s="582">
        <v>5193</v>
      </c>
      <c r="J28" s="199" t="s">
        <v>127</v>
      </c>
      <c r="K28" s="181">
        <f>SUM(K23:K27)</f>
        <v>10086298</v>
      </c>
      <c r="L28" s="182"/>
      <c r="M28" s="197">
        <f>SUM(M23:M27)</f>
        <v>1060968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1">
        <v>0</v>
      </c>
      <c r="H29" s="388" t="s">
        <v>306</v>
      </c>
      <c r="I29" s="582">
        <v>0</v>
      </c>
      <c r="J29" s="199"/>
      <c r="K29" s="231">
        <v>10086298</v>
      </c>
      <c r="L29" s="187" t="s">
        <v>102</v>
      </c>
      <c r="M29" s="464">
        <f>M28/K28</f>
        <v>0.10518903962583695</v>
      </c>
    </row>
    <row r="30" spans="1:13" ht="16.5" thickBot="1">
      <c r="A30" s="2" t="s">
        <v>111</v>
      </c>
      <c r="C30" s="125">
        <f>C7+C11+C14+C17+C20+C22+C27+C28+C29</f>
        <v>2251071.65</v>
      </c>
      <c r="D30" s="37"/>
      <c r="F30" s="200" t="s">
        <v>43</v>
      </c>
      <c r="G30" s="561">
        <v>113117</v>
      </c>
      <c r="H30" s="388" t="s">
        <v>306</v>
      </c>
      <c r="I30" s="582">
        <v>7050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v>-16262.78</v>
      </c>
      <c r="D31" s="39"/>
      <c r="F31" s="200" t="s">
        <v>74</v>
      </c>
      <c r="G31" s="561">
        <v>3349134</v>
      </c>
      <c r="H31" s="388" t="s">
        <v>306</v>
      </c>
      <c r="I31" s="582">
        <v>1785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78">
        <f>C30+C31</f>
        <v>2234808.87</v>
      </c>
      <c r="D32" s="40"/>
      <c r="F32" s="199" t="s">
        <v>127</v>
      </c>
      <c r="G32" s="181">
        <f>SUM(G23:G31)</f>
        <v>25263867</v>
      </c>
      <c r="H32" s="7"/>
      <c r="I32" s="197">
        <f>SUM(I23:I31)</f>
        <v>2296441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578">
        <f>-C5-C9-C13-C16-C19</f>
        <v>-28580.57</v>
      </c>
      <c r="D33" s="36"/>
      <c r="F33" s="186"/>
      <c r="G33" s="231">
        <v>25263867</v>
      </c>
      <c r="H33" s="187" t="s">
        <v>102</v>
      </c>
      <c r="I33" s="216">
        <f>I32/G32</f>
        <v>9.0898238183410321E-2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2206228.3000000003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1"/>
      <c r="L35" s="691"/>
      <c r="M35" s="692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0">
        <f>K23</f>
        <v>7413396</v>
      </c>
      <c r="L36" s="388" t="s">
        <v>306</v>
      </c>
      <c r="M36" s="582">
        <v>1205053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5776255.3700000001</v>
      </c>
      <c r="D37" s="36"/>
      <c r="F37" s="200" t="s">
        <v>37</v>
      </c>
      <c r="G37" s="580">
        <f>G23</f>
        <v>15771469</v>
      </c>
      <c r="H37" s="388" t="s">
        <v>306</v>
      </c>
      <c r="I37" s="582">
        <v>2583934</v>
      </c>
      <c r="J37" s="200" t="s">
        <v>38</v>
      </c>
      <c r="K37" s="580">
        <f>K24</f>
        <v>2669250</v>
      </c>
      <c r="L37" s="388" t="s">
        <v>306</v>
      </c>
      <c r="M37" s="582">
        <v>435058</v>
      </c>
      <c r="P37" s="272"/>
      <c r="Q37" s="272"/>
    </row>
    <row r="38" spans="1:17" ht="15.75">
      <c r="A38" s="144" t="s">
        <v>14</v>
      </c>
      <c r="B38" s="531" t="s">
        <v>115</v>
      </c>
      <c r="C38" s="559">
        <v>0</v>
      </c>
      <c r="D38" s="36"/>
      <c r="F38" s="200" t="s">
        <v>305</v>
      </c>
      <c r="G38" s="580">
        <f>G24</f>
        <v>19043</v>
      </c>
      <c r="H38" s="388" t="s">
        <v>306</v>
      </c>
      <c r="I38" s="582">
        <v>3121</v>
      </c>
      <c r="J38" s="200" t="s">
        <v>39</v>
      </c>
      <c r="K38" s="580">
        <f>K25</f>
        <v>3652</v>
      </c>
      <c r="L38" s="388" t="s">
        <v>306</v>
      </c>
      <c r="M38" s="582">
        <v>593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-62803.33</v>
      </c>
      <c r="D39" s="36"/>
      <c r="F39" s="200" t="s">
        <v>38</v>
      </c>
      <c r="G39" s="580">
        <f t="shared" ref="G39:G44" si="0">G25</f>
        <v>5606266</v>
      </c>
      <c r="H39" s="388" t="s">
        <v>306</v>
      </c>
      <c r="I39" s="582">
        <v>923773</v>
      </c>
      <c r="J39" s="200" t="s">
        <v>40</v>
      </c>
      <c r="K39" s="580">
        <f>K26</f>
        <v>0</v>
      </c>
      <c r="L39" s="388" t="s">
        <v>306</v>
      </c>
      <c r="M39" s="582"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2411896.9</v>
      </c>
      <c r="D40" s="36"/>
      <c r="F40" s="200" t="s">
        <v>39</v>
      </c>
      <c r="G40" s="580">
        <f t="shared" si="0"/>
        <v>7893</v>
      </c>
      <c r="H40" s="388" t="s">
        <v>306</v>
      </c>
      <c r="I40" s="582">
        <v>1293</v>
      </c>
      <c r="J40" s="200" t="s">
        <v>41</v>
      </c>
      <c r="K40" s="580">
        <f>K27</f>
        <v>0</v>
      </c>
      <c r="L40" s="388" t="s">
        <v>306</v>
      </c>
      <c r="M40" s="582">
        <f t="shared" ref="M40:M42" si="1">K40*L40</f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-72303.67</v>
      </c>
      <c r="D41" s="36"/>
      <c r="F41" s="200" t="s">
        <v>40</v>
      </c>
      <c r="G41" s="580">
        <f t="shared" si="0"/>
        <v>345298</v>
      </c>
      <c r="H41" s="388" t="s">
        <v>306</v>
      </c>
      <c r="I41" s="582">
        <v>56592</v>
      </c>
      <c r="J41" s="200" t="s">
        <v>42</v>
      </c>
      <c r="K41" s="561">
        <v>0</v>
      </c>
      <c r="L41" s="388" t="s">
        <v>306</v>
      </c>
      <c r="M41" s="582">
        <f t="shared" si="1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602629.88</v>
      </c>
      <c r="D42" s="37"/>
      <c r="F42" s="200" t="s">
        <v>41</v>
      </c>
      <c r="G42" s="580">
        <f t="shared" si="0"/>
        <v>51647</v>
      </c>
      <c r="H42" s="388" t="s">
        <v>306</v>
      </c>
      <c r="I42" s="582">
        <v>8652</v>
      </c>
      <c r="J42" s="200" t="s">
        <v>43</v>
      </c>
      <c r="K42" s="581">
        <v>0</v>
      </c>
      <c r="L42" s="388" t="s">
        <v>306</v>
      </c>
      <c r="M42" s="582">
        <f t="shared" si="1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8655675.1500000004</v>
      </c>
      <c r="D43" s="36"/>
      <c r="F43" s="200" t="s">
        <v>42</v>
      </c>
      <c r="G43" s="580">
        <f t="shared" si="0"/>
        <v>0</v>
      </c>
      <c r="H43" s="388" t="s">
        <v>306</v>
      </c>
      <c r="I43" s="582">
        <v>0</v>
      </c>
      <c r="J43" s="199" t="s">
        <v>133</v>
      </c>
      <c r="K43" s="181">
        <f>SUM(K36:K42)</f>
        <v>10086298</v>
      </c>
      <c r="L43" s="182"/>
      <c r="M43" s="197">
        <f>SUM(M36:M42)</f>
        <v>1640704</v>
      </c>
    </row>
    <row r="44" spans="1:17" ht="16.5" thickBot="1">
      <c r="A44" s="83" t="s">
        <v>177</v>
      </c>
      <c r="B44" s="84" t="s">
        <v>120</v>
      </c>
      <c r="C44" s="559">
        <f>0+1627939.45+159.14</f>
        <v>1628098.5899999999</v>
      </c>
      <c r="D44" s="37"/>
      <c r="F44" s="200" t="s">
        <v>43</v>
      </c>
      <c r="G44" s="580">
        <f t="shared" si="0"/>
        <v>113117</v>
      </c>
      <c r="H44" s="388" t="s">
        <v>306</v>
      </c>
      <c r="I44" s="582">
        <v>18549</v>
      </c>
      <c r="J44" s="194"/>
      <c r="K44" s="232">
        <v>10086298</v>
      </c>
      <c r="L44" s="189" t="s">
        <v>102</v>
      </c>
      <c r="M44" s="217">
        <f>M43/K43</f>
        <v>0.16266661960612308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21914733</v>
      </c>
      <c r="H45" s="182"/>
      <c r="I45" s="197">
        <f>SUM(I37:I44)</f>
        <v>3595914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21914733</v>
      </c>
      <c r="H46" s="189" t="s">
        <v>102</v>
      </c>
      <c r="I46" s="215">
        <f>I45/G45</f>
        <v>0.16408659872789688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559">
        <v>-9987.66</v>
      </c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220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16410.12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5860.22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5039.74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579">
        <f>-C33</f>
        <v>28580.57</v>
      </c>
      <c r="D52" s="33"/>
      <c r="F52" s="384" t="s">
        <v>136</v>
      </c>
      <c r="G52" s="384"/>
      <c r="H52" s="212">
        <f>K12</f>
        <v>3858185.1162720001</v>
      </c>
      <c r="I52" s="115">
        <f>I14</f>
        <v>1523621.2639800003</v>
      </c>
      <c r="J52" s="115">
        <f>L12</f>
        <v>1775784.4037280004</v>
      </c>
      <c r="K52" s="115">
        <f>J14</f>
        <v>682607.03602000012</v>
      </c>
      <c r="L52" s="132">
        <f>SUM(H52:K52)</f>
        <v>7840197.8200000012</v>
      </c>
      <c r="M52" s="384"/>
    </row>
    <row r="53" spans="1:21" ht="16.5" thickBot="1">
      <c r="A53" s="384" t="s">
        <v>315</v>
      </c>
      <c r="B53" s="636" t="s">
        <v>316</v>
      </c>
      <c r="C53" s="559">
        <f>6346.37+0.02</f>
        <v>6346.39</v>
      </c>
      <c r="D53" s="36"/>
      <c r="F53" s="383" t="s">
        <v>109</v>
      </c>
      <c r="H53" s="212">
        <f>-I45</f>
        <v>-3595914</v>
      </c>
      <c r="I53" s="115">
        <f>-I32</f>
        <v>-2296441</v>
      </c>
      <c r="J53" s="115">
        <f>-M43</f>
        <v>-1640704</v>
      </c>
      <c r="K53" s="115">
        <f>-M28</f>
        <v>-1060968</v>
      </c>
      <c r="L53" s="260">
        <f>SUM(H53:K53)</f>
        <v>-8594027</v>
      </c>
    </row>
    <row r="54" spans="1:21" ht="16.5" thickBot="1">
      <c r="A54" s="381" t="s">
        <v>124</v>
      </c>
      <c r="B54" s="472" t="s">
        <v>296</v>
      </c>
      <c r="C54" s="559">
        <f>-1087890.77-1589166.12-1547849.34</f>
        <v>-4224906.2300000004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-753829.17999999877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262271.11627200013</v>
      </c>
      <c r="I55" s="125">
        <f>I52+I53+I54</f>
        <v>-772819.73601999972</v>
      </c>
      <c r="J55" s="125">
        <f>IFERROR(J52+J53+J54,0)</f>
        <v>135080.40372800035</v>
      </c>
      <c r="K55" s="125">
        <f>K52+K53+K54</f>
        <v>-378360.96397999988</v>
      </c>
      <c r="L55" s="47">
        <f>SUM(H55:K55)</f>
        <v>-753829.17999999912</v>
      </c>
    </row>
    <row r="56" spans="1:21" ht="16.5" thickBot="1">
      <c r="A56" s="82" t="s">
        <v>119</v>
      </c>
      <c r="B56" s="84"/>
      <c r="C56" s="160">
        <f>SUM(C43:C55)</f>
        <v>5743116.8900000006</v>
      </c>
      <c r="D56" s="36"/>
      <c r="F56" s="239" t="s">
        <v>181</v>
      </c>
      <c r="H56" s="383" t="s">
        <v>173</v>
      </c>
      <c r="I56" s="5">
        <f>SUM(H55:I55)</f>
        <v>-510548.61974799959</v>
      </c>
      <c r="J56" s="15" t="s">
        <v>174</v>
      </c>
      <c r="K56" s="383">
        <f>SUM(J55:K55)</f>
        <v>-243280.56025199953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-74701.33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59">
        <v>-34446.04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5633969.5200000005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7840197.8200000003</v>
      </c>
      <c r="D61" s="37"/>
      <c r="H61" s="348" t="e">
        <f>SUM('WA - Def-Amtz (current)'!AN5:AN41)+SUM(#REF!)</f>
        <v>#REF!</v>
      </c>
      <c r="I61" s="448" t="e">
        <f>SUM('WA - Def-Amtz (current)'!AO5:AO41)+SUM(#REF!)</f>
        <v>#REF!</v>
      </c>
      <c r="J61" s="383">
        <f>H53+I53+J53+K53</f>
        <v>-8594027</v>
      </c>
    </row>
    <row r="62" spans="1:21" ht="15.75">
      <c r="A62" s="2"/>
      <c r="B62" s="9" t="s">
        <v>160</v>
      </c>
      <c r="C62" s="349">
        <v>7840197.8200000003</v>
      </c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50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H66" s="9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70" priority="8" stopIfTrue="1" operator="equal">
      <formula>0</formula>
    </cfRule>
    <cfRule type="cellIs" dxfId="269" priority="9" stopIfTrue="1" operator="notEqual">
      <formula>0</formula>
    </cfRule>
  </conditionalFormatting>
  <conditionalFormatting sqref="G34 G47 K30 K47">
    <cfRule type="cellIs" dxfId="268" priority="7" operator="notEqual">
      <formula>0</formula>
    </cfRule>
  </conditionalFormatting>
  <conditionalFormatting sqref="C63">
    <cfRule type="cellIs" dxfId="267" priority="5" stopIfTrue="1" operator="equal">
      <formula>0</formula>
    </cfRule>
    <cfRule type="cellIs" dxfId="266" priority="6" stopIfTrue="1" operator="notEqual">
      <formula>0</formula>
    </cfRule>
  </conditionalFormatting>
  <conditionalFormatting sqref="K30">
    <cfRule type="cellIs" dxfId="265" priority="4" operator="notEqual">
      <formula>0</formula>
    </cfRule>
  </conditionalFormatting>
  <conditionalFormatting sqref="G59">
    <cfRule type="cellIs" dxfId="264" priority="3" operator="equal">
      <formula>"""ERROR"""</formula>
    </cfRule>
  </conditionalFormatting>
  <conditionalFormatting sqref="G59">
    <cfRule type="cellIs" dxfId="263" priority="2" operator="equal">
      <formula>"ERROR"</formula>
    </cfRule>
  </conditionalFormatting>
  <conditionalFormatting sqref="G59">
    <cfRule type="cellIs" dxfId="262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xe4awand xmlns="http://www.excel4apps.com"><![CDATA[rO0ABXfaCMCtii8CAgRDAwIeAABEY29tLmV4Y2VsNGFwcHMud2FuZC5vcmFjbGUu
Z2x3YW5kLmNhbGN1bGF0aW9ucy5nZXRiYWxhbmNlLkdldEJhbGFuY2UCAQAJNTU3
NDk3MjI0AgIAATACAwAGMjAxNzExAgQAA1lURAIFAANVU0QCBgAFVG90YWwCBwAB
QQIIAAACCQADMDAxAgoABjE5MTAwMAILAAJHRAIMAAJXQQINAAJETAIIAggCCAII
AggCCAIIAggCCAIIAggCCAIIAggCCAIIAggCIA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BES6V7x4eHdNAh4AAgECAgIbAAYyMDE4MDECBAIFAgYCBwIIAgkCCgILAgwCDQIIAggCCAIIAggCCAIIAggCCAIIAggCCAIIAggCCAIIAggCIAIDAhxzcQB+AAAAAAACc3EAfgAE///////////////+/////v////91cQB+AAcAAAAEJnGjV3h4d00CHgACAQICAh0ABjIwMTcwOQIEAgUCBgIHAggCCQIKAgsCDAINAggCCAIIAggCCAIIAggCCAIIAggCCAIIAggCCAIIAggCCAIgAgMCHnNxAH4AAAAAAAJzcQB+AAT///////////////7////+AAAAAXVxAH4ABwAAAAQCjrCgeHh3TQIeAAIBAgICHwAGMjAxNzA3AgQCBQIGAgcCCAIJAgoCCwIMAg0CCAIIAggCCAIIAggCCAIIAggCCAIIAggCCAIIAggCCAIIAiACAwIgc3EAfgAAAAAAAnNxAH4ABP///////////////v////7/////dXEAfgAHAAAABAIK9vR4eHdNAh4AAgECAgIhAAYyMDE3MDICBAIFAgYCBwIIAgkCCgILAgwCDQIIAggCCAIIAggCCAIIAggCCAIIAggCCAIIAggCCAIIAggCIAIDAiJzcQB+AAAAAAACc3EAfgAE///////////////+/////v////91cQB+AAcAAAAEG0cx03h4d00CHgACAQICAiMABjIwMTgwMwIEAgUCBgIHAggCCQIKAgsCDAINAggCCAIIAggCCAIIAggCCAIIAggCCAIIAggCCAIIAggCCAIgAgMCJHNxAH4AAAAAAAJzcQB+AAT///////////////7////+/////3VxAH4ABwAAAAQOU8mMeHh3TQIeAAIBAgICJQAGMjAxNzAzAgQCBQIGAgcCCAIJAgoCCwIMAg0CCAIIAggCCAIIAggCCAIIAggCCAIIAggCCAIIAggCCAIIAiACAwImc3EAfgAAAAAAAnNxAH4ABP///////////////v////7/////dXEAfgAHAAAABBD98iN4eHdNAh4AAgECAgInAAYyMDE3MDUCBAIFAgYCBwIIAgkCCgILAgwCDQIIAggCCAIIAggCCAIIAggCCAIIAggCCAIIAggCCAIIAggCIAIDAihzcQB+AAAAAAACc3EAfgAE///////////////+/////v////91cQB+AAcAAAAEBiEYhXh4d00CHgACAQICAikABjIwMTcwOAIEAgUCBgIHAggCCQIKAgsCDAINAggCCAIIAggCCAIIAggCCAIIAggCCAIIAggCCAIIAggCCAIgAgMCKnNxAH4AAAAAAAJzcQB+AAT///////////////7////+/////3VxAH4ABwAAAAMylNZ4eHdNAh4AAgECAgIrAAYyMDE3MDECBAIFAgYCBwIIAgkCCgILAgwCDQIIAggCCAIIAggCCAIIAggCCAIIAggCCAIIAggCCAIIAggCIAIDAixzcQB+AAAAAAACc3EAfgAE///////////////+/////v////91cQB+AAcAAAAEKOmGtnh4d00CHgACAQICAi0ABjIwMTgwMgIEAgUCBgIHAggCCQIKAgsCDAINAggCCAIIAggCCAIIAggCCAIIAggCCAIIAggCCAIIAggCCAIgAgMCLnNxAH4AAAAAAAJzcQB+AAT///////////////7////+/////3VxAH4ABwAAAAQZYudleHh3TQIeAAIBAgICLwAGMjAxNzEwAgQCBQIGAgcCCAIJAgoCCwIMAg0CCAIIAggCCAIIAggCCAIIAggCCAIIAggCCAIIAggCCAIIAiACAwIwc3EAfgAAAAAAAnNxAH4ABP///////////////v////4AAAABdXEAfgAHAAAABAkNFf14eHdNAh4AAgECAgIxAAYyMDE3MTICBAIFAgYCBwIIAgkCCgILAgwCDQIIAggCCAIIAggCCAIIAggCCAIIAggCCAIIAggCCAIIAggCIAIDAjJzcQB+AAAAAAACc3EAfgAE///////////////+/////v////91cQB+AAcAAAAENEm+I3h4d00CHgACAQICAjMABjIwMTcwNgIEAgUCBgIHAggCCQIKAgsCDAINAggCCAIIAggCCAIIAggCCAIIAggCCAIIAggCCAIIAggCCAIgAgMCNHNxAH4AAAAAAAJzcQB+AAT///////////////7////+/////3VxAH4ABwAAAAQD3U0geHh3TQIeAAIBAgICNQAGMjAxNzA0AgQCBQIGAgcCCAIJAgoCCwIMAg0CCAIIAggCCAIIAggCCAIIAggCCAIIAggCCAIIAggCCAIIAiACAwI2c3EAfgAAAAAAAnNxAH4ABP///////////////v////7/////dXEAfgAHAAAABAnwakZ4eHdUAh4AAjcACTU2OTYxNDgxNgICAiMCBAIFAgYCBwIIAgkCCgILAjgAAklEAg0CCAIIAggCCAIIAggCCAIIAggCCAIIAggCCAIIAggCCAIIAhMCAwI5c3EAfgAAAAAAAnNxAH4ABP///////////////v////7/////dXEAfgAHAAAABATh3pl4eHdFAh4AAjcCAgIhAgQCBQIGAgcCCAIJAgoCCwI4Ag0CCAIIAggCCAIIAggCCAIIAggCCAIIAggCCAIIAggCCAIIAhMCAwI6c3EAfgAAAAAAAnNxAH4ABP///////////////v////7/////dXEAfgAHAAAABA4LHEp4eHdNAh4AAjcCAgIbAgQCBQIGAgcCCAIJAjsABjE5MTAxMAILAjgCDQIIAggCCAIIAggCCAIIAggCCAIIAggCCAIIAggCCAIIAggCEwIDAjxzcQB+AAAAAAACc3EAfgAE///////////////+/////v////91cQB+AAcAAAAEKSCPhXh4d00CHgACNwICAh0CBAIFAgYCBwIIAgkCPQAGMTkxMDE1AgsCOAINAggCCAIIAggCCAIIAggCCAIIAggCCAIIAggCCAIIAggCCAITAgMCPnNxAH4AAAAAAAJzcQB+AAT///////////////7////+/////3VxAH4ABwAAAAMSoqh4eHdFAh4AAjcCAgIdAgQCBQIGAgcCCAIJAjsCCwI4Ag0CCAIIAggCCAIIAggCCAIIAggCCAIIAggCCAIIAggCCAIIAhMCAwI/c3EAfgAAAAAAAnNxAH4ABP///////////////v////7/////dXEAfgAHAAAABDlFLv54eHdFAh4AAjcCAgIbAgQCBQIGAgcCCAIJAj0CCwI4Ag0CCAIIAggCCAIIAggCCAIIAggCCAIIAggCCAIIAggCCAIIAhMCAwJAc3EAfgAAAAAAAnNxAH4ABP///////////////v////4AAAAAdXEAfgAHAAAAAHh4d00CHgACNwICAkEABjIwMTYwOAIEAgUCBgIHAggCCQI7AgsCOAINAggCCAIIAggCCAIIAggCCAIIAggCCAIIAggCCAIIAggCCAITAgMCQnNxAH4AAAAAAAJzcQB+AAT///////////////7////+/////3VxAH4ABwAAAAQx77UZeHh3RQIeAAI3AgICQQIEAgUCBgIHAggCCQI9AgsCOAINAggCCAIIAggCCAIIAggCCAIIAggCCAIIAggCCAIIAggCCAITAgMCQ3NxAH4AAAAAAAJzcQB+AAT///////////////7////+/////3VxAH4ABwAAAAMSb0Z4eHdFAh4AAjcCAgIlAgQCBQIGAgcCCAIJAgoCCwI4Ag0CCAIIAggCCAIIAggCCAIIAggCCAIIAggCCAIIAggCCAIIAhMCAwJEc3EAfgAAAAAAAnNxAH4ABP///////////////v////7/////dXEAfgAHAAAABAi9SCF4eHdNAh4AAjcCAgJFAAYyMDE2MDkCBAIFAgYCBwIIAgkCPQILAjgCDQIIAggCCAIIAggCCAIIAggCCAIIAggCCAIIAggCCAIIAggCEwIDAkZzcQB+AAAAAAACc3EAfgAE///////////////+/////v////91cQB+AAcAAAADEnM1eHh3igIeAAI3AgICLQIEAgUCBgIHAggCCQI9AgsCOAINAggCCAIIAggCCAIIAggCCAIIAggCCAIIAggCCAIIAggCCAITAgMCQAIeAAI3AgICKwIEAgUCBgIHAggCCQI9AgsCOAINAggCCAIIAggCCAIIAggCCAIIAggCCAIIAggCCAIIAggCCAITAgMCR3NxAH4AAAAAAAJzcQB+AAT///////////////7////+/////3VxAH4ABwAAAAMSgvh4eHdFAh4AAjcCAgIrAgQCBQIGAgcCCAIJAjsCCwI4Ag0CCAIIAggCCAIIAggCCAIIAggCCAIIAggCCAIIAggCCAIIAhMCAwJIc3EAfgAAAAAAAnNxAH4ABP///////////////v////7/////dXEAfgAHAAAABB2x+kx4eHdNAh4AAjcCAgJJAAYyMDE2MDICBAIFAgYCBwIIAgkCCgILAjgCDQIIAggCCAIIAggCCAIIAggCCAIIAggCCAIIAggCCAIIAggCEwIDAkpzcQB+AAAAAAACc3EAfgAE///////////////+/////v////91cQB+AAcAAAAEBFuSEHh4d0UCHgACNwICAi8CBAIFAgYCBwIIAgkCCgILAjgCDQIIAggCCAIIAggCCAIIAggCCAIIAggCCAIIAggCCAIIAggCEwIDAktzcQB+AAAAAAACc3EAfgAE///////////////+/////gAAAAF1cQB+AAcAAAAEBhtaanh4d0UCHgACNwICAkUCBAIFAgYCBwIIAgkCOwILAjgCDQIIAggCCAIIAggCCAIIAggCCAIIAggCCAIIAggCCAIIAggCEwIDAkxzcQB+AAAAAAACc3EAfgAE///////////////+/////v////91cQB+AAcAAAAEM7yWknh4d0UCHgACNwICAi0CBAIFAgYCBwIIAgkCOwILAjgCDQIIAggCCAIIAggCCAIIAggCCAIIAggCCAIIAggCCAIIAggCEwIDAk1zcQB+AAAAAAACc3EAfgAE///////////////+/////v////91cQB+AAcAAAAEKUaEtnh4d0UCHgACNwICAh0CBAIFAgYCBwIIAgkCCgILAjgCDQIIAggCCAIIAggCCAIIAggCCAIIAggCCAIIAggCCAIIAggCEwIDAk5zcQB+AAAAAAACc3EAfgAE///////////////+/////gAAAAF1cQB+AAcAAAAEAloS0nh4d00CHgACNwICAk8ABjIwMTYwMwIEAgUCBgIHAggCCQIKAgsCOAINAggCCAIIAggCCAIIAggCCAIIAggCCAIIAggCCAIIAggCCAITAgMCUHNxAH4AAAAAAAJzcQB+AAT///////////////7////+/////3VxAH4ABwAAAAQC+0uLeHh3RQIeAAI3AgICMwIEAgUCBgIHAggCCQI9AgsCOAINAggCCAIIAggCCAIIAggCCAIIAggCCAIIAggCCAIIAggCCAITAgMCUXNxAH4AAAAAAAJzcQB+AAT///////////////7////+/////3VxAH4ABwAAAAMSlsB4eHdFAh4AAjcCAgJBAgQCBQIGAgcCCAIJAgoCCwI4Ag0CCAIIAggCCAIIAggCCAIIAggCCAIIAggCCAIIAggCCAIIAhMCAwJSc3EAfgAAAAAAAnNxAH4ABP///////////////v////7/////dXEAfgAHAAAAA56yqnh4d0UCHgACNwICAkkCBAIFAgYCBwIIAgkCOwILAjgCDQIIAggCCAIIAggCCAIIAggCCAIIAggCCAIIAggCCAIIAggCEwIDAlNzcQB+AAAAAAACc3EAfgAE///////////////+/////v////91cQB+AAcAAAAEG7MeXHh4d0UCHgACNwICAjUCBAIFAgYCBwIIAgkCCgILAjgCDQIIAggCCAIIAggCCAIIAggCCAIIAggCCAIIAggCCAIIAggCEwIDAlRzcQB+AAAAAAACc3EAfgAE///////////////+/////v////91cQB+AAcAAAAEBQSjQXh4d0UCHgACNwICAiUCBAIFAgYCBwIIAgkCPQILAjgCDQIIAggCCAIIAggCCAIIAggCCAIIAggCCAIIAggCCAIIAggCEwIDAlVzcQB+AAAAAAACc3EAfgAE///////////////+/////v////91cQB+AAcAAAADEorfeHh3RQIeAAI3AgICSQIEAgUCBgIHAggCCQI9AgsCOAINAggCCAIIAggCCAIIAggCCAIIAggCCAIIAggCCAIIAggCCAITAgMCVnNxAH4AAAAAAAJzcQB+AAT///////////////7////+/////3VxAH4ABwAAAAMSV794eHdFAh4AAjcCAgIxAgQCBQIGAgcCCAIJAgoCCwI4Ag0CCAIIAggCCAIIAggCCAIIAggCCAIIAggCCAIIAggCCAIIAhMCAwJXc3EAfgAAAAAAAnNxAH4ABP///////////////v////7/////dXEAfgAHAAAABBa3qKJ4eHdNAh4AAjcCAgJYAAYyMDE2MDcCBAIFAgYCBwIIAgkCOwILAjgCDQIIAggCCAIIAggCCAIIAggCCAIIAggCCAIIAggCCAIIAggCEwIDAllzcQB+AAAAAAACc3EAfgAE///////////////+/////v////91cQB+AAcAAAAELv3gknh4d0UCHgACNwICAikCBAIFAgYCBwIIAgkCPQILAjgCDQIIAggCCAIIAggCCAIIAggCCAIIAggCCAIIAggCCAIIAggCEwIDAlpzcQB+AAAAAAACc3EAfgAE///////////////+/////v////91cQB+AAcAAAADEp6veHh3RQIeAAI3AgICKQIEAgUCBgIHAggCCQI7AgsCOAINAggCCAIIAggCCAIIAggCCAIIAggCCAIIAggCCAIIAggCCAITAgMCW3NxAH4AAAAAAAJzcQB+AAT///////////////7////+/////3VxAH4ABwAAAAQ0OVToeHh3TQIeAAI3AgICXAAGMjAxNjExAgQCBQIGAgcCCAIJAgoCCwI4Ag0CCAIIAggCCAIIAggCCAIIAggCCAIIAggCCAIIAggCCAIIAhMCAwJdc3EAfgAAAAAAAnNxAH4ABP///////////////v////7/////dXEAfgAHAAAABCWQ0ft4eHdFAh4AAjcCAgIlAgQCBQIGAgcCCAIJAjsCCwI4Ag0CCAIIAggCCAIIAggCCAIIAggCCAIIAggCCAIIAggCCAIIAhMCAwJec3EAfgAAAAAAAnNxAH4ABP///////////////v////7/////dXEAfgAHAAAABCZ4H3F4eHdFAh4AAjcCAgJYAgQCBQIGAgcCCAIJAj0CCwI4Ag0CCAIIAggCCAIIAggCCAIIAggCCAIIAggCCAIIAggCCAIIAhMCAwJfc3EAfgAAAAAAAnNxAH4ABP///////////////v////7/////dXEAfgAHAAAAAxJrWHh4d0UCHgACNwICAi0CBAIFAgYCBwIIAgkCCgILAjgCDQIIAggCCAIIAggCCAIIAggCCAIIAggCCAIIAggCCAIIAggCEwIDAmBzcQB+AAAAAAACc3EAfgAE///////////////+/////v////91cQB+AAcAAAAECivT53h4d0UCHgACNwICAisCBAIFAgYCBwIIAgkCCgILAjgCDQIIAggCCAIIAggCCAIIAggCCAIIAggCCAIIAggCCAIIAggCEwIDAmFzcQB+AAAAAAACc3EAfgAE///////////////+/////v////91cQB+AAcAAAAEFDr3g3h4d00CHgACNwICAmIABjIwMTYxMAIEAgUCBgIHAggCCQI9AgsCOAINAggCCAIIAggCCAIIAggCCAIIAggCCAIIAggCCAIIAggCCAITAgMCY3NxAH4AAAAAAAJzcQB+AAT///////////////7////+/////3VxAH4ABwAAAAMSdyV4eHdFAh4AAjcCAgJPAgQCBQIGAgcCCAIJAj0CCwI4Ag0CCAIIAggCCAIIAggCCAIIAggCCAIIAggCCAIIAggCCAIIAhMCAwJkc3EAfgAAAAAAAnNxAH4ABP///////////////v////7/////dXEAfgAHAAAAAxJbqXh4d00CHgACNwICAmUABjIwMTYwNAIEAgUCBgIHAggCCQI7AgsCOAINAggCCAIIAggCCAIIAggCCAIIAggCCAIIAggCCAIIAggCCAITAgMCZnNxAH4AAAAAAAJzcQB+AAT///////////////7////+/////3VxAH4ABwAAAAQjxnj9eHh3RQIeAAI3AgICYgIEAgUCBgIHAggCCQI7AgsCOAINAggCCAIIAggCCAIIAggCCAIIAggCCAIIAggCCAIIAggCCAITAgMCZ3NxAH4AAAAAAAJzcQB+AAT///////////////7////+/////3VxAH4ABwAAAAQ0mEcjeHh3RQIeAAI3AgICJwIEAgUCBgIHAggCCQI7AgsCOAINAggCCAIIAggCCAIIAggCCAIIAggCCAIIAggCCAIIAggCCAITAgMCaHNxAH4AAAAAAAJzcQB+AAT///////////////7////+/////3VxAH4ABwAAAAQqJk8LeHh3igIeAAI3AgICAwIEAgUCBgIHAggCCQI9AgsCOAINAggCCAIIAggCCAIIAggCCAIIAggCCAIIAggCCAIIAggCCAITAgMCQAIeAAI3AgICNQIEAgUCBgIHAggCCQI9AgsCOAINAggCCAIIAggCCAIIAggCCAIIAggCCAIIAggCCAIIAggCCAITAgMCaXNxAH4AAAAAAAJzcQB+AAT///////////////7////+/////3VxAH4ABwAAAAMSjtR4eHdNAh4AAjcCAgJqAAYyMDE2MDYCBAIFAgYCBwIIAgkCCgILAjgCDQIIAggCCAIIAggCCAIIAggCCAIIAggCCAIIAggCCAIIAggCEwIDAmtzcQB+AAAAAAACc3EAfgAE///////////////+/////v////91cQB+AAcAAAAEAWTK8nh4d0UCHgACNwICAgMCBAIFAgYCBwIIAgkCOwILAjgCDQIIAggCCAIIAggCCAIIAggCCAIIAggCCAIIAggCCAIIAggCEwIDAmxzcQB+AAAAAAACc3EAfgAE///////////////+/////v////91cQB+AAcAAAAEHCN8kHh4d00CHgACNwICAm0ABjIwMTYxMgIEAgUCBgIHAggCCQIKAgsCOAINAggCCAIIAggCCAIIAggCCAIIAggCCAIIAggCCAIIAggCCAITAgMCbnNxAH4AAAAAAAJzcQB+AAT///////////////7////+/////3VxAH4ABwAAAAQdEKl0eHh3RQIeAAI3AgICMwIEAgUCBgIHAggCCQIKAgsCOAINAggCCAIIAggCCAIIAggCCAIIAggCCAIIAggCCAIIAggCCAITAgMCb3NxAH4AAAAAAAJzcQB+AAT///////////////7////+/////3VxAH4ABwAAAAQBbUrSeHh3TQIeAAI3AgICcAAGMjAxNjA1AgQCBQIGAgcCCAIJAgoCCwI4Ag0CCAIIAggCCAIIAggCCAIIAggCCAIIAggCCAIIAggCCAIIAhMCAwJxc3EAfgAAAAAAAnNxAH4ABP///////////////v////7/////dXEAfgAHAAAABAHNSnd4eHdFAh4AAjcCAgIvAgQCBQIGAgcCCAIJAj0CCwI4Ag0CCAIIAggCCAIIAggCCAIIAggCCAIIAggCCAIIAggCCAIIAhMCAwJyc3EAfgAAAAAAAnNxAH4ABP///////////////v////7/////dXEAfgAHAAAAAxKmonh4d0UCHgACNwICAlwCBAIFAgYCBwIIAgkCOwILAjgCDQIIAggCCAIIAggCCAIIAggCCAIIAggCCAIIAggCCAIIAggCEwIDAnNzcQB+AAAAAAACc3EAfgAE///////////////+/////v////91cQB+AAcAAAAEC9ESdHh4d0UCHgACNwICAmUCBAIFAgYCBwIIAgkCPQILAjgCDQIIAggCCAIIAggCCAIIAggCCAIIAggCCAIIAggCCAIIAggCEwIDAnRzcQB+AAAAAAACc3EAfgAE///////////////+/////v////91cQB+AAcAAAADEl+UeHh3RQIeAAI3AgICcAIEAgUCBgIHAggCCQI7AgsCOAINAggCCAIIAggCCAIIAggCCAIIAggCCAIIAggCCAIIAggCCAITAgMCdXNxAH4AAAAAAAJzcQB+AAT///////////////7////+/////3VxAH4ABwAAAAQmLzLCeHh3RQIeAAI3AgICJwIEAgUCBgIHAggCCQI9AgsCOAINAggCCAIIAggCCAIIAggCCAIIAggCCAIIAggCCAIIAggCCAITAgMCdnNxAH4AAAAAAAJzcQB+AAT///////////////7////+/////3VxAH4ABwAAAAMSksp4eHdFAh4AAjcCAgJYAgQCBQIGAgcCCAIJAgoCCwI4Ag0CCAIIAggCCAIIAggCCAIIAggCCAIIAggCCAIIAggCCAIIAhMCAwJ3c3EAfgAAAAAAAnNxAH4ABP///////////////v////7/////dXEAfgAHAAAABAEGlGB4eHeKAh4AAjcCAgIxAgQCBQIGAgcCCAIJAj0CCwI4Ag0CCAIIAggCCAIIAggCCAIIAggCCAIIAggCCAIIAggCCAIIAhMCAwJAAh4AAjcCAgIzAgQCBQIGAgcCCAIJAjsCCwI4Ag0CCAIIAggCCAIIAggCCAIIAggCCAIIAggCCAIIAggCCAIIAhMCAwJ4c3EAfgAAAAAAAnNxAH4ABP///////////////v////7/////dXEAfgAHAAAABCoLRiF4eHdFAh4AAjcCAgIxAgQCBQIGAgcCCAIJAjsCCwI4Ag0CCAIIAggCCAIIAggCCAIIAggCCAIIAggCCAIIAggCCAIIAhMCAwJ5c3EAfgAAAAAAAnNxAH4ABP///////////////v////7/////dXEAfgAHAAAABCQ0bfR4eHdFAh4AAjcCAgIfAgQCBQIGAgcCCAIJAgoCCwI4Ag0CCAIIAggCCAIIAggCCAIIAggCCAIIAggCCAIIAggCCAIIAhMCAwJ6c3EAfgAAAAAAAnNxAH4ABP///////////////v////7/////dXEAfgAHAAAAA064Cnh4d0UCHgACNwICAnACBAIFAgYCBwIIAgkCPQILAjgCDQIIAggCCAIIAggCCAIIAggCCAIIAggCCAIIAggCCAIIAggCEwIDAntzcQB+AAAAAAACc3EAfgAE///////////////+/////v////91cQB+AAcAAAADEmN/eHh3RQIeAAI3AgICbQIEAgUCBgIHAggCCQI7AgsCOAINAggCCAIIAggCCAIIAggCCAIIAggCCAIIAggCCAIIAggCCAITAgMCfHNxAH4AAAAAAAJzcQB+AAT///////////////7////+/////3VxAH4ABwAAAAQVrLWfeHh3RQIeAAI3AgICHwIEAgUCBgIHAggCCQI7AgsCOAINAggCCAIIAggCCAIIAggCCAIIAggCCAIIAggCCAIIAggCCAITAgMCfXNxAH4AAAAAAAJzcQB+AAT///////////////7////+/////3VxAH4ABwAAAAQukYUreHh3RQIeAAI3AgICbQIEAgUCBgIHAggCCQI9AgsCOAINAggCCAIIAggCCAIIAggCCAIIAggCCAIIAggCCAIIAggCCAITAgMCfnNxAH4AAAAAAAJzcQB+AAT///////////////7////+/////3VxAH4ABwAAAAMSfwZ4eHeKAh4AAjcCAgIjAgQCBQIGAgcCCAIJAj0CCwI4Ag0CCAIIAggCCAIIAggCCAIIAggCCAIIAggCCAIIAggCCAIIAhMCAwJAAh4AAjcCAgJqAgQCBQIGAgcCCAIJAjsCCwI4Ag0CCAIIAggCCAIIAggCCAIIAggCCAIIAggCCAIIAggCCAIIAhMCAwJ/c3EAfgAAAAAAAnNxAH4ABP///////////////v////7/////dXEAfgAHAAAABCsQC1F4eHdFAh4AAjcCAgIhAgQCBQIGAgcCCAIJAj0CCwI4Ag0CCAIIAggCCAIIAggCCAIIAggCCAIIAggCCAIIAggCCAIIAhMCAwKAc3EAfgAAAAAAAnNxAH4ABP///////////////v////7/////dXEAfgAHAAAAAxKG63h4d0UCHgACNwICAiECBAIFAgYCBwIIAgkCOwILAjgCDQIIAggCCAIIAggCCAIIAggCCAIIAggCCAIIAggCCAIIAggCEwIDAoFzcQB+AAAAAAACc3EAfgAE///////////////+/////v////91cQB+AAcAAAAEIgqsMXh4d0UCHgACNwICAmICBAIFAgYCBwIIAgkCCgILAjgCDQIIAggCCAIIAggCCAIIAggCCAIIAggCCAIIAggCCAIIAggCEwIDAoJzcQB+AAAAAAACc3EAfgAE///////////////+/////gAAAAF1cQB+AAcAAAADuXJ8eHh3RQIeAAI3AgICHwIEAgUCBgIHAggCCQI9AgsCOAINAggCCAIIAggCCAIIAggCCAIIAggCCAIIAggCCAIIAggCCAITAgMCg3NxAH4AAAAAAAJzcQB+AAT///////////////7////+/////3VxAH4ABwAAAAMSmrd4eHdFAh4AAjcCAgJqAgQCBQIGAgcCCAIJAj0CCwI4Ag0CCAIIAggCCAIIAggCCAIIAggCCAIIAggCCAIIAggCCAIIAhMCAwKEc3EAfgAAAAAAAnNxAH4ABP///////////////v////7/////dXEAfgAHAAAAAxJna3h4d0UCHgACNwICAiMCBAIFAgYCBwIIAgkCOwILAjgCDQIIAggCCAIIAggCCAIIAggCCAIIAggCCAIIAggCCAIIAggCEwIDAoVzcQB+AAAAAAACc3EAfgAE///////////////+/////v////91cQB+AAcAAAAEKsKx+Hh4d0UCHgACNwICAgMCBAIFAgYCBwIIAgkCCgILAjgCDQIIAggCCAIIAggCCAIIAggCCAIIAggCCAIIAggCCAIIAggCEwIDAoZzcQB+AAAAAAACc3EAfgAE///////////////+/////v////91cQB+AAcAAAAEHsB0bHh4d0UCHgACNwICAikCBAIFAgYCBwIIAgkCCgILAjgCDQIIAggCCAIIAggCCAIIAggCCAIIAggCCAIIAggCCAIIAggCEwIDAodzcQB+AAAAAAACc3EAfgAE///////////////+/////gAAAAF1cQB+AAcAAAAD/4leeHh3RQIeAAI3AgICGwIEAgUCBgIHAggCCQIKAgsCOAINAggCCAIIAggCCAIIAggCCAIIAggCCAIIAggCCAIIAggCCAITAgMCiHNxAH4AAAAAAAJzcQB+AAT///////////////7////+/////3VxAH4ABwAAAAQQposkeHh3RQIeAAI3AgICXAIEAgUCBgIHAggCCQI9AgsCOAINAggCCAIIAggCCAIIAggCCAIIAggCCAIIAggCCAIIAggCCAITAgMCiXNxAH4AAAAAAAJzcQB+AAT///////////////7////+/////3VxAH4ABwAAAAMSexV4eHdFAh4AAjcCAgJFAgQCBQIGAgcCCAIJAgoCCwI4Ag0CCAIIAggCCAIIAggCCAIIAggCCAIIAggCCAIIAggCCAIIAhMCAwKKc3EAfgAAAAAAAnNxAH4ABP///////////////v////7/////dXEAfgAHAAAAAzL3EXh4d0UCHgACNwICAjUCBAIFAgYCBwIIAgkCOwILAjgCDQIIAggCCAIIAggCCAIIAggCCAIIAggCCAIIAggCCAIIAggCEwIDAotzcQB+AAAAAAACc3EAfgAE///////////////+/////v////91cQB+AAcAAAAEKeDlE3h4d0UCHgACNwICAmUCBAIFAgYCBwIIAgkCCgILAjgCDQIIAggCCAIIAggCCAIIAggCCAIIAggCCAIIAggCCAIIAggCEwIDAoxzcQB+AAAAAAACc3EAfgAE///////////////+/////v////91cQB+AAcAAAAEAlAe6Xh4d0UCHgACNwICAi8CBAIFAgYCBwIIAgkCOwILAjgCDQIIAggCCAIIAggCCAIIAggCCAIIAggCCAIIAggCCAIIAggCEwIDAo1zcQB+AAAAAAACc3EAfgAE///////////////+/////v////91cQB+AAcAAAAEQ0RN4Hh4d0UCHgACNwICAk8CBAIFAgYCBwIIAgkCOwILAjgCDQIIAggCCAIIAggCCAIIAggCCAIIAggCCAIIAggCCAIIAggCEwIDAo5zcQB+AAAAAAACc3EAfgAE///////////////+/////v////91cQB+AAcAAAAEHq4JT3h4d0UCHgACNwICAicCBAIFAgYCBwIIAgkCCgILAjgCDQIIAggCCAIIAggCCAIIAggCCAIIAggCCAIIAggCCAIIAggCEwIDAo9zcQB+AAAAAAACc3EAfgAE///////////////+/////v////91cQB+AAcAAAAEAtdnVHh4d1gCHgACkAAJNTY5NjExMzM2AgICHQIEAgUCBgIHAggCCQKRAAYxOTEwMjUCCwIMAg0CCAIIAggCCAIIAggCCAIIAggCCAIIAggCCAIIAggCCAIIAhACAwKSc3EAfgAAAAAAAnNxAH4ABP///////////////v////7/////dXEAfgAHAAAAAwQOrnh4d4oCHgACkAICAjUCBAIFAgYCBwIIAgkCCgILAgwCDQIIAggCCAIIAggCCAIIAggCCAIIAggCCAIIAggCCAIIAggCEAIDAjYCHgACkAICAkECBAIFAgYCBwIIAgkCkQILAgwCDQIIAggCCAIIAggCCAIIAggCCAIIAggCCAIIAggCCAIIAggCEAIDApNzcQB+AAAAAAACc3EAfgAE///////////////+/////v////91cQB+AAcAAAADCLaceHh3kgIeAAKQAgICAwIEAgUCBgIHAggCCQIKAgsCDAINAggCCAIIAggCCAIIAggCCAIIAggCCAIIAggCCAIIAggCCAIQAgMCDgIeAAKQAgIClAAGMjAxODA0AgQCBQIGAgcCCAIJAjsCCwIMAg0CCAIIAggCCAIIAggCCAIIAggCCAIIAggCCAIIAggCCAIIAhACAwKVc3EAfgAAAAAAAnNxAH4ABP///////////////v////7/////dXEAfgAHAAAABFqpyF94eHdFAh4AApACAgIlAgQCBQIGAgcCCAIJAjsCCwIMAg0CCAIIAggCCAIIAggCCAIIAggCCAIIAggCCAIIAggCCAIIAhACAwKWc3EAfgAAAAAAAnNxAH4ABP///////////////v////7/////dXEAfgAHAAAABFNjmyZ4eHdFAh4AApACAgJJAgQCBQIGAgcCCAIJAjsCCwIMAg0CCAIIAggCCAIIAggCCAIIAggCCAIIAggCCAIIAggCCAIIAhACAwKXc3EAfgAAAAAAAnNxAH4ABP///////////////v////7/////dXEAfgAHAAAABDc49U94eHdFAh4AApACAgJlAgQCBQIGAgcCCAIJAgoCCwIMAg0CCAIIAggCCAIIAggCCAIIAggCCAIIAggCCAIIAggCCAIIAhACAwKYc3EAfgAAAAAAAnNxAH4ABP///////////////v////7/////dXEAfgAHAAAABATkMA94eHdFAh4AApACAgIvAgQCBQIGAgcCCAIJAjsCCwIMAg0CCAIIAggCCAIIAggCCAIIAggCCAIIAggCCAIIAggCCAIIAhACAwKZc3EAfgAAAAAAAnNxAH4ABP///////////////v////7/////dXEAfgAHAAAABILciPF4eHeKAh4AApACAgItAgQCBQIGAgcCCAIJApECCwIMAg0CCAIIAggCCAIIAggCCAIIAggCCAIIAggCCAIIAggCCAIIAhACAwJAAh4AApACAgKUAgQCBQIGAgcCCAIJAgoCCwIMAg0CCAIIAggCCAIIAggCCAIIAggCCAIIAggCCAIIAggCCAIIAhACAwKac3EAfgAAAAAAAnNxAH4ABP///////////////v////7/////dXEAfgAHAAAABAcZP5l4eHdFAh4AApACAgIpAgQCBQIGAgcCCAIJApECCwIMAg0CCAIIAggCCAIIAggCCAIIAggCCAIIAggCCAIIAggCCAIIAhACAwKbc3EAfgAAAAAAAnNxAH4ABP///////////////v////7/////dXEAfgAHAAAAAwQlCXh4d0UCHgACkAICAkkCBAIFAgYCBwIIAgkCCgILAgwCDQIIAggCCAIIAggCCAIIAggCCAIIAggCCAIIAggCCAIIAggCEAIDApxzcQB+AAAAAAACc3EAfgAE///////////////+/////v////91cQB+AAcAAAAECCX/sXh4d0UCHgACkAICAisCBAIFAgYCBwIIAgkCkQILAgwCDQIIAggCCAIIAggCCAIIAggCCAIIAggCCAIIAggCCAIIAggCEAIDAp1zcQB+AAAAAAACc3EAfgAE///////////////+/////v////91cQB+AAcAAAADBWT/eHh3RQIeAAKQAgICLQIEAgUCBgIHAggCCQI7AgsCDAINAggCCAIIAggCCAIIAggCCAIIAggCCAIIAggCCAIIAggCCAIQAgMCnnNxAH4AAAAAAAJzcQB+AAT///////////////7////+/////3VxAH4ABwAAAARPKnH5eHh3zwIeAAKQAgICLwIEAgUCBgIHAggCCQIKAgsCDAINAggCCAIIAggCCAIIAggCCAIIAggCCAIIAggCCAIIAggCCAIQAgMCMAIeAAKQAgICJQIEAgUCBgIHAggCCQIKAgsCDAINAggCCAIIAggCCAIIAggCCAIIAggCCAIIAggCCAIIAggCCAIQAgMCJgIeAAKQAgICWAIEAgUCBgIHAggCCQKRAgsCDAINAggCCAIIAggCCAIIAggCCAIIAggCCAIIAggCCAIIAggCCAIQAgMCn3NxAH4AAAAAAAJzcQB+AAT///////////////7////+/////3VxAH4ABwAAAAMJnn94eHdFAh4AApACAgIjAgQCBQIGAgcCCAIJAjsCCwIMAg0CCAIIAggCCAIIAggCCAIIAggCCAIIAggCCAIIAggCCAIIAhACAwKgc3EAfgAAAAAAAnNxAH4ABP///////////////v////7/////dXEAfgAHAAAABFJ+oxp4eHdFAh4AApACAgIhAgQCBQIGAgcCCAIJAjsCCwIMAg0CCAIIAggCCAIIAggCCAIIAggCCAIIAggCCAIIAggCCAIIAhACAwKhc3EAfgAAAAAAAnNxAH4ABP///////////////v////7/////dXEAfgAHAAAABEmLU8l4eHdFAh4AApACAgJFAgQCBQIGAgcCCAIJAjsCCwIMAg0CCAIIAggCCAIIAggCCAIIAggCCAIIAggCCAIIAggCCAIIAhACAwKic3EAfgAAAAAAAnNxAH4ABP///////////////v////7/////dXEAfgAHAAAABGExCBR4eHdFAh4AApACAgJPAgQCBQIGAgcCCAIJAgoCCwIMAg0CCAIIAggCCAIIAggCCAIIAggCCAIIAggCCAIIAggCCAIIAhACAwKjc3EAfgAAAAAAAnNxAH4ABP///////////////v////7/////dXEAfgAHAAAABAXojm54eHdFAh4AApACAgJiAgQCBQIGAgcCCAIJAgoCCwIMAg0CCAIIAggCCAIIAggCCAIIAggCCAIIAggCCAIIAggCCAIIAhACAwKkc3EAfgAAAAAAAnNxAH4ABP///////////////v////7/////dXEAfgAHAAAAA7xcsnh4egAAARQCHgACkAICAhsCBAIFAgYCBwIIAgkCkQILAgwCDQIIAggCCAIIAggCCAIIAggCCAIIAggCCAIIAggCCAIIAggCEAIDAkACHgACkAICAiMCBAIFAgYCBwIIAgkCCgILAgwCDQIIAggCCAIIAggCCAIIAggCCAIIAggCCAIIAggCCAIIAggCEAIDAiQCHgACkAICAiECBAIFAgYCBwIIAgkCCgILAgwCDQIIAggCCAIIAggCCAIIAggCCAIIAggCCAIIAggCCAIIAggCEAIDAiICHgACkAICAm0CBAIFAgYCBwIIAgkCCgILAgwCDQIIAggCCAIIAggCCAIIAggCCAIIAggCCAIIAggCCAIIAggCEAIDAqVzcQB+AAAAAAACc3EAfgAE///////////////+/////v////91cQB+AAcAAAAEO4uIvXh4d4oCHgACkAICAh8CBAIFAgYCBwIIAgkCCgILAgwCDQIIAggCCAIIAggCCAIIAggCCAIIAggCCAIIAggCCAIIAggCEAIDAiACHgACkAICAlwCBAIFAgYCBwIIAgkCOwILAgwCDQIIAggCCAIIAggCCAIIAggCCAIIAggCCAIIAggCCAIIAggCEAIDAqZzcQB+AAAAAAACc3EAfgAE///////////////+/////v////91cQB+AAcAAAAEElQVqnh4d0UCHgACkAICAiUCBAIFAgYCBwIIAgkCkQILAgwCDQIIAggCCAIIAggCCAIIAggCCAIIAggCCAIIAggCCAIIAggCEAIDAqdzcQB+AAAAAAACc3EAfgAE///////////////+/////v////91cQB+AAcAAAADBKuXeHh3RQIeAAKQAgICHQIEAgUCBgIHAggCCQI7AgsCDAINAggCCAIIAggCCAIIAggCCAIIAggCCAIIAggCCAIIAggCCAIQAgMCqHNxAH4AAAAAAAJzcQB+AAT///////////////7////+/////3VxAH4ABwAAAARxBllJeHh3RQIeAAKQAgICKwIEAgUCBgIHAggCCQI7AgsCDAINAggCCAIIAggCCAIIAggCCAIIAggCCAIIAggCCAIIAggCCAIQAgMCqXNxAH4AAAAAAAJzcQB+AAT///////////////7////+/////3VxAH4ABwAAAAQ9FTt2eHh3RQIeAAKQAgICagIEAgUCBgIHAggCCQIKAgsCDAINAggCCAIIAggCCAIIAggCCAIIAggCCAIIAggCCAIIAggCCAIQAgMCqnNxAH4AAAAAAAJzcQB+AAT///////////////7////+/////3VxAH4ABwAAAAQDq4uteHh3RQIeAAKQAgICQQIEAgUCBgIHAggCCQI7AgsCDAINAggCCAIIAggCCAIIAggCCAIIAggCCAIIAggCCAIIAggCCAIQAgMCq3NxAH4AAAAAAAJzcQB+AAT///////////////7////+/////3VxAH4ABwAAAARdV1DJeHh3RQIeAAKQAgICMQIEAgUCBgIHAggCCQI7AgsCDAINAggCCAIIAggCCAIIAggCCAIIAggCCAIIAggCCAIIAggCCAIQAgMCrHNxAH4AAAAAAAJzcQB+AAT///////////////7////+/////3VxAH4ABwAAAARCNLx8eHh3igIeAAKQAgIClAIEAgUCBgIHAggCCQKRAgsCDAINAggCCAIIAggCCAIIAggCCAIIAggCCAIIAggCCAIIAggCCAIQAgMCQAIeAAKQAgICRQIEAgUCBgIHAggCCQIKAgsCDAINAggCCAIIAggCCAIIAggCCAIIAggCCAIIAggCCAIIAggCCAIQAgMCrXNxAH4AAAAAAAJzcQB+AAT///////////////7////+/////3VxAH4ABwAAAAQCG6dueHh3RQIeAAKQAgICMwIEAgUCBgIHAggCCQKRAgsCDAINAggCCAIIAggCCAIIAggCCAIIAggCCAIIAggCCAIIAggCCAIQAgMCrnNxAH4AAAAAAAJzcQB+AAT///////////////7////+/////3VxAH4ABwAAAAMEQ3p4eHeKAh4AApACAgInAgQCBQIGAgcCCAIJAgoCCwIMAg0CCAIIAggCCAIIAggCCAIIAggCCAIIAggCCAIIAggCCAIIAhACAwIoAh4AApACAgJwAgQCBQIGAgcCCAIJApECCwIMAg0CCAIIAggCCAIIAggCCAIIAggCCAIIAggCCAIIAggCCAIIAhACAwKvc3EAfgAAAAAAAnNxAH4ABP///////////////v////7/////dXEAfgAHAAAAAwuCrXh4d0UCHgACkAICAkkCBAIFAgYCBwIIAgkCkQILAgwCDQIIAggCCAIIAggCCAIIAggCCAIIAggCCAIIAggCCAIIAggCEAIDArBzcQB+AAAAAAACc3EAfgAE///////////////+/////v////91cQB+AAcAAAADEhXLeHh3RQIeAAKQAgICNQIEAgUCBgIHAggCCQI7AgsCDAINAggCCAIIAggCCAIIAggCCAIIAggCCAIIAggCCAIIAggCCAIQAgMCsXNxAH4AAAAAAAJzcQB+AAT///////////////7////+/////3VxAH4ABwAAAARacNl3eHh3RQIeAAKQAgICTwIEAgUCBgIHAggCCQI7AgsCDAINAggCCAIIAggCCAIIAggCCAIIAggCCAIIAggCCAIIAggCCAIQAgMCsnNxAH4AAAAAAAJzcQB+AAT///////////////7////+/////3VxAH4ABwAAAAQ9+1bieHh3RQIeAAKQAgICHwIEAgUCBgIHAggCCQI7AgsCDAINAggCCAIIAggCCAIIAggCCAIIAggCCAIIAggCCAIIAggCCAIQAgMCs3NxAH4AAAAAAAJzcQB+AAT///////////////7////+/////3VxAH4ABwAAAARe1GL4eHh3RQIeAAKQAgICagIEAgUCBgIHAggCCQI7AgsCDAINAggCCAIIAggCCAIIAggCCAIIAggCCAIIAggCCAIIAggCCAIQAgMCtHNxAH4AAAAAAAJzcQB+AAT///////////////7////+/////3VxAH4ABwAAAARUiEubeHh3RQIeAAKQAgICQQIEAgUCBgIHAggCCQIKAgsCDAINAggCCAIIAggCCAIIAggCCAIIAggCCAIIAggCCAIIAggCCAIQAgMCtXNxAH4AAAAAAAJzcQB+AAT///////////////7////+/////3VxAH4ABwAAAAQCvT+keHh3zwIeAAKQAgICAwIEAgUCBgIHAggCCQKRAgsCDAINAggCCAIIAggCCAIIAggCCAIIAggCCAIIAggCCAIIAggCCAIQAgMCQAIeAAKQAgICGwIEAgUCBgIHAggCCQIKAgsCDAINAggCCAIIAggCCAIIAggCCAIIAggCCAIIAggCCAIIAggCCAIQAgMCHAIeAAKQAgICZQIEAgUCBgIHAggCCQKRAgsCDAINAggCCAIIAggCCAIIAggCCAIIAggCCAIIAggCCAIIAggCCAIQAgMCtnNxAH4AAAAAAAJzcQB+AAT///////////////7////+/////3VxAH4ABwAAAAMMxv54eHdFAh4AApACAgJiAgQCBQIGAgcCCAIJApECCwIMAg0CCAIIAggCCAIIAggCCAIIAggCCAIIAggCCAIIAggCCAIIAhACAwK3c3EAfgAAAAAAAnNxAH4ABP///////////////v////7/////dXEAfgAHAAAAAwU/r3h4d4oCHgACkAICAh0CBAIFAgYCBwIIAgkCCgILAgwCDQIIAggCCAIIAggCCAIIAggCCAIIAggCCAIIAggCCAIIAggCEAIDAh4CHgACkAICAicCBAIFAgYCBwIIAgkCkQILAgwCDQIIAggCCAIIAggCCAIIAggCCAIIAggCCAIIAggCCAIIAggCEAIDArhzcQB+AAAAAAACc3EAfgAE///////////////+/////v////91cQB+AAcAAAADBFYreHh3RQIeAAKQAgICMwIEAgUCBgIHAggCCQI7AgsCDAINAggCCAIIAggCCAIIAggCCAIIAggCCAIIAggCCAIIAggCCAIQAgMCuXNxAH4AAAAAAAJzcQB+AAT///////////////7////+/////3VxAH4ABwAAAARYCwcseHh3RQIeAAKQAgICcAIEAgUCBgIHAggCCQI7AgsCDAINAggCCAIIAggCCAIIAggCCAIIAggCCAIIAggCCAIIAggCCAIQAgMCunNxAH4AAAAAAAJzcQB+AAT///////////////7////+/////3VxAH4ABwAAAARMKwuAeHh3zwIeAAKQAgICMQIEAgUCBgIHAggCCQKRAgsCDAINAggCCAIIAggCCAIIAggCCAIIAggCCAIIAggCCAIIAggCCAIQAgMCQAIeAAKQAgICKQIEAgUCBgIHAggCCQIKAgsCDAINAggCCAIIAggCCAIIAggCCAIIAggCCAIIAggCCAIIAggCCAIQAgMCKgIeAAKQAgICXAIEAgUCBgIHAggCCQKRAgsCDAINAggCCAIIAggCCAIIAggCCAIIAggCCAIIAggCCAIIAggCCAIQAgMCu3NxAH4AAAAAAAJzcQB+AAT///////////////7////+/////3VxAH4ABwAAAAMGaCt4eHdFAh4AApACAgJPAgQCBQIGAgcCCAIJApECCwIMAg0CCAIIAggCCAIIAggCCAIIAggCCAIIAggCCAIIAggCCAIIAhACAwK8c3EAfgAAAAAAAnNxAH4ABP///////////////v////7/////dXEAfgAHAAAAAw6D3Xh4d0UCHgACkAICAm0CBAIFAgYCBwIIAgkCOwILAgwCDQIIAggCCAIIAggCCAIIAggCCAIIAggCCAIIAggCCAIIAggCEAIDAr1zcQB+AAAAAAACc3EAfgAE///////////////+/////v////91cQB+AAcAAAAEKKPaWXh4d0UCHgACkAICAjUCBAIFAgYCBwIIAgkCkQILAgwCDQIIAggCCAIIAggCCAIIAggCCAIIAggCCAIIAggCCAIIAggCEAIDAr5zcQB+AAAAAAACc3EAfgAE///////////////+/////v////91cQB+AAcAAAADBHSNeHh3RQIeAAKQAgICWAIEAgUCBgIHAggCCQIKAgsCDAINAggCCAIIAggCCAIIAggCCAIIAggCCAIIAggCCAIIAggCCAIQAgMCv3NxAH4AAAAAAAJzcQB+AAT///////////////7////+/////3VxAH4ABwAAAAQDNpKZeHh3RQIeAAKQAgICHwIEAgUCBgIHAggCCQKRAgsCDAINAggCCAIIAggCCAIIAggCCAIIAggCCAIIAggCCAIIAggCCAIQAgMCwHNxAH4AAAAAAAJzcQB+AAT///////////////7////+/////3VxAH4ABwAAAAMENDh4eHdFAh4AApACAgJqAgQCBQIGAgcCCAIJApECCwIMAg0CCAIIAggCCAIIAggCCAIIAggCCAIIAggCCAIIAggCCAIIAhACAwLBc3EAfgAAAAAAAnNxAH4ABP///////////////v////7/////dXEAfgAHAAAAAwqAVHh4d0UCHgACkAICAhsCBAIFAgYCBwIIAgkCOwILAgwCDQIIAggCCAIIAggCCAIIAggCCAIIAggCCAIIAggCCAIIAggCEAIDAsJzcQB+AAAAAAACc3EAfgAE///////////////+/////v////91cQB+AAcAAAAETu7o2nh4d0UCHgACkAICAm0CBAIFAgYCBwIIAgkCkQILAgwCDQIIAggCCAIIAggCCAIIAggCCAIIAggCCAIIAggCCAIIAggCEAIDAsNzcQB+AAAAAAACc3EAfgAE///////////////+/////v////91cQB+AAcAAAADBtyTeHh3RQIeAAKQAgICJwIEAgUCBgIHAggCCQI7AgsCDAINAggCCAIIAggCCAIIAggCCAIIAggCCAIIAggCCAIIAggCCAIQAgMCxHNxAH4AAAAAAAJzcQB+AAT///////////////7////+/////3VxAH4ABwAAAARZ/eXyeHh3RQIeAAKQAgICZQIEAgUCBgIHAggCCQI7AgsCDAINAggCCAIIAggCCAIIAggCCAIIAggCCAIIAggCCAIIAggCCAIQAgMCxXNxAH4AAAAAAAJzcQB+AAT///////////////7////+/////3VxAH4ABwAAAARIcHiveHh3RQIeAAKQAgICLwIEAgUCBgIHAggCCQKRAgsCDAINAggCCAIIAggCCAIIAggCCAIIAggCCAIIAggCCAIIAggCCAIQAgMCxnNxAH4AAAAAAAJzcQB+AAT///////////////7////+/////3VxAH4ABwAAAAMD3Kt4eHeKAh4AApACAgIxAgQCBQIGAgcCCAIJAgoCCwIMAg0CCAIIAggCCAIIAggCCAIIAggCCAIIAggCCAIIAggCCAIIAhACAwIyAh4AApACAgJcAgQCBQIGAgcCCAIJAgoCCwIMAg0CCAIIAggCCAIIAggCCAIIAggCCAIIAggCCAIIAggCCAIIAhACAwLHc3EAfgAAAAAAAnNxAH4ABP///////////////v////7/////dXEAfgAHAAAABExDDhV4eHfPAh4AApACAgItAgQCBQIGAgcCCAIJAgoCCwIMAg0CCAIIAggCCAIIAggCCAIIAggCCAIIAggCCAIIAggCCAIIAhACAwIuAh4AApACAgIrAgQCBQIGAgcCCAIJAgoCCwIMAg0CCAIIAggCCAIIAggCCAIIAggCCAIIAggCCAIIAggCCAIIAhACAwIsAh4AApACAgJFAgQCBQIGAgcCCAIJApECCwIMAg0CCAIIAggCCAIIAggCCAIIAggCCAIIAggCCAIIAggCCAIIAhACAwLIc3EAfgAAAAAAAnNxAH4ABP///////////////v////7/////dXEAfgAHAAAAAweN1Hh4d4oCHgACkAICAjMCBAIFAgYCBwIIAgkCCgILAgwCDQIIAggCCAIIAggCCAIIAggCCAIIAggCCAIIAggCCAIIAggCEAIDAjQCHgACkAICAnACBAIFAgYCBwIIAgkCCgILAgwCDQIIAggCCAIIAggCCAIIAggCCAIIAggCCAIIAggCCAIIAggCEAIDAslzcQB+AAAAAAACc3EAfgAE///////////////+/////v////91cQB+AAcAAAAEBDaJ43h4d0UCHgACkAICAiECBAIFAgYCBwIIAgkCkQILAgwCDQIIAggCCAIIAggCCAIIAggCCAIIAggCCAIIAggCCAIIAggCEAIDAspzcQB+AAAAAAACc3EAfgAE///////////////+/////v////91cQB+AAcAAAADBPtoeHh3RQIeAAKQAgICAwIEAgUCBgIHAggCCQI7AgsCDAINAggCCAIIAggCCAIIAggCCAIIAggCCAIIAggCCAIIAggCCAIQAgMCy3NxAH4AAAAAAAJzcQB+AAT///////////////7////+/////3VxAH4ABwAAAAQw0KqzeHh3RQIeAAKQAgICYgIEAgUCBgIHAggCCQI7AgsCDAINAggCCAIIAggCCAIIAggCCAIIAggCCAIIAggCCAIIAggCCAIQAgMCzHNxAH4AAAAAAAJzcQB+AAT///////////////7////+/////3VxAH4ABwAAAARijcsWeHh3RQIeAAKQAgICKQIEAgUCBgIHAggCCQI7AgsCDAINAggCCAIIAggCCAIIAggCCAIIAggCCAIIAggCCAIIAggCCAIQAgMCzXNxAH4AAAAAAAJzcQB+AAT///////////////7////+/////3VxAH4ABwAAAARlMUGreHh3RQIeAAKQAgICWAIEAgUCBgIHAggCCQI7AgsCDAINAggCCAIIAggCCAIIAggCCAIIAggCCAIIAggCCAIIAggCCAIQAgMCznNxAH4AAAAAAAJzcQB+AAT///////////////7////+/////3VxAH4ABwAAAARaL7WteHh6AAAEAAIeAAKQAgICIwIEAgUCBgIHAggCCQKRAgsCDAINAggCCAIIAggCCAIIAggCCAIIAggCCAIIAggCCAIIAggCCAIQAgMCQAIeAALPAAk1NTc0OTgzODQCAgIlAgQCBQIGAgcCCAIJAgoCCwI4Ag0CCAIIAggCCAIIAggCCAIIAggCCAIIAggCCAIIAggCCAIIAiICAwJEAh4AAs8CAgIxAgQCBQIGAgcCCAIJAgoCCwI4Ag0CCAIIAggCCAIIAggCCAIIAggCCAIIAggCCAIIAggCCAIIAiICAwJXAh4AAs8CAgIrAgQCBQIGAgcCCAIJAgoCCwI4Ag0CCAIIAggCCAIIAggCCAIIAggCCAIIAggCCAIIAggCCAIIAiICAwJhAh4AAs8CAgIzAgQCBQIGAgcCCAIJAgoCCwI4Ag0CCAIIAggCCAIIAggCCAIIAggCCAIIAggCCAIIAggCCAIIAiICAwJvAh4AAs8CAgIDAgQCBQIGAgcCCAIJAgoCCwI4Ag0CCAIIAggCCAIIAggCCAIIAggCCAIIAggCCAIIAggCCAIIAiICAwKGAh4AAs8CAgIpAgQCBQIGAgcCCAIJAgoCCwI4Ag0CCAIIAggCCAIIAggCCAIIAggCCAIIAggCCAIIAggCCAIIAiICAwKHAh4AAs8CAgIjAgQCBQIGAgcCCAIJAgoCCwI4Ag0CCAIIAggCCAIIAggCCAIIAggCCAIIAggCCAIIAggCCAIIAiICAwI5Ah4AAs8CAgIbAgQCBQIGAgcCCAIJAgoCCwI4Ag0CCAIIAggCCAIIAggCCAIIAggCCAIIAggCCAIIAggCCAIIAiICAwKIAh4AAs8CAgIhAgQCBQIGAgcCCAIJAgoCCwI4Ag0CCAIIAggCCAIIAggCCAIIAggCCAIIAggCCAIIAggCCAIIAiICAwI6Ah4AAs8CAgI1AgQCBQIGAgcCCAIJAgoCCwI4Ag0CCAIIAggCCAIIAggCCAIIAggCCAIIAggCCAIIAggCCAIIAiICAwJUAh4AAs8CAgIdAgQCBQIGAgcCCAIJAgoCCwI4Ag0CCAIIAggCCAIIAggCCAIIAggCCAIIAggCCAIIAggCCAIIAiICAwJOAh4AAs8CAgIvAgQCBQIGAgcCCAIJAgoCCwI4Ag0CCAIIAggCCAIIAggCCAIIAggCCAIIAggCCAIIAggCCAIIAiICAwJLAh4AAs8CAgIfAgQCBQIGAgcCCAIJAgoCCwI4Ag0CCAIIAggCCAIIAggCCAIIAggCCAIIAggCCAIIAggCCAIIAiICAwJ6Ah4AAs8CAgInAgQCBQIGAgcCCAIJAgoCCwI4Ag0CCAIIAggCCAIIAggCCAIIAgh6AAAEAAIIAggCCAIIAggCCAIIAggCIgIDAo8CHgACzwICAi0CBAIFAgYCBwIIAgkCCgILAjgCDQIIAggCCAIIAggCCAIIAggCCAIIAggCCAIIAggCCAIIAggCIgIDAmACHgAC0AAJNTY5NjEzNjU2AgICJQIEAgUCBgIHAggCCQIKAgsCDAINAggCCAIIAggCCAIIAggCCAIIAggCCAIIAggCCAIIAggCCAISAgMCJgIeAALQAgICWAIEAgUCBgIHAggCCQKRAgsCDAINAggCCAIIAggCCAIIAggCCAIIAggCCAIIAggCCAIIAggCCAISAgMCnwIeAALQAgICKQIEAgUCBgIHAggCCQKRAgsCDAINAggCCAIIAggCCAIIAggCCAIIAggCCAIIAggCCAIIAggCCAISAgMCmwIeAALQAgICIQIEAgUCBgIHAggCCQI7AgsCDAINAggCCAIIAggCCAIIAggCCAIIAggCCAIIAggCCAIIAggCCAISAgMCoQIeAALQAgICRQIEAgUCBgIHAggCCQI7AgsCDAINAggCCAIIAggCCAIIAggCCAIIAggCCAIIAggCCAIIAggCCAISAgMCogIeAALQAgICIwIEAgUCBgIHAggCCQI7AgsCDAINAggCCAIIAggCCAIIAggCCAIIAggCCAIIAggCCAIIAggCCAISAgMCoAIeAALQAgICNQIEAgUCBgIHAggCCQIKAgsCDAINAggCCAIIAggCCAIIAggCCAIIAggCCAIIAggCCAIIAggCCAISAgMCNgIeAALQAgICQQIEAgUCBgIHAggCCQKRAgsCDAINAggCCAIIAggCCAIIAggCCAIIAggCCAIIAggCCAIIAggCCAISAgMCkwIeAALQAgICTwIEAgUCBgIHAggCCQIKAgsCDAINAggCCAIIAggCCAIIAggCCAIIAggCCAIIAggCCAIIAggCCAISAgMCowIeAALQAgICHwIEAgUCBgIHAggCCQKRAgsCDAINAggCCAIIAggCCAIIAggCCAIIAggCCAIIAggCCAIIAggCCAISAgMCwAIeAALQAgICGwIEAgUCBgIHAggCCQKRAgsCDAINAggCCAIIAggCCAIIAggCCAIIAggCCAIIAggCCAIIAggCCAISAgMCQAIeAALQAgICGwIEAgUCBgIHAggCCQI7AgsCDAINAggCCAIIAggCCAIIAggCCAIIAggCCAIIAggCCAIIAggCCAISAgMCwgIeAALQAgICIQIEAgUCBgIHAggCCQIKAgsCDAINAggCCAIIAggCCAIIAggCCAIIAggCCAIIAggCCAIIAggCCAISAgMCIgIeAALQAgICagIEAgUCBgIHAggCCQKRAgt6AAAEAAIMAg0CCAIIAggCCAIIAggCCAIIAggCCAIIAggCCAIIAggCCAIIAhICAwLBAh4AAtACAgIjAgQCBQIGAgcCCAIJAgoCCwIMAg0CCAIIAggCCAIIAggCCAIIAggCCAIIAggCCAIIAggCCAIIAhICAwIkAh4AAtACAgJBAgQCBQIGAgcCCAIJAjsCCwIMAg0CCAIIAggCCAIIAggCCAIIAggCCAIIAggCCAIIAggCCAIIAhICAwKrAh4AAtACAgItAgQCBQIGAgcCCAIJAjsCCwIMAg0CCAIIAggCCAIIAggCCAIIAggCCAIIAggCCAIIAggCCAIIAhICAwKeAh4AAtACAgIvAgQCBQIGAgcCCAIJAgoCCwIMAg0CCAIIAggCCAIIAggCCAIIAggCCAIIAggCCAIIAggCCAIIAhICAwIwAh4AAtACAgIdAgQCBQIGAgcCCAIJAjsCCwIMAg0CCAIIAggCCAIIAggCCAIIAggCCAIIAggCCAIIAggCCAIIAhICAwKoAh4AAtACAgIrAgQCBQIGAgcCCAIJAjsCCwIMAg0CCAIIAggCCAIIAggCCAIIAggCCAIIAggCCAIIAggCCAIIAhICAwKpAh4AAtACAgJJAgQCBQIGAgcCCAIJAgoCCwIMAg0CCAIIAggCCAIIAggCCAIIAggCCAIIAggCCAIIAggCCAIIAhICAwKcAh4AAtACAgIxAgQCBQIGAgcCCAIJAgoCCwIMAg0CCAIIAggCCAIIAggCCAIIAggCCAIIAggCCAIIAggCCAIIAhICAwIyAh4AAtACAgJcAgQCBQIGAgcCCAIJAgoCCwIMAg0CCAIIAggCCAIIAggCCAIIAggCCAIIAggCCAIIAggCCAIIAhICAwLHAh4AAtACAgIrAgQCBQIGAgcCCAIJAgoCCwIMAg0CCAIIAggCCAIIAggCCAIIAggCCAIIAggCCAIIAggCCAIIAhICAwIsAh4AAtACAgJYAgQCBQIGAgcCCAIJAjsCCwIMAg0CCAIIAggCCAIIAggCCAIIAggCCAIIAggCCAIIAggCCAIIAhICAwLOAh4AAtACAgItAgQCBQIGAgcCCAIJAgoCCwIMAg0CCAIIAggCCAIIAggCCAIIAggCCAIIAggCCAIIAggCCAIIAhICAwIuAh4AAtACAgIjAgQCBQIGAgcCCAIJApECCwIMAg0CCAIIAggCCAIIAggCCAIIAggCCAIIAggCCAIIAggCCAIIAhICAwJAAh4AAtACAgIzAgQCBQIGAgcCCAIJAgoCCwIMAg0CCAIIAggCCAIIAggCCAIIAggCCAIIAggCCAIIAggCCAIIAhICAwI0Ah4AAtACAgIDAgQCBQJ6AAAEAAYCBwIIAgkCOwILAgwCDQIIAggCCAIIAggCCAIIAggCCAIIAggCCAIIAggCCAIIAggCEgIDAssCHgAC0AICAikCBAIFAgYCBwIIAgkCOwILAgwCDQIIAggCCAIIAggCCAIIAggCCAIIAggCCAIIAggCCAIIAggCEgIDAs0CHgAC0AICAnACBAIFAgYCBwIIAgkCCgILAgwCDQIIAggCCAIIAggCCAIIAggCCAIIAggCCAIIAggCCAIIAggCEgIDAskCHgAC0AICAh0CBAIFAgYCBwIIAgkCCgILAgwCDQIIAggCCAIIAggCCAIIAggCCAIIAggCCAIIAggCCAIIAggCEgIDAh4CHgAC0AICAmUCBAIFAgYCBwIIAgkCkQILAgwCDQIIAggCCAIIAggCCAIIAggCCAIIAggCCAIIAggCCAIIAggCEgIDArYCHgAC0AICAicCBAIFAgYCBwIIAgkCkQILAgwCDQIIAggCCAIIAggCCAIIAggCCAIIAggCCAIIAggCCAIIAggCEgIDArgCHgAC0AICAmICBAIFAgYCBwIIAgkCOwILAgwCDQIIAggCCAIIAggCCAIIAggCCAIIAggCCAIIAggCCAIIAggCEgIDAswCHgAC0AICAiECBAIFAgYCBwIIAgkCkQILAgwCDQIIAggCCAIIAggCCAIIAggCCAIIAggCCAIIAggCCAIIAggCEgIDAsoCHgAC0AICAkkCBAIFAgYCBwIIAgkCOwILAgwCDQIIAggCCAIIAggCCAIIAggCCAIIAggCCAIIAggCCAIIAggCEgIDApcCHgAC0AICAkUCBAIFAgYCBwIIAgkCkQILAgwCDQIIAggCCAIIAggCCAIIAggCCAIIAggCCAIIAggCCAIIAggCEgIDAsgCHgAC0AICAm0CBAIFAgYCBwIIAgkCkQILAgwCDQIIAggCCAIIAggCCAIIAggCCAIIAggCCAIIAggCCAIIAggCEgIDAsMCHgAC0AICAiUCBAIFAgYCBwIIAgkCOwILAgwCDQIIAggCCAIIAggCCAIIAggCCAIIAggCCAIIAggCCAIIAggCEgIDApYCHgAC0AICAkECBAIFAgYCBwIIAgkCCgILAgwCDQIIAggCCAIIAggCCAIIAggCCAIIAggCCAIIAggCCAIIAggCEgIDArUCHgAC0AICAjMCBAIFAgYCBwIIAgkCOwILAgwCDQIIAggCCAIIAggCCAIIAggCCAIIAggCCAIIAggCCAIIAggCEgIDArkCHgAC0AICAnACBAIFAgYCBwIIAgkCOwILAgwCDQIIAggCCAIIAggCCAIIAggCCAIIAggCCAIIAggCCAIIAggCEgIDAroCHgB6AAAEAALQAgICKQIEAgUCBgIHAggCCQIKAgsCDAINAggCCAIIAggCCAIIAggCCAIIAggCCAIIAggCCAIIAggCCAISAgMCKgIeAALQAgICNQIEAgUCBgIHAggCCQKRAgsCDAINAggCCAIIAggCCAIIAggCCAIIAggCCAIIAggCCAIIAggCCAISAgMCvgIeAALQAgICLwIEAgUCBgIHAggCCQKRAgsCDAINAggCCAIIAggCCAIIAggCCAIIAggCCAIIAggCCAIIAggCCAISAgMCxgIeAALQAgICSQIEAgUCBgIHAggCCQKRAgsCDAINAggCCAIIAggCCAIIAggCCAIIAggCCAIIAggCCAIIAggCCAISAgMCsAIeAALQAgICbQIEAgUCBgIHAggCCQI7AgsCDAINAggCCAIIAggCCAIIAggCCAIIAggCCAIIAggCCAIIAggCCAISAgMCvQIeAALQAgICWAIEAgUCBgIHAggCCQIKAgsCDAINAggCCAIIAggCCAIIAggCCAIIAggCCAIIAggCCAIIAggCCAISAgMCvwIeAALQAgICZQIEAgUCBgIHAggCCQI7AgsCDAINAggCCAIIAggCCAIIAggCCAIIAggCCAIIAggCCAIIAggCCAISAgMCxQIeAALQAgICYgIEAgUCBgIHAggCCQKRAgsCDAINAggCCAIIAggCCAIIAggCCAIIAggCCAIIAggCCAIIAggCCAISAgMCtwIeAALQAgICAwIEAgUCBgIHAggCCQKRAgsCDAINAggCCAIIAggCCAIIAggCCAIIAggCCAIIAggCCAIIAggCCAISAgMCQAIeAALQAgICJQIEAgUCBgIHAggCCQKRAgsCDAINAggCCAIIAggCCAIIAggCCAIIAggCCAIIAggCCAIIAggCCAISAgMCpwIeAALQAgICMQIEAgUCBgIHAggCCQI7AgsCDAINAggCCAIIAggCCAIIAggCCAIIAggCCAIIAggCCAIIAggCCAISAgMCrAIeAALQAgICXAIEAgUCBgIHAggCCQI7AgsCDAINAggCCAIIAggCCAIIAggCCAIIAggCCAIIAggCCAIIAggCCAISAgMCpgIeAALQAgICTwIEAgUCBgIHAggCCQKRAgsCDAINAggCCAIIAggCCAIIAggCCAIIAggCCAIIAggCCAIIAggCCAISAgMCvAIeAALQAgICHwIEAgUCBgIHAggCCQIKAgsCDAINAggCCAIIAggCCAIIAggCCAIIAggCCAIIAggCCAIIAggCCAISAgMCIAIeAALQAgICJwIEAgUCBgIHAggCCQI7AgsCDAINAggCCAIIAggCCAIIAggCCAIIAggCCAIIAggCCAIIAgh6AAAEAAIIAhICAwLEAh4AAtACAgJqAgQCBQIGAgcCCAIJAgoCCwIMAg0CCAIIAggCCAIIAggCCAIIAggCCAIIAggCCAIIAggCCAIIAhICAwKqAh4AAtACAgJwAgQCBQIGAgcCCAIJApECCwIMAg0CCAIIAggCCAIIAggCCAIIAggCCAIIAggCCAIIAggCCAIIAhICAwKvAh4AAtACAgIrAgQCBQIGAgcCCAIJApECCwIMAg0CCAIIAggCCAIIAggCCAIIAggCCAIIAggCCAIIAggCCAIIAhICAwKdAh4AAtACAgJPAgQCBQIGAgcCCAIJAjsCCwIMAg0CCAIIAggCCAIIAggCCAIIAggCCAIIAggCCAIIAggCCAIIAhICAwKyAh4AAtACAgIzAgQCBQIGAgcCCAIJApECCwIMAg0CCAIIAggCCAIIAggCCAIIAggCCAIIAggCCAIIAggCCAIIAhICAwKuAh4AAtACAgIxAgQCBQIGAgcCCAIJApECCwIMAg0CCAIIAggCCAIIAggCCAIIAggCCAIIAggCCAIIAggCCAIIAhICAwJAAh4AAtACAgJcAgQCBQIGAgcCCAIJApECCwIMAg0CCAIIAggCCAIIAggCCAIIAggCCAIIAggCCAIIAggCCAIIAhICAwK7Ah4AAtACAgI1AgQCBQIGAgcCCAIJAjsCCwIMAg0CCAIIAggCCAIIAggCCAIIAggCCAIIAggCCAIIAggCCAIIAhICAwKxAh4AAtACAgJiAgQCBQIGAgcCCAIJAgoCCwIMAg0CCAIIAggCCAIIAggCCAIIAggCCAIIAggCCAIIAggCCAIIAhICAwKkAh4AAtACAgJtAgQCBQIGAgcCCAIJAgoCCwIMAg0CCAIIAggCCAIIAggCCAIIAggCCAIIAggCCAIIAggCCAIIAhICAwKlAh4AAtACAgJFAgQCBQIGAgcCCAIJAgoCCwIMAg0CCAIIAggCCAIIAggCCAIIAggCCAIIAggCCAIIAggCCAIIAhICAwKtAh4AAtACAgIDAgQCBQIGAgcCCAIJAgoCCwIMAg0CCAIIAggCCAIIAggCCAIIAggCCAIIAggCCAIIAggCCAIIAhICAwIOAh4AAtACAgJqAgQCBQIGAgcCCAIJAjsCCwIMAg0CCAIIAggCCAIIAggCCAIIAggCCAIIAggCCAIIAggCCAIIAhICAwK0Ah4AAtACAgIdAgQCBQIGAgcCCAIJApECCwIMAg0CCAIIAggCCAIIAggCCAIIAggCCAIIAggCCAIIAggCCAIIAhICAwKSAh4AAtACAgIbAgQCBQIGAgcCCAIJAgoCCwIMAg0CCAIIAggCCAIIAggCCAIIAggCCAJ6AAAEAAgCCAIIAggCCAIIAggCEgIDAhwCHgAC0AICAicCBAIFAgYCBwIIAgkCCgILAgwCDQIIAggCCAIIAggCCAIIAggCCAIIAggCCAIIAggCCAIIAggCEgIDAigCHgAC0AICAi0CBAIFAgYCBwIIAgkCkQILAgwCDQIIAggCCAIIAggCCAIIAggCCAIIAggCCAIIAggCCAIIAggCEgIDAkACHgAC0AICAi8CBAIFAgYCBwIIAgkCOwILAgwCDQIIAggCCAIIAggCCAIIAggCCAIIAggCCAIIAggCCAIIAggCEgIDApkCHgAC0AICAh8CBAIFAgYCBwIIAgkCOwILAgwCDQIIAggCCAIIAggCCAIIAggCCAIIAggCCAIIAggCCAIIAggCEgIDArMCHgAC0AICAmUCBAIFAgYCBwIIAgkCCgILAgwCDQIIAggCCAIIAggCCAIIAggCCAIIAggCCAIIAggCCAIIAggCEgIDApgCHgAC0QAJNTY5NDgxNDg4AgICNQIEAgUCBgIHAggCCQI9AgsCOAINAggCCAIIAggCCAIIAggCCAIIAggCCAIIAggCCAIIAggCCAIVAgMCaQIeAALRAgICTwIEAgUCBgIHAggCCQI9AgsCOAINAggCCAIIAggCCAIIAggCCAIIAggCCAIIAggCCAIIAggCCAIVAgMCZAIeAALRAgICYgIEAgUCBgIHAggCCQI7AgsCOAINAggCCAIIAggCCAIIAggCCAIIAggCCAIIAggCCAIIAggCCAIVAgMCZwIeAALRAgICYgIEAgUCBgIHAggCCQI9AgsCOAINAggCCAIIAggCCAIIAggCCAIIAggCCAIIAggCCAIIAggCCAIVAgMCYwIeAALRAgICAwIEAgUCBgIHAggCCQI9AgsCOAINAggCCAIIAggCCAIIAggCCAIIAggCCAIIAggCCAIIAggCCAIVAgMCQAIeAALRAgICMwIEAgUCBgIHAggCCQIKAgsCOAINAggCCAIIAggCCAIIAggCCAIIAggCCAIIAggCCAIIAggCCAIVAgMCbwIeAALRAgICTwIEAgUCBgIHAggCCQI7AgsCOAINAggCCAIIAggCCAIIAggCCAIIAggCCAIIAggCCAIIAggCCAIVAgMCjgIeAALRAgICcAIEAgUCBgIHAggCCQIKAgsCOAINAggCCAIIAggCCAIIAggCCAIIAggCCAIIAggCCAIIAggCCAIVAgMCcQIeAALRAgICAwIEAgUCBgIHAggCCQI7AgsCOAINAggCCAIIAggCCAIIAggCCAIIAggCCAIIAggCCAIIAggCCAIVAgMCbAIeAALRAgICNQIEAgUCBgIHAggCCQI7AgsCOAJ6AAAEAA0CCAIIAggCCAIIAggCCAIIAggCCAIIAggCCAIIAggCCAIIAhUCAwKLAh4AAtECAgJtAgQCBQIGAgcCCAIJAgoCCwI4Ag0CCAIIAggCCAIIAggCCAIIAggCCAIIAggCCAIIAggCCAIIAhUCAwJuAh4AAtECAgJwAgQCBQIGAgcCCAIJAjsCCwI4Ag0CCAIIAggCCAIIAggCCAIIAggCCAIIAggCCAIIAggCCAIIAhUCAwJ1Ah4AAtECAgJcAgQCBQIGAgcCCAIJAj0CCwI4Ag0CCAIIAggCCAIIAggCCAIIAggCCAIIAggCCAIIAggCCAIIAhUCAwKJAh4AAtECAgJcAgQCBQIGAgcCCAIJAjsCCwI4Ag0CCAIIAggCCAIIAggCCAIIAggCCAIIAggCCAIIAggCCAIIAhUCAwJzAh4AAtECAgJlAgQCBQIGAgcCCAIJAj0CCwI4Ag0CCAIIAggCCAIIAggCCAIIAggCCAIIAggCCAIIAggCCAIIAhUCAwJ0Ah4AAtECAgIfAgQCBQIGAgcCCAIJAgoCCwI4Ag0CCAIIAggCCAIIAggCCAIIAggCCAIIAggCCAIIAggCCAIIAhUCAwJ6Ah4AAtECAgJqAgQCBQIGAgcCCAIJAgoCCwI4Ag0CCAIIAggCCAIIAggCCAIIAggCCAIIAggCCAIIAggCCAIIAhUCAwJrAh4AAtECAgJlAgQCBQIGAgcCCAIJAjsCCwI4Ag0CCAIIAggCCAIIAggCCAIIAggCCAIIAggCCAIIAggCCAIIAhUCAwJmAh4AAtECAgIxAgQCBQIGAgcCCAIJAjsCCwI4Ag0CCAIIAggCCAIIAggCCAIIAggCCAIIAggCCAIIAggCCAIIAhUCAwJ5Ah4AAtECAgIxAgQCBQIGAgcCCAIJAj0CCwI4Ag0CCAIIAggCCAIIAggCCAIIAggCCAIIAggCCAIIAggCCAIIAhUCAwJAAh4AAtECAgInAgQCBQIGAgcCCAIJAj0CCwI4Ag0CCAIIAggCCAIIAggCCAIIAggCCAIIAggCCAIIAggCCAIIAhUCAwJ2Ah4AAtECAgInAgQCBQIGAgcCCAIJAjsCCwI4Ag0CCAIIAggCCAIIAggCCAIIAggCCAIIAggCCAIIAggCCAIIAhUCAwJoAh4AAtECAgI1AgQCBQIGAgcCCAIJAgoCCwI4Ag0CCAIIAggCCAIIAggCCAIIAggCCAIIAggCCAIIAggCCAIIAhUCAwJUAh4AAtECAgIdAgQCBQIGAgcCCAIJAgoCCwI4Ag0CCAIIAggCCAIIAggCCAIIAggCCAIIAggCCAIIAggCCAIIAhUCAwJOAh4AAtECAgJwAgQCBQIGAgd6AAAEAAIIAgkCPQILAjgCDQIIAggCCAIIAggCCAIIAggCCAIIAggCCAIIAggCCAIIAggCFQIDAnsCHgAC0QICAjMCBAIFAgYCBwIIAgkCPQILAjgCDQIIAggCCAIIAggCCAIIAggCCAIIAggCCAIIAggCCAIIAggCFQIDAlECHgAC0QICAk8CBAIFAgYCBwIIAgkCCgILAjgCDQIIAggCCAIIAggCCAIIAggCCAIIAggCCAIIAggCCAIIAggCFQIDAlACHgAC0QICAjMCBAIFAgYCBwIIAgkCOwILAjgCDQIIAggCCAIIAggCCAIIAggCCAIIAggCCAIIAggCCAIIAggCFQIDAngCHgAC0QICAikCBAIFAgYCBwIIAgkCOwILAjgCDQIIAggCCAIIAggCCAIIAggCCAIIAggCCAIIAggCCAIIAggCFQIDAlsCHgAC0QICAkkCBAIFAgYCBwIIAgkCPQILAjgCDQIIAggCCAIIAggCCAIIAggCCAIIAggCCAIIAggCCAIIAggCFQIDAlYCHgAC0QICAjECBAIFAgYCBwIIAgkCCgILAjgCDQIIAggCCAIIAggCCAIIAggCCAIIAggCCAIIAggCCAIIAggCFQIDAlcCHgAC0QICAlgCBAIFAgYCBwIIAgkCOwILAjgCDQIIAggCCAIIAggCCAIIAggCCAIIAggCCAIIAggCCAIIAggCFQIDAlkCHgAC0QICAi0CBAIFAgYCBwIIAgkCCgILAjgCDQIIAggCCAIIAggCCAIIAggCCAIIAggCCAIIAggCCAIIAggCFQIDAmACHgAC0QICAisCBAIFAgYCBwIIAgkCCgILAjgCDQIIAggCCAIIAggCCAIIAggCCAIIAggCCAIIAggCCAIIAggCFQIDAmECHgAC0QICAkkCBAIFAgYCBwIIAgkCOwILAjgCDQIIAggCCAIIAggCCAIIAggCCAIIAggCCAIIAggCCAIIAggCFQIDAlMCHgAC0QICAkECBAIFAgYCBwIIAgkCCgILAjgCDQIIAggCCAIIAggCCAIIAggCCAIIAggCCAIIAggCCAIIAggCFQIDAlICHgAC0QICAiUCBAIFAgYCBwIIAgkCPQILAjgCDQIIAggCCAIIAggCCAIIAggCCAIIAggCCAIIAggCCAIIAggCFQIDAlUCHgAC0QICAiUCBAIFAgYCBwIIAgkCOwILAjgCDQIIAggCCAIIAggCCAIIAggCCAIIAggCCAIIAggCCAIIAggCFQIDAl4CHgAC0QICAlwCBAIFAgYCBwIIAgkCCgILAjgCDQIIAggCCAIIAggCCAIIAggCCAIIAggCCAIIAggCCAIIAggCFQIDAl0CHgAC0QJ6AAAEAAICGwIEAgUCBgIHAggCCQI7AgsCOAINAggCCAIIAggCCAIIAggCCAIIAggCCAIIAggCCAIIAggCCAIVAgMCPAIeAALRAgICIQIEAgUCBgIHAggCCQIKAgsCOAINAggCCAIIAggCCAIIAggCCAIIAggCCAIIAggCCAIIAggCCAIVAgMCOgIeAALRAgICQQIEAgUCBgIHAggCCQI7AgsCOAINAggCCAIIAggCCAIIAggCCAIIAggCCAIIAggCCAIIAggCCAIVAgMCQgIeAALRAgICQQIEAgUCBgIHAggCCQI9AgsCOAINAggCCAIIAggCCAIIAggCCAIIAggCCAIIAggCCAIIAggCCAIVAgMCQwIeAALRAgICGwIEAgUCBgIHAggCCQI9AgsCOAINAggCCAIIAggCCAIIAggCCAIIAggCCAIIAggCCAIIAggCCAIVAgMCQAIeAALRAgICKQIEAgUCBgIHAggCCQI9AgsCOAINAggCCAIIAggCCAIIAggCCAIIAggCCAIIAggCCAIIAggCCAIVAgMCWgIeAALRAgICWAIEAgUCBgIHAggCCQI9AgsCOAINAggCCAIIAggCCAIIAggCCAIIAggCCAIIAggCCAIIAggCCAIVAgMCXwIeAALRAgICRQIEAgUCBgIHAggCCQI7AgsCOAINAggCCAIIAggCCAIIAggCCAIIAggCCAIIAggCCAIIAggCCAIVAgMCTAIeAALRAgICRQIEAgUCBgIHAggCCQIKAgsCOAINAggCCAIIAggCCAIIAggCCAIIAggCCAIIAggCCAIIAggCCAIVAgMCigIeAALRAgICJQIEAgUCBgIHAggCCQIKAgsCOAINAggCCAIIAggCCAIIAggCCAIIAggCCAIIAggCCAIIAggCCAIVAgMCRAIeAALRAgICSQIEAgUCBgIHAggCCQIKAgsCOAINAggCCAIIAggCCAIIAggCCAIIAggCCAIIAggCCAIIAggCCAIVAgMCSgIeAALRAgICLQIEAgUCBgIHAggCCQI7AgsCOAINAggCCAIIAggCCAIIAggCCAIIAggCCAIIAggCCAIIAggCCAIVAgMCTQIeAALRAgICRQIEAgUCBgIHAggCCQI9AgsCOAINAggCCAIIAggCCAIIAggCCAIIAggCCAIIAggCCAIIAggCCAIVAgMCRgIeAALRAgICLQIEAgUCBgIHAggCCQI9AgsCOAINAggCCAIIAggCCAIIAggCCAIIAggCCAIIAggCCAIIAggCCAIVAgMCQAIeAALRAgICLwIEAgUCBgIHAggCCQIKAgsCOAINAggCCAIIAggCCAIIAggCCAIIAggCCAIIAggCCAIIAggCCAJ6AAAEABUCAwJLAh4AAtECAgIdAgQCBQIGAgcCCAIJAj0CCwI4Ag0CCAIIAggCCAIIAggCCAIIAggCCAIIAggCCAIIAggCCAIIAhUCAwI+Ah4AAtECAgIrAgQCBQIGAgcCCAIJAj0CCwI4Ag0CCAIIAggCCAIIAggCCAIIAggCCAIIAggCCAIIAggCCAIIAhUCAwJHAh4AAtECAgIdAgQCBQIGAgcCCAIJAjsCCwI4Ag0CCAIIAggCCAIIAggCCAIIAggCCAIIAggCCAIIAggCCAIIAhUCAwI/Ah4AAtECAgIrAgQCBQIGAgcCCAIJAjsCCwI4Ag0CCAIIAggCCAIIAggCCAIIAggCCAIIAggCCAIIAggCCAIIAhUCAwJIAh4AAtECAgJqAgQCBQIGAgcCCAIJAjsCCwI4Ag0CCAIIAggCCAIIAggCCAIIAggCCAIIAggCCAIIAggCCAIIAhUCAwJ/Ah4AAtECAgIbAgQCBQIGAgcCCAIJAgoCCwI4Ag0CCAIIAggCCAIIAggCCAIIAggCCAIIAggCCAIIAggCCAIIAhUCAwKIAh4AAtECAgJtAgQCBQIGAgcCCAIJAj0CCwI4Ag0CCAIIAggCCAIIAggCCAIIAggCCAIIAggCCAIIAggCCAIIAhUCAwJ+Ah4AAtECAgIpAgQCBQIGAgcCCAIJAgoCCwI4Ag0CCAIIAggCCAIIAggCCAIIAggCCAIIAggCCAIIAggCCAIIAhUCAwKHAh4AAtECAgJtAgQCBQIGAgcCCAIJAjsCCwI4Ag0CCAIIAggCCAIIAggCCAIIAggCCAIIAggCCAIIAggCCAIIAhUCAwJ8Ah4AAtECAgIDAgQCBQIGAgcCCAIJAgoCCwI4Ag0CCAIIAggCCAIIAggCCAIIAggCCAIIAggCCAIIAggCCAIIAhUCAwKGAh4AAtECAgIhAgQCBQIGAgcCCAIJAj0CCwI4Ag0CCAIIAggCCAIIAggCCAIIAggCCAIIAggCCAIIAggCCAIIAhUCAwKAAh4AAtECAgJYAgQCBQIGAgcCCAIJAgoCCwI4Ag0CCAIIAggCCAIIAggCCAIIAggCCAIIAggCCAIIAggCCAIIAhUCAwJ3Ah4AAtECAgIhAgQCBQIGAgcCCAIJAjsCCwI4Ag0CCAIIAggCCAIIAggCCAIIAggCCAIIAggCCAIIAggCCAIIAhUCAwKBAh4AAtECAgJiAgQCBQIGAgcCCAIJAgoCCwI4Ag0CCAIIAggCCAIIAggCCAIIAggCCAIIAggCCAIIAggCCAIIAhUCAwKCAh4AAtECAgInAgQCBQIGAgcCCAIJAgoCCwI4Ag0CCAIIAggCCAIIAggCCAIIAggCCAIIAgh6AAAEAAIIAggCCAIIAggCFQIDAo8CHgAC0QICAi8CBAIFAgYCBwIIAgkCPQILAjgCDQIIAggCCAIIAggCCAIIAggCCAIIAggCCAIIAggCCAIIAggCFQIDAnICHgAC0QICAh8CBAIFAgYCBwIIAgkCPQILAjgCDQIIAggCCAIIAggCCAIIAggCCAIIAggCCAIIAggCCAIIAggCFQIDAoMCHgAC0QICAmoCBAIFAgYCBwIIAgkCPQILAjgCDQIIAggCCAIIAggCCAIIAggCCAIIAggCCAIIAggCCAIIAggCFQIDAoQCHgAC0QICAmUCBAIFAgYCBwIIAgkCCgILAjgCDQIIAggCCAIIAggCCAIIAggCCAIIAggCCAIIAggCCAIIAggCFQIDAowCHgAC0QICAi8CBAIFAgYCBwIIAgkCOwILAjgCDQIIAggCCAIIAggCCAIIAggCCAIIAggCCAIIAggCCAIIAggCFQIDAo0CHgAC0QICAh8CBAIFAgYCBwIIAgkCOwILAjgCDQIIAggCCAIIAggCCAIIAggCCAIIAggCCAIIAggCCAIIAggCFQIDAn0CHgAC0gAJNDIwMTk5MDcyAgICTwIEAgUCBgIHAggCCQI9AgsCOAINAggCCAIIAggCCAIIAggCCAIIAggCCAIIAggCCAIIAggCCAACAwJkAh4AAtICAgI1AgQCBQIGAgcCCAIJAj0CCwI4Ag0CCAIIAggCCAIIAggCCAIIAggCCAIIAggCCAIIAggCCAIIAAIDAmkCHgAC0gICAm0CBAIFAgYCBwIIAgkCCgILAjgCDQIIAggCCAIIAggCCAIIAggCCAIIAggCCAIIAggCCAIIAggAAgMCbgIeAALSAgICAwIEAgUCBgIHAggCCQI7AgsCOAINAggCCAIIAggCCAIIAggCCAIIAggCCAIIAggCCAIIAggCCAACAwJsAh4AAtICAgJiAgQCBQIGAgcCCAIJAjsCCwI4Ag0CCAIIAggCCAIIAggCCAIIAggCCAIIAggCCAIIAggCCAIIAAIDAmcCHgAC0gICAmUCBAIFAgYCBwIIAgkCOwILAjgCDQIIAggCCAIIAggCCAIIAggCCAIIAggCCAIIAggCCAIIAggAAgMCZgIeAALSAgICAwIEAgUCBgIHAggCCQI9AgsCOAINAggCCAIIAggCCAIIAggCCAIIAggCCAIIAggCCAIIAggCCAACAwJAAh4AAtICAgIvAgQCBQIGAgcCCAIJAj0CCwI4Ag0CCAIIAggCCAIIAggCCAIIAggCCAIIAggCCAIIAggCCAIIAAIDAnICHgAC0gICAjUCBAIFAgYCBwIIAgkCOwILAjgCDQIIAggCCAIIAgh6AAAD1QIIAggCCAIIAggCCAIIAggCCAIIAggCCAACAwKLAh4AAtICAgJwAgQCBQIGAgcCCAIJAgoCCwI4Ag0CCAIIAggCCAIIAggCCAIIAggCCAIIAggCCAIIAggCCAIIAAIDAnECHgAC0gICAjMCBAIFAgYCBwIIAgkCCgILAjgCDQIIAggCCAIIAggCCAIIAggCCAIIAggCCAIIAggCCAIIAggAAgMCbwIeAALSAgICLwIEAgUCBgIHAggCCQI7AgsCOAINAggCCAIIAggCCAIIAggCCAIIAggCCAIIAggCCAIIAggCCAACAwKNAh4AAtICAgKUAgQCBQIGAgcCCAIJAj0CCwI4Ag0CCAIIAggCCAIIAggCCAIIAggCCAIIAggCCAIIAggCCAIIAAIDAkACHgAC0gICAkkCBAIFAgYCBwIIAgkCPQILAjgCDQIIAggCCAIIAggCCAIIAggCCAIIAggCCAIIAggCCAIIAggAAgMCVgIeAALSAgICZQIEAgUCBgIHAggCCQIKAgsCOAINAggCCAIIAggCCAIIAggCCAIIAggCCAIIAggCCAIIAggCCAACAwKMAh4AAtICAgJcAgQCBQIGAgcCCAIJAgoCCwI4Ag0CCAIIAggCCAIIAggCCAIIAggCCAIIAggCCAIIAggCCAIIAAIDAl0CHgAC0gICAiUCBAIFAgYCBwIIAgkCPQILAjgCDQIIAggCCAIIAggCCAIIAggCCAIIAggCCAIIAggCCAIIAggAAgMCVQIeAALSAgICTwIEAgUCBgIHAggCCQI7AgsCOAINAggCCAIIAggCCAIIAggCCAIIAggCCAIIAggCCAIIAggCCAACAwKOAh4AAtICAgIlAgQCBQIGAgcCCAIJAjsCCwI4Ag0CCAIIAggCCAIIAggCCAIIAggCCAIIAggCCAIIAggCCAIIAAIDAl4CHgAC0gICAmICBAIFAgYCBwIIAgkCPQILAjgCDQIIAggCCAIIAggCCAIIAggCCAIIAggCCAIIAggCCAIIAggAAgMCYwIeAALSAgICJwIEAgUCBgIHAggCCQIKAgsCOAINAggCCAIIAggCCAIIAggCCAIIAggCCAIIAggCCAIIAggCCAACAwKPAh4AAtICAgIxAgQCBQIGAgcCCAIJAgoCCwI4Ag0CCAIIAggCCAIIAggCCAIIAggCCAIIAggCCAIIAggCCAIIAAIDAlcCHgAC0gICApQCBAIFAgYCBwIIAgkCOwILAjgCDQIIAggCCAIIAggCCAIIAggCCAIIAggCCAIIAggCCAIIAggAAgMC03NxAH4AAAAAAAJzcQB+AAT///////////////7////+/////3VxAH4ABwAAAAQu9BT/eHh6AAAEAAIeAALSAgICTwIEAgUCBgIHAggCCQIKAgsCOAINAggCCAIIAggCCAIIAggCCAIIAggCCAIIAggCCAIIAggCCAACAwJQAh4AAtICAgIzAgQCBQIGAgcCCAIJAj0CCwI4Ag0CCAIIAggCCAIIAggCCAIIAggCCAIIAggCCAIIAggCCAIIAAIDAlECHgAC0gICAkECBAIFAgYCBwIIAgkCCgILAjgCDQIIAggCCAIIAggCCAIIAggCCAIIAggCCAIIAggCCAIIAggAAgMCUgIeAALSAgICSQIEAgUCBgIHAggCCQI7AgsCOAINAggCCAIIAggCCAIIAggCCAIIAggCCAIIAggCCAIIAggCCAACAwJTAh4AAtICAgJcAgQCBQIGAgcCCAIJAj0CCwI4Ag0CCAIIAggCCAIIAggCCAIIAggCCAIIAggCCAIIAggCCAIIAAIDAokCHgAC0gICAjUCBAIFAgYCBwIIAgkCCgILAjgCDQIIAggCCAIIAggCCAIIAggCCAIIAggCCAIIAggCCAIIAggAAgMCVAIeAALSAgICKwIEAgUCBgIHAggCCQI7AgsCOAINAggCCAIIAggCCAIIAggCCAIIAggCCAIIAggCCAIIAggCCAACAwJIAh4AAtICAgIzAgQCBQIGAgcCCAIJAjsCCwI4Ag0CCAIIAggCCAIIAggCCAIIAggCCAIIAggCCAIIAggCCAIIAAIDAngCHgAC0gICAlwCBAIFAgYCBwIIAgkCOwILAjgCDQIIAggCCAIIAggCCAIIAggCCAIIAggCCAIIAggCCAIIAggAAgMCcwIeAALSAgICMQIEAgUCBgIHAggCCQI7AgsCOAINAggCCAIIAggCCAIIAggCCAIIAggCCAIIAggCCAIIAggCCAACAwJ5Ah4AAtICAgJwAgQCBQIGAgcCCAIJAjsCCwI4Ag0CCAIIAggCCAIIAggCCAIIAggCCAIIAggCCAIIAggCCAIIAAIDAnUCHgAC0gICAisCBAIFAgYCBwIIAgkCPQILAjgCDQIIAggCCAIIAggCCAIIAggCCAIIAggCCAIIAggCCAIIAggAAgMCRwIeAALSAgICMQIEAgUCBgIHAggCCQI9AgsCOAINAggCCAIIAggCCAIIAggCCAIIAggCCAIIAggCCAIIAggCCAACAwJAAh4AAtICAgIfAgQCBQIGAgcCCAIJAgoCCwI4Ag0CCAIIAggCCAIIAggCCAIIAggCCAIIAggCCAIIAggCCAIIAAIDAnoCHgAC0gICAi8CBAIFAgYCBwIIAgkCCgILAjgCDQIIAggCCAIIAggCCAIIAggCCAIIAggCCAIIAggCCAIIAggAAgMCSwIeAAJ6AAAEANICAgJqAgQCBQIGAgcCCAIJAgoCCwI4Ag0CCAIIAggCCAIIAggCCAIIAggCCAIIAggCCAIIAggCCAIIAAIDAmsCHgAC0gICAi0CBAIFAgYCBwIIAgkCPQILAjgCDQIIAggCCAIIAggCCAIIAggCCAIIAggCCAIIAggCCAIIAggAAgMCQAIeAALSAgICcAIEAgUCBgIHAggCCQI9AgsCOAINAggCCAIIAggCCAIIAggCCAIIAggCCAIIAggCCAIIAggCCAACAwJ7Ah4AAtICAgItAgQCBQIGAgcCCAIJAjsCCwI4Ag0CCAIIAggCCAIIAggCCAIIAggCCAIIAggCCAIIAggCCAIIAAIDAk0CHgAC0gICAhsCBAIFAgYCBwIIAgkCOwILAjgCDQIIAggCCAIIAggCCAIIAggCCAIIAggCCAIIAggCCAIIAggAAgMCPAIeAALSAgICIwIEAgUCBgIHAggCCQIKAgsCOAINAggCCAIIAggCCAIIAggCCAIIAggCCAIIAggCCAIIAggCCAACAwI5Ah4AAtICAgIdAgQCBQIGAgcCCAIJAjsCCwI4Ag0CCAIIAggCCAIIAggCCAIIAggCCAIIAggCCAIIAggCCAIIAAIDAj8CHgAC0gICAkECBAIFAgYCBwIIAgkCOwILAjgCDQIIAggCCAIIAggCCAIIAggCCAIIAggCCAIIAggCCAIIAggAAgMCQgIeAALSAgICHQIEAgUCBgIHAggCCQI9AgsCOAINAggCCAIIAggCCAIIAggCCAIIAggCCAIIAggCCAIIAggCCAACAwI+Ah4AAtICAgIbAgQCBQIGAgcCCAIJAj0CCwI4Ag0CCAIIAggCCAIIAggCCAIIAggCCAIIAggCCAIIAggCCAIIAAIDAkACHgAC0gICAikCBAIFAgYCBwIIAgkCPQILAjgCDQIIAggCCAIIAggCCAIIAggCCAIIAggCCAIIAggCCAIIAggAAgMCWgIeAALSAgICQQIEAgUCBgIHAggCCQI9AgsCOAINAggCCAIIAggCCAIIAggCCAIIAggCCAIIAggCCAIIAggCCAACAwJDAh4AAtICAgIhAgQCBQIGAgcCCAIJAgoCCwI4Ag0CCAIIAggCCAIIAggCCAIIAggCCAIIAggCCAIIAggCCAIIAAIDAjoCHgAC0gICAikCBAIFAgYCBwIIAgkCOwILAjgCDQIIAggCCAIIAggCCAIIAggCCAIIAggCCAIIAggCCAIIAggAAgMCWwIeAALSAgICWAIEAgUCBgIHAggCCQI7AgsCOAINAggCCAIIAggCCAIIAggCCAIIAggCCAIIAggCCAIIAggCCAACAwJZAh4AAtICAgJ6AAAEAEUCBAIFAgYCBwIIAgkCCgILAjgCDQIIAggCCAIIAggCCAIIAggCCAIIAggCCAIIAggCCAIIAggAAgMCigIeAALSAgICHwIEAgUCBgIHAggCCQI9AgsCOAINAggCCAIIAggCCAIIAggCCAIIAggCCAIIAggCCAIIAggCCAACAwKDAh4AAtICAgJYAgQCBQIGAgcCCAIJAj0CCwI4Ag0CCAIIAggCCAIIAggCCAIIAggCCAIIAggCCAIIAggCCAIIAAIDAl8CHgAC0gICAi0CBAIFAgYCBwIIAgkCCgILAjgCDQIIAggCCAIIAggCCAIIAggCCAIIAggCCAIIAggCCAIIAggAAgMCYAIeAALSAgICHQIEAgUCBgIHAggCCQIKAgsCOAINAggCCAIIAggCCAIIAggCCAIIAggCCAIIAggCCAIIAggCCAACAwJOAh4AAtICAgIrAgQCBQIGAgcCCAIJAgoCCwI4Ag0CCAIIAggCCAIIAggCCAIIAggCCAIIAggCCAIIAggCCAIIAAIDAmECHgAC0gICAmoCBAIFAgYCBwIIAgkCOwILAjgCDQIIAggCCAIIAggCCAIIAggCCAIIAggCCAIIAggCCAIIAggAAgMCfwIeAALSAgICHwIEAgUCBgIHAggCCQI7AgsCOAINAggCCAIIAggCCAIIAggCCAIIAggCCAIIAggCCAIIAggCCAACAwJ9Ah4AAtICAgJtAgQCBQIGAgcCCAIJAj0CCwI4Ag0CCAIIAggCCAIIAggCCAIIAggCCAIIAggCCAIIAggCCAIIAAIDAn4CHgAC0gICAiECBAIFAgYCBwIIAgkCOwILAjgCDQIIAggCCAIIAggCCAIIAggCCAIIAggCCAIIAggCCAIIAggAAgMCgQIeAALSAgICIQIEAgUCBgIHAggCCQI9AgsCOAINAggCCAIIAggCCAIIAggCCAIIAggCCAIIAggCCAIIAggCCAACAwKAAh4AAtICAgJiAgQCBQIGAgcCCAIJAgoCCwI4Ag0CCAIIAggCCAIIAggCCAIIAggCCAIIAggCCAIIAggCCAIIAAIDAoICHgAC0gICAlgCBAIFAgYCBwIIAgkCCgILAjgCDQIIAggCCAIIAggCCAIIAggCCAIIAggCCAIIAggCCAIIAggAAgMCdwIeAALSAgICGwIEAgUCBgIHAggCCQIKAgsCOAINAggCCAIIAggCCAIIAggCCAIIAggCCAIIAggCCAIIAggCCAACAwKIAh4AAtICAgJqAgQCBQIGAgcCCAIJAj0CCwI4Ag0CCAIIAggCCAIIAggCCAIIAggCCAIIAggCCAIIAggCCAIIAAIDAoQCHgAC0gICAiMCBAJ6AAACWAUCBgIHAggCCQI9AgsCOAINAggCCAIIAggCCAIIAggCCAIIAggCCAIIAggCCAIIAggCCAACAwJAAh4AAtICAgIjAgQCBQIGAgcCCAIJAjsCCwI4Ag0CCAIIAggCCAIIAggCCAIIAggCCAIIAggCCAIIAggCCAIIAAIDAoUCHgAC0gICAgMCBAIFAgYCBwIIAgkCCgILAjgCDQIIAggCCAIIAggCCAIIAggCCAIIAggCCAIIAggCCAIIAggAAgMChgIeAALSAgICKQIEAgUCBgIHAggCCQIKAgsCOAINAggCCAIIAggCCAIIAggCCAIIAggCCAIIAggCCAIIAggCCAACAwKHAh4AAtICAgIlAgQCBQIGAgcCCAIJAgoCCwI4Ag0CCAIIAggCCAIIAggCCAIIAggCCAIIAggCCAIIAggCCAIIAAIDAkQCHgAC0gICAkkCBAIFAgYCBwIIAgkCCgILAjgCDQIIAggCCAIIAggCCAIIAggCCAIIAggCCAIIAggCCAIIAggAAgMCSgIeAALSAgICZQIEAgUCBgIHAggCCQI9AgsCOAINAggCCAIIAggCCAIIAggCCAIIAggCCAIIAggCCAIIAggCCAACAwJ0Ah4AAtICAgJFAgQCBQIGAgcCCAIJAj0CCwI4Ag0CCAIIAggCCAIIAggCCAIIAggCCAIIAggCCAIIAggCCAIIAAIDAkYCHgAC0gICApQCBAIFAgYCBwIIAgkCCgILAjgCDQIIAggCCAIIAggCCAIIAggCCAIIAggCCAIIAggCCAIIAggAAgMC1HNxAH4AAAAAAAJzcQB+AAT///////////////7////+/////3VxAH4ABwAAAAQBMmvPeHh6AAAEAAIeAALSAgICRQIEAgUCBgIHAggCCQI7AgsCOAINAggCCAIIAggCCAIIAggCCAIIAggCCAIIAggCCAIIAggCCAACAwJMAh4AAtICAgInAgQCBQIGAgcCCAIJAj0CCwI4Ag0CCAIIAggCCAIIAggCCAIIAggCCAIIAggCCAIIAggCCAIIAAIDAnYCHgAC0gICAicCBAIFAgYCBwIIAgkCOwILAjgCDQIIAggCCAIIAggCCAIIAggCCAIIAggCCAIIAggCCAIIAggAAgMCaAIeAALSAgICbQIEAgUCBgIHAggCCQI7AgsCOAINAggCCAIIAggCCAIIAggCCAIIAggCCAIIAggCCAIIAggCCAACAwJ8Ah4AAtUACTU1NzQ5NjA2NAICAhsCBAIFAgYCBwIIAgkCOwILAjgCDQIIAggCCAIIAggCCAIIAggCCAIIAggCCAIIAggCCAIIAggCIQIDAjwCHgAC1QICAh8CBAIFAgYCBwIIAgkCOwILAjgCDQIIAggCCAIIAggCCAIIAggCCAIIAggCCAIIAggCCAIIAggCIQIDAn0CHgAC1QICAgMCBAIFAgYCBwIIAgkCOwILAjgCDQIIAggCCAIIAggCCAIIAggCCAIIAggCCAIIAggCCAIIAggCIQIDAmwCHgAC1QICAiECBAIFAgYCBwIIAgkCOwILAjgCDQIIAggCCAIIAggCCAIIAggCCAIIAggCCAIIAggCCAIIAggCIQIDAoECHgAC1QICAicCBAIFAgYCBwIIAgkCOwILAjgCDQIIAggCCAIIAggCCAIIAggCCAIIAggCCAIIAggCCAIIAggCIQIDAmgCHgAC1QICAh0CBAIFAgYCBwIIAgkCOwILAjgCDQIIAggCCAIIAggCCAIIAggCCAIIAggCCAIIAggCCAIIAggCIQIDAj8CHgAC1QICAiUCBAIFAgYCBwIIAgkCOwILAjgCDQIIAggCCAIIAggCCAIIAggCCAIIAggCCAIIAggCCAIIAggCIQIDAl4CHgAC1QICAi0CBAIFAgYCBwIIAgkCOwILAjgCDQIIAggCCAIIAggCCAIIAggCCAIIAggCCAIIAggCCAIIAggCIQIDAk0CHgAC1QICAi8CBAIFAgYCBwIIAgkCOwILAjgCDQIIAggCCAIIAggCCAIIAggCCAIIAggCCAIIAggCCAIIAggCIQIDAo0CHgAC1QICAikCBAIFAgYCBwIIAgkCOwILAjgCDQIIAggCCAIIAggCCAIIAggCCAIIAggCCAIIAggCCAIIAggCIQIDAlsCHgAC1QICAjMCBAIFAgYCBwIIAgkCOwILAjgCDQIIAggCCAIIAggCCAIIAggCCAIIAgh6AAAEAAIIAggCCAIIAggCCAIhAgMCeAIeAALVAgICMQIEAgUCBgIHAggCCQI7AgsCOAINAggCCAIIAggCCAIIAggCCAIIAggCCAIIAggCCAIIAggCCAIhAgMCeQIeAALVAgICKwIEAgUCBgIHAggCCQI7AgsCOAINAggCCAIIAggCCAIIAggCCAIIAggCCAIIAggCCAIIAggCCAIhAgMCSAIeAALVAgICNQIEAgUCBgIHAggCCQI7AgsCOAINAggCCAIIAggCCAIIAggCCAIIAggCCAIIAggCCAIIAggCCAIhAgMCiwIeAALVAgICIwIEAgUCBgIHAggCCQI7AgsCOAINAggCCAIIAggCCAIIAggCCAIIAggCCAIIAggCCAIIAggCCAIhAgMChQIeAALWAAk2ODE0OTg4NjQCAgIfAgQCBQIGAgcCCAIJAgoCCwIMAg0CCAIIAggCCAIIAggCCAIIAggCCAIIAggCCAIIAggCCAIIAgECAwIgAh4AAtYCAgJJAgQCBQIGAgcCCAIJApECCwIMAg0CCAIIAggCCAIIAggCCAIIAggCCAIIAggCCAIIAggCCAIIAgECAwKwAh4AAtYCAgKUAgQCBQIGAgcCCAIJApECCwIMAg0CCAIIAggCCAIIAggCCAIIAggCCAIIAggCCAIIAggCCAIIAgECAwJAAh4AAtYCAgJlAgQCBQIGAgcCCAIJAjsCCwIMAg0CCAIIAggCCAIIAggCCAIIAggCCAIIAggCCAIIAggCCAIIAgECAwLFAh4AAtYCAgJcAgQCBQIGAgcCCAIJAjsCCwIMAg0CCAIIAggCCAIIAggCCAIIAggCCAIIAggCCAIIAggCCAIIAgECAwKmAh4AAtYCAgIlAgQCBQIGAgcCCAIJApECCwIMAg0CCAIIAggCCAIIAggCCAIIAggCCAIIAggCCAIIAggCCAIIAgECAwKnAh4AAtYCAgIvAgQCBQIGAgcCCAIJApECCwIMAg0CCAIIAggCCAIIAggCCAIIAggCCAIIAggCCAIIAggCCAIIAgECAwLGAh4AAtYCAgJwAgQCBQIGAgcCCAIJAjsCCwIMAg0CCAIIAggCCAIIAggCCAIIAggCCAIIAggCCAIIAggCCAIIAgECAwK6Ah4AAtYCAgJtAgQCBQIGAgcCCAIJAgoCCwIMAg0CCAIIAggCCAIIAggCCAIIAggCCAIIAggCCAIIAggCCAIIAgECAwKlAh4AAtYCAgIpAgQCBQIGAgcCCAIJAgoCCwIMAg0CCAIIAggCCAIIAggCCAIIAggCCAIIAggCCAIIAggCCAIIAgECAwIqAh4AAtYCAgJYAgQCBQIGAgcCCAIJAgoCCwIMAg16AAAEAAIIAggCCAIIAggCCAIIAggCCAIIAggCCAIIAggCCAIIAggCAQIDAr8CHgAC1gICAgMCBAIFAgYCBwIIAgkCOwILAgwCDQIIAggCCAIIAggCCAIIAggCCAIIAggCCAIIAggCCAIIAggCAQIDAssCHgAC1gICAjMCBAIFAgYCBwIIAgkCOwILAgwCDQIIAggCCAIIAggCCAIIAggCCAIIAggCCAIIAggCCAIIAggCAQIDArkCHgAC1gICAjMCBAIFAgYCBwIIAgkCCgILAgwCDQIIAggCCAIIAggCCAIIAggCCAIIAggCCAIIAggCCAIIAggCAQIDAjQCHgAC1gICAm0CBAIFAgYCBwIIAgkCOwILAgwCDQIIAggCCAIIAggCCAIIAggCCAIIAggCCAIIAggCCAIIAggCAQIDAr0CHgAC1gICAk8CBAIFAgYCBwIIAgkCkQILAgwCDQIIAggCCAIIAggCCAIIAggCCAIIAggCCAIIAggCCAIIAggCAQIDArwCHgAC1gICAgMCBAIFAgYCBwIIAgkCkQILAgwCDQIIAggCCAIIAggCCAIIAggCCAIIAggCCAIIAggCCAIIAggCAQIDAkACHgAC1gICAjUCBAIFAgYCBwIIAgkCkQILAgwCDQIIAggCCAIIAggCCAIIAggCCAIIAggCCAIIAggCCAIIAggCAQIDAr4CHgAC1gICAmICBAIFAgYCBwIIAgkCkQILAgwCDQIIAggCCAIIAggCCAIIAggCCAIIAggCCAIIAggCCAIIAggCAQIDArcCHgAC1gICAicCBAIFAgYCBwIIAgkCOwILAgwCDQIIAggCCAIIAggCCAIIAggCCAIIAggCCAIIAggCCAIIAggCAQIDAsQCHgAC1gICAjECBAIFAgYCBwIIAgkCOwILAgwCDQIIAggCCAIIAggCCAIIAggCCAIIAggCCAIIAggCCAIIAggCAQIDAqwCHgAC1gICAmoCBAIFAgYCBwIIAgkCCgILAgwCDQIIAggCCAIIAggCCAIIAggCCAIIAggCCAIIAggCCAIIAggCAQIDAqoCHgAC1gICApQCBAIFAgYCBwIIAgkCOwILAgwCDQIIAggCCAIIAggCCAIIAggCCAIIAggCCAIIAggCCAIIAggCAQIDApUCHgAC1gICAiUCBAIFAgYCBwIIAgkCOwILAgwCDQIIAggCCAIIAggCCAIIAggCCAIIAggCCAIIAggCCAIIAggCAQIDApYCHgAC1gICAkkCBAIFAgYCBwIIAgkCOwILAgwCDQIIAggCCAIIAggCCAIIAggCCAIIAggCCAIIAggCCAIIAggCAQIDApcCHgAC1gICAmUCBAIFAgYCBwJ6AAAEAAgCCQKRAgsCDAINAggCCAIIAggCCAIIAggCCAIIAggCCAIIAggCCAIIAggCCAIBAgMCtgIeAALWAgICRQIEAgUCBgIHAggCCQKRAgsCDAINAggCCAIIAggCCAIIAggCCAIIAggCCAIIAggCCAIIAggCCAIBAgMCyAIeAALWAgICWAIEAgUCBgIHAggCCQI7AgsCDAINAggCCAIIAggCCAIIAggCCAIIAggCCAIIAggCCAIIAggCCAIBAgMCzgIeAALWAgICJwIEAgUCBgIHAggCCQKRAgsCDAINAggCCAIIAggCCAIIAggCCAIIAggCCAIIAggCCAIIAggCCAIBAgMCuAIeAALWAgICGwIEAgUCBgIHAggCCQKRAgsCDAINAggCCAIIAggCCAIIAggCCAIIAggCCAIIAggCCAIIAggCCAIBAgMCQAIeAALWAgICTwIEAgUCBgIHAggCCQIKAgsCDAINAggCCAIIAggCCAIIAggCCAIIAggCCAIIAggCCAIIAggCCAIBAgMCowIeAALWAgICNQIEAgUCBgIHAggCCQIKAgsCDAINAggCCAIIAggCCAIIAggCCAIIAggCCAIIAggCCAIIAggCCAIBAgMCNgIeAALWAgICKQIEAgUCBgIHAggCCQI7AgsCDAINAggCCAIIAggCCAIIAggCCAIIAggCCAIIAggCCAIIAggCCAIBAgMCzQIeAALWAgICcAIEAgUCBgIHAggCCQIKAgsCDAINAggCCAIIAggCCAIIAggCCAIIAggCCAIIAggCCAIIAggCCAIBAgMCyQIeAALWAgICbQIEAgUCBgIHAggCCQKRAgsCDAINAggCCAIIAggCCAIIAggCCAIIAggCCAIIAggCCAIIAggCCAIBAgMCwwIeAALWAgICIwIEAgUCBgIHAggCCQKRAgsCDAINAggCCAIIAggCCAIIAggCCAIIAggCCAIIAggCCAIIAggCCAIBAgMCQAIeAALWAgICYgIEAgUCBgIHAggCCQI7AgsCDAINAggCCAIIAggCCAIIAggCCAIIAggCCAIIAggCCAIIAggCCAIBAgMCzAIeAALWAgICLQIEAgUCBgIHAggCCQIKAgsCDAINAggCCAIIAggCCAIIAggCCAIIAggCCAIIAggCCAIIAggCCAIBAgMCLgIeAALWAgICIQIEAgUCBgIHAggCCQKRAgsCDAINAggCCAIIAggCCAIIAggCCAIIAggCCAIIAggCCAIIAggCCAIBAgMCygIeAALWAgICMQIEAgUCBgIHAggCCQIKAgsCDAINAggCCAIIAggCCAIIAggCCAIIAggCCAIIAggCCAIIAggCCAIBAgMCMgIeAALWAgJ6AAAEAAJcAgQCBQIGAgcCCAIJAgoCCwIMAg0CCAIIAggCCAIIAggCCAIIAggCCAIIAggCCAIIAggCCAIIAgECAwLHAh4AAtYCAgIdAgQCBQIGAgcCCAIJAgoCCwIMAg0CCAIIAggCCAIIAggCCAIIAggCCAIIAggCCAIIAggCCAIIAgECAwIeAh4AAtYCAgIrAgQCBQIGAgcCCAIJAgoCCwIMAg0CCAIIAggCCAIIAggCCAIIAggCCAIIAggCCAIIAggCCAIIAgECAwIsAh4AAtYCAgJBAgQCBQIGAgcCCAIJAgoCCwIMAg0CCAIIAggCCAIIAggCCAIIAggCCAIIAggCCAIIAggCCAIIAgECAwK1Ah4AAtYCAgJFAgQCBQIGAgcCCAIJAjsCCwIMAg0CCAIIAggCCAIIAggCCAIIAggCCAIIAggCCAIIAggCCAIIAgECAwKiAh4AAtYCAgIfAgQCBQIGAgcCCAIJApECCwIMAg0CCAIIAggCCAIIAggCCAIIAggCCAIIAggCCAIIAggCCAIIAgECAwLAAh4AAtYCAgIjAgQCBQIGAgcCCAIJAgoCCwIMAg0CCAIIAggCCAIIAggCCAIIAggCCAIIAggCCAIIAggCCAIIAgECAwIkAh4AAtYCAgIpAgQCBQIGAgcCCAIJApECCwIMAg0CCAIIAggCCAIIAggCCAIIAggCCAIIAggCCAIIAggCCAIIAgECAwKbAh4AAtYCAgKUAgQCBQIGAgcCCAIJAgoCCwIMAg0CCAIIAggCCAIIAggCCAIIAggCCAIIAggCCAIIAggCCAIIAgECAwKaAh4AAtYCAgIhAgQCBQIGAgcCCAIJAgoCCwIMAg0CCAIIAggCCAIIAggCCAIIAggCCAIIAggCCAIIAggCCAIIAgECAwIiAh4AAtYCAgIbAgQCBQIGAgcCCAIJAjsCCwIMAg0CCAIIAggCCAIIAggCCAIIAggCCAIIAggCCAIIAggCCAIIAgECAwLCAh4AAtYCAgJqAgQCBQIGAgcCCAIJApECCwIMAg0CCAIIAggCCAIIAggCCAIIAggCCAIIAggCCAIIAggCCAIIAgECAwLBAh4AAtYCAgIvAgQCBQIGAgcCCAIJAgoCCwIMAg0CCAIIAggCCAIIAggCCAIIAggCCAIIAggCCAIIAggCCAIIAgECAwIwAh4AAtYCAgJBAgQCBQIGAgcCCAIJAjsCCwIMAg0CCAIIAggCCAIIAggCCAIIAggCCAIIAggCCAIIAggCCAIIAgECAwKrAh4AAtYCAgIlAgQCBQIGAgcCCAIJAgoCCwIMAg0CCAIIAggCCAIIAggCCAIIAggCCAIIAggCCAIIAggCCAIIAgF6AAAEAAIDAiYCHgAC1gICAlgCBAIFAgYCBwIIAgkCkQILAgwCDQIIAggCCAIIAggCCAIIAggCCAIIAggCCAIIAggCCAIIAggCAQIDAp8CHgAC1gICAisCBAIFAgYCBwIIAgkCOwILAgwCDQIIAggCCAIIAggCCAIIAggCCAIIAggCCAIIAggCCAIIAggCAQIDAqkCHgAC1gICAi0CBAIFAgYCBwIIAgkCOwILAgwCDQIIAggCCAIIAggCCAIIAggCCAIIAggCCAIIAggCCAIIAggCAQIDAp4CHgAC1gICAh0CBAIFAgYCBwIIAgkCOwILAgwCDQIIAggCCAIIAggCCAIIAggCCAIIAggCCAIIAggCCAIIAggCAQIDAqgCHgAC1gICAkkCBAIFAgYCBwIIAgkCCgILAgwCDQIIAggCCAIIAggCCAIIAggCCAIIAggCCAIIAggCCAIIAggCAQIDApwCHgAC1gICAicCBAIFAgYCBwIIAgkCCgILAgwCDQIIAggCCAIIAggCCAIIAggCCAIIAggCCAIIAggCCAIIAggCAQIDAigCHgAC1gICAjECBAIFAgYCBwIIAgkCkQILAgwCDQIIAggCCAIIAggCCAIIAggCCAIIAggCCAIIAggCCAIIAggCAQIDAkACHgAC1gICAhsCBAIFAgYCBwIIAgkCCgILAgwCDQIIAggCCAIIAggCCAIIAggCCAIIAggCCAIIAggCCAIIAggCAQIDAhwCHgAC1gICAisCBAIFAgYCBwIIAgkCkQILAgwCDQIIAggCCAIIAggCCAIIAggCCAIIAggCCAIIAggCCAIIAggCAQIDAp0CHgAC1gICAkUCBAIFAgYCBwIIAgkCCgILAgwCDQIIAggCCAIIAggCCAIIAggCCAIIAggCCAIIAggCCAIIAggCAQIDAq0CHgAC1gICAkECBAIFAgYCBwIIAgkCkQILAgwCDQIIAggCCAIIAggCCAIIAggCCAIIAggCCAIIAggCCAIIAggCAQIDApMCHgAC1gICAlwCBAIFAgYCBwIIAgkCkQILAgwCDQIIAggCCAIIAggCCAIIAggCCAIIAggCCAIIAggCCAIIAggCAQIDArsCHgAC1gICAgMCBAIFAgYCBwIIAgkCCgILAgwCDQIIAggCCAIIAggCCAIIAggCCAIIAggCCAIIAggCCAIIAggCAQIDAg4CHgAC1gICAmICBAIFAgYCBwIIAgkCCgILAgwCDQIIAggCCAIIAggCCAIIAggCCAIIAggCCAIIAggCCAIIAggCAQIDAqQCHgAC1gICAjUCBAIFAgYCBwIIAgkCOwILAgwCDQIIAggCCAIIAggCCAIIAggCCAIIAggCCAJ6AAAEAAgCCAIIAggCCAIBAgMCsQIeAALWAgICIQIEAgUCBgIHAggCCQI7AgsCDAINAggCCAIIAggCCAIIAggCCAIIAggCCAIIAggCCAIIAggCCAIBAgMCoQIeAALWAgICIwIEAgUCBgIHAggCCQI7AgsCDAINAggCCAIIAggCCAIIAggCCAIIAggCCAIIAggCCAIIAggCCAIBAgMCoAIeAALWAgICTwIEAgUCBgIHAggCCQI7AgsCDAINAggCCAIIAggCCAIIAggCCAIIAggCCAIIAggCCAIIAggCCAIBAgMCsgIeAALWAgICMwIEAgUCBgIHAggCCQKRAgsCDAINAggCCAIIAggCCAIIAggCCAIIAggCCAIIAggCCAIIAggCCAIBAgMCrgIeAALWAgICHQIEAgUCBgIHAggCCQKRAgsCDAINAggCCAIIAggCCAIIAggCCAIIAggCCAIIAggCCAIIAggCCAIBAgMCkgIeAALWAgICLwIEAgUCBgIHAggCCQI7AgsCDAINAggCCAIIAggCCAIIAggCCAIIAggCCAIIAggCCAIIAggCCAIBAgMCmQIeAALWAgICHwIEAgUCBgIHAggCCQI7AgsCDAINAggCCAIIAggCCAIIAggCCAIIAggCCAIIAggCCAIIAggCCAIBAgMCswIeAALWAgICagIEAgUCBgIHAggCCQI7AgsCDAINAggCCAIIAggCCAIIAggCCAIIAggCCAIIAggCCAIIAggCCAIBAgMCtAIeAALWAgICLQIEAgUCBgIHAggCCQKRAgsCDAINAggCCAIIAggCCAIIAggCCAIIAggCCAIIAggCCAIIAggCCAIBAgMCQAIeAALWAgICcAIEAgUCBgIHAggCCQKRAgsCDAINAggCCAIIAggCCAIIAggCCAIIAggCCAIIAggCCAIIAggCCAIBAgMCrwIeAALWAgICZQIEAgUCBgIHAggCCQIKAgsCDAINAggCCAIIAggCCAIIAggCCAIIAggCCAIIAggCCAIIAggCCAIBAgMCmAIeAALXAAk1Njk2MTI0OTYCAgInAgQCBQIGAgcCCAIJAj0CCwI4Ag0CCAIIAggCCAIIAggCCAIIAggCCAIIAggCCAIIAggCCAIIAhECAwJ2Ah4AAtcCAgJlAgQCBQIGAgcCCAIJAj0CCwI4Ag0CCAIIAggCCAIIAggCCAIIAggCCAIIAggCCAIIAggCCAIIAhECAwJ0Ah4AAtcCAgJcAgQCBQIGAgcCCAIJAjsCCwI4Ag0CCAIIAggCCAIIAggCCAIIAggCCAIIAggCCAIIAggCCAIIAhECAwJzAh4AAtcCAgIzAgQCBQIGAgcCCAIJAjsCCwI4Ag0CCAJ6AAAEAAgCCAIIAggCCAIIAggCCAIIAggCCAIIAggCCAIIAggCEQIDAngCHgAC1wICAmoCBAIFAgYCBwIIAgkCCgILAjgCDQIIAggCCAIIAggCCAIIAggCCAIIAggCCAIIAggCCAIIAggCEQIDAmsCHgAC1wICAjECBAIFAgYCBwIIAgkCOwILAjgCDQIIAggCCAIIAggCCAIIAggCCAIIAggCCAIIAggCCAIIAggCEQIDAnkCHgAC1wICAmUCBAIFAgYCBwIIAgkCOwILAjgCDQIIAggCCAIIAggCCAIIAggCCAIIAggCCAIIAggCCAIIAggCEQIDAmYCHgAC1wICAlgCBAIFAgYCBwIIAgkCCgILAjgCDQIIAggCCAIIAggCCAIIAggCCAIIAggCCAIIAggCCAIIAggCEQIDAncCHgAC1wICAikCBAIFAgYCBwIIAgkCCgILAjgCDQIIAggCCAIIAggCCAIIAggCCAIIAggCCAIIAggCCAIIAggCEQIDAocCHgAC1wICAjECBAIFAgYCBwIIAgkCPQILAjgCDQIIAggCCAIIAggCCAIIAggCCAIIAggCCAIIAggCCAIIAggCEQIDAkACHgAC1wICAlwCBAIFAgYCBwIIAgkCPQILAjgCDQIIAggCCAIIAggCCAIIAggCCAIIAggCCAIIAggCCAIIAggCEQIDAokCHgAC1wICAk8CBAIFAgYCBwIIAgkCPQILAjgCDQIIAggCCAIIAggCCAIIAggCCAIIAggCCAIIAggCCAIIAggCEQIDAmQCHgAC1wICAmICBAIFAgYCBwIIAgkCOwILAjgCDQIIAggCCAIIAggCCAIIAggCCAIIAggCCAIIAggCCAIIAggCEQIDAmcCHgAC1wICAh8CBAIFAgYCBwIIAgkCOwILAjgCDQIIAggCCAIIAggCCAIIAggCCAIIAggCCAIIAggCCAIIAggCEQIDAn0CHgAC1wICAmoCBAIFAgYCBwIIAgkCOwILAjgCDQIIAggCCAIIAggCCAIIAggCCAIIAggCCAIIAggCCAIIAggCEQIDAn8CHgAC1wICAnACBAIFAgYCBwIIAgkCCgILAjgCDQIIAggCCAIIAggCCAIIAggCCAIIAggCCAIIAggCCAIIAggCEQIDAnECHgAC1wICAm0CBAIFAgYCBwIIAgkCCgILAjgCDQIIAggCCAIIAggCCAIIAggCCAIIAggCCAIIAggCCAIIAggCEQIDAm4CHgAC1wICAi8CBAIFAgYCBwIIAgkCPQILAjgCDQIIAggCCAIIAggCCAIIAggCCAIIAggCCAIIAggCCAIIAggCEQIDAnICHgAC1wICAjUCBAIFAgYCBwIIAgl6AAAEAAI9AgsCOAINAggCCAIIAggCCAIIAggCCAIIAggCCAIIAggCCAIIAggCCAIRAgMCaQIeAALXAgICNQIEAgUCBgIHAggCCQI7AgsCOAINAggCCAIIAggCCAIIAggCCAIIAggCCAIIAggCCAIIAggCCAIRAgMCiwIeAALXAgICQQIEAgUCBgIHAggCCQIKAgsCOAINAggCCAIIAggCCAIIAggCCAIIAggCCAIIAggCCAIIAggCCAIRAgMCUgIeAALXAgICAwIEAgUCBgIHAggCCQI7AgsCOAINAggCCAIIAggCCAIIAggCCAIIAggCCAIIAggCCAIIAggCCAIRAgMCbAIeAALXAgICAwIEAgUCBgIHAggCCQI9AgsCOAINAggCCAIIAggCCAIIAggCCAIIAggCCAIIAggCCAIIAggCCAIRAgMCQAIeAALXAgICHQIEAgUCBgIHAggCCQIKAgsCOAINAggCCAIIAggCCAIIAggCCAIIAggCCAIIAggCCAIIAggCCAIRAgMCTgIeAALXAgICYgIEAgUCBgIHAggCCQI9AgsCOAINAggCCAIIAggCCAIIAggCCAIIAggCCAIIAggCCAIIAggCCAIRAgMCYwIeAALXAgICMQIEAgUCBgIHAggCCQIKAgsCOAINAggCCAIIAggCCAIIAggCCAIIAggCCAIIAggCCAIIAggCCAIRAgMCVwIeAALXAgICTwIEAgUCBgIHAggCCQI7AgsCOAINAggCCAIIAggCCAIIAggCCAIIAggCCAIIAggCCAIIAggCCAIRAgMCjgIeAALXAgIClAIEAgUCBgIHAggCCQI9AgsCOAINAggCCAIIAggCCAIIAggCCAIIAggCCAIIAggCCAIIAggCCAIRAgMCQAIeAALXAgICJQIEAgUCBgIHAggCCQI9AgsCOAINAggCCAIIAggCCAIIAggCCAIIAggCCAIIAggCCAIIAggCCAIRAgMCVQIeAALXAgICJQIEAgUCBgIHAggCCQI7AgsCOAINAggCCAIIAggCCAIIAggCCAIIAggCCAIIAggCCAIIAggCCAIRAgMCXgIeAALXAgICSQIEAgUCBgIHAggCCQI7AgsCOAINAggCCAIIAggCCAIIAggCCAIIAggCCAIIAggCCAIIAggCCAIRAgMCUwIeAALXAgICRQIEAgUCBgIHAggCCQIKAgsCOAINAggCCAIIAggCCAIIAggCCAIIAggCCAIIAggCCAIIAggCCAIRAgMCigIeAALXAgICXAIEAgUCBgIHAggCCQIKAgsCOAINAggCCAIIAggCCAIIAggCCAIIAggCCAIIAggCCAIIAggCCAIRAgMCXQIeAALXAgICSQJ6AAAEAAQCBQIGAgcCCAIJAj0CCwI4Ag0CCAIIAggCCAIIAggCCAIIAggCCAIIAggCCAIIAggCCAIIAhECAwJWAh4AAtcCAgIdAgQCBQIGAgcCCAIJAjsCCwI4Ag0CCAIIAggCCAIIAggCCAIIAggCCAIIAggCCAIIAggCCAIIAhECAwI/Ah4AAtcCAgJPAgQCBQIGAgcCCAIJAgoCCwI4Ag0CCAIIAggCCAIIAggCCAIIAggCCAIIAggCCAIIAggCCAIIAhECAwJQAh4AAtcCAgJBAgQCBQIGAgcCCAIJAjsCCwI4Ag0CCAIIAggCCAIIAggCCAIIAggCCAIIAggCCAIIAggCCAIIAhECAwJCAh4AAtcCAgI1AgQCBQIGAgcCCAIJAgoCCwI4Ag0CCAIIAggCCAIIAggCCAIIAggCCAIIAggCCAIIAggCCAIIAhECAwJUAh4AAtcCAgJwAgQCBQIGAgcCCAIJAj0CCwI4Ag0CCAIIAggCCAIIAggCCAIIAggCCAIIAggCCAIIAggCCAIIAhECAwJ7Ah4AAtcCAgIzAgQCBQIGAgcCCAIJAj0CCwI4Ag0CCAIIAggCCAIIAggCCAIIAggCCAIIAggCCAIIAggCCAIIAhECAwJRAh4AAtcCAgIvAgQCBQIGAgcCCAIJAgoCCwI4Ag0CCAIIAggCCAIIAggCCAIIAggCCAIIAggCCAIIAggCCAIIAhECAwJLAh4AAtcCAgJwAgQCBQIGAgcCCAIJAjsCCwI4Ag0CCAIIAggCCAIIAggCCAIIAggCCAIIAggCCAIIAggCCAIIAhECAwJ1Ah4AAtcCAgItAgQCBQIGAgcCCAIJAj0CCwI4Ag0CCAIIAggCCAIIAggCCAIIAggCCAIIAggCCAIIAggCCAIIAhECAwJAAh4AAtcCAgIfAgQCBQIGAgcCCAIJAgoCCwI4Ag0CCAIIAggCCAIIAggCCAIIAggCCAIIAggCCAIIAggCCAIIAhECAwJ6Ah4AAtcCAgItAgQCBQIGAgcCCAIJAjsCCwI4Ag0CCAIIAggCCAIIAggCCAIIAggCCAIIAggCCAIIAggCCAIIAhECAwJNAh4AAtcCAgIrAgQCBQIGAgcCCAIJAjsCCwI4Ag0CCAIIAggCCAIIAggCCAIIAggCCAIIAggCCAIIAggCCAIIAhECAwJIAh4AAtcCAgJFAgQCBQIGAgcCCAIJAjsCCwI4Ag0CCAIIAggCCAIIAggCCAIIAggCCAIIAggCCAIIAggCCAIIAhECAwJMAh4AAtcCAgJJAgQCBQIGAgcCCAIJAgoCCwI4Ag0CCAIIAggCCAIIAggCCAIIAggCCAIIAggCCAIIAggCCAIIAhECAwJ6AAAEAEoCHgAC1wICAh0CBAIFAgYCBwIIAgkCPQILAjgCDQIIAggCCAIIAggCCAIIAggCCAIIAggCCAIIAggCCAIIAggCEQIDAj4CHgAC1wICAisCBAIFAgYCBwIIAgkCPQILAjgCDQIIAggCCAIIAggCCAIIAggCCAIIAggCCAIIAggCCAIIAggCEQIDAkcCHgAC1wICAkECBAIFAgYCBwIIAgkCPQILAjgCDQIIAggCCAIIAggCCAIIAggCCAIIAggCCAIIAggCCAIIAggCEQIDAkMCHgAC1wICAhsCBAIFAgYCBwIIAgkCPQILAjgCDQIIAggCCAIIAggCCAIIAggCCAIIAggCCAIIAggCCAIIAggCEQIDAkACHgAC1wICAiMCBAIFAgYCBwIIAgkCCgILAjgCDQIIAggCCAIIAggCCAIIAggCCAIIAggCCAIIAggCCAIIAggCEQIDAjkCHgAC1wICAiECBAIFAgYCBwIIAgkCCgILAjgCDQIIAggCCAIIAggCCAIIAggCCAIIAggCCAIIAggCCAIIAggCEQIDAjoCHgAC1wICAhsCBAIFAgYCBwIIAgkCOwILAjgCDQIIAggCCAIIAggCCAIIAggCCAIIAggCCAIIAggCCAIIAggCEQIDAjwCHgAC1wICAikCBAIFAgYCBwIIAgkCPQILAjgCDQIIAggCCAIIAggCCAIIAggCCAIIAggCCAIIAggCCAIIAggCEQIDAloCHgAC1wICAi0CBAIFAgYCBwIIAgkCCgILAjgCDQIIAggCCAIIAggCCAIIAggCCAIIAggCCAIIAggCCAIIAggCEQIDAmACHgAC1wICAisCBAIFAgYCBwIIAgkCCgILAjgCDQIIAggCCAIIAggCCAIIAggCCAIIAggCCAIIAggCCAIIAggCEQIDAmECHgAC1wICAlgCBAIFAgYCBwIIAgkCPQILAjgCDQIIAggCCAIIAggCCAIIAggCCAIIAggCCAIIAggCCAIIAggCEQIDAl8CHgAC1wICApQCBAIFAgYCBwIIAgkCOwILAjgCDQIIAggCCAIIAggCCAIIAggCCAIIAggCCAIIAggCCAIIAggCEQIDAtMCHgAC1wICAicCBAIFAgYCBwIIAgkCCgILAjgCDQIIAggCCAIIAggCCAIIAggCCAIIAggCCAIIAggCCAIIAggCEQIDAo8CHgAC1wICAlgCBAIFAgYCBwIIAgkCOwILAjgCDQIIAggCCAIIAggCCAIIAggCCAIIAggCCAIIAggCCAIIAggCEQIDAlkCHgAC1wICAh8CBAIFAgYCBwIIAgkCPQILAjgCDQIIAggCCAIIAggCCAIIAggCCAIIAggCCAIIAgh6AAAEAAIIAggCCAIRAgMCgwIeAALXAgICKQIEAgUCBgIHAggCCQI7AgsCOAINAggCCAIIAggCCAIIAggCCAIIAggCCAIIAggCCAIIAggCCAIRAgMCWwIeAALXAgICZQIEAgUCBgIHAggCCQIKAgsCOAINAggCCAIIAggCCAIIAggCCAIIAggCCAIIAggCCAIIAggCCAIRAgMCjAIeAALXAgICLwIEAgUCBgIHAggCCQI7AgsCOAINAggCCAIIAggCCAIIAggCCAIIAggCCAIIAggCCAIIAggCCAIRAgMCjQIeAALXAgICAwIEAgUCBgIHAggCCQIKAgsCOAINAggCCAIIAggCCAIIAggCCAIIAggCCAIIAggCCAIIAggCCAIRAgMChgIeAALXAgICYgIEAgUCBgIHAggCCQIKAgsCOAINAggCCAIIAggCCAIIAggCCAIIAggCCAIIAggCCAIIAggCCAIRAgMCggIeAALXAgICGwIEAgUCBgIHAggCCQIKAgsCOAINAggCCAIIAggCCAIIAggCCAIIAggCCAIIAggCCAIIAggCCAIRAgMCiAIeAALXAgICIwIEAgUCBgIHAggCCQI9AgsCOAINAggCCAIIAggCCAIIAggCCAIIAggCCAIIAggCCAIIAggCCAIRAgMCQAIeAALXAgICagIEAgUCBgIHAggCCQI9AgsCOAINAggCCAIIAggCCAIIAggCCAIIAggCCAIIAggCCAIIAggCCAIRAgMChAIeAALXAgICMwIEAgUCBgIHAggCCQIKAgsCOAINAggCCAIIAggCCAIIAggCCAIIAggCCAIIAggCCAIIAggCCAIRAgMCbwIeAALXAgICIwIEAgUCBgIHAggCCQI7AgsCOAINAggCCAIIAggCCAIIAggCCAIIAggCCAIIAggCCAIIAggCCAIRAgMChQIeAALXAgICbQIEAgUCBgIHAggCCQI7AgsCOAINAggCCAIIAggCCAIIAggCCAIIAggCCAIIAggCCAIIAggCCAIRAgMCfAIeAALXAgICIQIEAgUCBgIHAggCCQI9AgsCOAINAggCCAIIAggCCAIIAggCCAIIAggCCAIIAggCCAIIAggCCAIRAgMCgAIeAALXAgICIQIEAgUCBgIHAggCCQI7AgsCOAINAggCCAIIAggCCAIIAggCCAIIAggCCAIIAggCCAIIAggCCAIRAgMCgQIeAALXAgICJwIEAgUCBgIHAggCCQI7AgsCOAINAggCCAIIAggCCAIIAggCCAIIAggCCAIIAggCCAIIAggCCAIRAgMCaAIeAALXAgICRQIEAgUCBgIHAggCCQI9AgsCOAINAggCCAIIAggCCAIIAggCCAJ6AAABPggCCAIIAggCCAIIAggCCAIIAhECAwJGAh4AAtcCAgKUAgQCBQIGAgcCCAIJAgoCCwI4Ag0CCAIIAggCCAIIAggCCAIIAggCCAIIAggCCAIIAggCCAIIAhECAwLUAh4AAtcCAgIlAgQCBQIGAgcCCAIJAgoCCwI4Ag0CCAIIAggCCAIIAggCCAIIAggCCAIIAggCCAIIAggCCAIIAhECAwJEAh4AAtcCAgJtAgQCBQIGAgcCCAIJAj0CCwI4Ag0CCAIIAggCCAIIAggCCAIIAggCCAIIAggCCAIIAggCCAIIAhECAwJ+Ah4AAtgACTU2OTQ5MTkyOAICAtkABjIwMTMxMgIEAgUCBgIHAggCCQKRAgsCDAINAggCCAIIAggCCAIIAggCCAIIAggCCAIIAggCCAIIAggCCAIeAgMC2nNxAH4AAAAAAAJzcQB+AAT///////////////7////+/////3VxAH4ABwAAAAMU5eR4eHoAAAQAAh4AAtsACTU2OTQ4MDMyOAICAi8CBAIFAgYCBwIIAgkCCgILAgwCDQIIAggCCAIIAggCCAIIAggCCAIIAggCCAIIAggCCAIIAggCFAIDAjACHgAC2wICAkkCBAIFAgYCBwIIAgkCCgILAgwCDQIIAggCCAIIAggCCAIIAggCCAIIAggCCAIIAggCCAIIAggCFAIDApwCHgAC2wICAiECBAIFAgYCBwIIAgkCOwILAgwCDQIIAggCCAIIAggCCAIIAggCCAIIAggCCAIIAggCCAIIAggCFAIDAqECHgAC2wICAjUCBAIFAgYCBwIIAgkCCgILAgwCDQIIAggCCAIIAggCCAIIAggCCAIIAggCCAIIAggCCAIIAggCFAIDAjYCHgAC2wICAk8CBAIFAgYCBwIIAgkCCgILAgwCDQIIAggCCAIIAggCCAIIAggCCAIIAggCCAIIAggCCAIIAggCFAIDAqMCHgAC2wICAkECBAIFAgYCBwIIAgkCkQILAgwCDQIIAggCCAIIAggCCAIIAggCCAIIAggCCAIIAggCCAIIAggCFAIDApMCHgAC2wICAh0CBAIFAgYCBwIIAgkCkQILAgwCDQIIAggCCAIIAggCCAIIAggCCAIIAggCCAIIAggCCAIIAggCFAIDApICHgAC2wICAiUCBAIFAgYCBwIIAgkCOwILAgwCDQIIAggCCAIIAggCCAIIAggCCAIIAggCCAIIAggCCAIIAggCFAIDApYCHgAC2wICAkkCBAIFAgYCBwIIAgkCOwILAgwCDQIIAggCCAIIAggCCAIIAggCCAIIAggCCAIIAggCCAIIAggCFAIDApcCHgAC2wICAicCBAIFAgYCBwIIAgkCCgILAgwCDQIIAggCCAIIAggCCAIIAggCCAIIAggCCAIIAggCCAIIAggCFAIDAigCHgAC2wICAkUCBAIFAgYCBwIIAgkCkQILAgwCDQIIAggCCAIIAggCCAIIAggCCAIIAggCCAIIAggCCAIIAggCFAIDAsgCHgAC2wICAm0CBAIFAgYCBwIIAgkCkQILAgwCDQIIAggCCAIIAggCCAIIAggCCAIIAggCCAIIAggCCAIIAggCFAIDAsMCHgAC2wICAmUCBAIFAgYCBwIIAgkCCgILAgwCDQIIAggCCAIIAggCCAIIAggCCAIIAggCCAIIAggCCAIIAggCFAIDApgCHgAC2wICAjMCBAIFAgYCBwIIAgkCkQILAgwCDQIIAggCCAIIAggCCAIIAggCCAIIAggCCAIIAggCCAIIAggCFAIDAq4CHgAC2wICAisCBAIFAgYCBwIIAgkCCgILAgwCDQIIAggCCAIIAggCCAIIAggCCHoAAAQAAggCCAIIAggCCAIIAggCCAIUAgMCLAIeAALbAgICMQIEAgUCBgIHAggCCQIKAgsCDAINAggCCAIIAggCCAIIAggCCAIIAggCCAIIAggCCAIIAggCCAIUAgMCMgIeAALbAgICTwIEAgUCBgIHAggCCQI7AgsCDAINAggCCAIIAggCCAIIAggCCAIIAggCCAIIAggCCAIIAggCCAIUAgMCsgIeAALbAgICRQIEAgUCBgIHAggCCQIKAgsCDAINAggCCAIIAggCCAIIAggCCAIIAggCCAIIAggCCAIIAggCCAIUAgMCrQIeAALbAgICNQIEAgUCBgIHAggCCQI7AgsCDAINAggCCAIIAggCCAIIAggCCAIIAggCCAIIAggCCAIIAggCCAIUAgMCsQIeAALbAgICXAIEAgUCBgIHAggCCQIKAgsCDAINAggCCAIIAggCCAIIAggCCAIIAggCCAIIAggCCAIIAggCCAIUAgMCxwIeAALbAgICQQIEAgUCBgIHAggCCQI7AgsCDAINAggCCAIIAggCCAIIAggCCAIIAggCCAIIAggCCAIIAggCCAIUAgMCqwIeAALbAgICIQIEAgUCBgIHAggCCQIKAgsCDAINAggCCAIIAggCCAIIAggCCAIIAggCCAIIAggCCAIIAggCCAIUAgMCIgIeAALbAgICZQIEAgUCBgIHAggCCQKRAgsCDAINAggCCAIIAggCCAIIAggCCAIIAggCCAIIAggCCAIIAggCCAIUAgMCtgIeAALbAgICGwIEAgUCBgIHAggCCQKRAgsCDAINAggCCAIIAggCCAIIAggCCAIIAggCCAIIAggCCAIIAggCCAIUAgMCQAIeAALbAgICagIEAgUCBgIHAggCCQIKAgsCDAINAggCCAIIAggCCAIIAggCCAIIAggCCAIIAggCCAIIAggCCAIUAgMCqgIeAALbAgICMQIEAgUCBgIHAggCCQI7AgsCDAINAggCCAIIAggCCAIIAggCCAIIAggCCAIIAggCCAIIAggCCAIUAgMCrAIeAALbAgICHQIEAgUCBgIHAggCCQI7AgsCDAINAggCCAIIAggCCAIIAggCCAIIAggCCAIIAggCCAIIAggCCAIUAgMCqAIeAALbAgICKwIEAgUCBgIHAggCCQI7AgsCDAINAggCCAIIAggCCAIIAggCCAIIAggCCAIIAggCCAIIAggCCAIUAgMCqQIeAALbAgICLQIEAgUCBgIHAggCCQI7AgsCDAINAggCCAIIAggCCAIIAggCCAIIAggCCAIIAggCCAIIAggCCAIUAgMCngIeAALbAgICKQIEAgUCBgIHAggCCQKRAgsCDAINAggCCAIIAnoAAAQACAIIAggCCAIIAggCCAIIAggCCAIIAggCCAIIAhQCAwKbAh4AAtsCAgIDAgQCBQIGAgcCCAIJApECCwIMAg0CCAIIAggCCAIIAggCCAIIAggCCAIIAggCCAIIAggCCAIIAhQCAwJAAh4AAtsCAgIfAgQCBQIGAgcCCAIJAgoCCwIMAg0CCAIIAggCCAIIAggCCAIIAggCCAIIAggCCAIIAggCCAIIAhQCAwIgAh4AAtsCAgJiAgQCBQIGAgcCCAIJApECCwIMAg0CCAIIAggCCAIIAggCCAIIAggCCAIIAggCCAIIAggCCAIIAhQCAwK3Ah4AAtsCAgJYAgQCBQIGAgcCCAIJApECCwIMAg0CCAIIAggCCAIIAggCCAIIAggCCAIIAggCCAIIAggCCAIIAhQCAwKfAh4AAtsCAgIpAgQCBQIGAgcCCAIJAgoCCwIMAg0CCAIIAggCCAIIAggCCAIIAggCCAIIAggCCAIIAggCCAIIAhQCAwIqAh4AAtsCAgJYAgQCBQIGAgcCCAIJAgoCCwIMAg0CCAIIAggCCAIIAggCCAIIAggCCAIIAggCCAIIAggCCAIIAhQCAwK/Ah4AAtsCAgJwAgQCBQIGAgcCCAIJAjsCCwIMAg0CCAIIAggCCAIIAggCCAIIAggCCAIIAggCCAIIAggCCAIIAhQCAwK6Ah4AAtsCAgIzAgQCBQIGAgcCCAIJAjsCCwIMAg0CCAIIAggCCAIIAggCCAIIAggCCAIIAggCCAIIAggCCAIIAhQCAwK5Ah4AAtsCAgIlAgQCBQIGAgcCCAIJApECCwIMAg0CCAIIAggCCAIIAggCCAIIAggCCAIIAggCCAIIAggCCAIIAhQCAwKnAh4AAtsCAgJcAgQCBQIGAgcCCAIJAjsCCwIMAg0CCAIIAggCCAIIAggCCAIIAggCCAIIAggCCAIIAggCCAIIAhQCAwKmAh4AAtsCAgIvAgQCBQIGAgcCCAIJApECCwIMAg0CCAIIAggCCAIIAggCCAIIAggCCAIIAggCCAIIAggCCAIIAhQCAwLGAh4AAtsCAgJJAgQCBQIGAgcCCAIJApECCwIMAg0CCAIIAggCCAIIAggCCAIIAggCCAIIAggCCAIIAggCCAIIAhQCAwKwAh4AAtsCAgIdAgQCBQIGAgcCCAIJAgoCCwIMAg0CCAIIAggCCAIIAggCCAIIAggCCAIIAggCCAIIAggCCAIIAhQCAwIeAh4AAtsCAgJBAgQCBQIGAgcCCAIJAgoCCwIMAg0CCAIIAggCCAIIAggCCAIIAggCCAIIAggCCAIIAggCCAIIAhQCAwK1Ah4AAtsCAgInAgQCBQIGAgcCCAIJApECC3oAAAQAAgwCDQIIAggCCAIIAggCCAIIAggCCAIIAggCCAIIAggCCAIIAggCFAIDArgCHgAC2wICAhsCBAIFAgYCBwIIAgkCCgILAgwCDQIIAggCCAIIAggCCAIIAggCCAIIAggCCAIIAggCCAIIAggCFAIDAhwCHgAC2wICAh8CBAIFAgYCBwIIAgkCOwILAgwCDQIIAggCCAIIAggCCAIIAggCCAIIAggCCAIIAggCCAIIAggCFAIDArMCHgAC2wICAmoCBAIFAgYCBwIIAgkCOwILAgwCDQIIAggCCAIIAggCCAIIAggCCAIIAggCCAIIAggCCAIIAggCFAIDArQCHgAC2wICAm0CBAIFAgYCBwIIAgkCCgILAgwCDQIIAggCCAIIAggCCAIIAggCCAIIAggCCAIIAggCCAIIAggCFAIDAqUCHgAC2wICAgMCBAIFAgYCBwIIAgkCOwILAgwCDQIIAggCCAIIAggCCAIIAggCCAIIAggCCAIIAggCCAIIAggCFAIDAssCHgAC2wICAiECBAIFAgYCBwIIAgkCkQILAgwCDQIIAggCCAIIAggCCAIIAggCCAIIAggCCAIIAggCCAIIAggCFAIDAsoCHgAC2wICAlgCBAIFAgYCBwIIAgkCOwILAgwCDQIIAggCCAIIAggCCAIIAggCCAIIAggCCAIIAggCCAIIAggCFAIDAs4CHgAC2wICAmICBAIFAgYCBwIIAgkCOwILAgwCDQIIAggCCAIIAggCCAIIAggCCAIIAggCCAIIAggCCAIIAggCFAIDAswCHgAC2wICAi0CBAIFAgYCBwIIAgkCCgILAgwCDQIIAggCCAIIAggCCAIIAggCCAIIAggCCAIIAggCCAIIAggCFAIDAi4CHgAC2wICAnACBAIFAgYCBwIIAgkCkQILAgwCDQIIAggCCAIIAggCCAIIAggCCAIIAggCCAIIAggCCAIIAggCFAIDAq8CHgAC2wICAi8CBAIFAgYCBwIIAgkCOwILAgwCDQIIAggCCAIIAggCCAIIAggCCAIIAggCCAIIAggCCAIIAggCFAIDApkCHgAC2wICAnACBAIFAgYCBwIIAgkCCgILAgwCDQIIAggCCAIIAggCCAIIAggCCAIIAggCCAIIAggCCAIIAggCFAIDAskCHgAC2wICAi0CBAIFAgYCBwIIAgkCkQILAgwCDQIIAggCCAIIAggCCAIIAggCCAIIAggCCAIIAggCCAIIAggCFAIDAkACHgAC2wICAikCBAIFAgYCBwIIAgkCOwILAgwCDQIIAggCCAIIAggCCAIIAggCCAIIAggCCAIIAggCCAIIAggCFAIDAs0CHgAC2wICAjECBAIFAnoAAAQABgIHAggCCQKRAgsCDAINAggCCAIIAggCCAIIAggCCAIIAggCCAIIAggCCAIIAggCCAIUAgMCQAIeAALbAgICXAIEAgUCBgIHAggCCQKRAgsCDAINAggCCAIIAggCCAIIAggCCAIIAggCCAIIAggCCAIIAggCCAIUAgMCuwIeAALbAgICKwIEAgUCBgIHAggCCQKRAgsCDAINAggCCAIIAggCCAIIAggCCAIIAggCCAIIAggCCAIIAggCCAIUAgMCnQIeAALbAgICGwIEAgUCBgIHAggCCQI7AgsCDAINAggCCAIIAggCCAIIAggCCAIIAggCCAIIAggCCAIIAggCCAIUAgMCwgIeAALbAgICMwIEAgUCBgIHAggCCQIKAgsCDAINAggCCAIIAggCCAIIAggCCAIIAggCCAIIAggCCAIIAggCCAIUAgMCNAIeAALbAgICagIEAgUCBgIHAggCCQKRAgsCDAINAggCCAIIAggCCAIIAggCCAIIAggCCAIIAggCCAIIAggCCAIUAgMCwQIeAALbAgICJwIEAgUCBgIHAggCCQI7AgsCDAINAggCCAIIAggCCAIIAggCCAIIAggCCAIIAggCCAIIAggCCAIUAgMCxAIeAALbAgICAwIEAgUCBgIHAggCCQIKAgsCDAINAggCCAIIAggCCAIIAggCCAIIAggCCAIIAggCCAIIAggCCAIUAgMCDgIeAALbAgICZQIEAgUCBgIHAggCCQI7AgsCDAINAggCCAIIAggCCAIIAggCCAIIAggCCAIIAggCCAIIAggCCAIUAgMCxQIeAALbAgICYgIEAgUCBgIHAggCCQIKAgsCDAINAggCCAIIAggCCAIIAggCCAIIAggCCAIIAggCCAIIAggCCAIUAgMCpAIeAALbAgICHwIEAgUCBgIHAggCCQKRAgsCDAINAggCCAIIAggCCAIIAggCCAIIAggCCAIIAggCCAIIAggCCAIUAgMCwAIeAALbAgICRQIEAgUCBgIHAggCCQI7AgsCDAINAggCCAIIAggCCAIIAggCCAIIAggCCAIIAggCCAIIAggCCAIUAgMCogIeAALbAgICbQIEAgUCBgIHAggCCQI7AgsCDAINAggCCAIIAggCCAIIAggCCAIIAggCCAIIAggCCAIIAggCCAIUAgMCvQIeAALbAgICNQIEAgUCBgIHAggCCQKRAgsCDAINAggCCAIIAggCCAIIAggCCAIIAggCCAIIAggCCAIIAggCCAIUAgMCvgIeAALbAgICTwIEAgUCBgIHAggCCQKRAgsCDAINAggCCAIIAggCCAIIAggCCAIIAggCCAIIAggCCAIIAggCCAIUAgMCvAIeAHoAAAQAAtsCAgIlAgQCBQIGAgcCCAIJAgoCCwIMAg0CCAIIAggCCAIIAggCCAIIAggCCAIIAggCCAIIAggCCAIIAhQCAwImAh4AAtwACTU1NzQ5NDkwNAICAjECBAIFAgYCBwIIAgkCOwILAgwCDQIIAggCCAIIAggCCAIIAggCCAIIAggCCAIIAggCCAIIAggCDgIDAqwCHgAC3AICAiUCBAIFAgYCBwIIAgkCOwILAgwCDQIIAggCCAIIAggCCAIIAggCCAIIAggCCAIIAggCCAIIAggCDgIDApYCHgAC3AICAisCBAIFAgYCBwIIAgkCOwILAgwCDQIIAggCCAIIAggCCAIIAggCCAIIAggCCAIIAggCCAIIAggCDgIDAqkCHgAC3AICAi0CBAIFAgYCBwIIAgkCOwILAgwCDQIIAggCCAIIAggCCAIIAggCCAIIAggCCAIIAggCCAIIAggCDgIDAp4CHgAC3AICAjMCBAIFAgYCBwIIAgkCOwILAgwCDQIIAggCCAIIAggCCAIIAggCCAIIAggCCAIIAggCCAIIAggCDgIDArkCHgAC3AICAikCBAIFAgYCBwIIAgkCOwILAgwCDQIIAggCCAIIAggCCAIIAggCCAIIAggCCAIIAggCCAIIAggCDgIDAs0CHgAC3AICAgMCBAIFAgYCBwIIAgkCOwILAgwCDQIIAggCCAIIAggCCAIIAggCCAIIAggCCAIIAggCCAIIAggCDgIDAssCHgAC3AICAiECBAIFAgYCBwIIAgkCOwILAgwCDQIIAggCCAIIAggCCAIIAggCCAIIAggCCAIIAggCCAIIAggCDgIDAqECHgAC3AICAjUCBAIFAgYCBwIIAgkCOwILAgwCDQIIAggCCAIIAggCCAIIAggCCAIIAggCCAIIAggCCAIIAggCDgIDArECHgAC3AICAh0CBAIFAgYCBwIIAgkCOwILAgwCDQIIAggCCAIIAggCCAIIAggCCAIIAggCCAIIAggCCAIIAggCDgIDAqgCHgAC3AICAiMCBAIFAgYCBwIIAgkCOwILAgwCDQIIAggCCAIIAggCCAIIAggCCAIIAggCCAIIAggCCAIIAggCDgIDAqACHgAC3AICAhsCBAIFAgYCBwIIAgkCOwILAgwCDQIIAggCCAIIAggCCAIIAggCCAIIAggCCAIIAggCCAIIAggCDgIDAsICHgAC3AICAi8CBAIFAgYCBwIIAgkCOwILAgwCDQIIAggCCAIIAggCCAIIAggCCAIIAggCCAIIAggCCAIIAggCDgIDApkCHgAC3AICAh8CBAIFAgYCBwIIAgkCOwILAgwCDQIIAggCCAIIAggCCAIIAggCCAIIAnoAAAQACAIIAggCCAIIAggCCAIOAgMCswIeAALcAgICJwIEAgUCBgIHAggCCQI7AgsCDAINAggCCAIIAggCCAIIAggCCAIIAggCCAIIAggCCAIIAggCCAIOAgMCxAIeAALdAAk1Njk0ODI2NDgCAgJqAgQCBQIGAgcCCAIJApECCwIMAg0CCAIIAggCCAIIAggCCAIIAggCCAIIAggCCAIIAggCCAIIAhYCAwLBAh4AAt0CAgIhAgQCBQIGAgcCCAIJAgoCCwIMAg0CCAIIAggCCAIIAggCCAIIAggCCAIIAggCCAIIAggCCAIIAhYCAwIiAh4AAt0CAgIlAgQCBQIGAgcCCAIJAgoCCwIMAg0CCAIIAggCCAIIAggCCAIIAggCCAIIAggCCAIIAggCCAIIAhYCAwImAh4AAt0CAgJtAgQCBQIGAgcCCAIJApECCwIMAg0CCAIIAggCCAIIAggCCAIIAggCCAIIAggCCAIIAggCCAIIAhYCAwLDAh4AAt0CAgJYAgQCBQIGAgcCCAIJApECCwIMAg0CCAIIAggCCAIIAggCCAIIAggCCAIIAggCCAIIAggCCAIIAhYCAwKfAh4AAt0CAgJFAgQCBQIGAgcCCAIJAjsCCwIMAg0CCAIIAggCCAIIAggCCAIIAggCCAIIAggCCAIIAggCCAIIAhYCAwKiAh4AAt0CAgIpAgQCBQIGAgcCCAIJApECCwIMAg0CCAIIAggCCAIIAggCCAIIAggCCAIIAggCCAIIAggCCAIIAhYCAwKbAh4AAt0CAgIrAgQCBQIGAgcCCAIJAgoCCwIMAg0CCAIIAggCCAIIAggCCAIIAggCCAIIAggCCAIIAggCCAIIAhYCAwIsAh4AAt0CAgJwAgQCBQIGAgcCCAIJApECCwIMAg0CCAIIAggCCAIIAggCCAIIAggCCAIIAggCCAIIAggCCAIIAhYCAwKvAh4AAt0CAgIhAgQCBQIGAgcCCAIJAjsCCwIMAg0CCAIIAggCCAIIAggCCAIIAggCCAIIAggCCAIIAggCCAIIAhYCAwKhAh4AAt0CAgIxAgQCBQIGAgcCCAIJApECCwIMAg0CCAIIAggCCAIIAggCCAIIAggCCAIIAggCCAIIAggCCAIIAhYCAwJAAh4AAt0CAgI1AgQCBQIGAgcCCAIJAgoCCwIMAg0CCAIIAggCCAIIAggCCAIIAggCCAIIAggCCAIIAggCCAIIAhYCAwI2Ah4AAt0CAgJcAgQCBQIGAgcCCAIJApECCwIMAg0CCAIIAggCCAIIAggCCAIIAggCCAIIAggCCAIIAggCCAIIAhYCAwK7Ah4AAt0CAgJBAgQCBQIGAgcCCAIJApECCwIMAnoAAAQADQIIAggCCAIIAggCCAIIAggCCAIIAggCCAIIAggCCAIIAggCFgIDApMCHgAC3QICAicCBAIFAgYCBwIIAgkCkQILAgwCDQIIAggCCAIIAggCCAIIAggCCAIIAggCCAIIAggCCAIIAggCFgIDArgCHgAC3QICAh0CBAIFAgYCBwIIAgkCkQILAgwCDQIIAggCCAIIAggCCAIIAggCCAIIAggCCAIIAggCCAIIAggCFgIDApICHgAC3QICAhsCBAIFAgYCBwIIAgkCCgILAgwCDQIIAggCCAIIAggCCAIIAggCCAIIAggCCAIIAggCCAIIAggCFgIDAhwCHgAC3QICAgMCBAIFAgYCBwIIAgkCCgILAgwCDQIIAggCCAIIAggCCAIIAggCCAIIAggCCAIIAggCCAIIAggCFgIDAg4CHgAC3QICAmICBAIFAgYCBwIIAgkCCgILAgwCDQIIAggCCAIIAggCCAIIAggCCAIIAggCCAIIAggCCAIIAggCFgIDAqQCHgAC3QICAh0CBAIFAgYCBwIIAgkCCgILAgwCDQIIAggCCAIIAggCCAIIAggCCAIIAggCCAIIAggCCAIIAggCFgIDAh4CHgAC3QICAiUCBAIFAgYCBwIIAgkCOwILAgwCDQIIAggCCAIIAggCCAIIAggCCAIIAggCCAIIAggCCAIIAggCFgIDApYCHgAC3QICAkECBAIFAgYCBwIIAgkCCgILAgwCDQIIAggCCAIIAggCCAIIAggCCAIIAggCCAIIAggCCAIIAggCFgIDArUCHgAC3QICAlgCBAIFAgYCBwIIAgkCOwILAgwCDQIIAggCCAIIAggCCAIIAggCCAIIAggCCAIIAggCCAIIAggCFgIDAs4CHgAC3QICAkUCBAIFAgYCBwIIAgkCkQILAgwCDQIIAggCCAIIAggCCAIIAggCCAIIAggCCAIIAggCCAIIAggCFgIDAsgCHgAC3QICAm0CBAIFAgYCBwIIAgkCOwILAgwCDQIIAggCCAIIAggCCAIIAggCCAIIAggCCAIIAggCCAIIAggCFgIDAr0CHgAC3QICAjUCBAIFAgYCBwIIAgkCkQILAgwCDQIIAggCCAIIAggCCAIIAggCCAIIAggCCAIIAggCCAIIAggCFgIDAr4CHgAC3QICAk8CBAIFAgYCBwIIAgkCkQILAgwCDQIIAggCCAIIAggCCAIIAggCCAIIAggCCAIIAggCCAIIAggCFgIDArwCHgAC3QICAjMCBAIFAgYCBwIIAgkCCgILAgwCDQIIAggCCAIIAggCCAIIAggCCAIIAggCCAIIAggCCAIIAggCFgIDAjQCHgAC3QICAnACBAIFAgYCB3oAAAQAAggCCQIKAgsCDAINAggCCAIIAggCCAIIAggCCAIIAggCCAIIAggCCAIIAggCCAIWAgMCyQIeAALdAgICKQIEAgUCBgIHAggCCQI7AgsCDAINAggCCAIIAggCCAIIAggCCAIIAggCCAIIAggCCAIIAggCCAIWAgMCzQIeAALdAgICSQIEAgUCBgIHAggCCQIKAgsCDAINAggCCAIIAggCCAIIAggCCAIIAggCCAIIAggCCAIIAggCCAIWAgMCnAIeAALdAgICGwIEAgUCBgIHAggCCQI7AgsCDAINAggCCAIIAggCCAIIAggCCAIIAggCCAIIAggCCAIIAggCCAIWAgMCwgIeAALdAgICLwIEAgUCBgIHAggCCQKRAgsCDAINAggCCAIIAggCCAIIAggCCAIIAggCCAIIAggCCAIIAggCCAIWAgMCxgIeAALdAgICHwIEAgUCBgIHAggCCQKRAgsCDAINAggCCAIIAggCCAIIAggCCAIIAggCCAIIAggCCAIIAggCCAIWAgMCwAIeAALdAgICJwIEAgUCBgIHAggCCQI7AgsCDAINAggCCAIIAggCCAIIAggCCAIIAggCCAIIAggCCAIIAggCCAIWAgMCxAIeAALdAgICZQIEAgUCBgIHAggCCQI7AgsCDAINAggCCAIIAggCCAIIAggCCAIIAggCCAIIAggCCAIIAggCCAIWAgMCxQIeAALdAgICHwIEAgUCBgIHAggCCQIKAgsCDAINAggCCAIIAggCCAIIAggCCAIIAggCCAIIAggCCAIIAggCCAIWAgMCIAIeAALdAgICbQIEAgUCBgIHAggCCQIKAgsCDAINAggCCAIIAggCCAIIAggCCAIIAggCCAIIAggCCAIIAggCCAIWAgMCpQIeAALdAgICagIEAgUCBgIHAggCCQIKAgsCDAINAggCCAIIAggCCAIIAggCCAIIAggCCAIIAggCCAIIAggCCAIWAgMCqgIeAALdAgICAwIEAgUCBgIHAggCCQI7AgsCDAINAggCCAIIAggCCAIIAggCCAIIAggCCAIIAggCCAIIAggCCAIWAgMCywIeAALdAgICYgIEAgUCBgIHAggCCQI7AgsCDAINAggCCAIIAggCCAIIAggCCAIIAggCCAIIAggCCAIIAggCCAIWAgMCzAIeAALdAgICcAIEAgUCBgIHAggCCQI7AgsCDAINAggCCAIIAggCCAIIAggCCAIIAggCCAIIAggCCAIIAggCCAIWAgMCugIeAALdAgICIQIEAgUCBgIHAggCCQKRAgsCDAINAggCCAIIAggCCAIIAggCCAIIAggCCAIIAggCCAIIAggCCAIWAgMCygIeAALdAnoAAAQAAgIpAgQCBQIGAgcCCAIJAgoCCwIMAg0CCAIIAggCCAIIAggCCAIIAggCCAIIAggCCAIIAggCCAIIAhYCAwIqAh4AAt0CAgJYAgQCBQIGAgcCCAIJAgoCCwIMAg0CCAIIAggCCAIIAggCCAIIAggCCAIIAggCCAIIAggCCAIIAhYCAwK/Ah4AAt0CAgIxAgQCBQIGAgcCCAIJAgoCCwIMAg0CCAIIAggCCAIIAggCCAIIAggCCAIIAggCCAIIAggCCAIIAhYCAwIyAh4AAt0CAgIvAgQCBQIGAgcCCAIJAjsCCwIMAg0CCAIIAggCCAIIAggCCAIIAggCCAIIAggCCAIIAggCCAIIAhYCAwKZAh4AAt0CAgJcAgQCBQIGAgcCCAIJAgoCCwIMAg0CCAIIAggCCAIIAggCCAIIAggCCAIIAggCCAIIAggCCAIIAhYCAwLHAh4AAt0CAgIzAgQCBQIGAgcCCAIJAjsCCwIMAg0CCAIIAggCCAIIAggCCAIIAggCCAIIAggCCAIIAggCCAIIAhYCAwK5Ah4AAt0CAgJJAgQCBQIGAgcCCAIJAjsCCwIMAg0CCAIIAggCCAIIAggCCAIIAggCCAIIAggCCAIIAggCCAIIAhYCAwKXAh4AAt0CAgJqAgQCBQIGAgcCCAIJAjsCCwIMAg0CCAIIAggCCAIIAggCCAIIAggCCAIIAggCCAIIAggCCAIIAhYCAwK0Ah4AAt0CAgIrAgQCBQIGAgcCCAIJApECCwIMAg0CCAIIAggCCAIIAggCCAIIAggCCAIIAggCCAIIAggCCAIIAhYCAwKdAh4AAt0CAgJlAgQCBQIGAgcCCAIJApECCwIMAg0CCAIIAggCCAIIAggCCAIIAggCCAIIAggCCAIIAggCCAIIAhYCAwK2Ah4AAt0CAgIfAgQCBQIGAgcCCAIJAjsCCwIMAg0CCAIIAggCCAIIAggCCAIIAggCCAIIAggCCAIIAggCCAIIAhYCAwKzAh4AAt0CAgIbAgQCBQIGAgcCCAIJApECCwIMAg0CCAIIAggCCAIIAggCCAIIAggCCAIIAggCCAIIAggCCAIIAhYCAwJAAh4AAt0CAgJlAgQCBQIGAgcCCAIJAgoCCwIMAg0CCAIIAggCCAIIAggCCAIIAggCCAIIAggCCAIIAggCCAIIAhYCAwKYAh4AAt0CAgJPAgQCBQIGAgcCCAIJAgoCCwIMAg0CCAIIAggCCAIIAggCCAIIAggCCAIIAggCCAIIAggCCAIIAhYCAwKjAh4AAt0CAgInAgQCBQIGAgcCCAIJAgoCCwIMAg0CCAIIAggCCAIIAggCCAIIAggCCAIIAggCCAIIAggCCAIIAnoAAAQAFgIDAigCHgAC3QICAmICBAIFAgYCBwIIAgkCkQILAgwCDQIIAggCCAIIAggCCAIIAggCCAIIAggCCAIIAggCCAIIAggCFgIDArcCHgAC3QICAgMCBAIFAgYCBwIIAgkCkQILAgwCDQIIAggCCAIIAggCCAIIAggCCAIIAggCCAIIAggCCAIIAggCFgIDAkACHgAC3QICAjMCBAIFAgYCBwIIAgkCkQILAgwCDQIIAggCCAIIAggCCAIIAggCCAIIAggCCAIIAggCCAIIAggCFgIDAq4CHgAC3QICAk8CBAIFAgYCBwIIAgkCOwILAgwCDQIIAggCCAIIAggCCAIIAggCCAIIAggCCAIIAggCCAIIAggCFgIDArICHgAC3QICAi8CBAIFAgYCBwIIAgkCCgILAgwCDQIIAggCCAIIAggCCAIIAggCCAIIAggCCAIIAggCCAIIAggCFgIDAjACHgAC3QICAkUCBAIFAgYCBwIIAgkCCgILAgwCDQIIAggCCAIIAggCCAIIAggCCAIIAggCCAIIAggCCAIIAggCFgIDAq0CHgAC3QICAjUCBAIFAgYCBwIIAgkCOwILAgwCDQIIAggCCAIIAggCCAIIAggCCAIIAggCCAIIAggCCAIIAggCFgIDArECHgAC3QICAisCBAIFAgYCBwIIAgkCOwILAgwCDQIIAggCCAIIAggCCAIIAggCCAIIAggCCAIIAggCCAIIAggCFgIDAqkCHgAC3QICAjECBAIFAgYCBwIIAgkCOwILAgwCDQIIAggCCAIIAggCCAIIAggCCAIIAggCCAIIAggCCAIIAggCFgIDAqwCHgAC3QICAh0CBAIFAgYCBwIIAgkCOwILAgwCDQIIAggCCAIIAggCCAIIAggCCAIIAggCCAIIAggCCAIIAggCFgIDAqgCHgAC3QICAkECBAIFAgYCBwIIAgkCOwILAgwCDQIIAggCCAIIAggCCAIIAggCCAIIAggCCAIIAggCCAIIAggCFgIDAqsCHgAC3QICAlwCBAIFAgYCBwIIAgkCOwILAgwCDQIIAggCCAIIAggCCAIIAggCCAIIAggCCAIIAggCCAIIAggCFgIDAqYCHgAC3QICAkkCBAIFAgYCBwIIAgkCkQILAgwCDQIIAggCCAIIAggCCAIIAggCCAIIAggCCAIIAggCCAIIAggCFgIDArACHgAC3QICAiUCBAIFAgYCBwIIAgkCkQILAgwCDQIIAggCCAIIAggCCAIIAggCCAIIAggCCAIIAggCCAIIAggCFgIDAqcCHgAC3gAJNTY5NDgzODA4AgICKwIEAgUCBgIHAggCCQIKAgsCOAINAggCCAIIAggCCAIIAnoAAAQACAIIAggCCAIIAggCCAIIAggCCAIIAhcCAwJhAh4AAt4CAgJYAgQCBQIGAgcCCAIJAj0CCwI4Ag0CCAIIAggCCAIIAggCCAIIAggCCAIIAggCCAIIAggCCAIIAhcCAwJfAh4AAt4CAgJYAgQCBQIGAgcCCAIJAjsCCwI4Ag0CCAIIAggCCAIIAggCCAIIAggCCAIIAggCCAIIAggCCAIIAhcCAwJZAh4AAt4CAgIpAgQCBQIGAgcCCAIJAj0CCwI4Ag0CCAIIAggCCAIIAggCCAIIAggCCAIIAggCCAIIAggCCAIIAhcCAwJaAh4AAt4CAgIpAgQCBQIGAgcCCAIJAjsCCwI4Ag0CCAIIAggCCAIIAggCCAIIAggCCAIIAggCCAIIAggCCAIIAhcCAwJbAh4AAt4CAgJFAgQCBQIGAgcCCAIJAgoCCwI4Ag0CCAIIAggCCAIIAggCCAIIAggCCAIIAggCCAIIAggCCAIIAhcCAwKKAh4AAt4CAgIdAgQCBQIGAgcCCAIJAgoCCwI4Ag0CCAIIAggCCAIIAggCCAIIAggCCAIIAggCCAIIAggCCAIIAhcCAwJOAh4AAt4CAgJqAgQCBQIGAgcCCAIJAjsCCwI4Ag0CCAIIAggCCAIIAggCCAIIAggCCAIIAggCCAIIAggCCAIIAhcCAwJ/Ah4AAt4CAgJqAgQCBQIGAgcCCAIJAj0CCwI4Ag0CCAIIAggCCAIIAggCCAIIAggCCAIIAggCCAIIAggCCAIIAhcCAwKEAh4AAt4CAgIbAgQCBQIGAgcCCAIJAgoCCwI4Ag0CCAIIAggCCAIIAggCCAIIAggCCAIIAggCCAIIAggCCAIIAhcCAwKIAh4AAt4CAgIfAgQCBQIGAgcCCAIJAj0CCwI4Ag0CCAIIAggCCAIIAggCCAIIAggCCAIIAggCCAIIAggCCAIIAhcCAwKDAh4AAt4CAgIfAgQCBQIGAgcCCAIJAjsCCwI4Ag0CCAIIAggCCAIIAggCCAIIAggCCAIIAggCCAIIAggCCAIIAhcCAwJ9Ah4AAt4CAgJBAgQCBQIGAgcCCAIJAgoCCwI4Ag0CCAIIAggCCAIIAggCCAIIAggCCAIIAggCCAIIAggCCAIIAhcCAwJSAh4AAt4CAgJFAgQCBQIGAgcCCAIJAj0CCwI4Ag0CCAIIAggCCAIIAggCCAIIAggCCAIIAggCCAIIAggCCAIIAhcCAwJGAh4AAt4CAgIpAgQCBQIGAgcCCAIJAgoCCwI4Ag0CCAIIAggCCAIIAggCCAIIAggCCAIIAggCCAIIAggCCAIIAhcCAwKHAh4AAt4CAgIlAgQCBQIGAgcCCAIJAgoCCwI4Ag0CCHoAAAQAAggCCAIIAggCCAIIAggCCAIIAggCCAIIAggCCAIIAggCFwIDAkQCHgAC3gICAm0CBAIFAgYCBwIIAgkCOwILAjgCDQIIAggCCAIIAggCCAIIAggCCAIIAggCCAIIAggCCAIIAggCFwIDAnwCHgAC3gICAkUCBAIFAgYCBwIIAgkCOwILAjgCDQIIAggCCAIIAggCCAIIAggCCAIIAggCCAIIAggCCAIIAggCFwIDAkwCHgAC3gICAhsCBAIFAgYCBwIIAgkCPQILAjgCDQIIAggCCAIIAggCCAIIAggCCAIIAggCCAIIAggCCAIIAggCFwIDAkACHgAC3gICAgMCBAIFAgYCBwIIAgkCPQILAjgCDQIIAggCCAIIAggCCAIIAggCCAIIAggCCAIIAggCCAIIAggCFwIDAkACHgAC3gICAiECBAIFAgYCBwIIAgkCOwILAjgCDQIIAggCCAIIAggCCAIIAggCCAIIAggCCAIIAggCCAIIAggCFwIDAoECHgAC3gICAlgCBAIFAgYCBwIIAgkCCgILAjgCDQIIAggCCAIIAggCCAIIAggCCAIIAggCCAIIAggCCAIIAggCFwIDAncCHgAC3gICAiECBAIFAgYCBwIIAgkCPQILAjgCDQIIAggCCAIIAggCCAIIAggCCAIIAggCCAIIAggCCAIIAggCFwIDAoACHgAC3gICAmUCBAIFAgYCBwIIAgkCOwILAjgCDQIIAggCCAIIAggCCAIIAggCCAIIAggCCAIIAggCCAIIAggCFwIDAmYCHgAC3gICAhsCBAIFAgYCBwIIAgkCOwILAjgCDQIIAggCCAIIAggCCAIIAggCCAIIAggCCAIIAggCCAIIAggCFwIDAjwCHgAC3gICAm0CBAIFAgYCBwIIAgkCPQILAjgCDQIIAggCCAIIAggCCAIIAggCCAIIAggCCAIIAggCCAIIAggCFwIDAn4CHgAC3gICAicCBAIFAgYCBwIIAgkCPQILAjgCDQIIAggCCAIIAggCCAIIAggCCAIIAggCCAIIAggCCAIIAggCFwIDAnYCHgAC3gICAmUCBAIFAgYCBwIIAgkCPQILAjgCDQIIAggCCAIIAggCCAIIAggCCAIIAggCCAIIAggCCAIIAggCFwIDAnQCHgAC3gICAkkCBAIFAgYCBwIIAgkCCgILAjgCDQIIAggCCAIIAggCCAIIAggCCAIIAggCCAIIAggCCAIIAggCFwIDAkoCHgAC3gICAicCBAIFAgYCBwIIAgkCOwILAjgCDQIIAggCCAIIAggCCAIIAggCCAIIAggCCAIIAggCCAIIAggCFwIDAmgCHgAC3gICAjECBAIFAgYCBwIIAnoAAAQACQIKAgsCOAINAggCCAIIAggCCAIIAggCCAIIAggCCAIIAggCCAIIAggCCAIXAgMCVwIeAALeAgICTwIEAgUCBgIHAggCCQI7AgsCOAINAggCCAIIAggCCAIIAggCCAIIAggCCAIIAggCCAIIAggCCAIXAgMCjgIeAALeAgICSQIEAgUCBgIHAggCCQI9AgsCOAINAggCCAIIAggCCAIIAggCCAIIAggCCAIIAggCCAIIAggCCAIXAgMCVgIeAALeAgICMwIEAgUCBgIHAggCCQIKAgsCOAINAggCCAIIAggCCAIIAggCCAIIAggCCAIIAggCCAIIAggCCAIXAgMCbwIeAALeAgICYgIEAgUCBgIHAggCCQI7AgsCOAINAggCCAIIAggCCAIIAggCCAIIAggCCAIIAggCCAIIAggCCAIXAgMCZwIeAALeAgICNQIEAgUCBgIHAggCCQI9AgsCOAINAggCCAIIAggCCAIIAggCCAIIAggCCAIIAggCCAIIAggCCAIXAgMCaQIeAALeAgICAwIEAgUCBgIHAggCCQI7AgsCOAINAggCCAIIAggCCAIIAggCCAIIAggCCAIIAggCCAIIAggCCAIXAgMCbAIeAALeAgICNQIEAgUCBgIHAggCCQI7AgsCOAINAggCCAIIAggCCAIIAggCCAIIAggCCAIIAggCCAIIAggCCAIXAgMCiwIeAALeAgICcAIEAgUCBgIHAggCCQIKAgsCOAINAggCCAIIAggCCAIIAggCCAIIAggCCAIIAggCCAIIAggCCAIXAgMCcQIeAALeAgICYgIEAgUCBgIHAggCCQIKAgsCOAINAggCCAIIAggCCAIIAggCCAIIAggCCAIIAggCCAIIAggCCAIXAgMCggIeAALeAgICbQIEAgUCBgIHAggCCQIKAgsCOAINAggCCAIIAggCCAIIAggCCAIIAggCCAIIAggCCAIIAggCCAIXAgMCbgIeAALeAgICAwIEAgUCBgIHAggCCQIKAgsCOAINAggCCAIIAggCCAIIAggCCAIIAggCCAIIAggCCAIIAggCCAIXAgMChgIeAALeAgICTwIEAgUCBgIHAggCCQI9AgsCOAINAggCCAIIAggCCAIIAggCCAIIAggCCAIIAggCCAIIAggCCAIXAgMCZAIeAALeAgICYgIEAgUCBgIHAggCCQI9AgsCOAINAggCCAIIAggCCAIIAggCCAIIAggCCAIIAggCCAIIAggCCAIXAgMCYwIeAALeAgICJwIEAgUCBgIHAggCCQIKAgsCOAINAggCCAIIAggCCAIIAggCCAIIAggCCAIIAggCCAIIAggCCAIXAgMCjwIeAALeAgICZXoAAAQAAgQCBQIGAgcCCAIJAgoCCwI4Ag0CCAIIAggCCAIIAggCCAIIAggCCAIIAggCCAIIAggCCAIIAhcCAwKMAh4AAt4CAgJJAgQCBQIGAgcCCAIJAjsCCwI4Ag0CCAIIAggCCAIIAggCCAIIAggCCAIIAggCCAIIAggCCAIIAhcCAwJTAh4AAt4CAgIvAgQCBQIGAgcCCAIJAjsCCwI4Ag0CCAIIAggCCAIIAggCCAIIAggCCAIIAggCCAIIAggCCAIIAhcCAwKNAh4AAt4CAgIvAgQCBQIGAgcCCAIJAj0CCwI4Ag0CCAIIAggCCAIIAggCCAIIAggCCAIIAggCCAIIAggCCAIIAhcCAwJyAh4AAt4CAgIlAgQCBQIGAgcCCAIJAj0CCwI4Ag0CCAIIAggCCAIIAggCCAIIAggCCAIIAggCCAIIAggCCAIIAhcCAwJVAh4AAt4CAgIlAgQCBQIGAgcCCAIJAjsCCwI4Ag0CCAIIAggCCAIIAggCCAIIAggCCAIIAggCCAIIAggCCAIIAhcCAwJeAh4AAt4CAgJcAgQCBQIGAgcCCAIJAgoCCwI4Ag0CCAIIAggCCAIIAggCCAIIAggCCAIIAggCCAIIAggCCAIIAhcCAwJdAh4AAt4CAgIxAgQCBQIGAgcCCAIJAj0CCwI4Ag0CCAIIAggCCAIIAggCCAIIAggCCAIIAggCCAIIAggCCAIIAhcCAwJAAh4AAt4CAgJcAgQCBQIGAgcCCAIJAj0CCwI4Ag0CCAIIAggCCAIIAggCCAIIAggCCAIIAggCCAIIAggCCAIIAhcCAwKJAh4AAt4CAgIrAgQCBQIGAgcCCAIJAj0CCwI4Ag0CCAIIAggCCAIIAggCCAIIAggCCAIIAggCCAIIAggCCAIIAhcCAwJHAh4AAt4CAgIvAgQCBQIGAgcCCAIJAgoCCwI4Ag0CCAIIAggCCAIIAggCCAIIAggCCAIIAggCCAIIAggCCAIIAhcCAwJLAh4AAt4CAgJwAgQCBQIGAgcCCAIJAjsCCwI4Ag0CCAIIAggCCAIIAggCCAIIAggCCAIIAggCCAIIAggCCAIIAhcCAwJ1Ah4AAt4CAgIzAgQCBQIGAgcCCAIJAj0CCwI4Ag0CCAIIAggCCAIIAggCCAIIAggCCAIIAggCCAIIAggCCAIIAhcCAwJRAh4AAt4CAgJwAgQCBQIGAgcCCAIJAj0CCwI4Ag0CCAIIAggCCAIIAggCCAIIAggCCAIIAggCCAIIAggCCAIIAhcCAwJ7Ah4AAt4CAgI1AgQCBQIGAgcCCAIJAgoCCwI4Ag0CCAIIAggCCAIIAggCCAIIAggCCAIIAggCCAIIAggCCAIIAhcCA3oAAAM+AlQCHgAC3gICAk8CBAIFAgYCBwIIAgkCCgILAjgCDQIIAggCCAIIAggCCAIIAggCCAIIAggCCAIIAggCCAIIAggCFwIDAlACHgAC3gICAjMCBAIFAgYCBwIIAgkCOwILAjgCDQIIAggCCAIIAggCCAIIAggCCAIIAggCCAIIAggCCAIIAggCFwIDAngCHgAC3gICAh0CBAIFAgYCBwIIAgkCPQILAjgCDQIIAggCCAIIAggCCAIIAggCCAIIAggCCAIIAggCCAIIAggCFwIDAj4CHgAC3gICAkECBAIFAgYCBwIIAgkCPQILAjgCDQIIAggCCAIIAggCCAIIAggCCAIIAggCCAIIAggCCAIIAggCFwIDAkMCHgAC3gICAiECBAIFAgYCBwIIAgkCCgILAjgCDQIIAggCCAIIAggCCAIIAggCCAIIAggCCAIIAggCCAIIAggCFwIDAjoCHgAC3gICAh8CBAIFAgYCBwIIAgkCCgILAjgCDQIIAggCCAIIAggCCAIIAggCCAIIAggCCAIIAggCCAIIAggCFwIDAnoCHgAC3gICAjECBAIFAgYCBwIIAgkCOwILAjgCDQIIAggCCAIIAggCCAIIAggCCAIIAggCCAIIAggCCAIIAggCFwIDAnkCHgAC3gICAlwCBAIFAgYCBwIIAgkCOwILAjgCDQIIAggCCAIIAggCCAIIAggCCAIIAggCCAIIAggCCAIIAggCFwIDAnMCHgAC3gICAkECBAIFAgYCBwIIAgkCOwILAjgCDQIIAggCCAIIAggCCAIIAggCCAIIAggCCAIIAggCCAIIAggCFwIDAkICHgAC3gICAh0CBAIFAgYCBwIIAgkCOwILAjgCDQIIAggCCAIIAggCCAIIAggCCAIIAggCCAIIAggCCAIIAggCFwIDAj8CHgAC3gICAisCBAIFAgYCBwIIAgkCOwILAjgCDQIIAggCCAIIAggCCAIIAggCCAIIAggCCAIIAggCCAIIAggCFwIDAkgCHgAC3gICAmoCBAIFAgYCBwIIAgkCCgILAjgCDQIIAggCCAIIAggCCAIIAggCCAIIAggCCAIIAggCCAIIAggCFwIDAms=]]></xxe4awand>
</file>

<file path=customXml/item10.xml><?xml version="1.0" encoding="utf-8"?>
<xxe4awand xmlns="http://www.excel4apps.com"><![CDATA[rO0ABXfaCMCtii8CAQSdAwIeAABEY29tLmV4Y2VsNGFwcHMud2FuZC5vcmFjbGUu
Z2x3YW5kLmNhbGN1bGF0aW9ucy5nZXRiYWxhbmNlLkdldEJhbGFuY2UCAQAJMjE5
MDY3MDk2AgIAATACAwAGMjAxNzA1AgQAA1lURAIFAANVU0QCBgAFVG90YWwCBwAB
QQIIAAACCQADMDAxAgoABjE5MTAwMAILAAJHRAIMAAJXQQINAAJETAIIAggCCAII
AggCCAIIAggCCAIIAggCCAIIAggCCAIIAggCBA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BAYhGIV4eHdNAh4AAgECAgIbAAYyMDE3MDMCBAIFAgYCBwIIAgkCCgILAgwCDQIIAggCCAIIAggCCAIIAggCCAIIAggCCAIIAggCCAIIAggCBAIDAhxzcQB+AAAAAAACc3EAfgAE///////////////+/////v////91cQB+AAcAAAAEEP3yI3h4d00CHgACAQICAh0ABjIwMTcxMgIEAgUCBgIHAggCCQIKAgsCDAINAggCCAIIAggCCAIIAggCCAIIAggCCAIIAggCCAIIAggCCAIEAgMCHnNxAH4AAAAAAAJzcQB+AAT///////////////7////+/////3VxAH4ABwAAAAQ0Sb4jeHh3TQIeAAIBAgICHwAGMjAxNzA3AgQCBQIGAgcCCAIJAgoCCwIMAg0CCAIIAggCCAIIAggCCAIIAggCCAIIAggCCAIIAggCCAIIAgQCAwIgc3EAfgAAAAAAAnNxAH4ABP///////////////v////7/////dXEAfgAHAAAABAIK9vR4eHdNAh4AAgECAgIhAAYyMDE3MTECBAIFAgYCBwIIAgkCCgILAgwCDQIIAggCCAIIAggCCAIIAggCCAIIAggCCAIIAggCCAIIAggCBAIDAiJzcQB+AAAAAAACc3EAfgAE///////////////+/////v////91cQB+AAcAAAAERLpXvHh4d00CHgACAQICAiMABjIwMTgwMQIEAgUCBgIHAggCCQIKAgsCDAINAggCCAIIAggCCAIIAggCCAIIAggCCAIIAggCCAIIAggCCAIEAgMCJHNxAH4AAAAAAAJzcQB+AAT///////////////7////+/////3VxAH4ABwAAAAQmcaNXeHh3TQIeAAIBAgICJQAGMjAxODAzAgQCBQIGAgcCCAIJAgoCCwIMAg0CCAIIAggCCAIIAggCCAIIAggCCAIIAggCCAIIAggCCAIIAgQCAwImc3EAfgAAAAAAAnNxAH4ABP///////////////v////7/////dXEAfgAHAAAABA5TyYx4eHdNAh4AAgECAgInAAYyMDE3MDYCBAIFAgYCBwIIAgkCCgILAgwCDQIIAggCCAIIAggCCAIIAggCCAIIAggCCAIIAggCCAIIAggCBAIDAihzcQB+AAAAAAACc3EAfgAE///////////////+/////v////91cQB+AAcAAAAEA91NIHh4d00CHgACAQICAikABjIwMTcwMgIEAgUCBgIHAggCCQIKAgsCDAINAggCCAIIAggCCAIIAggCCAIIAggCCAIIAggCCAIIAggCCAIEAgMCKnNxAH4AAAAAAAJzcQB+AAT///////////////7////+/////3VxAH4ABwAAAAQbRzHTeHh3TQIeAAIBAgICKwAGMjAxNzA0AgQCBQIGAgcCCAIJAgoCCwIMAg0CCAIIAggCCAIIAggCCAIIAggCCAIIAggCCAIIAggCCAIIAgQCAwIsc3EAfgAAAAAAAnNxAH4ABP///////////////v////7/////dXEAfgAHAAAABAnwakZ4eHdNAh4AAgECAgItAAYyMDE3MTACBAIFAgYCBwIIAgkCCgILAgwCDQIIAggCCAIIAggCCAIIAggCCAIIAggCCAIIAggCCAIIAggCBAIDAi5zcQB+AAAAAAACc3EAfgAE///////////////+/////gAAAAF1cQB+AAcAAAAECQ0V/Xh4d00CHgACAQICAi8ABjIwMTcwOQIEAgUCBgIHAggCCQIKAgsCDAINAggCCAIIAggCCAIIAggCCAIIAggCCAIIAggCCAIIAggCCAIEAgMCMHNxAH4AAAAAAAJzcQB+AAT///////////////7////+AAAAAXVxAH4ABwAAAAQCjrCgeHh3TQIeAAIBAgICMQAGMjAxNzA4AgQCBQIGAgcCCAIJAgoCCwIMAg0CCAIIAggCCAIIAggCCAIIAggCCAIIAggCCAIIAggCCAIIAgQCAwIyc3EAfgAAAAAAAnNxAH4ABP///////////////v////7/////dXEAfgAHAAAAAzKU1nh4d00CHgACAQICAjMABjIwMTgwMgIEAgUCBgIHAggCCQIKAgsCDAINAggCCAIIAggCCAIIAggCCAIIAggCCAIIAggCCAIIAggCCAIEAgMCNHNxAH4AAAAAAAJzcQB+AAT///////////////7////+/////3VxAH4ABwAAAAQZYudleHh3TQIeAAIBAgICNQAGMjAxNzAxAgQCBQIGAgcCCAIJAgoCCwIMAg0CCAIIAggCCAIIAggCCAIIAggCCAIIAggCCAIIAggCCAIIAgQCAwI2c3EAfgAAAAAAAnNxAH4ABP///////////////v////7/////dXEAfgAHAAAABCjphrZ4eHdYAh4AAjcACTQzMTcwMzA1NgICAjECBAIFAgYCBwIIAgkCOAAGMTkxMDEwAgsCDAINAggCCAIIAggCCAIIAggCCAIIAggCCAIIAggCCAIIAggCCAICAgMCOXNxAH4AAAAAAAJzcQB+AAT///////////////7////+/////3VxAH4ABwAAAARlMUGreHh3RQIeAAI3AgICIQIEAgUCBgIHAggCCQI4AgsCDAINAggCCAIIAggCCAIIAggCCAIIAggCCAIIAggCCAIIAggCCAICAgMCOnNxAH4AAAAAAAJzcQB+AAT///////////////7////+/////3VxAH4ABwAAAAQw0KqzeHh3RQIeAAI3AgICIwIEAgUCBgIHAggCCQI4AgsCDAINAggCCAIIAggCCAIIAggCCAIIAggCCAIIAggCCAIIAggCCAICAgMCO3NxAH4AAAAAAAJzcQB+AAT///////////////7////+/////3VxAH4ABwAAAARO7ujaeHh3RQIeAAI3AgICJQIEAgUCBgIHAggCCQI4AgsCDAINAggCCAIIAggCCAIIAggCCAIIAggCCAIIAggCCAIIAggCCAICAgMCPHNxAH4AAAAAAAJzcQB+AAT///////////////7////+/////3VxAH4ABwAAAARSfqMaeHh3RQIeAAI3AgICKQIEAgUCBgIHAggCCQI4AgsCDAINAggCCAIIAggCCAIIAggCCAIIAggCCAIIAggCCAIIAggCCAICAgMCPXNxAH4AAAAAAAJzcQB+AAT///////////////7////+/////3VxAH4ABwAAAARJi1PJeHh3RQIeAAI3AgICJwIEAgUCBgIHAggCCQI4AgsCDAINAggCCAIIAggCCAIIAggCCAIIAggCCAIIAggCCAIIAggCCAICAgMCPnNxAH4AAAAAAAJzcQB+AAT///////////////7////+/////3VxAH4ABwAAAARYCwcseHh3RQIeAAI3AgICKwIEAgUCBgIHAggCCQI4AgsCDAINAggCCAIIAggCCAIIAggCCAIIAggCCAIIAggCCAIIAggCCAICAgMCP3NxAH4AAAAAAAJzcQB+AAT///////////////7////+/////3VxAH4ABwAAAARacNl3eHh3RQIeAAI3AgICLQIEAgUCBgIHAggCCQI4AgsCDAINAggCCAIIAggCCAIIAggCCAIIAggCCAIIAggCCAIIAggCCAICAgMCQHNxAH4AAAAAAAJzcQB+AAT///////////////7////+/////3VxAH4ABwAAAASC3IjxeHh3RQIeAAI3AgICMwIEAgUCBgIHAggCCQI4AgsCDAINAggCCAIIAggCCAIIAggCCAIIAggCCAIIAggCCAIIAggCCAICAgMCQXNxAH4AAAAAAAJzcQB+AAT///////////////7////+/////3VxAH4ABwAAAARPKnH5eHh3RQIeAAI3AgICHQIEAgUCBgIHAggCCQI4AgsCDAINAggCCAIIAggCCAIIAggCCAIIAggCCAIIAggCCAIIAggCCAICAgMCQnNxAH4AAAAAAAJzcQB+AAT///////////////7////+/////3VxAH4ABwAAAARCNLx8eHh3RQIeAAI3AgICLwIEAgUCBgIHAggCCQI4AgsCDAINAggCCAIIAggCCAIIAggCCAIIAggCCAIIAggCCAIIAggCCAICAgMCQ3NxAH4AAAAAAAJzcQB+AAT///////////////7////+/////3VxAH4ABwAAAARxBllJeHh3RQIeAAI3AgICAwIEAgUCBgIHAggCCQI4AgsCDAINAggCCAIIAggCCAIIAggCCAIIAggCCAIIAggCCAIIAggCCAICAgMCRHNxAH4AAAAAAAJzcQB+AAT///////////////7////+/////3VxAH4ABwAAAARZ/eXyeHh3RQIeAAI3AgICNQIEAgUCBgIHAggCCQI4AgsCDAINAggCCAIIAggCCAIIAggCCAIIAggCCAIIAggCCAIIAggCCAICAgMCRXNxAH4AAAAAAAJzcQB+AAT///////////////7////+/////3VxAH4ABwAAAAQ9FTt2eHh3RQIeAAI3AgICGwIEAgUCBgIHAggCCQI4AgsCDAINAggCCAIIAggCCAIIAggCCAIIAggCCAIIAggCCAIIAggCCAICAgMCRnNxAH4AAAAAAAJzcQB+AAT///////////////7////+/////3VxAH4ABwAAAARTY5smeHh3RQIeAAI3AgICHwIEAgUCBgIHAggCCQI4AgsCDAINAggCCAIIAggCCAIIAggCCAIIAggCCAIIAggCCAIIAggCCAICAgMCR3NxAH4AAAAAAAJzcQB+AAT///////////////7////+/////3VxAH4ABwAAAARe1GL4eHh3VAIeAAJIAAk0MTcwMTU5MDQCAgItAgQCBQIGAgcCCAIJAjgCCwJJAAJJRAINAggCCAIIAggCCAIIAggCCAIIAggCCAIIAggCCAIIAggCCAITAgMCSnNxAH4AAAAAAAJzcQB+AAT///////////////7////+/////3VxAH4ABwAAAARDRE3geHh3VQIeAAJIAgICSwAGMjAxNjAyAgQCBQIGAgcCCAIJAkwABjE5MTAxNQILAkkCDQIIAggCCAIIAggCCAIIAggCCAIIAggCCAIIAggCCAIIAggCEwIDAk1zcQB+AAAAAAACc3EAfgAE///////////////+/////v////91cQB+AAcAAAADEle/eHh3RQIeAAJIAgICGwIEAgUCBgIHAggCCQJMAgsCSQINAggCCAIIAggCCAIIAggCCAIIAggCCAIIAggCCAIIAggCCAITAgMCTnNxAH4AAAAAAAJzcQB+AAT///////////////7////+/////3VxAH4ABwAAAAMSit94eHdNAh4AAkgCAgJPAAYyMDE4MDQCBAIFAgYCBwIIAgkCTAILAkkCDQIIAggCCAIIAggCCAIIAggCCAIIAggCCAIIAggCCAIIAggCEwIDAlBzcQB+AAAAAAACc3EAfgAE///////////////+/////gAAAAB1cQB+AAcAAAAAeHh3RQIeAAJIAgICHQIEAgUCBgIHAggCCQIKAgsCSQINAggCCAIIAggCCAIIAggCCAIIAggCCAIIAggCCAIIAggCCAITAgMCUXNxAH4AAAAAAAJzcQB+AAT///////////////7////+/////3VxAH4ABwAAAAQWt6iieHh3RQIeAAJIAgICGwIEAgUCBgIHAggCCQI4AgsCSQINAggCCAIIAggCCAIIAggCCAIIAggCCAIIAggCCAIIAggCCAITAgMCUnNxAH4AAAAAAAJzcQB+AAT///////////////7////+/////3VxAH4ABwAAAAQmeB9xeHh3TQIeAAJIAgICUwAGMjAxNjA0AgQCBQIGAgcCCAIJAgoCCwJJAg0CCAIIAggCCAIIAggCCAIIAggCCAIIAggCCAIIAggCCAIIAhMCAwJUc3EAfgAAAAAAAnNxAH4ABP///////////////v////7/////dXEAfgAHAAAABAJQHul4eHdFAh4AAkgCAgIrAgQCBQIGAgcCCAIJAjgCCwJJAg0CCAIIAggCCAIIAggCCAIIAggCCAIIAggCCAIIAggCCAIIAhMCAwJVc3EAfgAAAAAAAnNxAH4ABP///////////////v////7/////dXEAfgAHAAAABCng5RN4eHdNAh4AAkgCAgJWAAYyMDE2MTECBAIFAgYCBwIIAgkCCgILAkkCDQIIAggCCAIIAggCCAIIAggCCAIIAggCCAIIAggCCAIIAggCEwIDAldzcQB+AAAAAAACc3EAfgAE///////////////+/////v////91cQB+AAcAAAAEJZDR+3h4d0UCHgACSAICAk8CBAIFAgYCBwIIAgkCOAILAkkCDQIIAggCCAIIAggCCAIIAggCCAIIAggCCAIIAggCCAIIAggCEwIDAlhzcQB+AAAAAAACc3EAfgAE///////////////+/////v////91cQB+AAcAAAAELvQU/3h4d00CHgACSAICAlkABjIwMTYwMwIEAgUCBgIHAggCCQI4AgsCSQINAggCCAIIAggCCAIIAggCCAIIAggCCAIIAggCCAIIAggCCAITAgMCWnNxAH4AAAAAAAJzcQB+AAT///////////////7////+/////3VxAH4ABwAAAAQerglPeHh3RQIeAAJIAgICAwIEAgUCBgIHAggCCQIKAgsCSQINAggCCAIIAggCCAIIAggCCAIIAggCCAIIAggCCAIIAggCCAITAgMCW3NxAH4AAAAAAAJzcQB+AAT///////////////7////+/////3VxAH4ABwAAAAQC12dUeHh3RQIeAAJIAgICKwIEAgUCBgIHAggCCQIKAgsCSQINAggCCAIIAggCCAIIAggCCAIIAggCCAIIAggCCAIIAggCCAITAgMCXHNxAH4AAAAAAAJzcQB+AAT///////////////7////+/////3VxAH4ABwAAAAQFBKNBeHh3igIeAAJIAgICJQIEAgUCBgIHAggCCQJMAgsCSQINAggCCAIIAggCCAIIAggCCAIIAggCCAIIAggCCAIIAggCCAITAgMCUAIeAAJIAgICKQIEAgUCBgIHAggCCQJMAgsCSQINAggCCAIIAggCCAIIAggCCAIIAggCCAIIAggCCAIIAggCCAITAgMCXXNxAH4AAAAAAAJzcQB+AAT///////////////7////+/////3VxAH4ABwAAAAMShut4eHdFAh4AAkgCAgIpAgQCBQIGAgcCCAIJAjgCCwJJAg0CCAIIAggCCAIIAggCCAIIAggCCAIIAggCCAIIAggCCAIIAhMCAwJec3EAfgAAAAAAAnNxAH4ABP///////////////v////7/////dXEAfgAHAAAABCIKrDF4eHdNAh4AAkgCAgJfAAYyMDE2MTACBAIFAgYCBwIIAgkCCgILAkkCDQIIAggCCAIIAggCCAIIAggCCAIIAggCCAIIAggCCAIIAggCEwIDAmBzcQB+AAAAAAACc3EAfgAE///////////////+/////gAAAAF1cQB+AAcAAAADuXJ8eHh3RQIeAAJIAgICWQIEAgUCBgIHAggCCQIKAgsCSQINAggCCAIIAggCCAIIAggCCAIIAggCCAIIAggCCAIIAggCCAITAgMCYXNxAH4AAAAAAAJzcQB+AAT///////////////7////+/////3VxAH4ABwAAAAQC+0uLeHh3RQIeAAJIAgICLQIEAgUCBgIHAggCCQJMAgsCSQINAggCCAIIAggCCAIIAggCCAIIAggCCAIIAggCCAIIAggCCAITAgMCYnNxAH4AAAAAAAJzcQB+AAT///////////////7////+/////3VxAH4ABwAAAAMSpqJ4eHdFAh4AAkgCAgIlAgQCBQIGAgcCCAIJAjgCCwJJAg0CCAIIAggCCAIIAggCCAIIAggCCAIIAggCCAIIAggCCAIIAhMCAwJjc3EAfgAAAAAAAnNxAH4ABP///////////////v////7/////dXEAfgAHAAAABCrCsfh4eHdFAh4AAkgCAgJLAgQCBQIGAgcCCAIJAjgCCwJJAg0CCAIIAggCCAIIAggCCAIIAggCCAIIAggCCAIIAggCCAIIAhMCAwJkc3EAfgAAAAAAAnNxAH4ABP///////////////v////7/////dXEAfgAHAAAABBuzHlx4eHdFAh4AAkgCAgIhAgQCBQIGAgcCCAIJAgoCCwJJAg0CCAIIAggCCAIIAggCCAIIAggCCAIIAggCCAIIAggCCAIIAhMCAwJlc3EAfgAAAAAAAnNxAH4ABP///////////////v////7/////dXEAfgAHAAAABB7AdGx4eHdNAh4AAkgCAgJmAAYyMDE4MDUCBAIFAgYCBwIIAgkCCgILAkkCDQIIAggCCAIIAggCCAIIAggCCAIIAggCCAIIAggCCAIIAggCEwIDAmdzcQB+AAAAAAACc3EAfgAE///////////////+/////gAAAAF1cQB+AAcAAAADNqW2eHh3RQIeAAJIAgICMwIEAgUCBgIHAggCCQI4AgsCSQINAggCCAIIAggCCAIIAggCCAIIAggCCAIIAggCCAIIAggCCAITAgMCaHNxAH4AAAAAAAJzcQB+AAT///////////////7////+/////3VxAH4ABwAAAAQpRoS2eHh3TQIeAAJIAgICaQAGMjAxNjA1AgQCBQIGAgcCCAIJAjgCCwJJAg0CCAIIAggCCAIIAggCCAIIAggCCAIIAggCCAIIAggCCAIIAhMCAwJqc3EAfgAAAAAAAnNxAH4ABP///////////////v////7/////dXEAfgAHAAAABCYvMsJ4eHdFAh4AAkgCAgIdAgQCBQIGAgcCCAIJAjgCCwJJAg0CCAIIAggCCAIIAggCCAIIAggCCAIIAggCCAIIAggCCAIIAhMCAwJrc3EAfgAAAAAAAnNxAH4ABP///////////////v////7/////dXEAfgAHAAAABCQ0bfR4eHeKAh4AAkgCAgIdAgQCBQIGAgcCCAIJAkwCCwJJAg0CCAIIAggCCAIIAggCCAIIAggCCAIIAggCCAIIAggCCAIIAhMCAwJQAh4AAkgCAgI1AgQCBQIGAgcCCAIJAkwCCwJJAg0CCAIIAggCCAIIAggCCAIIAggCCAIIAggCCAIIAggCCAIIAhMCAwJsc3EAfgAAAAAAAnNxAH4ABP///////////////v////7/////dXEAfgAHAAAAAxKC+Hh4d0UCHgACSAICAicCBAIFAgYCBwIIAgkCOAILAkkCDQIIAggCCAIIAggCCAIIAggCCAIIAggCCAIIAggCCAIIAggCEwIDAm1zcQB+AAAAAAACc3EAfgAE///////////////+/////v////91cQB+AAcAAAAEKgtGIXh4d0UCHgACSAICAjUCBAIFAgYCBwIIAgkCOAILAkkCDQIIAggCCAIIAggCCAIIAggCCAIIAggCCAIIAggCCAIIAggCEwIDAm5zcQB+AAAAAAACc3EAfgAE///////////////+/////v////91cQB+AAcAAAAEHbH6THh4d0UCHgACSAICAh8CBAIFAgYCBwIIAgkCCgILAkkCDQIIAggCCAIIAggCCAIIAggCCAIIAggCCAIIAggCCAIIAggCEwIDAm9zcQB+AAAAAAACc3EAfgAE///////////////+/////v////91cQB+AAcAAAADTrgKeHh3igIeAAJIAgICMwIEAgUCBgIHAggCCQJMAgsCSQINAggCCAIIAggCCAIIAggCCAIIAggCCAIIAggCCAIIAggCCAITAgMCUAIeAAJIAgICLQIEAgUCBgIHAggCCQIKAgsCSQINAggCCAIIAggCCAIIAggCCAIIAggCCAIIAggCCAIIAggCCAITAgMCcHNxAH4AAAAAAAJzcQB+AAT///////////////7////+AAAAAXVxAH4ABwAAAAQGG1pqeHh3RQIeAAJIAgICaQIEAgUCBgIHAggCCQJMAgsCSQINAggCCAIIAggCCAIIAggCCAIIAggCCAIIAggCCAIIAggCCAITAgMCcXNxAH4AAAAAAAJzcQB+AAT///////////////7////+/////3VxAH4ABwAAAAMSY394eHeKAh4AAkgCAgJmAgQCBQIGAgcCCAIJAkwCCwJJAg0CCAIIAggCCAIIAggCCAIIAggCCAIIAggCCAIIAggCCAIIAhMCAwJQAh4AAkgCAgJZAgQCBQIGAgcCCAIJAkwCCwJJAg0CCAIIAggCCAIIAggCCAIIAggCCAIIAggCCAIIAggCCAIIAhMCAwJyc3EAfgAAAAAAAnNxAH4ABP///////////////v////7/////dXEAfgAHAAAAAxJbqXh4d0UCHgACSAICAisCBAIFAgYCBwIIAgkCTAILAkkCDQIIAggCCAIIAggCCAIIAggCCAIIAggCCAIIAggCCAIIAggCEwIDAnNzcQB+AAAAAAACc3EAfgAE///////////////+/////v////91cQB+AAcAAAADEo7UeHh3RQIeAAJIAgICKQIEAgUCBgIHAggCCQIKAgsCSQINAggCCAIIAggCCAIIAggCCAIIAggCCAIIAggCCAIIAggCCAITAgMCdHNxAH4AAAAAAAJzcQB+AAT///////////////7////+/////3VxAH4ABwAAAAQOCxxKeHh3TQIeAAJIAgICdQAGMjAxNjA4AgQCBQIGAgcCCAIJAjgCCwJJAg0CCAIIAggCCAIIAggCCAIIAggCCAIIAggCCAIIAggCCAIIAhMCAwJ2c3EAfgAAAAAAAnNxAH4ABP///////////////v////7/////dXEAfgAHAAAABDHvtRl4eHdFAh4AAkgCAgIvAgQCBQIGAgcCCAIJAkwCCwJJAg0CCAIIAggCCAIIAggCCAIIAggCCAIIAggCCAIIAggCCAIIAhMCAwJ3c3EAfgAAAAAAAnNxAH4ABP///////////////v////7/////dXEAfgAHAAAAAxKiqHh4d00CHgACSAICAngABjIwMTYwNgIEAgUCBgIHAggCCQIKAgsCSQINAggCCAIIAggCCAIIAggCCAIIAggCCAIIAggCCAIIAggCCAITAgMCeXNxAH4AAAAAAAJzcQB+AAT///////////////7////+/////3VxAH4ABwAAAAQBZMryeHh3RQIeAAJIAgICLwIEAgUCBgIHAggCCQI4AgsCSQINAggCCAIIAggCCAIIAggCCAIIAggCCAIIAggCCAIIAggCCAITAgMCenNxAH4AAAAAAAJzcQB+AAT///////////////7////+/////3VxAH4ABwAAAAQ5RS7+eHh3TQIeAAJIAgICewAGMjAxNjEyAgQCBQIGAgcCCAIJAgoCCwJJAg0CCAIIAggCCAIIAggCCAIIAggCCAIIAggCCAIIAggCCAIIAhMCAwJ8c3EAfgAAAAAAAnNxAH4ABP///////////////v////7/////dXEAfgAHAAAABB0QqXR4eHdFAh4AAkgCAgJmAgQCBQIGAgcCCAIJAjgCCwJJAg0CCAIIAggCCAIIAggCCAIIAggCCAIIAggCCAIIAggCCAIIAhMCAwJ9c3EAfgAAAAAAAnNxAH4ABP///////////////v////7/////dXEAfgAHAAAABC/+xlx4eHdFAh4AAkgCAgJWAgQCBQIGAgcCCAIJAjgCCwJJAg0CCAIIAggCCAIIAggCCAIIAggCCAIIAggCCAIIAggCCAIIAhMCAwJ+c3EAfgAAAAAAAnNxAH4ABP///////////////v////7/////dXEAfgAHAAAABAvREnR4eHdFAh4AAkgCAgJWAgQCBQIGAgcCCAIJAkwCCwJJAg0CCAIIAggCCAIIAggCCAIIAggCCAIIAggCCAIIAggCCAIIAhMCAwJ/c3EAfgAAAAAAAnNxAH4ABP///////////////v////7/////dXEAfgAHAAAAAxJ7FXh4d0UCHgACSAICAnUCBAIFAgYCBwIIAgkCTAILAkkCDQIIAggCCAIIAggCCAIIAggCCAIIAggCCAIIAggCCAIIAggCEwIDAoBzcQB+AAAAAAACc3EAfgAE///////////////+/////v////91cQB+AAcAAAADEm9GeHh3RQIeAAJIAgICJQIEAgUCBgIHAggCCQIKAgsCSQINAggCCAIIAggCCAIIAggCCAIIAggCCAIIAggCCAIIAggCCAITAgMCgXNxAH4AAAAAAAJzcQB+AAT///////////////7////+/////3VxAH4ABwAAAAQE4d6ZeHh3TQIeAAJIAgICggAGMjAxNjA3AgQCBQIGAgcCCAIJAjgCCwJJAg0CCAIIAggCCAIIAggCCAIIAggCCAIIAggCCAIIAggCCAIIAhMCAwKDc3EAfgAAAAAAAnNxAH4ABP///////////////v////7/////dXEAfgAHAAAABC794JJ4eHdFAh4AAkgCAgIxAgQCBQIGAgcCCAIJAjgCCwJJAg0CCAIIAggCCAIIAggCCAIIAggCCAIIAggCCAIIAggCCAIIAhMCAwKEc3EAfgAAAAAAAnNxAH4ABP///////////////v////7/////dXEAfgAHAAAABDQ5VOh4eHdNAh4AAkgCAgKFAAYyMDE2MDkCBAIFAgYCBwIIAgkCCgILAkkCDQIIAggCCAIIAggCCAIIAggCCAIIAggCCAIIAggCCAIIAggCEwIDAoZzcQB+AAAAAAACc3EAfgAE///////////////+/////v////91cQB+AAcAAAADMvcReHh3RQIeAAJIAgICMQIEAgUCBgIHAggCCQJMAgsCSQINAggCCAIIAggCCAIIAggCCAIIAggCCAIIAggCCAIIAggCCAITAgMCh3NxAH4AAAAAAAJzcQB+AAT///////////////7////+/////3VxAH4ABwAAAAMSnq94eHdFAh4AAkgCAgKCAgQCBQIGAgcCCAIJAkwCCwJJAg0CCAIIAggCCAIIAggCCAIIAggCCAIIAggCCAIIAggCCAIIAhMCAwKIc3EAfgAAAAAAAnNxAH4ABP///////////////v////7/////dXEAfgAHAAAAAxJrWHh4d0UCHgACSAICAi8CBAIFAgYCBwIIAgkCCgILAkkCDQIIAggCCAIIAggCCAIIAggCCAIIAggCCAIIAggCCAIIAggCEwIDAolzcQB+AAAAAAACc3EAfgAE///////////////+/////gAAAAF1cQB+AAcAAAAEAloS0nh4d0UCHgACSAICAjUCBAIFAgYCBwIIAgkCCgILAkkCDQIIAggCCAIIAggCCAIIAggCCAIIAggCCAIIAggCCAIIAggCEwIDAopzcQB+AAAAAAACc3EAfgAE///////////////+/////v////91cQB+AAcAAAAEFDr3g3h4d0UCHgACSAICAjMCBAIFAgYCBwIIAgkCCgILAkkCDQIIAggCCAIIAggCCAIIAggCCAIIAggCCAIIAggCCAIIAggCEwIDAotzcQB+AAAAAAACc3EAfgAE///////////////+/////v////91cQB+AAcAAAAECivT53h4d0UCHgACSAICAnsCBAIFAgYCBwIIAgkCTAILAkkCDQIIAggCCAIIAggCCAIIAggCCAIIAggCCAIIAggCCAIIAggCEwIDAoxzcQB+AAAAAAACc3EAfgAE///////////////+/////v////91cQB+AAcAAAADEn8GeHh3RQIeAAJIAgICeAIEAgUCBgIHAggCCQI4AgsCSQINAggCCAIIAggCCAIIAggCCAIIAggCCAIIAggCCAIIAggCCAITAgMCjXNxAH4AAAAAAAJzcQB+AAT///////////////7////+/////3VxAH4ABwAAAAQrEAtReHh3RQIeAAJIAgICJwIEAgUCBgIHAggCCQJMAgsCSQINAggCCAIIAggCCAIIAggCCAIIAggCCAIIAggCCAIIAggCCAITAgMCjnNxAH4AAAAAAAJzcQB+AAT///////////////7////+/////3VxAH4ABwAAAAMSlsB4eHdFAh4AAkgCAgIfAgQCBQIGAgcCCAIJAjgCCwJJAg0CCAIIAggCCAIIAggCCAIIAggCCAIIAggCCAIIAggCCAIIAhMCAwKPc3EAfgAAAAAAAnNxAH4ABP///////////////v////7/////dXEAfgAHAAAABC6RhSt4eHdFAh4AAkgCAgJ1AgQCBQIGAgcCCAIJAgoCCwJJAg0CCAIIAggCCAIIAggCCAIIAggCCAIIAggCCAIIAggCCAIIAhMCAwKQc3EAfgAAAAAAAnNxAH4ABP///////////////v////7/////dXEAfgAHAAAAA56yqnh4d0UCHgACSAICAngCBAIFAgYCBwIIAgkCTAILAkkCDQIIAggCCAIIAggCCAIIAggCCAIIAggCCAIIAggCCAIIAggCEwIDApFzcQB+AAAAAAACc3EAfgAE///////////////+/////v////91cQB+AAcAAAADEmdreHh3RQIeAAJIAgICHwIEAgUCBgIHAggCCQJMAgsCSQINAggCCAIIAggCCAIIAggCCAIIAggCCAIIAggCCAIIAggCCAITAgMCknNxAH4AAAAAAAJzcQB+AAT///////////////7////+/////3VxAH4ABwAAAAMSmrd4eHdFAh4AAkgCAgIxAgQCBQIGAgcCCAIJAgoCCwJJAg0CCAIIAggCCAIIAggCCAIIAggCCAIIAggCCAIIAggCCAIIAhMCAwKTc3EAfgAAAAAAAnNxAH4ABP///////////////v////4AAAABdXEAfgAHAAAAA/+JXnh4d0UCHgACSAICAiMCBAIFAgYCBwIIAgkCCgILAkkCDQIIAggCCAIIAggCCAIIAggCCAIIAggCCAIIAggCCAIIAggCEwIDApRzcQB+AAAAAAACc3EAfgAE///////////////+/////v////91cQB+AAcAAAAEEKaLJHh4d0UCHgACSAICAk8CBAIFAgYCBwIIAgkCCgILAkkCDQIIAggCCAIIAggCCAIIAggCCAIIAggCCAIIAggCCAIIAggCEwIDApVzcQB+AAAAAAACc3EAfgAE///////////////+/////v////91cQB+AAcAAAAEATJrz3h4d0UCHgACSAICAksCBAIFAgYCBwIIAgkCCgILAkkCDQIIAggCCAIIAggCCAIIAggCCAIIAggCCAIIAggCCAIIAggCEwIDApZzcQB+AAAAAAACc3EAfgAE///////////////+/////v////91cQB+AAcAAAAEBFuSEHh4d0UCHgACSAICAhsCBAIFAgYCBwIIAgkCCgILAkkCDQIIAggCCAIIAggCCAIIAggCCAIIAggCCAIIAggCCAIIAggCEwIDApdzcQB+AAAAAAACc3EAfgAE///////////////+/////v////91cQB+AAcAAAAECL1IIXh4d0UCHgACSAICAgMCBAIFAgYCBwIIAgkCTAILAkkCDQIIAggCCAIIAggCCAIIAggCCAIIAggCCAIIAggCCAIIAggCEwIDAphzcQB+AAAAAAACc3EAfgAE///////////////+/////v////91cQB+AAcAAAADEpLKeHh3RQIeAAJIAgICggIEAgUCBgIHAggCCQIKAgsCSQINAggCCAIIAggCCAIIAggCCAIIAggCCAIIAggCCAIIAggCCAITAgMCmXNxAH4AAAAAAAJzcQB+AAT///////////////7////+/////3VxAH4ABwAAAAQBBpRgeHh3RQIeAAJIAgICewIEAgUCBgIHAggCCQI4AgsCSQINAggCCAIIAggCCAIIAggCCAIIAggCCAIIAggCCAIIAggCCAITAgMCmnNxAH4AAAAAAAJzcQB+AAT///////////////7////+/////3VxAH4ABwAAAAQVrLWfeHh3igIeAAJIAgICIQIEAgUCBgIHAggCCQJMAgsCSQINAggCCAIIAggCCAIIAggCCAIIAggCCAIIAggCCAIIAggCCAITAgMCUAIeAAJIAgIChQIEAgUCBgIHAggCCQI4AgsCSQINAggCCAIIAggCCAIIAggCCAIIAggCCAIIAggCCAIIAggCCAITAgMCm3NxAH4AAAAAAAJzcQB+AAT///////////////7////+/////3VxAH4ABwAAAAQzvJaSeHh3RQIeAAJIAgIChQIEAgUCBgIHAggCCQJMAgsCSQINAggCCAIIAggCCAIIAggCCAIIAggCCAIIAggCCAIIAggCCAITAgMCnHNxAH4AAAAAAAJzcQB+AAT///////////////7////+/////3VxAH4ABwAAAAMSczV4eHdFAh4AAkgCAgJfAgQCBQIGAgcCCAIJAkwCCwJJAg0CCAIIAggCCAIIAggCCAIIAggCCAIIAggCCAIIAggCCAIIAhMCAwKdc3EAfgAAAAAAAnNxAH4ABP///////////////v////7/////dXEAfgAHAAAAAxJ3JXh4d0UCHgACSAICAl8CBAIFAgYCBwIIAgkCOAILAkkCDQIIAggCCAIIAggCCAIIAggCCAIIAggCCAIIAggCCAIIAggCEwIDAp5zcQB+AAAAAAACc3EAfgAE///////////////+/////v////91cQB+AAcAAAAENJhHI3h4d0UCHgACSAICAiMCBAIFAgYCBwIIAgkCOAILAkkCDQIIAggCCAIIAggCCAIIAggCCAIIAggCCAIIAggCCAIIAggCEwIDAp9zcQB+AAAAAAACc3EAfgAE///////////////+/////v////91cQB+AAcAAAAEKSCPhXh4d0UCHgACSAICAiECBAIFAgYCBwIIAgkCOAILAkkCDQIIAggCCAIIAggCCAIIAggCCAIIAggCCAIIAggCCAIIAggCEwIDAqBzcQB+AAAAAAACc3EAfgAE///////////////+/////v////91cQB+AAcAAAAEHCN8kHh4d0UCHgACSAICAgMCBAIFAgYCBwIIAgkCOAILAkkCDQIIAggCCAIIAggCCAIIAggCCAIIAggCCAIIAggCCAIIAggCEwIDAqFzcQB+AAAAAAACc3EAfgAE///////////////+/////v////91cQB+AAcAAAAEKiZPC3h4d0UCHgACSAICAmkCBAIFAgYCBwIIAgkCCgILAkkCDQIIAggCCAIIAggCCAIIAggCCAIIAggCCAIIAggCCAIIAggCEwIDAqJzcQB+AAAAAAACc3EAfgAE///////////////+/////v////91cQB+AAcAAAAEAc1Kd3h4d4oCHgACSAICAiMCBAIFAgYCBwIIAgkCTAILAkkCDQIIAggCCAIIAggCCAIIAggCCAIIAggCCAIIAggCCAIIAggCEwIDAlACHgACSAICAicCBAIFAgYCBwIIAgkCCgILAkkCDQIIAggCCAIIAggCCAIIAggCCAIIAggCCAIIAggCCAIIAggCEwIDAqNzcQB+AAAAAAACc3EAfgAE///////////////+/////v////91cQB+AAcAAAAEAW1K0nh4d0UCHgACSAICAlMCBAIFAgYCBwIIAgkCOAILAkkCDQIIAggCCAIIAggCCAIIAggCCAIIAggCCAIIAggCCAIIAggCEwIDAqRzcQB+AAAAAAACc3EAfgAE///////////////+/////v////91cQB+AAcAAAAEI8Z4/Xh4d0UCHgACSAICAlMCBAIFAgYCBwIIAgkCTAILAkkCDQIIAggCCAIIAggCCAIIAggCCAIIAggCCAIIAggCCAIIAggCEwIDAqVzcQB+AAAAAAACc3EAfgAE///////////////+/////v////91cQB+AAcAAAADEl+UeHh6AAAEAAIeAAKmAAkyMTkwNjgyNTYCAgInAgQCBQIGAgcCCAIJAgoCCwJJAg0CCAIIAggCCAIIAggCCAIIAggCCAIIAggCCAIIAggCCAIIAgUCAwKjAh4AAqYCAgIdAgQCBQIGAgcCCAIJAgoCCwJJAg0CCAIIAggCCAIIAggCCAIIAggCCAIIAggCCAIIAggCCAIIAgUCAwJRAh4AAqYCAgIvAgQCBQIGAgcCCAIJAgoCCwJJAg0CCAIIAggCCAIIAggCCAIIAggCCAIIAggCCAIIAggCCAIIAgUCAwKJAh4AAqYCAgI1AgQCBQIGAgcCCAIJAgoCCwJJAg0CCAIIAggCCAIIAggCCAIIAggCCAIIAggCCAIIAggCCAIIAgUCAwKKAh4AAqYCAgIzAgQCBQIGAgcCCAIJAgoCCwJJAg0CCAIIAggCCAIIAggCCAIIAggCCAIIAggCCAIIAggCCAIIAgUCAwKLAh4AAqYCAgItAgQCBQIGAgcCCAIJAgoCCwJJAg0CCAIIAggCCAIIAggCCAIIAggCCAIIAggCCAIIAggCCAIIAgUCAwJwAh4AAqYCAgIfAgQCBQIGAgcCCAIJAgoCCwJJAg0CCAIIAggCCAIIAggCCAIIAggCCAIIAggCCAIIAggCCAIIAgUCAwJvAh4AAqYCAgIbAgQCBQIGAgcCCAIJAgoCCwJJAg0CCAIIAggCCAIIAggCCAIIAggCCAIIAggCCAIIAggCCAIIAgUCAwKXAh4AAqYCAgIDAgQCBQIGAgcCCAIJAgoCCwJJAg0CCAIIAggCCAIIAggCCAIIAggCCAIIAggCCAIIAggCCAIIAgUCAwJbAh4AAqYCAgIjAgQCBQIGAgcCCAIJAgoCCwJJAg0CCAIIAggCCAIIAggCCAIIAggCCAIIAggCCAIIAggCCAIIAgUCAwKUAh4AAqYCAgIpAgQCBQIGAgcCCAIJAgoCCwJJAg0CCAIIAggCCAIIAggCCAIIAggCCAIIAggCCAIIAggCCAIIAgUCAwJ0Ah4AAqYCAgIlAgQCBQIGAgcCCAIJAgoCCwJJAg0CCAIIAggCCAIIAggCCAIIAggCCAIIAggCCAIIAggCCAIIAgUCAwKBAh4AAqYCAgIxAgQCBQIGAgcCCAIJAgoCCwJJAg0CCAIIAggCCAIIAggCCAIIAggCCAIIAggCCAIIAggCCAIIAgUCAwKTAh4AAqYCAgIrAgQCBQIGAgcCCAIJAgoCCwJJAg0CCAIIAggCCAIIAggCCAIIAggCCAIIAggCCAIIAggCCAIIAgUCAwJcAh4AAqYCAgIhAgQCBQIGAgcCCAIJAgoCCwJJAg0CCAIIAggCCAIIAggCCAIIAgh3dgIIAggCCAIIAggCCAIIAggCBQIDAmUCHgACpwAJNDk0MDE2MTA0AgICqAAGMjAxMzEyAgQCBQIGAgcCCAIJAqkABjE5MTAyNQILAgwCDQIIAggCCAIIAggCCAIIAggCCAIIAggCCAIIAggCCAIIAggCIgIDAqpzcQB+AAAAAAACc3EAfgAE///////////////+/////v////91cQB+AAcAAAADFOXkeHh6AAAEAAIeAAKrAAk0MzA5ODQzMTICAgIvAgQCBQIGAgcCCAIJAkwCCwJJAg0CCAIIAggCCAIIAggCCAIIAggCCAIIAggCCAIIAggCCAIIAhkCAwJ3Ah4AAqsCAgJ1AgQCBQIGAgcCCAIJAkwCCwJJAg0CCAIIAggCCAIIAggCCAIIAggCCAIIAggCCAIIAggCCAIIAhkCAwKAAh4AAqsCAgKFAgQCBQIGAgcCCAIJAjgCCwJJAg0CCAIIAggCCAIIAggCCAIIAggCCAIIAggCCAIIAggCCAIIAhkCAwKbAh4AAqsCAgIzAgQCBQIGAgcCCAIJAjgCCwJJAg0CCAIIAggCCAIIAggCCAIIAggCCAIIAggCCAIIAggCCAIIAhkCAwJoAh4AAqsCAgI1AgQCBQIGAgcCCAIJAjgCCwJJAg0CCAIIAggCCAIIAggCCAIIAggCCAIIAggCCAIIAggCCAIIAhkCAwJuAh4AAqsCAgJLAgQCBQIGAgcCCAIJAgoCCwJJAg0CCAIIAggCCAIIAggCCAIIAggCCAIIAggCCAIIAggCCAIIAhkCAwKWAh4AAqsCAgIvAgQCBQIGAgcCCAIJAjgCCwJJAg0CCAIIAggCCAIIAggCCAIIAggCCAIIAggCCAIIAggCCAIIAhkCAwJ6Ah4AAqsCAgIbAgQCBQIGAgcCCAIJAgoCCwJJAg0CCAIIAggCCAIIAggCCAIIAggCCAIIAggCCAIIAggCCAIIAhkCAwKXAh4AAqsCAgKFAgQCBQIGAgcCCAIJAkwCCwJJAg0CCAIIAggCCAIIAggCCAIIAggCCAIIAggCCAIIAggCCAIIAhkCAwKcAh4AAqsCAgIrAgQCBQIGAgcCCAIJAgoCCwJJAg0CCAIIAggCCAIIAggCCAIIAggCCAIIAggCCAIIAggCCAIIAhkCAwJcAh4AAqsCAgJZAgQCBQIGAgcCCAIJAgoCCwJJAg0CCAIIAggCCAIIAggCCAIIAggCCAIIAggCCAIIAggCCAIIAhkCAwJhAh4AAqsCAgIpAgQCBQIGAgcCCAIJAjgCCwJJAg0CCAIIAggCCAIIAggCCAIIAggCCAIIAggCCAIIAggCCAIIAhkCAwJeAh4AAqsCAgIhAgQCBQIGAgcCCAIJAgoCCwJJAg0CCAIIAggCCAIIAggCCAIIAggCCAIIAggCCAIIAggCCAIIAhkCAwJlAh4AAqsCAgIjAgQCBQIGAgcCCAIJAgoCCwJJAg0CCAIIAggCCAIIAggCCAIIAggCCAIIAggCCAIIAggCCAIIAhkCAwKUAh4AAqsCAgIfAgQCBQIGAgcCCAIJAkwCCwJJAg0CCAIIAggCCAIIAggCCAIIAgh6AAAEAAIIAggCCAIIAggCCAIIAggCGQIDApICHgACqwICAngCBAIFAgYCBwIIAgkCTAILAkkCDQIIAggCCAIIAggCCAIIAggCCAIIAggCCAIIAggCCAIIAggCGQIDApECHgACqwICAngCBAIFAgYCBwIIAgkCOAILAkkCDQIIAggCCAIIAggCCAIIAggCCAIIAggCCAIIAggCCAIIAggCGQIDAo0CHgACqwICAlMCBAIFAgYCBwIIAgkCCgILAkkCDQIIAggCCAIIAggCCAIIAggCCAIIAggCCAIIAggCCAIIAggCGQIDAlQCHgACqwICAi0CBAIFAgYCBwIIAgkCOAILAkkCDQIIAggCCAIIAggCCAIIAggCCAIIAggCCAIIAggCCAIIAggCGQIDAkoCHgACqwICAh8CBAIFAgYCBwIIAgkCOAILAkkCDQIIAggCCAIIAggCCAIIAggCCAIIAggCCAIIAggCCAIIAggCGQIDAo8CHgACqwICAi0CBAIFAgYCBwIIAgkCCgILAkkCDQIIAggCCAIIAggCCAIIAggCCAIIAggCCAIIAggCCAIIAggCGQIDAnACHgACqwICAgMCBAIFAgYCBwIIAgkCCgILAkkCDQIIAggCCAIIAggCCAIIAggCCAIIAggCCAIIAggCCAIIAggCGQIDAlsCHgACqwICAjMCBAIFAgYCBwIIAgkCTAILAkkCDQIIAggCCAIIAggCCAIIAggCCAIIAggCCAIIAggCCAIIAggCGQIDAlACHgACqwICAjUCBAIFAgYCBwIIAgkCTAILAkkCDQIIAggCCAIIAggCCAIIAggCCAIIAggCCAIIAggCCAIIAggCGQIDAmwCHgACqwICAh0CBAIFAgYCBwIIAgkCTAILAkkCDQIIAggCCAIIAggCCAIIAggCCAIIAggCCAIIAggCCAIIAggCGQIDAlACHgACqwICAlYCBAIFAgYCBwIIAgkCTAILAkkCDQIIAggCCAIIAggCCAIIAggCCAIIAggCCAIIAggCCAIIAggCGQIDAn8CHgACqwICAisCBAIFAgYCBwIIAgkCOAILAkkCDQIIAggCCAIIAggCCAIIAggCCAIIAggCCAIIAggCCAIIAggCGQIDAlUCHgACqwICAlkCBAIFAgYCBwIIAgkCOAILAkkCDQIIAggCCAIIAggCCAIIAggCCAIIAggCCAIIAggCCAIIAggCGQIDAloCHgACqwICAnUCBAIFAgYCBwIIAgkCOAILAkkCDQIIAggCCAIIAggCCAIIAggCCAIIAggCCAIIAggCCAIIAggCGQIDAnYCHgACqwICAisCBAIFAgYCBwIIAgkCTAILAkkCDQIIAggCCAJ6AAAEAAgCCAIIAggCCAIIAggCCAIIAggCCAIIAggCCAIZAgMCcwIeAAKrAgICewIEAgUCBgIHAggCCQIKAgsCSQINAggCCAIIAggCCAIIAggCCAIIAggCCAIIAggCCAIIAggCCAIZAgMCfAIeAAKrAgICKQIEAgUCBgIHAggCCQIKAgsCSQINAggCCAIIAggCCAIIAggCCAIIAggCCAIIAggCCAIIAggCCAIZAgMCdAIeAAKrAgIChQIEAgUCBgIHAggCCQIKAgsCSQINAggCCAIIAggCCAIIAggCCAIIAggCCAIIAggCCAIIAggCCAIZAgMChgIeAAKrAgICAwIEAgUCBgIHAggCCQI4AgsCSQINAggCCAIIAggCCAIIAggCCAIIAggCCAIIAggCCAIIAggCCAIZAgMCoQIeAAKrAgICXwIEAgUCBgIHAggCCQJMAgsCSQINAggCCAIIAggCCAIIAggCCAIIAggCCAIIAggCCAIIAggCCAIZAgMCnQIeAAKrAgICIQIEAgUCBgIHAggCCQJMAgsCSQINAggCCAIIAggCCAIIAggCCAIIAggCCAIIAggCCAIIAggCCAIZAgMCUAIeAAKrAgICeAIEAgUCBgIHAggCCQIKAgsCSQINAggCCAIIAggCCAIIAggCCAIIAggCCAIIAggCCAIIAggCCAIZAgMCeQIeAAKrAgICWQIEAgUCBgIHAggCCQJMAgsCSQINAggCCAIIAggCCAIIAggCCAIIAggCCAIIAggCCAIIAggCCAIZAgMCcgIeAAKrAgICVgIEAgUCBgIHAggCCQI4AgsCSQINAggCCAIIAggCCAIIAggCCAIIAggCCAIIAggCCAIIAggCCAIZAgMCfgIeAAKrAgICXwIEAgUCBgIHAggCCQI4AgsCSQINAggCCAIIAggCCAIIAggCCAIIAggCCAIIAggCCAIIAggCCAIZAgMCngIeAAKrAgICUwIEAgUCBgIHAggCCQI4AgsCSQINAggCCAIIAggCCAIIAggCCAIIAggCCAIIAggCCAIIAggCCAIZAgMCpAIeAAKrAgICAwIEAgUCBgIHAggCCQJMAgsCSQINAggCCAIIAggCCAIIAggCCAIIAggCCAIIAggCCAIIAggCCAIZAgMCmAIeAAKrAgICHQIEAgUCBgIHAggCCQI4AgsCSQINAggCCAIIAggCCAIIAggCCAIIAggCCAIIAggCCAIIAggCCAIZAgMCawIeAAKrAgICHwIEAgUCBgIHAggCCQIKAgsCSQINAggCCAIIAggCCAIIAggCCAIIAggCCAIIAggCCAIIAggCCAIZAgMCbwIeAAKrAgICMQIEAgUCBgIHAggCCQIKAgt6AAAEAAJJAg0CCAIIAggCCAIIAggCCAIIAggCCAIIAggCCAIIAggCCAIIAhkCAwKTAh4AAqsCAgKCAgQCBQIGAgcCCAIJAgoCCwJJAg0CCAIIAggCCAIIAggCCAIIAggCCAIIAggCCAIIAggCCAIIAhkCAwKZAh4AAqsCAgInAgQCBQIGAgcCCAIJAjgCCwJJAg0CCAIIAggCCAIIAggCCAIIAggCCAIIAggCCAIIAggCCAIIAhkCAwJtAh4AAqsCAgJWAgQCBQIGAgcCCAIJAgoCCwJJAg0CCAIIAggCCAIIAggCCAIIAggCCAIIAggCCAIIAggCCAIIAhkCAwJXAh4AAqsCAgJLAgQCBQIGAgcCCAIJAkwCCwJJAg0CCAIIAggCCAIIAggCCAIIAggCCAIIAggCCAIIAggCCAIIAhkCAwJNAh4AAqsCAgJ7AgQCBQIGAgcCCAIJAjgCCwJJAg0CCAIIAggCCAIIAggCCAIIAggCCAIIAggCCAIIAggCCAIIAhkCAwKaAh4AAqsCAgIbAgQCBQIGAgcCCAIJAkwCCwJJAg0CCAIIAggCCAIIAggCCAIIAggCCAIIAggCCAIIAggCCAIIAhkCAwJOAh4AAqsCAgItAgQCBQIGAgcCCAIJAkwCCwJJAg0CCAIIAggCCAIIAggCCAIIAggCCAIIAggCCAIIAggCCAIIAhkCAwJiAh4AAqsCAgJpAgQCBQIGAgcCCAIJAkwCCwJJAg0CCAIIAggCCAIIAggCCAIIAggCCAIIAggCCAIIAggCCAIIAhkCAwJxAh4AAqsCAgJpAgQCBQIGAgcCCAIJAjgCCwJJAg0CCAIIAggCCAIIAggCCAIIAggCCAIIAggCCAIIAggCCAIIAhkCAwJqAh4AAqsCAgInAgQCBQIGAgcCCAIJAkwCCwJJAg0CCAIIAggCCAIIAggCCAIIAggCCAIIAggCCAIIAggCCAIIAhkCAwKOAh4AAqsCAgIpAgQCBQIGAgcCCAIJAkwCCwJJAg0CCAIIAggCCAIIAggCCAIIAggCCAIIAggCCAIIAggCCAIIAhkCAwJdAh4AAqsCAgJ1AgQCBQIGAgcCCAIJAgoCCwJJAg0CCAIIAggCCAIIAggCCAIIAggCCAIIAggCCAIIAggCCAIIAhkCAwKQAh4AAqsCAgJfAgQCBQIGAgcCCAIJAgoCCwJJAg0CCAIIAggCCAIIAggCCAIIAggCCAIIAggCCAIIAggCCAIIAhkCAwJgAh4AAqsCAgJ7AgQCBQIGAgcCCAIJAkwCCwJJAg0CCAIIAggCCAIIAggCCAIIAggCCAIIAggCCAIIAggCCAIIAhkCAwKMAh4AAqsCAgJLAgQCBQJ6AAAEAAYCBwIIAgkCOAILAkkCDQIIAggCCAIIAggCCAIIAggCCAIIAggCCAIIAggCCAIIAggCGQIDAmQCHgACqwICAhsCBAIFAgYCBwIIAgkCOAILAkkCDQIIAggCCAIIAggCCAIIAggCCAIIAggCCAIIAggCCAIIAggCGQIDAlICHgACqwICAi8CBAIFAgYCBwIIAgkCCgILAkkCDQIIAggCCAIIAggCCAIIAggCCAIIAggCCAIIAggCCAIIAggCGQIDAokCHgACqwICAjUCBAIFAgYCBwIIAgkCCgILAkkCDQIIAggCCAIIAggCCAIIAggCCAIIAggCCAIIAggCCAIIAggCGQIDAooCHgACqwICAh0CBAIFAgYCBwIIAgkCCgILAkkCDQIIAggCCAIIAggCCAIIAggCCAIIAggCCAIIAggCCAIIAggCGQIDAlECHgACqwICAoICBAIFAgYCBwIIAgkCTAILAkkCDQIIAggCCAIIAggCCAIIAggCCAIIAggCCAIIAggCCAIIAggCGQIDAogCHgACqwICAjMCBAIFAgYCBwIIAgkCCgILAkkCDQIIAggCCAIIAggCCAIIAggCCAIIAggCCAIIAggCCAIIAggCGQIDAosCHgACqwICAjECBAIFAgYCBwIIAgkCTAILAkkCDQIIAggCCAIIAggCCAIIAggCCAIIAggCCAIIAggCCAIIAggCGQIDAocCHgACqwICAoICBAIFAgYCBwIIAgkCOAILAkkCDQIIAggCCAIIAggCCAIIAggCCAIIAggCCAIIAggCCAIIAggCGQIDAoMCHgACqwICAlMCBAIFAgYCBwIIAgkCTAILAkkCDQIIAggCCAIIAggCCAIIAggCCAIIAggCCAIIAggCCAIIAggCGQIDAqUCHgACqwICAjECBAIFAgYCBwIIAgkCOAILAkkCDQIIAggCCAIIAggCCAIIAggCCAIIAggCCAIIAggCCAIIAggCGQIDAoQCHgACqwICAiECBAIFAgYCBwIIAgkCOAILAkkCDQIIAggCCAIIAggCCAIIAggCCAIIAggCCAIIAggCCAIIAggCGQIDAqACHgACqwICAicCBAIFAgYCBwIIAgkCCgILAkkCDQIIAggCCAIIAggCCAIIAggCCAIIAggCCAIIAggCCAIIAggCGQIDAqMCHgACqwICAmkCBAIFAgYCBwIIAgkCCgILAkkCDQIIAggCCAIIAggCCAIIAggCCAIIAggCCAIIAggCCAIIAggCGQIDAqICHgACqwICAiMCBAIFAgYCBwIIAgkCOAILAkkCDQIIAggCCAIIAggCCAIIAggCCAIIAggCCAIIAggCCAIIAggCGQIDAp8CHgB6AAAEAAKrAgICIwIEAgUCBgIHAggCCQJMAgsCSQINAggCCAIIAggCCAIIAggCCAIIAggCCAIIAggCCAIIAggCCAIZAgMCUAIeAAKsAAk0MzA5ODY2MzICAgKCAgQCBQIGAgcCCAIJAkwCCwJJAg0CCAIIAggCCAIIAggCCAIIAggCCAIIAggCCAIIAggCCAIIAhsCAwKIAh4AAqwCAgKFAgQCBQIGAgcCCAIJAgoCCwJJAg0CCAIIAggCCAIIAggCCAIIAggCCAIIAggCCAIIAggCCAIIAhsCAwKGAh4AAqwCAgIxAgQCBQIGAgcCCAIJAkwCCwJJAg0CCAIIAggCCAIIAggCCAIIAggCCAIIAggCCAIIAggCCAIIAhsCAwKHAh4AAqwCAgIjAgQCBQIGAgcCCAIJAjgCCwJJAg0CCAIIAggCCAIIAggCCAIIAggCCAIIAggCCAIIAggCCAIIAhsCAwKfAh4AAqwCAgIxAgQCBQIGAgcCCAIJAjgCCwJJAg0CCAIIAggCCAIIAggCCAIIAggCCAIIAggCCAIIAggCCAIIAhsCAwKEAh4AAqwCAgJ1AgQCBQIGAgcCCAIJAjgCCwJJAg0CCAIIAggCCAIIAggCCAIIAggCCAIIAggCCAIIAggCCAIIAhsCAwJ2Ah4AAqwCAgIpAgQCBQIGAgcCCAIJAgoCCwJJAg0CCAIIAggCCAIIAggCCAIIAggCCAIIAggCCAIIAggCCAIIAhsCAwJ0Ah4AAqwCAgJ1AgQCBQIGAgcCCAIJAkwCCwJJAg0CCAIIAggCCAIIAggCCAIIAggCCAIIAggCCAIIAggCCAIIAhsCAwKAAh4AAqwCAgKFAgQCBQIGAgcCCAIJAjgCCwJJAg0CCAIIAggCCAIIAggCCAIIAggCCAIIAggCCAIIAggCCAIIAhsCAwKbAh4AAqwCAgIvAgQCBQIGAgcCCAIJAkwCCwJJAg0CCAIIAggCCAIIAggCCAIIAggCCAIIAggCCAIIAggCCAIIAhsCAwJ3Ah4AAqwCAgJLAgQCBQIGAgcCCAIJAgoCCwJJAg0CCAIIAggCCAIIAggCCAIIAggCCAIIAggCCAIIAggCCAIIAhsCAwKWAh4AAqwCAgIvAgQCBQIGAgcCCAIJAjgCCwJJAg0CCAIIAggCCAIIAggCCAIIAggCCAIIAggCCAIIAggCCAIIAhsCAwJ6Ah4AAqwCAgI1AgQCBQIGAgcCCAIJAjgCCwJJAg0CCAIIAggCCAIIAggCCAIIAggCCAIIAggCCAIIAggCCAIIAhsCAwJuAh4AAqwCAgJpAgQCBQIGAgcCCAIJAkwCCwJJAg0CCAIIAggCCAIIAggCCAIIAggCCAJ6AAAEAAgCCAIIAggCCAIIAggCGwIDAnECHgACrAICAnsCBAIFAgYCBwIIAgkCTAILAkkCDQIIAggCCAIIAggCCAIIAggCCAIIAggCCAIIAggCCAIIAggCGwIDAowCHgACrAICAhsCBAIFAgYCBwIIAgkCCgILAkkCDQIIAggCCAIIAggCCAIIAggCCAIIAggCCAIIAggCCAIIAggCGwIDApcCHgACrAICAicCBAIFAgYCBwIIAgkCOAILAkkCDQIIAggCCAIIAggCCAIIAggCCAIIAggCCAIIAggCCAIIAggCGwIDAm0CHgACrAICAmkCBAIFAgYCBwIIAgkCOAILAkkCDQIIAggCCAIIAggCCAIIAggCCAIIAggCCAIIAggCCAIIAggCGwIDAmoCHgACrAICAicCBAIFAgYCBwIIAgkCTAILAkkCDQIIAggCCAIIAggCCAIIAggCCAIIAggCCAIIAggCCAIIAggCGwIDAo4CHgACrAICAisCBAIFAgYCBwIIAgkCCgILAkkCDQIIAggCCAIIAggCCAIIAggCCAIIAggCCAIIAggCCAIIAggCGwIDAlwCHgACrAICAlkCBAIFAgYCBwIIAgkCCgILAkkCDQIIAggCCAIIAggCCAIIAggCCAIIAggCCAIIAggCCAIIAggCGwIDAmECHgACrAICAlMCBAIFAgYCBwIIAgkCTAILAkkCDQIIAggCCAIIAggCCAIIAggCCAIIAggCCAIIAggCCAIIAggCGwIDAqUCHgACrAICAl8CBAIFAgYCBwIIAgkCTAILAkkCDQIIAggCCAIIAggCCAIIAggCCAIIAggCCAIIAggCCAIIAggCGwIDAp0CHgACrAICAiECBAIFAgYCBwIIAgkCTAILAkkCDQIIAggCCAIIAggCCAIIAggCCAIIAggCCAIIAggCCAIIAggCGwIDAlACHgACrAICAiMCBAIFAgYCBwIIAgkCTAILAkkCDQIIAggCCAIIAggCCAIIAggCCAIIAggCCAIIAggCCAIIAggCGwIDAlACHgACrAICAhsCBAIFAgYCBwIIAgkCOAILAkkCDQIIAggCCAIIAggCCAIIAggCCAIIAggCCAIIAggCCAIIAggCGwIDAlICHgACrAICAksCBAIFAgYCBwIIAgkCOAILAkkCDQIIAggCCAIIAggCCAIIAggCCAIIAggCCAIIAggCCAIIAggCGwIDAmQCHgACrAICAnUCBAIFAgYCBwIIAgkCCgILAkkCDQIIAggCCAIIAggCCAIIAggCCAIIAggCCAIIAggCCAIIAggCGwIDApACHgACrAICAoICBAIFAgYCBwIIAgkCOAILAkkCDQIIAggCCAIIAgh6AAAEAAIIAggCCAIIAggCCAIIAggCCAIIAggCCAIbAgMCgwIeAAKsAgICXwIEAgUCBgIHAggCCQI4AgsCSQINAggCCAIIAggCCAIIAggCCAIIAggCCAIIAggCCAIIAggCCAIbAgMCngIeAAKsAgICLwIEAgUCBgIHAggCCQIKAgsCSQINAggCCAIIAggCCAIIAggCCAIIAggCCAIIAggCCAIIAggCCAIbAgMCiQIeAAKsAgICHQIEAgUCBgIHAggCCQIKAgsCSQINAggCCAIIAggCCAIIAggCCAIIAggCCAIIAggCCAIIAggCCAIbAgMCUQIeAAKsAgICNQIEAgUCBgIHAggCCQIKAgsCSQINAggCCAIIAggCCAIIAggCCAIIAggCCAIIAggCCAIIAggCCAIbAgMCigIeAAKsAgICWQIEAgUCBgIHAggCCQI4AgsCSQINAggCCAIIAggCCAIIAggCCAIIAggCCAIIAggCCAIIAggCCAIbAgMCWgIeAAKsAgICKwIEAgUCBgIHAggCCQI4AgsCSQINAggCCAIIAggCCAIIAggCCAIIAggCCAIIAggCCAIIAggCCAIbAgMCVQIeAAKsAgICVgIEAgUCBgIHAggCCQIKAgsCSQINAggCCAIIAggCCAIIAggCCAIIAggCCAIIAggCCAIIAggCCAIbAgMCVwIeAAKsAgICaQIEAgUCBgIHAggCCQIKAgsCSQINAggCCAIIAggCCAIIAggCCAIIAggCCAIIAggCCAIIAggCCAIbAgMCogIeAAKsAgICLQIEAgUCBgIHAggCCQI4AgsCSQINAggCCAIIAggCCAIIAggCCAIIAggCCAIIAggCCAIIAggCCAIbAgMCSgIeAAKsAgICLQIEAgUCBgIHAggCCQJMAgsCSQINAggCCAIIAggCCAIIAggCCAIIAggCCAIIAggCCAIIAggCCAIbAgMCYgIeAAKsAgICGwIEAgUCBgIHAggCCQJMAgsCSQINAggCCAIIAggCCAIIAggCCAIIAggCCAIIAggCCAIIAggCCAIbAgMCTgIeAAKsAgICIQIEAgUCBgIHAggCCQI4AgsCSQINAggCCAIIAggCCAIIAggCCAIIAggCCAIIAggCCAIIAggCCAIbAgMCoAIeAAKsAgICSwIEAgUCBgIHAggCCQJMAgsCSQINAggCCAIIAggCCAIIAggCCAIIAggCCAIIAggCCAIIAggCCAIbAgMCTQIeAAKsAgICJwIEAgUCBgIHAggCCQIKAgsCSQINAggCCAIIAggCCAIIAggCCAIIAggCCAIIAggCCAIIAggCCAIbAgMCowIeAAKsAgICeAIEAgUCBgIHAggCCQIKAgsCSQJ6AAAEAA0CCAIIAggCCAIIAggCCAIIAggCCAIIAggCCAIIAggCCAIIAhsCAwJ5Ah4AAqwCAgIDAgQCBQIGAgcCCAIJAjgCCwJJAg0CCAIIAggCCAIIAggCCAIIAggCCAIIAggCCAIIAggCCAIIAhsCAwKhAh4AAqwCAgJTAgQCBQIGAgcCCAIJAjgCCwJJAg0CCAIIAggCCAIIAggCCAIIAggCCAIIAggCCAIIAggCCAIIAhsCAwKkAh4AAqwCAgIhAgQCBQIGAgcCCAIJAgoCCwJJAg0CCAIIAggCCAIIAggCCAIIAggCCAIIAggCCAIIAggCCAIIAhsCAwJlAh4AAqwCAgJfAgQCBQIGAgcCCAIJAgoCCwJJAg0CCAIIAggCCAIIAggCCAIIAggCCAIIAggCCAIIAggCCAIIAhsCAwJgAh4AAqwCAgIdAgQCBQIGAgcCCAIJAjgCCwJJAg0CCAIIAggCCAIIAggCCAIIAggCCAIIAggCCAIIAggCCAIIAhsCAwJrAh4AAqwCAgIpAgQCBQIGAgcCCAIJAkwCCwJJAg0CCAIIAggCCAIIAggCCAIIAggCCAIIAggCCAIIAggCCAIIAhsCAwJdAh4AAqwCAgIDAgQCBQIGAgcCCAIJAkwCCwJJAg0CCAIIAggCCAIIAggCCAIIAggCCAIIAggCCAIIAggCCAIIAhsCAwKYAh4AAqwCAgIfAgQCBQIGAgcCCAIJAgoCCwJJAg0CCAIIAggCCAIIAggCCAIIAggCCAIIAggCCAIIAggCCAIIAhsCAwJvAh4AAqwCAgItAgQCBQIGAgcCCAIJAgoCCwJJAg0CCAIIAggCCAIIAggCCAIIAggCCAIIAggCCAIIAggCCAIIAhsCAwJwAh4AAqwCAgIxAgQCBQIGAgcCCAIJAgoCCwJJAg0CCAIIAggCCAIIAggCCAIIAggCCAIIAggCCAIIAggCCAIIAhsCAwKTAh4AAqwCAgKCAgQCBQIGAgcCCAIJAgoCCwJJAg0CCAIIAggCCAIIAggCCAIIAggCCAIIAggCCAIIAggCCAIIAhsCAwKZAh4AAqwCAgJWAgQCBQIGAgcCCAIJAkwCCwJJAg0CCAIIAggCCAIIAggCCAIIAggCCAIIAggCCAIIAggCCAIIAhsCAwJ/Ah4AAqwCAgKFAgQCBQIGAgcCCAIJAkwCCwJJAg0CCAIIAggCCAIIAggCCAIIAggCCAIIAggCCAIIAggCCAIIAhsCAwKcAh4AAqwCAgJ7AgQCBQIGAgcCCAIJAjgCCwJJAg0CCAIIAggCCAIIAggCCAIIAggCCAIIAggCCAIIAggCCAIIAhsCAwKaAh4AAqwCAgIpAgQCBQIGAgd6AAAEAAIIAgkCOAILAkkCDQIIAggCCAIIAggCCAIIAggCCAIIAggCCAIIAggCCAIIAggCGwIDAl4CHgACrAICAh0CBAIFAgYCBwIIAgkCTAILAkkCDQIIAggCCAIIAggCCAIIAggCCAIIAggCCAIIAggCCAIIAggCGwIDAlACHgACrAICAjUCBAIFAgYCBwIIAgkCTAILAkkCDQIIAggCCAIIAggCCAIIAggCCAIIAggCCAIIAggCCAIIAggCGwIDAmwCHgACrAICAlYCBAIFAgYCBwIIAgkCOAILAkkCDQIIAggCCAIIAggCCAIIAggCCAIIAggCCAIIAggCCAIIAggCGwIDAn4CHgACrAICAngCBAIFAgYCBwIIAgkCOAILAkkCDQIIAggCCAIIAggCCAIIAggCCAIIAggCCAIIAggCCAIIAggCGwIDAo0CHgACrAICAiMCBAIFAgYCBwIIAgkCCgILAkkCDQIIAggCCAIIAggCCAIIAggCCAIIAggCCAIIAggCCAIIAggCGwIDApQCHgACrAICAngCBAIFAgYCBwIIAgkCTAILAkkCDQIIAggCCAIIAggCCAIIAggCCAIIAggCCAIIAggCCAIIAggCGwIDApECHgACrAICAh8CBAIFAgYCBwIIAgkCOAILAkkCDQIIAggCCAIIAggCCAIIAggCCAIIAggCCAIIAggCCAIIAggCGwIDAo8CHgACrAICAlMCBAIFAgYCBwIIAgkCCgILAkkCDQIIAggCCAIIAggCCAIIAggCCAIIAggCCAIIAggCCAIIAggCGwIDAlQCHgACrAICAnsCBAIFAgYCBwIIAgkCCgILAkkCDQIIAggCCAIIAggCCAIIAggCCAIIAggCCAIIAggCCAIIAggCGwIDAnwCHgACrAICAh8CBAIFAgYCBwIIAgkCTAILAkkCDQIIAggCCAIIAggCCAIIAggCCAIIAggCCAIIAggCCAIIAggCGwIDApICHgACrAICAisCBAIFAgYCBwIIAgkCTAILAkkCDQIIAggCCAIIAggCCAIIAggCCAIIAggCCAIIAggCCAIIAggCGwIDAnMCHgACrAICAlkCBAIFAgYCBwIIAgkCTAILAkkCDQIIAggCCAIIAggCCAIIAggCCAIIAggCCAIIAggCCAIIAggCGwIDAnICHgACrAICAgMCBAIFAgYCBwIIAgkCCgILAkkCDQIIAggCCAIIAggCCAIIAggCCAIIAggCCAIIAggCCAIIAggCGwIDAlsCHgACrQAJNDE3MDIxNzA0AgICLwIEAgUCBgIHAggCCQKpAgsCDAINAggCCAIIAggCCAIIAggCCAIIAggCCAIIAggCCAIIAggCCAJ3BRgCAwKuc3EAfgAAAAAAAnNxAH4ABP///////////////v////7/////dXEAfgAHAAAAAwQOrnh4d0UCHgACrQICAlkCBAIFAgYCBwIIAgkCCgILAgwCDQIIAggCCAIIAggCCAIIAggCCAIIAggCCAIIAggCCAIIAggCGAIDAq9zcQB+AAAAAAACc3EAfgAE///////////////+/////v////91cQB+AAcAAAAEBeiObnh4d4oCHgACrQICAisCBAIFAgYCBwIIAgkCCgILAgwCDQIIAggCCAIIAggCCAIIAggCCAIIAggCCAIIAggCCAIIAggCGAIDAiwCHgACrQICAnUCBAIFAgYCBwIIAgkCqQILAgwCDQIIAggCCAIIAggCCAIIAggCCAIIAggCCAIIAggCCAIIAggCGAIDArBzcQB+AAAAAAACc3EAfgAE///////////////+/////v////91cQB+AAcAAAADCLaceHh3zwIeAAKtAgICIQIEAgUCBgIHAggCCQIKAgsCDAINAggCCAIIAggCCAIIAggCCAIIAggCCAIIAggCCAIIAggCCAIYAgMCIgIeAAKtAgICKQIEAgUCBgIHAggCCQI4AgsCDAINAggCCAIIAggCCAIIAggCCAIIAggCCAIIAggCCAIIAggCCAIYAgMCPQIeAAKtAgICXwIEAgUCBgIHAggCCQIKAgsCDAINAggCCAIIAggCCAIIAggCCAIIAggCCAIIAggCCAIIAggCCAIYAgMCsXNxAH4AAAAAAAJzcQB+AAT///////////////7////+/////3VxAH4ABwAAAAO8XLJ4eHfPAh4AAq0CAgIjAgQCBQIGAgcCCAIJAqkCCwIMAg0CCAIIAggCCAIIAggCCAIIAggCCAIIAggCCAIIAggCCAIIAhgCAwJQAh4AAq0CAgIzAgQCBQIGAgcCCAIJAqkCCwIMAg0CCAIIAggCCAIIAggCCAIIAggCCAIIAggCCAIIAggCCAIIAhgCAwJQAh4AAq0CAgI1AgQCBQIGAgcCCAIJAqkCCwIMAg0CCAIIAggCCAIIAggCCAIIAggCCAIIAggCCAIIAggCCAIIAhgCAwKyc3EAfgAAAAAAAnNxAH4ABP///////////////v////7/////dXEAfgAHAAAAAwVk/3h4d88CHgACrQICAh0CBAIFAgYCBwIIAgkCCgILAgwCDQIIAggCCAIIAggCCAIIAggCCAIIAggCCAIIAggCCAIIAggCGAIDAh4CHgACrQICAgMCBAIFAgYCBwIIAgkCCgILAgwCDQIIAggCCAIIAggCCAIIAggCCAIIAggCCAIIAggCCAIIAggCGAIDAg4CHgACrQICAoUCBAIFAgYCBwIIAgkCqQILAgwCDQIIAggCCAIIAggCCAIIAggCCAIIAggCCAIIAggCCAIIAggCGAIDArNzcQB+AAAAAAACc3EAfgAE///////////////+/////v////91cQB+AAcAAAADB43UeHh3RQIeAAKtAgICSwIEAgUCBgIHAggCCQI4AgsCDAINAggCCAIIAggCCAIIAggCCAIIAggCCAIIAggCCAIIAggCCAIYAgMCtHNxAH4AAAAAAAJzcQB+AAT///////////////7////+/////3VxAH4ABwAAAAQ3OPVPeHh3RQIeAAKtAgICVgIEAgUCBgIHAggCCQIKAgsCDAINAggCCAIIAggCCAIIAggCCAIIAggCCAIIAggCCAIIAggCCAIYAgMCtXNxAH4AAAAAAAJzcQB+AAT///////////////7////+/////3VxAH4ABwAAAARMQw4VeHh3RQIeAAKtAgICUwIEAgUCBgIHAggCCQIKAgsCDAINAggCCAIIAggCCAIIAggCCAIIAggCCAIIAggCCAIIAggCCAIYAgMCtnNxAH4AAAAAAAJzcQB+AAT///////////////7////+/////3VxAH4ABwAAAAQE5DAPeHh3zwIeAAKtAgICGwIEAgUCBgIHAggCCQI4AgsCDAINAggCCAIIAggCCAIIAggCCAIIAggCCAIIAggCCAIIAggCCAIYAgMCRgIeAAKtAgICLQIEAgUCBgIHAggCCQI4AgsCDAINAggCCAIIAggCCAIIAggCCAIIAggCCAIIAggCCAIIAggCCAIYAgMCQAIeAAKtAgICdQIEAgUCBgIHAggCCQI4AgsCDAINAggCCAIIAggCCAIIAggCCAIIAggCCAIIAggCCAIIAggCCAIYAgMCt3NxAH4AAAAAAAJzcQB+AAT///////////////7////+/////3VxAH4ABwAAAARdV1DJeHh3igIeAAKtAgICKQIEAgUCBgIHAggCCQIKAgsCDAINAggCCAIIAggCCAIIAggCCAIIAggCCAIIAggCCAIIAggCCAIYAgMCKgIeAAKtAgICWQIEAgUCBgIHAggCCQI4AgsCDAINAggCCAIIAggCCAIIAggCCAIIAggCCAIIAggCCAIIAggCCAIYAgMCuHNxAH4AAAAAAAJzcQB+AAT///////////////7////+/////3VxAH4ABwAAAAQ9+1bieHh3igIeAAKtAgICKwIEAgUCBgIHAggCCQI4AgsCDAINAggCCAIIAggCCAIIAggCCAIIAggCCAIIAggCCAIIAggCCAIYAgMCPwIeAAKtAgICJwIEAgUCBgIHAggCCQKpAgsCDAINAggCCAIIAggCCAIIAggCCAIIAggCCAIIAggCCAIIAggCCAIYAgMCuXNxAH4AAAAAAAJzcQB+AAT///////////////7////+/////3VxAH4ABwAAAAMEQ3p4eHdFAh4AAq0CAgJ7AgQCBQIGAgcCCAIJAgoCCwIMAg0CCAIIAggCCAIIAggCCAIIAggCCAIIAggCCAIIAggCCAIIAhgCAwK6c3EAfgAAAAAAAnNxAH4ABP///////////////v////7/////dXEAfgAHAAAABDuLiL14eHdFAh4AAq0CAgKFAgQCBQIGAgcCCAIJAgoCCwIMAg0CCAIIAggCCAIIAggCCAIIAggCCAIIAggCCAIIAggCCAIIAhgCAwK7c3EAfgAAAAAAAnNxAH4ABP///////////////v////7/////dXEAfgAHAAAABAIbp254eHdFAh4AAq0CAgKCAgQCBQIGAgcCCAIJAqkCCwIMAg0CCAIIAggCCAIIAggCCAIIAggCCAIIAggCCAIIAggCCAIIAhgCAwK8c3EAfgAAAAAAAnNxAH4ABP///////////////v////7/////dXEAfgAHAAAAAwmef3h4d4oCHgACrQICAjMCBAIFAgYCBwIIAgkCOAILAgwCDQIIAggCCAIIAggCCAIIAggCCAIIAggCCAIIAggCCAIIAggCGAIDAkECHgACrQICAjECBAIFAgYCBwIIAgkCqQILAgwCDQIIAggCCAIIAggCCAIIAggCCAIIAggCCAIIAggCCAIIAggCGAIDAr1zcQB+AAAAAAACc3EAfgAE///////////////+/////v////91cQB+AAcAAAADBCUJeHh3RQIeAAKtAgICVgIEAgUCBgIHAggCCQI4AgsCDAINAggCCAIIAggCCAIIAggCCAIIAggCCAIIAggCCAIIAggCCAIYAgMCvnNxAH4AAAAAAAJzcQB+AAT///////////////7////+/////3VxAH4ABwAAAAQSVBWqeHh3RQIeAAKtAgICGwIEAgUCBgIHAggCCQKpAgsCDAINAggCCAIIAggCCAIIAggCCAIIAggCCAIIAggCCAIIAggCCAIYAgMCv3NxAH4AAAAAAAJzcQB+AAT///////////////7////+/////3VxAH4ABwAAAAMEq5d4eHdFAh4AAq0CAgJLAgQCBQIGAgcCCAIJAqkCCwIMAg0CCAIIAggCCAIIAggCCAIIAggCCAIIAggCCAIIAggCCAIIAhgCAwLAc3EAfgAAAAAAAnNxAH4ABP///////////////v////7/////dXEAfgAHAAAAAxIVy3h4d4oCHgACrQICAi0CBAIFAgYCBwIIAgkCCgILAgwCDQIIAggCCAIIAggCCAIIAggCCAIIAggCCAIIAggCCAIIAggCGAIDAi4CHgACrQICAngCBAIFAgYCBwIIAgkCCgILAgwCDQIIAggCCAIIAggCCAIIAggCCAIIAggCCAIIAggCCAIIAggCGAIDAsFzcQB+AAAAAAACc3EAfgAE///////////////+/////v////91cQB+AAcAAAAEA6uLrXh4egAAAZ4CHgACrQICAh8CBAIFAgYCBwIIAgkCCgILAgwCDQIIAggCCAIIAggCCAIIAggCCAIIAggCCAIIAggCCAIIAggCGAIDAiACHgACrQICAi8CBAIFAgYCBwIIAgkCOAILAgwCDQIIAggCCAIIAggCCAIIAggCCAIIAggCCAIIAggCCAIIAggCGAIDAkMCHgACrQICAjUCBAIFAgYCBwIIAgkCOAILAgwCDQIIAggCCAIIAggCCAIIAggCCAIIAggCCAIIAggCCAIIAggCGAIDAkUCHgACrQICAh0CBAIFAgYCBwIIAgkCOAILAgwCDQIIAggCCAIIAggCCAIIAggCCAIIAggCCAIIAggCCAIIAggCGAIDAkICHgACrQICAiECBAIFAgYCBwIIAgkCqQILAgwCDQIIAggCCAIIAggCCAIIAggCCAIIAggCCAIIAggCCAIIAggCGAIDAlACHgACrQICAl8CBAIFAgYCBwIIAgkCqQILAgwCDQIIAggCCAIIAggCCAIIAggCCAIIAggCCAIIAggCCAIIAggCGAIDAsJzcQB+AAAAAAACc3EAfgAE///////////////+/////v////91cQB+AAcAAAADBT+veHh3RQIeAAKtAgICeAIEAgUCBgIHAggCCQI4AgsCDAINAggCCAIIAggCCAIIAggCCAIIAggCCAIIAggCCAIIAggCCAIYAgMCw3NxAH4AAAAAAAJzcQB+AAT///////////////7////+/////3VxAH4ABwAAAARUiEubeHh3igIeAAKtAgICLwIEAgUCBgIHAggCCQIKAgsCDAINAggCCAIIAggCCAIIAggCCAIIAggCCAIIAggCCAIIAggCCAIYAgMCMAIeAAKtAgICUwIEAgUCBgIHAggCCQKpAgsCDAINAggCCAIIAggCCAIIAggCCAIIAggCCAIIAggCCAIIAggCCAIYAgMCxHNxAH4AAAAAAAJzcQB+AAT///////////////7////+/////3VxAH4ABwAAAAMMxv54eHeKAh4AAq0CAgIxAgQCBQIGAgcCCAIJAgoCCwIMAg0CCAIIAggCCAIIAggCCAIIAggCCAIIAggCCAIIAggCCAIIAhgCAwIyAh4AAq0CAgIrAgQCBQIGAgcCCAIJAqkCCwIMAg0CCAIIAggCCAIIAggCCAIIAggCCAIIAggCCAIIAggCCAIIAhgCAwLFc3EAfgAAAAAAAnNxAH4ABP///////////////v////7/////dXEAfgAHAAAAAwR0jXh4d0UCHgACrQICAnsCBAIFAgYCBwIIAgkCOAILAgwCDQIIAggCCAIIAggCCAIIAggCCAIIAggCCAIIAggCCAIIAggCGAIDAsZzcQB+AAAAAAACc3EAfgAE///////////////+/////v////91cQB+AAcAAAAEKKPaWXh4d0UCHgACrQICAmkCBAIFAgYCBwIIAgkCOAILAgwCDQIIAggCCAIIAggCCAIIAggCCAIIAggCCAIIAggCCAIIAggCGAIDAsdzcQB+AAAAAAACc3EAfgAE///////////////+/////v////91cQB+AAcAAAAETCsLgHh4d4oCHgACrQICAicCBAIFAgYCBwIIAgkCOAILAgwCDQIIAggCCAIIAggCCAIIAggCCAIIAggCCAIIAggCCAIIAggCGAIDAj4CHgACrQICAoICBAIFAgYCBwIIAgkCCgILAgwCDQIIAggCCAIIAggCCAIIAggCCAIIAggCCAIIAggCCAIIAggCGAIDAshzcQB+AAAAAAACc3EAfgAE///////////////+/////v////91cQB+AAcAAAAEAzaSmXh4d0UCHgACrQICAoICBAIFAgYCBwIIAgkCOAILAgwCDQIIAggCCAIIAggCCAIIAggCCAIIAggCCAIIAggCCAIIAggCGAIDAslzcQB+AAAAAAACc3EAfgAE///////////////+/////v////91cQB+AAcAAAAEWi+1rXh4d0UCHgACrQICAlYCBAIFAgYCBwIIAgkCqQILAgwCDQIIAggCCAIIAggCCAIIAggCCAIIAggCCAIIAggCCAIIAggCGAIDAspzcQB+AAAAAAACc3EAfgAE///////////////+/////v////91cQB+AAcAAAADBmgreHh6AAABFAIeAAKtAgICHQIEAgUCBgIHAggCCQKpAgsCDAINAggCCAIIAggCCAIIAggCCAIIAggCCAIIAggCCAIIAggCCAIYAgMCUAIeAAKtAgICMwIEAgUCBgIHAggCCQIKAgsCDAINAggCCAIIAggCCAIIAggCCAIIAggCCAIIAggCCAIIAggCCAIYAgMCNAIeAAKtAgICNQIEAgUCBgIHAggCCQIKAgsCDAINAggCCAIIAggCCAIIAggCCAIIAggCCAIIAggCCAIIAggCCAIYAgMCNgIeAAKtAgICaQIEAgUCBgIHAggCCQKpAgsCDAINAggCCAIIAggCCAIIAggCCAIIAggCCAIIAggCCAIIAggCCAIYAgMCy3NxAH4AAAAAAAJzcQB+AAT///////////////7////+/////3VxAH4ABwAAAAMLgq14eHdFAh4AAq0CAgIDAgQCBQIGAgcCCAIJAqkCCwIMAg0CCAIIAggCCAIIAggCCAIIAggCCAIIAggCCAIIAggCCAIIAhgCAwLMc3EAfgAAAAAAAnNxAH4ABP///////////////v////7/////dXEAfgAHAAAAAwRWK3h4d4oCHgACrQICAiMCBAIFAgYCBwIIAgkCCgILAgwCDQIIAggCCAIIAggCCAIIAggCCAIIAggCCAIIAggCCAIIAggCGAIDAiQCHgACrQICAnUCBAIFAgYCBwIIAgkCCgILAgwCDQIIAggCCAIIAggCCAIIAggCCAIIAggCCAIIAggCCAIIAggCGAIDAs1zcQB+AAAAAAACc3EAfgAE///////////////+/////v////91cQB+AAcAAAAEAr0/pHh4d88CHgACrQICAh8CBAIFAgYCBwIIAgkCOAILAgwCDQIIAggCCAIIAggCCAIIAggCCAIIAggCCAIIAggCCAIIAggCGAIDAkcCHgACrQICAiMCBAIFAgYCBwIIAgkCOAILAgwCDQIIAggCCAIIAggCCAIIAggCCAIIAggCCAIIAggCCAIIAggCGAIDAjsCHgACrQICAikCBAIFAgYCBwIIAgkCqQILAgwCDQIIAggCCAIIAggCCAIIAggCCAIIAggCCAIIAggCCAIIAggCGAIDAs5zcQB+AAAAAAACc3EAfgAE///////////////+/////v////91cQB+AAcAAAADBPtoeHh3RQIeAAKtAgICXwIEAgUCBgIHAggCCQI4AgsCDAINAggCCAIIAggCCAIIAggCCAIIAggCCAIIAggCCAIIAggCCAIYAgMCz3NxAH4AAAAAAAJzcQB+AAT///////////////7////+/////3VxAH4ABwAAAARijcsWeHh3RQIeAAKtAgICHwIEAgUCBgIHAggCCQKpAgsCDAINAggCCAIIAggCCAIIAggCCAIIAggCCAIIAggCCAIIAggCCAIYAgMC0HNxAH4AAAAAAAJzcQB+AAT///////////////7////+/////3VxAH4ABwAAAAMENDh4eHdFAh4AAq0CAgJ7AgQCBQIGAgcCCAIJAqkCCwIMAg0CCAIIAggCCAIIAggCCAIIAggCCAIIAggCCAIIAggCCAIIAhgCAwLRc3EAfgAAAAAAAnNxAH4ABP///////////////v////7/////dXEAfgAHAAAAAwbck3h4d4oCHgACrQICAicCBAIFAgYCBwIIAgkCCgILAgwCDQIIAggCCAIIAggCCAIIAggCCAIIAggCCAIIAggCCAIIAggCGAIDAigCHgACrQICAngCBAIFAgYCBwIIAgkCqQILAgwCDQIIAggCCAIIAggCCAIIAggCCAIIAggCCAIIAggCCAIIAggCGAIDAtJzcQB+AAAAAAACc3EAfgAE///////////////+/////v////91cQB+AAcAAAADCoBUeHh3RQIeAAKtAgIChQIEAgUCBgIHAggCCQI4AgsCDAINAggCCAIIAggCCAIIAggCCAIIAggCCAIIAggCCAIIAggCCAIYAgMC03NxAH4AAAAAAAJzcQB+AAT///////////////7////+/////3VxAH4ABwAAAARhMQgUeHh3RQIeAAKtAgICaQIEAgUCBgIHAggCCQIKAgsCDAINAggCCAIIAggCCAIIAggCCAIIAggCCAIIAggCCAIIAggCCAIYAgMC1HNxAH4AAAAAAAJzcQB+AAT///////////////7////+/////3VxAH4ABwAAAAQENonjeHh3zwIeAAKtAgICIQIEAgUCBgIHAggCCQI4AgsCDAINAggCCAIIAggCCAIIAggCCAIIAggCCAIIAggCCAIIAggCCAIYAgMCOgIeAAKtAgICMQIEAgUCBgIHAggCCQI4AgsCDAINAggCCAIIAggCCAIIAggCCAIIAggCCAIIAggCCAIIAggCCAIYAgMCOQIeAAKtAgICSwIEAgUCBgIHAggCCQIKAgsCDAINAggCCAIIAggCCAIIAggCCAIIAggCCAIIAggCCAIIAggCCAIYAgMC1XNxAH4AAAAAAAJzcQB+AAT///////////////7////+/////3VxAH4ABwAAAAQIJf+xeHh3igIeAAKtAgICGwIEAgUCBgIHAggCCQIKAgsCDAINAggCCAIIAggCCAIIAggCCAIIAggCCAIIAggCCAIIAggCCAIYAgMCHAIeAAKtAgICLQIEAgUCBgIHAggCCQKpAgsCDAINAggCCAIIAggCCAIIAggCCAIIAggCCAIIAggCCAIIAggCCAIYAgMC1nNxAH4AAAAAAAJzcQB+AAT///////////////7////+/////3VxAH4ABwAAAAMD3Kt4eHdFAh4AAq0CAgJZAgQCBQIGAgcCCAIJAqkCCwIMAg0CCAIIAggCCAIIAggCCAIIAggCCAIIAggCCAIIAggCCAIIAhgCAwLXc3EAfgAAAAAAAnNxAH4ABP///////////////v////7/////dXEAfgAHAAAAAw6D3Xh4d0UCHgACrQICAlMCBAIFAgYCBwIIAgkCOAILAgwCDQIIAggCCAIIAggCCAIIAggCCAIIAggCCAIIAggCCAIIAggCGAIDAthzcQB+AAAAAAACc3EAfgAE///////////////+/////v////91cQB+AAcAAAAESHB4r3h4egAABAACHgACrQICAgMCBAIFAgYCBwIIAgkCOAILAgwCDQIIAggCCAIIAggCCAIIAggCCAIIAggCCAIIAggCCAIIAggCGAIDAkQCHgAC2QAJNDE3MDE0NzQ0AgICewIEAgUCBgIHAggCCQIKAgsCDAINAggCCAIIAggCCAIIAggCCAIIAggCCAIIAggCCAIIAggCCAISAgMCugIeAALZAgICXwIEAgUCBgIHAggCCQI4AgsCDAINAggCCAIIAggCCAIIAggCCAIIAggCCAIIAggCCAIIAggCCAISAgMCzwIeAALZAgICUwIEAgUCBgIHAggCCQI4AgsCDAINAggCCAIIAggCCAIIAggCCAIIAggCCAIIAggCCAIIAggCCAISAgMC2AIeAALZAgICKQIEAgUCBgIHAggCCQKpAgsCDAINAggCCAIIAggCCAIIAggCCAIIAggCCAIIAggCCAIIAggCCAISAgMCzgIeAALZAgICHwIEAgUCBgIHAggCCQIKAgsCDAINAggCCAIIAggCCAIIAggCCAIIAggCCAIIAggCCAIIAggCCAISAgMCIAIeAALZAgICTwIEAgUCBgIHAggCCQKpAgsCDAINAggCCAIIAggCCAIIAggCCAIIAggCCAIIAggCCAIIAggCCAISAgMCUAIeAALZAgICAwIEAgUCBgIHAggCCQI4AgsCDAINAggCCAIIAggCCAIIAggCCAIIAggCCAIIAggCCAIIAggCCAISAgMCRAIeAALZAgICHQIEAgUCBgIHAggCCQI4AgsCDAINAggCCAIIAggCCAIIAggCCAIIAggCCAIIAggCCAIIAggCCAISAgMCQgIeAALZAgICeAIEAgUCBgIHAggCCQIKAgsCDAINAggCCAIIAggCCAIIAggCCAIIAggCCAIIAggCCAIIAggCCAISAgMCwQIeAALZAgICVgIEAgUCBgIHAggCCQIKAgsCDAINAggCCAIIAggCCAIIAggCCAIIAggCCAIIAggCCAIIAggCCAISAgMCtQIeAALZAgICaQIEAgUCBgIHAggCCQI4AgsCDAINAggCCAIIAggCCAIIAggCCAIIAggCCAIIAggCCAIIAggCCAISAgMCxwIeAALZAgICLQIEAgUCBgIHAggCCQI4AgsCDAINAggCCAIIAggCCAIIAggCCAIIAggCCAIIAggCCAIIAggCCAISAgMCQAIeAALZAgICMwIEAgUCBgIHAggCCQKpAgsCDAINAggCCAIIAggCCAIIAggCCAIIAggCCAIIAggCCAIIAggCCAISAgMCUAIeAALZAgICNQIEAgUCBgIHAggCCQKpAgsCDAINAggCCAIIAggCCAIIAggCCAIIegAABAACCAIIAggCCAIIAggCCAIIAhICAwKyAh4AAtkCAgIrAgQCBQIGAgcCCAIJAqkCCwIMAg0CCAIIAggCCAIIAggCCAIIAggCCAIIAggCCAIIAggCCAIIAhICAwLFAh4AAtkCAgJ7AgQCBQIGAgcCCAIJAjgCCwIMAg0CCAIIAggCCAIIAggCCAIIAggCCAIIAggCCAIIAggCCAIIAhICAwLGAh4AAtkCAgJmAgQCBQIGAgcCCAIJAqkCCwIMAg0CCAIIAggCCAIIAggCCAIIAggCCAIIAggCCAIIAggCCAIIAhICAwJQAh4AAtkCAgIxAgQCBQIGAgcCCAIJAgoCCwIMAg0CCAIIAggCCAIIAggCCAIIAggCCAIIAggCCAIIAggCCAIIAhICAwIyAh4AAtkCAgKCAgQCBQIGAgcCCAIJAgoCCwIMAg0CCAIIAggCCAIIAggCCAIIAggCCAIIAggCCAIIAggCCAIIAhICAwLIAh4AAtkCAgIhAgQCBQIGAgcCCAIJAgoCCwIMAg0CCAIIAggCCAIIAggCCAIIAggCCAIIAggCCAIIAggCCAIIAhICAwIiAh4AAtkCAgJfAgQCBQIGAgcCCAIJAgoCCwIMAg0CCAIIAggCCAIIAggCCAIIAggCCAIIAggCCAIIAggCCAIIAhICAwKxAh4AAtkCAgInAgQCBQIGAgcCCAIJAjgCCwIMAg0CCAIIAggCCAIIAggCCAIIAggCCAIIAggCCAIIAggCCAIIAhICAwI+Ah4AAtkCAgIfAgQCBQIGAgcCCAIJAjgCCwIMAg0CCAIIAggCCAIIAggCCAIIAggCCAIIAggCCAIIAggCCAIIAhICAwJHAh4AAtkCAgJ4AgQCBQIGAgcCCAIJAjgCCwIMAg0CCAIIAggCCAIIAggCCAIIAggCCAIIAggCCAIIAggCCAIIAhICAwLDAh4AAtkCAgJfAgQCBQIGAgcCCAIJAqkCCwIMAg0CCAIIAggCCAIIAggCCAIIAggCCAIIAggCCAIIAggCCAIIAhICAwLCAh4AAtkCAgIjAgQCBQIGAgcCCAIJAqkCCwIMAg0CCAIIAggCCAIIAggCCAIIAggCCAIIAggCCAIIAggCCAIIAhICAwJQAh4AAtkCAgJ1AgQCBQIGAgcCCAIJAqkCCwIMAg0CCAIIAggCCAIIAggCCAIIAggCCAIIAggCCAIIAggCCAIIAhICAwKwAh4AAtkCAgIhAgQCBQIGAgcCCAIJAqkCCwIMAg0CCAIIAggCCAIIAggCCAIIAggCCAIIAggCCAIIAggCCAIIAhICAwJQAh4AAtkCAgIjAgQCBQIGAgcCCAIJAgoCCwIMAg0CCAIIAggCegAAAxgIAggCCAIIAggCCAIIAggCCAIIAggCCAIIAggCEgIDAiQCHgAC2QICAi8CBAIFAgYCBwIIAgkCqQILAgwCDQIIAggCCAIIAggCCAIIAggCCAIIAggCCAIIAggCCAIIAggCEgIDAq4CHgAC2QICAi0CBAIFAgYCBwIIAgkCCgILAgwCDQIIAggCCAIIAggCCAIIAggCCAIIAggCCAIIAggCCAIIAggCEgIDAi4CHgAC2QICAgMCBAIFAgYCBwIIAgkCCgILAgwCDQIIAggCCAIIAggCCAIIAggCCAIIAggCCAIIAggCCAIIAggCEgIDAg4CHgAC2QICAlMCBAIFAgYCBwIIAgkCCgILAgwCDQIIAggCCAIIAggCCAIIAggCCAIIAggCCAIIAggCCAIIAggCEgIDArYCHgAC2QICAoUCBAIFAgYCBwIIAgkCCgILAgwCDQIIAggCCAIIAggCCAIIAggCCAIIAggCCAIIAggCCAIIAggCEgIDArsCHgAC2QICAmkCBAIFAgYCBwIIAgkCqQILAgwCDQIIAggCCAIIAggCCAIIAggCCAIIAggCCAIIAggCCAIIAggCEgIDAssCHgAC2QICAlkCBAIFAgYCBwIIAgkCOAILAgwCDQIIAggCCAIIAggCCAIIAggCCAIIAggCCAIIAggCCAIIAggCEgIDArgCHgAC2QICAlYCBAIFAgYCBwIIAgkCOAILAgwCDQIIAggCCAIIAggCCAIIAggCCAIIAggCCAIIAggCCAIIAggCEgIDAr4CHgAC2QICAhsCBAIFAgYCBwIIAgkCqQILAgwCDQIIAggCCAIIAggCCAIIAggCCAIIAggCCAIIAggCCAIIAggCEgIDAr8CHgAC2QICAicCBAIFAgYCBwIIAgkCqQILAgwCDQIIAggCCAIIAggCCAIIAggCCAIIAggCCAIIAggCCAIIAggCEgIDArkCHgAC2QICAmYCBAIFAgYCBwIIAgkCOAILAgwCDQIIAggCCAIIAggCCAIIAggCCAIIAggCCAIIAggCCAIIAggCEgIDAtpzcQB+AAAAAAACc3EAfgAE///////////////+/////v////91cQB+AAcAAAAEXOXAsHh4egAABAACHgAC2QICAksCBAIFAgYCBwIIAgkCqQILAgwCDQIIAggCCAIIAggCCAIIAggCCAIIAggCCAIIAggCCAIIAggCEgIDAsACHgAC2QICAisCBAIFAgYCBwIIAgkCOAILAgwCDQIIAggCCAIIAggCCAIIAggCCAIIAggCCAIIAggCCAIIAggCEgIDAj8CHgAC2QICAikCBAIFAgYCBwIIAgkCCgILAgwCDQIIAggCCAIIAggCCAIIAggCCAIIAggCCAIIAggCCAIIAggCEgIDAioCHgAC2QICAiMCBAIFAgYCBwIIAgkCOAILAgwCDQIIAggCCAIIAggCCAIIAggCCAIIAggCCAIIAggCCAIIAggCEgIDAjsCHgAC2QICAngCBAIFAgYCBwIIAgkCqQILAgwCDQIIAggCCAIIAggCCAIIAggCCAIIAggCCAIIAggCCAIIAggCEgIDAtICHgAC2QICAnUCBAIFAgYCBwIIAgkCOAILAgwCDQIIAggCCAIIAggCCAIIAggCCAIIAggCCAIIAggCCAIIAggCEgIDArcCHgAC2QICAh8CBAIFAgYCBwIIAgkCqQILAgwCDQIIAggCCAIIAggCCAIIAggCCAIIAggCCAIIAggCCAIIAggCEgIDAtACHgAC2QICAiUCBAIFAgYCBwIIAgkCCgILAgwCDQIIAggCCAIIAggCCAIIAggCCAIIAggCCAIIAggCCAIIAggCEgIDAiYCHgAC2QICAnsCBAIFAgYCBwIIAgkCqQILAgwCDQIIAggCCAIIAggCCAIIAggCCAIIAggCCAIIAggCCAIIAggCEgIDAtECHgAC2QICAjUCBAIFAgYCBwIIAgkCOAILAgwCDQIIAggCCAIIAggCCAIIAggCCAIIAggCCAIIAggCCAIIAggCEgIDAkUCHgAC2QICAjMCBAIFAgYCBwIIAgkCOAILAgwCDQIIAggCCAIIAggCCAIIAggCCAIIAggCCAIIAggCCAIIAggCEgIDAkECHgAC2QICAi8CBAIFAgYCBwIIAgkCOAILAgwCDQIIAggCCAIIAggCCAIIAggCCAIIAggCCAIIAggCCAIIAggCEgIDAkMCHgAC2QICAksCBAIFAgYCBwIIAgkCCgILAgwCDQIIAggCCAIIAggCCAIIAggCCAIIAggCCAIIAggCCAIIAggCEgIDAtUCHgAC2QICAhsCBAIFAgYCBwIIAgkCCgILAgwCDQIIAggCCAIIAggCCAIIAggCCAIIAggCCAIIAggCCAIIAggCEgIDAhwCHgAC2QICAoICBAIFAgYCBwIIAgkCqQILAgwCDQIIAggCCAIIAggCCAIIAggCCAIIAggCCAIIAggCd5UIAggCCAISAgMCvAIeAALZAgICHQIEAgUCBgIHAggCCQKpAgsCDAINAggCCAIIAggCCAIIAggCCAIIAggCCAIIAggCCAIIAggCCAISAgMCUAIeAALZAgICTwIEAgUCBgIHAggCCQIKAgsCDAINAggCCAIIAggCCAIIAggCCAIIAggCCAIIAggCCAIIAggCCAISAgMC23NxAH4AAAAAAAJzcQB+AAT///////////////7////+/////3VxAH4ABwAAAAQHGT+ZeHh6AAACsgIeAALZAgICMQIEAgUCBgIHAggCCQKpAgsCDAINAggCCAIIAggCCAIIAggCCAIIAggCCAIIAggCCAIIAggCCAISAgMCvQIeAALZAgIChQIEAgUCBgIHAggCCQI4AgsCDAINAggCCAIIAggCCAIIAggCCAIIAggCCAIIAggCCAIIAggCCAISAgMC0wIeAALZAgICJQIEAgUCBgIHAggCCQI4AgsCDAINAggCCAIIAggCCAIIAggCCAIIAggCCAIIAggCCAIIAggCCAISAgMCPAIeAALZAgICUwIEAgUCBgIHAggCCQKpAgsCDAINAggCCAIIAggCCAIIAggCCAIIAggCCAIIAggCCAIIAggCCAISAgMCxAIeAALZAgICVgIEAgUCBgIHAggCCQKpAgsCDAINAggCCAIIAggCCAIIAggCCAIIAggCCAIIAggCCAIIAggCCAISAgMCygIeAALZAgICWQIEAgUCBgIHAggCCQIKAgsCDAINAggCCAIIAggCCAIIAggCCAIIAggCCAIIAggCCAIIAggCCAISAgMCrwIeAALZAgICKwIEAgUCBgIHAggCCQIKAgsCDAINAggCCAIIAggCCAIIAggCCAIIAggCCAIIAggCCAIIAggCCAISAgMCLAIeAALZAgICKQIEAgUCBgIHAggCCQI4AgsCDAINAggCCAIIAggCCAIIAggCCAIIAggCCAIIAggCCAIIAggCCAISAgMCPQIeAALZAgICLwIEAgUCBgIHAggCCQIKAgsCDAINAggCCAIIAggCCAIIAggCCAIIAggCCAIIAggCCAIIAggCCAISAgMCMAIeAALZAgICZgIEAgUCBgIHAggCCQIKAgsCDAINAggCCAIIAggCCAIIAggCCAIIAggCCAIIAggCCAIIAggCCAISAgMC3HNxAH4AAAAAAAJzcQB+AAT///////////////7////+/////3VxAH4ABwAAAAQESkGVeHh3igIeAALZAgICAwIEAgUCBgIHAggCCQKpAgsCDAINAggCCAIIAggCCAIIAggCCAIIAggCCAIIAggCCAIIAggCCAISAgMCzAIeAALZAgICTwIEAgUCBgIHAggCCQI4AgsCDAINAggCCAIIAggCCAIIAggCCAIIAggCCAIIAggCCAIIAggCCAISAgMC3XNxAH4AAAAAAAJzcQB+AAT///////////////7////+/////3VxAH4ABwAAAARaqchfeHh6AAAEAAIeAALZAgICGwIEAgUCBgIHAggCCQI4AgsCDAINAggCCAIIAggCCAIIAggCCAIIAggCCAIIAggCCAIIAggCCAISAgMCRgIeAALZAgICSwIEAgUCBgIHAggCCQI4AgsCDAINAggCCAIIAggCCAIIAggCCAIIAggCCAIIAggCCAIIAggCCAISAgMCtAIeAALZAgICWQIEAgUCBgIHAggCCQKpAgsCDAINAggCCAIIAggCCAIIAggCCAIIAggCCAIIAggCCAIIAggCCAISAgMC1wIeAALZAgIChQIEAgUCBgIHAggCCQKpAgsCDAINAggCCAIIAggCCAIIAggCCAIIAggCCAIIAggCCAIIAggCCAISAgMCswIeAALZAgICdQIEAgUCBgIHAggCCQIKAgsCDAINAggCCAIIAggCCAIIAggCCAIIAggCCAIIAggCCAIIAggCCAISAgMCzQIeAALZAgICLQIEAgUCBgIHAggCCQKpAgsCDAINAggCCAIIAggCCAIIAggCCAIIAggCCAIIAggCCAIIAggCCAISAgMC1gIeAALZAgICHQIEAgUCBgIHAggCCQIKAgsCDAINAggCCAIIAggCCAIIAggCCAIIAggCCAIIAggCCAIIAggCCAISAgMCHgIeAALZAgICNQIEAgUCBgIHAggCCQIKAgsCDAINAggCCAIIAggCCAIIAggCCAIIAggCCAIIAggCCAIIAggCCAISAgMCNgIeAALZAgICggIEAgUCBgIHAggCCQI4AgsCDAINAggCCAIIAggCCAIIAggCCAIIAggCCAIIAggCCAIIAggCCAISAgMCyQIeAALZAgICMwIEAgUCBgIHAggCCQIKAgsCDAINAggCCAIIAggCCAIIAggCCAIIAggCCAIIAggCCAIIAggCCAISAgMCNAIeAALZAgICJwIEAgUCBgIHAggCCQIKAgsCDAINAggCCAIIAggCCAIIAggCCAIIAggCCAIIAggCCAIIAggCCAISAgMCKAIeAALZAgICaQIEAgUCBgIHAggCCQIKAgsCDAINAggCCAIIAggCCAIIAggCCAIIAggCCAIIAggCCAIIAggCCAISAgMC1AIeAALZAgICJQIEAgUCBgIHAggCCQKpAgsCDAINAggCCAIIAggCCAIIAggCCAIIAggCCAIIAggCCAIIAggCCAISAgMCUAIeAALZAgICMQIEAgUCBgIHAggCCQI4AgsCDAINAggCCAIIAggCCAIIAggCCAIIAggCCAIIAggCCAIIAggCCAISAgMCOQIeAALZAgICIQIEAgUCBgIHAggCCQI4AgsCDAINAggCCAIIAggCCAIIAggCCAIIAggCCAIIAggCCAJ6AAAEAAgCCAIIAhICAwI6Ah4AAt4ACTQyNTQzMzIxNgICAl8CBAIFAgYCBwIIAgkCOAILAgwCDQIIAggCCAIIAggCCAIIAggCCAIIAggCCAIIAggCCAIIAggAAgMCzwIeAALeAgICAwIEAgUCBgIHAggCCQI4AgsCDAINAggCCAIIAggCCAIIAggCCAIIAggCCAIIAggCCAIIAggCCAACAwJEAh4AAt4CAgJpAgQCBQIGAgcCCAIJAgoCCwIMAg0CCAIIAggCCAIIAggCCAIIAggCCAIIAggCCAIIAggCCAIIAAIDAtQCHgAC3gICAiUCBAIFAgYCBwIIAgkCqQILAgwCDQIIAggCCAIIAggCCAIIAggCCAIIAggCCAIIAggCCAIIAggAAgMCUAIeAALeAgICIQIEAgUCBgIHAggCCQI4AgsCDAINAggCCAIIAggCCAIIAggCCAIIAggCCAIIAggCCAIIAggCCAACAwI6Ah4AAt4CAgJ7AgQCBQIGAgcCCAIJAgoCCwIMAg0CCAIIAggCCAIIAggCCAIIAggCCAIIAggCCAIIAggCCAIIAAIDAroCHgAC3gICAh8CBAIFAgYCBwIIAgkCCgILAgwCDQIIAggCCAIIAggCCAIIAggCCAIIAggCCAIIAggCCAIIAggAAgMCIAIeAALeAgICeAIEAgUCBgIHAggCCQIKAgsCDAINAggCCAIIAggCCAIIAggCCAIIAggCCAIIAggCCAIIAggCCAACAwLBAh4AAt4CAgJZAgQCBQIGAgcCCAIJAjgCCwIMAg0CCAIIAggCCAIIAggCCAIIAggCCAIIAggCCAIIAggCCAIIAAIDArgCHgAC3gICAh0CBAIFAgYCBwIIAgkCCgILAgwCDQIIAggCCAIIAggCCAIIAggCCAIIAggCCAIIAggCCAIIAggAAgMCHgIeAALeAgICKQIEAgUCBgIHAggCCQKpAgsCDAINAggCCAIIAggCCAIIAggCCAIIAggCCAIIAggCCAIIAggCCAACAwLOAh4AAt4CAgIzAgQCBQIGAgcCCAIJAqkCCwIMAg0CCAIIAggCCAIIAggCCAIIAggCCAIIAggCCAIIAggCCAIIAAIDAlACHgAC3gICAjUCBAIFAgYCBwIIAgkCqQILAgwCDQIIAggCCAIIAggCCAIIAggCCAIIAggCCAIIAggCCAIIAggAAgMCsgIeAALeAgICaQIEAgUCBgIHAggCCQI4AgsCDAINAggCCAIIAggCCAIIAggCCAIIAggCCAIIAggCCAIIAggCCAACAwLHAh4AAt4CAgInAgQCBQIGAgcCCAIJAjgCCwIMAg0CCAIIAggCCAIIAggCCAIIAggCCAJ6AAAEAAgCCAIIAggCCAIIAggAAgMCPgIeAALeAgICUwIEAgUCBgIHAggCCQIKAgsCDAINAggCCAIIAggCCAIIAggCCAIIAggCCAIIAggCCAIIAggCCAACAwK2Ah4AAt4CAgIbAgQCBQIGAgcCCAIJAjgCCwIMAg0CCAIIAggCCAIIAggCCAIIAggCCAIIAggCCAIIAggCCAIIAAIDAkYCHgAC3gICAoICBAIFAgYCBwIIAgkCCgILAgwCDQIIAggCCAIIAggCCAIIAggCCAIIAggCCAIIAggCCAIIAggAAgMCyAIeAALeAgICVgIEAgUCBgIHAggCCQIKAgsCDAINAggCCAIIAggCCAIIAggCCAIIAggCCAIIAggCCAIIAggCCAACAwK1Ah4AAt4CAgItAgQCBQIGAgcCCAIJAjgCCwIMAg0CCAIIAggCCAIIAggCCAIIAggCCAIIAggCCAIIAggCCAIIAAIDAkACHgAC3gICAiECBAIFAgYCBwIIAgkCCgILAgwCDQIIAggCCAIIAggCCAIIAggCCAIIAggCCAIIAggCCAIIAggAAgMCIgIeAALeAgICMQIEAgUCBgIHAggCCQIKAgsCDAINAggCCAIIAggCCAIIAggCCAIIAggCCAIIAggCCAIIAggCCAACAwIyAh4AAt4CAgJLAgQCBQIGAgcCCAIJAjgCCwIMAg0CCAIIAggCCAIIAggCCAIIAggCCAIIAggCCAIIAggCCAIIAAIDArQCHgAC3gICAmYCBAIFAgYCBwIIAgkCCgILAgwCDQIIAggCCAIIAggCCAIIAggCCAIIAggCCAIIAggCCAIIAggAAgMC3AIeAALeAgICdQIEAgUCBgIHAggCCQKpAgsCDAINAggCCAIIAggCCAIIAggCCAIIAggCCAIIAggCCAIIAggCCAACAwKwAh4AAt4CAgIpAgQCBQIGAgcCCAIJAjgCCwIMAg0CCAIIAggCCAIIAggCCAIIAggCCAIIAggCCAIIAggCCAIIAAIDAj0CHgAC3gICAnUCBAIFAgYCBwIIAgkCCgILAgwCDQIIAggCCAIIAggCCAIIAggCCAIIAggCCAIIAggCCAIIAggAAgMCzQIeAALeAgICXwIEAgUCBgIHAggCCQIKAgsCDAINAggCCAIIAggCCAIIAggCCAIIAggCCAIIAggCCAIIAggCCAACAwKxAh4AAt4CAgJmAgQCBQIGAgcCCAIJAqkCCwIMAg0CCAIIAggCCAIIAggCCAIIAggCCAIIAggCCAIIAggCCAIIAAIDAlACHgAC3gICAlkCBAIFAgYCBwIIAgkCqQILAgwCDQIIAggCCAIIAggCCAIIAggCCAIIAggCCAJ6AAAEAAgCCAIIAggCCAACAwLXAh4AAt4CAgIrAgQCBQIGAgcCCAIJAqkCCwIMAg0CCAIIAggCCAIIAggCCAIIAggCCAIIAggCCAIIAggCCAIIAAIDAsUCHgAC3gICAk8CBAIFAgYCBwIIAgkCOAILAgwCDQIIAggCCAIIAggCCAIIAggCCAIIAggCCAIIAggCCAIIAggAAgMC3QIeAALeAgICewIEAgUCBgIHAggCCQI4AgsCDAINAggCCAIIAggCCAIIAggCCAIIAggCCAIIAggCCAIIAggCCAACAwLGAh4AAt4CAgIvAgQCBQIGAgcCCAIJAgoCCwIMAg0CCAIIAggCCAIIAggCCAIIAggCCAIIAggCCAIIAggCCAIIAAIDAjACHgAC3gICAoUCBAIFAgYCBwIIAgkCqQILAgwCDQIIAggCCAIIAggCCAIIAggCCAIIAggCCAIIAggCCAIIAggAAgMCswIeAALeAgICGwIEAgUCBgIHAggCCQIKAgsCDAINAggCCAIIAggCCAIIAggCCAIIAggCCAIIAggCCAIIAggCCAACAwIcAh4AAt4CAgJLAgQCBQIGAgcCCAIJAgoCCwIMAg0CCAIIAggCCAIIAggCCAIIAggCCAIIAggCCAIIAggCCAIIAAIDAtUCHgAC3gICAjECBAIFAgYCBwIIAgkCOAILAgwCDQIIAggCCAIIAggCCAIIAggCCAIIAggCCAIIAggCCAIIAggAAgMCOQIeAALeAgICggIEAgUCBgIHAggCCQI4AgsCDAINAggCCAIIAggCCAIIAggCCAIIAggCCAIIAggCCAIIAggCCAACAwLJAh4AAt4CAgInAgQCBQIGAgcCCAIJAgoCCwIMAg0CCAIIAggCCAIIAggCCAIIAggCCAIIAggCCAIIAggCCAIIAAIDAigCHgAC3gICAlMCBAIFAgYCBwIIAgkCOAILAgwCDQIIAggCCAIIAggCCAIIAggCCAIIAggCCAIIAggCCAIIAggAAgMC2AIeAALeAgICHwIEAgUCBgIHAggCCQKpAgsCDAINAggCCAIIAggCCAIIAggCCAIIAggCCAIIAggCCAIIAggCCAACAwLQAh4AAt4CAgJ4AgQCBQIGAgcCCAIJAqkCCwIMAg0CCAIIAggCCAIIAggCCAIIAggCCAIIAggCCAIIAggCCAIIAAIDAtICHgAC3gICAi0CBAIFAgYCBwIIAgkCqQILAgwCDQIIAggCCAIIAggCCAIIAggCCAIIAggCCAIIAggCCAIIAggAAgMC1gIeAALeAgICIwIEAgUCBgIHAggCCQI4AgsCDAINAggCCAIIAggCCAIIAggCCAIIAggCCAIIAggCCAJ6AAAEAAgCCAIIAAIDAjsCHgAC3gICAikCBAIFAgYCBwIIAgkCCgILAgwCDQIIAggCCAIIAggCCAIIAggCCAIIAggCCAIIAggCCAIIAggAAgMCKgIeAALeAgICdQIEAgUCBgIHAggCCQI4AgsCDAINAggCCAIIAggCCAIIAggCCAIIAggCCAIIAggCCAIIAggCCAACAwK3Ah4AAt4CAgIvAgQCBQIGAgcCCAIJAjgCCwIMAg0CCAIIAggCCAIIAggCCAIIAggCCAIIAggCCAIIAggCCAIIAAIDAkMCHgAC3gICAoUCBAIFAgYCBwIIAgkCOAILAgwCDQIIAggCCAIIAggCCAIIAggCCAIIAggCCAIIAggCCAIIAggAAgMC0wIeAALeAgICNQIEAgUCBgIHAggCCQIKAgsCDAINAggCCAIIAggCCAIIAggCCAIIAggCCAIIAggCCAIIAggCCAACAwI2Ah4AAt4CAgJ7AgQCBQIGAgcCCAIJAqkCCwIMAg0CCAIIAggCCAIIAggCCAIIAggCCAIIAggCCAIIAggCCAIIAAIDAtECHgAC3gICAmkCBAIFAgYCBwIIAgkCqQILAgwCDQIIAggCCAIIAggCCAIIAggCCAIIAggCCAIIAggCCAIIAggAAgMCywIeAALeAgICMwIEAgUCBgIHAggCCQIKAgsCDAINAggCCAIIAggCCAIIAggCCAIIAggCCAIIAggCCAIIAggCCAACAwI0Ah4AAt4CAgInAgQCBQIGAgcCCAIJAqkCCwIMAg0CCAIIAggCCAIIAggCCAIIAggCCAIIAggCCAIIAggCCAIIAAIDArkCHgAC3gICAk8CBAIFAgYCBwIIAgkCCgILAgwCDQIIAggCCAIIAggCCAIIAggCCAIIAggCCAIIAggCCAIIAggAAgMC2wIeAALeAgICMQIEAgUCBgIHAggCCQKpAgsCDAINAggCCAIIAggCCAIIAggCCAIIAggCCAIIAggCCAIIAggCCAACAwK9Ah4AAt4CAgJWAgQCBQIGAgcCCAIJAqkCCwIMAg0CCAIIAggCCAIIAggCCAIIAggCCAIIAggCCAIIAggCCAIIAAIDAsoCHgAC3gICAgMCBAIFAgYCBwIIAgkCqQILAgwCDQIIAggCCAIIAggCCAIIAggCCAIIAggCCAIIAggCCAIIAggAAgMCzAIeAALeAgICIwIEAgUCBgIHAggCCQIKAgsCDAINAggCCAIIAggCCAIIAggCCAIIAggCCAIIAggCCAIIAggCCAACAwIkAh4AAt4CAgJTAgQCBQIGAgcCCAIJAqkCCwIMAg0CCAIIAggCCAIIAggCCAIIAggCCAIIAggCCAIIAggCCAJ6AAAEAAgAAgMCxAIeAALeAgICJQIEAgUCBgIHAggCCQI4AgsCDAINAggCCAIIAggCCAIIAggCCAIIAggCCAIIAggCCAIIAggCCAACAwI8Ah4AAt4CAgIdAgQCBQIGAgcCCAIJAqkCCwIMAg0CCAIIAggCCAIIAggCCAIIAggCCAIIAggCCAIIAggCCAIIAAIDAlACHgAC3gICAiECBAIFAgYCBwIIAgkCqQILAgwCDQIIAggCCAIIAggCCAIIAggCCAIIAggCCAIIAggCCAIIAggAAgMCUAIeAALeAgICXwIEAgUCBgIHAggCCQKpAgsCDAINAggCCAIIAggCCAIIAggCCAIIAggCCAIIAggCCAIIAggCCAACAwLCAh4AAt4CAgIvAgQCBQIGAgcCCAIJAqkCCwIMAg0CCAIIAggCCAIIAggCCAIIAggCCAIIAggCCAIIAggCCAIIAAIDAq4CHgAC3gICAisCBAIFAgYCBwIIAgkCCgILAgwCDQIIAggCCAIIAggCCAIIAggCCAIIAggCCAIIAggCCAIIAggAAgMCLAIeAALeAgICeAIEAgUCBgIHAggCCQI4AgsCDAINAggCCAIIAggCCAIIAggCCAIIAggCCAIIAggCCAIIAggCCAACAwLDAh4AAt4CAgIjAgQCBQIGAgcCCAIJAqkCCwIMAg0CCAIIAggCCAIIAggCCAIIAggCCAIIAggCCAIIAggCCAIIAAIDAlACHgAC3gICAh8CBAIFAgYCBwIIAgkCOAILAgwCDQIIAggCCAIIAggCCAIIAggCCAIIAggCCAIIAggCCAIIAggAAgMCRwIeAALeAgICWQIEAgUCBgIHAggCCQIKAgsCDAINAggCCAIIAggCCAIIAggCCAIIAggCCAIIAggCCAIIAggCCAACAwKvAh4AAt4CAgItAgQCBQIGAgcCCAIJAgoCCwIMAg0CCAIIAggCCAIIAggCCAIIAggCCAIIAggCCAIIAggCCAIIAAIDAi4CHgAC3gICAgMCBAIFAgYCBwIIAgkCCgILAgwCDQIIAggCCAIIAggCCAIIAggCCAIIAggCCAIIAggCCAIIAggAAgMCDgIeAALeAgICggIEAgUCBgIHAggCCQKpAgsCDAINAggCCAIIAggCCAIIAggCCAIIAggCCAIIAggCCAIIAggCCAACAwK8Ah4AAt4CAgIzAgQCBQIGAgcCCAIJAjgCCwIMAg0CCAIIAggCCAIIAggCCAIIAggCCAIIAggCCAIIAggCCAIIAAIDAkECHgAC3gICAlYCBAIFAgYCBwIIAgkCOAILAgwCDQIIAggCCAIIAggCCAIIAggCCAIIAggCCAIIAggCCAIIAggAAgN6AAAEAAK+Ah4AAt4CAgJPAgQCBQIGAgcCCAIJAqkCCwIMAg0CCAIIAggCCAIIAggCCAIIAggCCAIIAggCCAIIAggCCAIIAAIDAlACHgAC3gICAjUCBAIFAgYCBwIIAgkCOAILAgwCDQIIAggCCAIIAggCCAIIAggCCAIIAggCCAIIAggCCAIIAggAAgMCRQIeAALeAgIChQIEAgUCBgIHAggCCQIKAgsCDAINAggCCAIIAggCCAIIAggCCAIIAggCCAIIAggCCAIIAggCCAACAwK7Ah4AAt4CAgIdAgQCBQIGAgcCCAIJAjgCCwIMAg0CCAIIAggCCAIIAggCCAIIAggCCAIIAggCCAIIAggCCAIIAAIDAkICHgAC3gICAmYCBAIFAgYCBwIIAgkCOAILAgwCDQIIAggCCAIIAggCCAIIAggCCAIIAggCCAIIAggCCAIIAggAAgMC2gIeAALeAgICKwIEAgUCBgIHAggCCQI4AgsCDAINAggCCAIIAggCCAIIAggCCAIIAggCCAIIAggCCAIIAggCCAACAwI/Ah4AAt4CAgIbAgQCBQIGAgcCCAIJAqkCCwIMAg0CCAIIAggCCAIIAggCCAIIAggCCAIIAggCCAIIAggCCAIIAAIDAr8CHgAC3gICAiUCBAIFAgYCBwIIAgkCCgILAgwCDQIIAggCCAIIAggCCAIIAggCCAIIAggCCAIIAggCCAIIAggAAgMCJgIeAALeAgICSwIEAgUCBgIHAggCCQKpAgsCDAINAggCCAIIAggCCAIIAggCCAIIAggCCAIIAggCCAIIAggCCAACAwLAAh4AAt8ACTQzMDk4NTQ3MgICAoUCBAIFAgYCBwIIAgkCOAILAgwCDQIIAggCCAIIAggCCAIIAggCCAIIAggCCAIIAggCCAIIAggCGgIDAtMCHgAC3wICAh8CBAIFAgYCBwIIAgkCqQILAgwCDQIIAggCCAIIAggCCAIIAggCCAIIAggCCAIIAggCCAIIAggCGgIDAtACHgAC3wICAiMCBAIFAgYCBwIIAgkCOAILAgwCDQIIAggCCAIIAggCCAIIAggCCAIIAggCCAIIAggCCAIIAggCGgIDAjsCHgAC3wICAjECBAIFAgYCBwIIAgkCqQILAgwCDQIIAggCCAIIAggCCAIIAggCCAIIAggCCAIIAggCCAIIAggCGgIDAr0CHgAC3wICAikCBAIFAgYCBwIIAgkCCgILAgwCDQIIAggCCAIIAggCCAIIAggCCAIIAggCCAIIAggCCAIIAggCGgIDAioCHgAC3wICAngCBAIFAgYCBwIIAgkCqQILAgwCDQIIAggCCAIIAggCCAIIAggCCAIIAggCCAJ6AAAEAAgCCAIIAggCCAIaAgMC0gIeAALfAgICLQIEAgUCBgIHAggCCQIKAgsCDAINAggCCAIIAggCCAIIAggCCAIIAggCCAIIAggCCAIIAggCCAIaAgMCLgIeAALfAgICggIEAgUCBgIHAggCCQKpAgsCDAINAggCCAIIAggCCAIIAggCCAIIAggCCAIIAggCCAIIAggCCAIaAgMCvAIeAALfAgICSwIEAgUCBgIHAggCCQIKAgsCDAINAggCCAIIAggCCAIIAggCCAIIAggCCAIIAggCCAIIAggCCAIaAgMC1QIeAALfAgICGwIEAgUCBgIHAggCCQIKAgsCDAINAggCCAIIAggCCAIIAggCCAIIAggCCAIIAggCCAIIAggCCAIaAgMCHAIeAALfAgICdQIEAgUCBgIHAggCCQI4AgsCDAINAggCCAIIAggCCAIIAggCCAIIAggCCAIIAggCCAIIAggCCAIaAgMCtwIeAALfAgICLwIEAgUCBgIHAggCCQI4AgsCDAINAggCCAIIAggCCAIIAggCCAIIAggCCAIIAggCCAIIAggCCAIaAgMCQwIeAALfAgICNQIEAgUCBgIHAggCCQI4AgsCDAINAggCCAIIAggCCAIIAggCCAIIAggCCAIIAggCCAIIAggCCAIaAgMCRQIeAALfAgICUwIEAgUCBgIHAggCCQKpAgsCDAINAggCCAIIAggCCAIIAggCCAIIAggCCAIIAggCCAIIAggCCAIaAgMCxAIeAALfAgICAwIEAgUCBgIHAggCCQKpAgsCDAINAggCCAIIAggCCAIIAggCCAIIAggCCAIIAggCCAIIAggCCAIaAgMCzAIeAALfAgICSwIEAgUCBgIHAggCCQI4AgsCDAINAggCCAIIAggCCAIIAggCCAIIAggCCAIIAggCCAIIAggCCAIaAgMCtAIeAALfAgICLwIEAgUCBgIHAggCCQIKAgsCDAINAggCCAIIAggCCAIIAggCCAIIAggCCAIIAggCCAIIAggCCAIaAgMCMAIeAALfAgIChQIEAgUCBgIHAggCCQKpAgsCDAINAggCCAIIAggCCAIIAggCCAIIAggCCAIIAggCCAIIAggCCAIaAgMCswIeAALfAgICIQIEAgUCBgIHAggCCQKpAgsCDAINAggCCAIIAggCCAIIAggCCAIIAggCCAIIAggCCAIIAggCCAIaAgMCUAIeAALfAgICIwIEAgUCBgIHAggCCQKpAgsCDAINAggCCAIIAggCCAIIAggCCAIIAggCCAIIAggCCAIIAggCCAIaAgMCUAIeAALfAgICKwIEAgUCBgIHAggCCQIKAgsCDAINAggCCAIIAggCCAIIAgh6AAAEAAIIAggCCAIIAggCCAIIAggCCAIIAhoCAwIsAh4AAt8CAgKCAgQCBQIGAgcCCAIJAjgCCwIMAg0CCAIIAggCCAIIAggCCAIIAggCCAIIAggCCAIIAggCCAIIAhoCAwLJAh4AAt8CAgJZAgQCBQIGAgcCCAIJAgoCCwIMAg0CCAIIAggCCAIIAggCCAIIAggCCAIIAggCCAIIAggCCAIIAhoCAwKvAh4AAt8CAgIxAgQCBQIGAgcCCAIJAjgCCwIMAg0CCAIIAggCCAIIAggCCAIIAggCCAIIAggCCAIIAggCCAIIAhoCAwI5Ah4AAt8CAgI1AgQCBQIGAgcCCAIJAgoCCwIMAg0CCAIIAggCCAIIAggCCAIIAggCCAIIAggCCAIIAggCCAIIAhoCAwI2Ah4AAt8CAgJ7AgQCBQIGAgcCCAIJAqkCCwIMAg0CCAIIAggCCAIIAggCCAIIAggCCAIIAggCCAIIAggCCAIIAhoCAwLRAh4AAt8CAgIpAgQCBQIGAgcCCAIJAqkCCwIMAg0CCAIIAggCCAIIAggCCAIIAggCCAIIAggCCAIIAggCCAIIAhoCAwLOAh4AAt8CAgIdAgQCBQIGAgcCCAIJAgoCCwIMAg0CCAIIAggCCAIIAggCCAIIAggCCAIIAggCCAIIAggCCAIIAhoCAwIeAh4AAt8CAgJ1AgQCBQIGAgcCCAIJAgoCCwIMAg0CCAIIAggCCAIIAggCCAIIAggCCAIIAggCCAIIAggCCAIIAhoCAwLNAh4AAt8CAgJWAgQCBQIGAgcCCAIJAgoCCwIMAg0CCAIIAggCCAIIAggCCAIIAggCCAIIAggCCAIIAggCCAIIAhoCAwK1Ah4AAt8CAgIbAgQCBQIGAgcCCAIJAjgCCwIMAg0CCAIIAggCCAIIAggCCAIIAggCCAIIAggCCAIIAggCCAIIAhoCAwJGAh4AAt8CAgJ4AgQCBQIGAgcCCAIJAgoCCwIMAg0CCAIIAggCCAIIAggCCAIIAggCCAIIAggCCAIIAggCCAIIAhoCAwLBAh4AAt8CAgIfAgQCBQIGAgcCCAIJAgoCCwIMAg0CCAIIAggCCAIIAggCCAIIAggCCAIIAggCCAIIAggCCAIIAhoCAwIgAh4AAt8CAgJTAgQCBQIGAgcCCAIJAjgCCwIMAg0CCAIIAggCCAIIAggCCAIIAggCCAIIAggCCAIIAggCCAIIAhoCAwLYAh4AAt8CAgJWAgQCBQIGAgcCCAIJAjgCCwIMAg0CCAIIAggCCAIIAggCCAIIAggCCAIIAggCCAIIAggCCAIIAhoCAwK+Ah4AAt8CAgIbAgQCBQIGAgcCCAIJAqkCCwIMAg0CCAJ6AAAEAAgCCAIIAggCCAIIAggCCAIIAggCCAIIAggCCAIIAggCGgIDAr8CHgAC3wICAksCBAIFAgYCBwIIAgkCqQILAgwCDQIIAggCCAIIAggCCAIIAggCCAIIAggCCAIIAggCCAIIAggCGgIDAsACHgAC3wICAl8CBAIFAgYCBwIIAgkCOAILAgwCDQIIAggCCAIIAggCCAIIAggCCAIIAggCCAIIAggCCAIIAggCGgIDAs8CHgAC3wICAmkCBAIFAgYCBwIIAgkCOAILAgwCDQIIAggCCAIIAggCCAIIAggCCAIIAggCCAIIAggCCAIIAggCGgIDAscCHgAC3wICAmkCBAIFAgYCBwIIAgkCCgILAgwCDQIIAggCCAIIAggCCAIIAggCCAIIAggCCAIIAggCCAIIAggCGgIDAtQCHgAC3wICAoICBAIFAgYCBwIIAgkCCgILAgwCDQIIAggCCAIIAggCCAIIAggCCAIIAggCCAIIAggCCAIIAggCGgIDAsgCHgAC3wICAnsCBAIFAgYCBwIIAgkCCgILAgwCDQIIAggCCAIIAggCCAIIAggCCAIIAggCCAIIAggCCAIIAggCGgIDAroCHgAC3wICAiECBAIFAgYCBwIIAgkCOAILAgwCDQIIAggCCAIIAggCCAIIAggCCAIIAggCCAIIAggCCAIIAggCGgIDAjoCHgAC3wICAicCBAIFAgYCBwIIAgkCOAILAgwCDQIIAggCCAIIAggCCAIIAggCCAIIAggCCAIIAggCCAIIAggCGgIDAj4CHgAC3wICAlkCBAIFAgYCBwIIAgkCqQILAgwCDQIIAggCCAIIAggCCAIIAggCCAIIAggCCAIIAggCCAIIAggCGgIDAtcCHgAC3wICAisCBAIFAgYCBwIIAgkCqQILAgwCDQIIAggCCAIIAggCCAIIAggCCAIIAggCCAIIAggCCAIIAggCGgIDAsUCHgAC3wICAicCBAIFAgYCBwIIAgkCCgILAgwCDQIIAggCCAIIAggCCAIIAggCCAIIAggCCAIIAggCCAIIAggCGgIDAigCHgAC3wICAnsCBAIFAgYCBwIIAgkCOAILAgwCDQIIAggCCAIIAggCCAIIAggCCAIIAggCCAIIAggCCAIIAggCGgIDAsYCHgAC3wICAi0CBAIFAgYCBwIIAgkCqQILAgwCDQIIAggCCAIIAggCCAIIAggCCAIIAggCCAIIAggCCAIIAggCGgIDAtYCHgAC3wICAl8CBAIFAgYCBwIIAgkCqQILAgwCDQIIAggCCAIIAggCCAIIAggCCAIIAggCCAIIAggCCAIIAggCGgIDAsICHgAC3wICAgMCBAIFAgYCBwIIAgl6AAAEAAI4AgsCDAINAggCCAIIAggCCAIIAggCCAIIAggCCAIIAggCCAIIAggCCAIaAgMCRAIeAALfAgICHQIEAgUCBgIHAggCCQI4AgsCDAINAggCCAIIAggCCAIIAggCCAIIAggCCAIIAggCCAIIAggCCAIaAgMCQgIeAALfAgICIwIEAgUCBgIHAggCCQIKAgsCDAINAggCCAIIAggCCAIIAggCCAIIAggCCAIIAggCCAIIAggCCAIaAgMCJAIeAALfAgICIQIEAgUCBgIHAggCCQIKAgsCDAINAggCCAIIAggCCAIIAggCCAIIAggCCAIIAggCCAIIAggCCAIaAgMCIgIeAALfAgICAwIEAgUCBgIHAggCCQIKAgsCDAINAggCCAIIAggCCAIIAggCCAIIAggCCAIIAggCCAIIAggCCAIaAgMCDgIeAALfAgICHQIEAgUCBgIHAggCCQKpAgsCDAINAggCCAIIAggCCAIIAggCCAIIAggCCAIIAggCCAIIAggCCAIaAgMCUAIeAALfAgICVgIEAgUCBgIHAggCCQKpAgsCDAINAggCCAIIAggCCAIIAggCCAIIAggCCAIIAggCCAIIAggCCAIaAgMCygIeAALfAgICdQIEAgUCBgIHAggCCQKpAgsCDAINAggCCAIIAggCCAIIAggCCAIIAggCCAIIAggCCAIIAggCCAIaAgMCsAIeAALfAgIChQIEAgUCBgIHAggCCQIKAgsCDAINAggCCAIIAggCCAIIAggCCAIIAggCCAIIAggCCAIIAggCCAIaAgMCuwIeAALfAgICXwIEAgUCBgIHAggCCQIKAgsCDAINAggCCAIIAggCCAIIAggCCAIIAggCCAIIAggCCAIIAggCCAIaAgMCsQIeAALfAgICKwIEAgUCBgIHAggCCQI4AgsCDAINAggCCAIIAggCCAIIAggCCAIIAggCCAIIAggCCAIIAggCCAIaAgMCPwIeAALfAgICKQIEAgUCBgIHAggCCQI4AgsCDAINAggCCAIIAggCCAIIAggCCAIIAggCCAIIAggCCAIIAggCCAIaAgMCPQIeAALfAgICMQIEAgUCBgIHAggCCQIKAgsCDAINAggCCAIIAggCCAIIAggCCAIIAggCCAIIAggCCAIIAggCCAIaAgMCMgIeAALfAgICWQIEAgUCBgIHAggCCQI4AgsCDAINAggCCAIIAggCCAIIAggCCAIIAggCCAIIAggCCAIIAggCCAIaAgMCuAIeAALfAgICJwIEAgUCBgIHAggCCQKpAgsCDAINAggCCAIIAggCCAIIAggCCAIIAggCCAIIAggCCAIIAggCCAIaAgMCuQIeAALfAgICaQJ6AAAEAAQCBQIGAgcCCAIJAqkCCwIMAg0CCAIIAggCCAIIAggCCAIIAggCCAIIAggCCAIIAggCCAIIAhoCAwLLAh4AAt8CAgIvAgQCBQIGAgcCCAIJAqkCCwIMAg0CCAIIAggCCAIIAggCCAIIAggCCAIIAggCCAIIAggCCAIIAhoCAwKuAh4AAt8CAgI1AgQCBQIGAgcCCAIJAqkCCwIMAg0CCAIIAggCCAIIAggCCAIIAggCCAIIAggCCAIIAggCCAIIAhoCAwKyAh4AAt8CAgJ4AgQCBQIGAgcCCAIJAjgCCwIMAg0CCAIIAggCCAIIAggCCAIIAggCCAIIAggCCAIIAggCCAIIAhoCAwLDAh4AAt8CAgJTAgQCBQIGAgcCCAIJAgoCCwIMAg0CCAIIAggCCAIIAggCCAIIAggCCAIIAggCCAIIAggCCAIIAhoCAwK2Ah4AAt8CAgItAgQCBQIGAgcCCAIJAjgCCwIMAg0CCAIIAggCCAIIAggCCAIIAggCCAIIAggCCAIIAggCCAIIAhoCAwJAAh4AAt8CAgIfAgQCBQIGAgcCCAIJAjgCCwIMAg0CCAIIAggCCAIIAggCCAIIAggCCAIIAggCCAIIAggCCAIIAhoCAwJHAh4AAuAACTQxNzAyMDU0NAICAnsCBAIFAgYCBwIIAgkCOAILAkkCDQIIAggCCAIIAggCCAIIAggCCAIIAggCCAIIAggCCAIIAggCFwIDApoCHgAC4AICAmkCBAIFAgYCBwIIAgkCTAILAkkCDQIIAggCCAIIAggCCAIIAggCCAIIAggCCAIIAggCCAIIAggCFwIDAnECHgAC4AICAoICBAIFAgYCBwIIAgkCCgILAkkCDQIIAggCCAIIAggCCAIIAggCCAIIAggCCAIIAggCCAIIAggCFwIDApkCHgAC4AICAicCBAIFAgYCBwIIAgkCTAILAkkCDQIIAggCCAIIAggCCAIIAggCCAIIAggCCAIIAggCCAIIAggCFwIDAo4CHgAC4AICAh0CBAIFAgYCBwIIAgkCTAILAkkCDQIIAggCCAIIAggCCAIIAggCCAIIAggCCAIIAggCCAIIAggCFwIDAlACHgAC4AICAngCBAIFAgYCBwIIAgkCOAILAkkCDQIIAggCCAIIAggCCAIIAggCCAIIAggCCAIIAggCCAIIAggCFwIDAo0CHgAC4AICAicCBAIFAgYCBwIIAgkCOAILAkkCDQIIAggCCAIIAggCCAIIAggCCAIIAggCCAIIAggCCAIIAggCFwIDAm0CHgAC4AICAlYCBAIFAgYCBwIIAgkCTAILAkkCDQIIAggCCAIIAggCCAIIAggCCAIIAggCCAIIAgh6AAAEAAIIAggCCAIXAgMCfwIeAALgAgICMQIEAgUCBgIHAggCCQIKAgsCSQINAggCCAIIAggCCAIIAggCCAIIAggCCAIIAggCCAIIAggCCAIXAgMCkwIeAALgAgICeAIEAgUCBgIHAggCCQIKAgsCSQINAggCCAIIAggCCAIIAggCCAIIAggCCAIIAggCCAIIAggCCAIXAgMCeQIeAALgAgICAwIEAgUCBgIHAggCCQI4AgsCSQINAggCCAIIAggCCAIIAggCCAIIAggCCAIIAggCCAIIAggCCAIXAgMCoQIeAALgAgICUwIEAgUCBgIHAggCCQI4AgsCSQINAggCCAIIAggCCAIIAggCCAIIAggCCAIIAggCCAIIAggCCAIXAgMCpAIeAALgAgICUwIEAgUCBgIHAggCCQJMAgsCSQINAggCCAIIAggCCAIIAggCCAIIAggCCAIIAggCCAIIAggCCAIXAgMCpQIeAALgAgICAwIEAgUCBgIHAggCCQJMAgsCSQINAggCCAIIAggCCAIIAggCCAIIAggCCAIIAggCCAIIAggCCAIXAgMCmAIeAALgAgICVgIEAgUCBgIHAggCCQI4AgsCSQINAggCCAIIAggCCAIIAggCCAIIAggCCAIIAggCCAIIAggCCAIXAgMCfgIeAALgAgICHQIEAgUCBgIHAggCCQI4AgsCSQINAggCCAIIAggCCAIIAggCCAIIAggCCAIIAggCCAIIAggCCAIXAgMCawIeAALgAgICaQIEAgUCBgIHAggCCQI4AgsCSQINAggCCAIIAggCCAIIAggCCAIIAggCCAIIAggCCAIIAggCCAIXAgMCagIeAALgAgICewIEAgUCBgIHAggCCQJMAgsCSQINAggCCAIIAggCCAIIAggCCAIIAggCCAIIAggCCAIIAggCCAIXAgMCjAIeAALgAgICHwIEAgUCBgIHAggCCQIKAgsCSQINAggCCAIIAggCCAIIAggCCAIIAggCCAIIAggCCAIIAggCCAIXAgMCbwIeAALgAgICKwIEAgUCBgIHAggCCQI4AgsCSQINAggCCAIIAggCCAIIAggCCAIIAggCCAIIAggCCAIIAggCCAIXAgMCVQIeAALgAgICLwIEAgUCBgIHAggCCQI4AgsCSQINAggCCAIIAggCCAIIAggCCAIIAggCCAIIAggCCAIIAggCCAIXAgMCegIeAALgAgICdQIEAgUCBgIHAggCCQI4AgsCSQINAggCCAIIAggCCAIIAggCCAIIAggCCAIIAggCCAIIAggCCAIXAgMCdgIeAALgAgICWQIEAgUCBgIHAggCCQI4AgsCSQINAggCCAIIAggCCAIIAggCCAJ6AAAEAAgCCAIIAggCCAIIAggCCAIIAhcCAwJaAh4AAuACAgIrAgQCBQIGAgcCCAIJAkwCCwJJAg0CCAIIAggCCAIIAggCCAIIAggCCAIIAggCCAIIAggCCAIIAhcCAwJzAh4AAuACAgItAgQCBQIGAgcCCAIJAkwCCwJJAg0CCAIIAggCCAIIAggCCAIIAggCCAIIAggCCAIIAggCCAIIAhcCAwJiAh4AAuACAgKFAgQCBQIGAgcCCAIJAgoCCwJJAg0CCAIIAggCCAIIAggCCAIIAggCCAIIAggCCAIIAggCCAIIAhcCAwKGAh4AAuACAgJ7AgQCBQIGAgcCCAIJAgoCCwJJAg0CCAIIAggCCAIIAggCCAIIAggCCAIIAggCCAIIAggCCAIIAhcCAwJ8Ah4AAuACAgIlAgQCBQIGAgcCCAIJAgoCCwJJAg0CCAIIAggCCAIIAggCCAIIAggCCAIIAggCCAIIAggCCAIIAhcCAwKBAh4AAuACAgIpAgQCBQIGAgcCCAIJAgoCCwJJAg0CCAIIAggCCAIIAggCCAIIAggCCAIIAggCCAIIAggCCAIIAhcCAwJ0Ah4AAuACAgJ4AgQCBQIGAgcCCAIJAkwCCwJJAg0CCAIIAggCCAIIAggCCAIIAggCCAIIAggCCAIIAggCCAIIAhcCAwKRAh4AAuACAgIfAgQCBQIGAgcCCAIJAkwCCwJJAg0CCAIIAggCCAIIAggCCAIIAggCCAIIAggCCAIIAggCCAIIAhcCAwKSAh4AAuACAgJTAgQCBQIGAgcCCAIJAgoCCwJJAg0CCAIIAggCCAIIAggCCAIIAggCCAIIAggCCAIIAggCCAIIAhcCAwJUAh4AAuACAgIjAgQCBQIGAgcCCAIJAgoCCwJJAg0CCAIIAggCCAIIAggCCAIIAggCCAIIAggCCAIIAggCCAIIAhcCAwKUAh4AAuACAgIfAgQCBQIGAgcCCAIJAjgCCwJJAg0CCAIIAggCCAIIAggCCAIIAggCCAIIAggCCAIIAggCCAIIAhcCAwKPAh4AAuACAgItAgQCBQIGAgcCCAIJAjgCCwJJAg0CCAIIAggCCAIIAggCCAIIAggCCAIIAggCCAIIAggCCAIIAhcCAwJKAh4AAuACAgJZAgQCBQIGAgcCCAIJAkwCCwJJAg0CCAIIAggCCAIIAggCCAIIAggCCAIIAggCCAIIAggCCAIIAhcCAwJyAh4AAuACAgIDAgQCBQIGAgcCCAIJAgoCCwJJAg0CCAIIAggCCAIIAggCCAIIAggCCAIIAggCCAIIAggCCAIIAhcCAwJbAh4AAuACAgIpAgQCBQIGAgcCCAIJAjgCCwJJAg0CCAIIAgh6AAAEAAIIAggCCAIIAggCCAIIAggCCAIIAggCCAIIAggCFwIDAl4CHgAC4AICAjUCBAIFAgYCBwIIAgkCTAILAkkCDQIIAggCCAIIAggCCAIIAggCCAIIAggCCAIIAggCCAIIAggCFwIDAmwCHgAC4AICAlkCBAIFAgYCBwIIAgkCCgILAkkCDQIIAggCCAIIAggCCAIIAggCCAIIAggCCAIIAggCCAIIAggCFwIDAmECHgAC4AICAiUCBAIFAgYCBwIIAgkCTAILAkkCDQIIAggCCAIIAggCCAIIAggCCAIIAggCCAIIAggCCAIIAggCFwIDAlACHgAC4AICAiECBAIFAgYCBwIIAgkCCgILAkkCDQIIAggCCAIIAggCCAIIAggCCAIIAggCCAIIAggCCAIIAggCFwIDAmUCHgAC4AICAiUCBAIFAgYCBwIIAgkCOAILAkkCDQIIAggCCAIIAggCCAIIAggCCAIIAggCCAIIAggCCAIIAggCFwIDAmMCHgAC4AICAisCBAIFAgYCBwIIAgkCCgILAkkCDQIIAggCCAIIAggCCAIIAggCCAIIAggCCAIIAggCCAIIAggCFwIDAlwCHgAC4AICAoUCBAIFAgYCBwIIAgkCOAILAkkCDQIIAggCCAIIAggCCAIIAggCCAIIAggCCAIIAggCCAIIAggCFwIDApsCHgAC4AICAjUCBAIFAgYCBwIIAgkCOAILAkkCDQIIAggCCAIIAggCCAIIAggCCAIIAggCCAIIAggCCAIIAggCFwIDAm4CHgAC4AICAi8CBAIFAgYCBwIIAgkCTAILAkkCDQIIAggCCAIIAggCCAIIAggCCAIIAggCCAIIAggCCAIIAggCFwIDAncCHgAC4AICAnUCBAIFAgYCBwIIAgkCTAILAkkCDQIIAggCCAIIAggCCAIIAggCCAIIAggCCAIIAggCCAIIAggCFwIDAoACHgAC4AICAl8CBAIFAgYCBwIIAgkCCgILAkkCDQIIAggCCAIIAggCCAIIAggCCAIIAggCCAIIAggCCAIIAggCFwIDAmACHgAC4AICAikCBAIFAgYCBwIIAgkCTAILAkkCDQIIAggCCAIIAggCCAIIAggCCAIIAggCCAIIAggCCAIIAggCFwIDAl0CHgAC4AICAksCBAIFAgYCBwIIAgkCCgILAkkCDQIIAggCCAIIAggCCAIIAggCCAIIAggCCAIIAggCCAIIAggCFwIDApYCHgAC4AICAoUCBAIFAgYCBwIIAgkCTAILAkkCDQIIAggCCAIIAggCCAIIAggCCAIIAggCCAIIAggCCAIIAggCFwIDApwCHgAC4AICAjMCBAIFAgYCBwIIAgkCTAJ6AAAEAAsCSQINAggCCAIIAggCCAIIAggCCAIIAggCCAIIAggCCAIIAggCCAIXAgMCUAIeAALgAgICMwIEAgUCBgIHAggCCQI4AgsCSQINAggCCAIIAggCCAIIAggCCAIIAggCCAIIAggCCAIIAggCCAIXAgMCaAIeAALgAgICLQIEAgUCBgIHAggCCQIKAgsCSQINAggCCAIIAggCCAIIAggCCAIIAggCCAIIAggCCAIIAggCCAIXAgMCcAIeAALgAgICGwIEAgUCBgIHAggCCQIKAgsCSQINAggCCAIIAggCCAIIAggCCAIIAggCCAIIAggCCAIIAggCCAIXAgMClwIeAALgAgICaQIEAgUCBgIHAggCCQIKAgsCSQINAggCCAIIAggCCAIIAggCCAIIAggCCAIIAggCCAIIAggCCAIXAgMCogIeAALgAgICggIEAgUCBgIHAggCCQJMAgsCSQINAggCCAIIAggCCAIIAggCCAIIAggCCAIIAggCCAIIAggCCAIXAgMCiAIeAALgAgICIQIEAgUCBgIHAggCCQI4AgsCSQINAggCCAIIAggCCAIIAggCCAIIAggCCAIIAggCCAIIAggCCAIXAgMCoAIeAALgAgICXwIEAgUCBgIHAggCCQI4AgsCSQINAggCCAIIAggCCAIIAggCCAIIAggCCAIIAggCCAIIAggCCAIXAgMCngIeAALgAgICMQIEAgUCBgIHAggCCQJMAgsCSQINAggCCAIIAggCCAIIAggCCAIIAggCCAIIAggCCAIIAggCCAIXAgMChwIeAALgAgICSwIEAgUCBgIHAggCCQJMAgsCSQINAggCCAIIAggCCAIIAggCCAIIAggCCAIIAggCCAIIAggCCAIXAgMCTQIeAALgAgICMQIEAgUCBgIHAggCCQI4AgsCSQINAggCCAIIAggCCAIIAggCCAIIAggCCAIIAggCCAIIAggCCAIXAgMChAIeAALgAgICIwIEAgUCBgIHAggCCQI4AgsCSQINAggCCAIIAggCCAIIAggCCAIIAggCCAIIAggCCAIIAggCCAIXAgMCnwIeAALgAgICJwIEAgUCBgIHAggCCQIKAgsCSQINAggCCAIIAggCCAIIAggCCAIIAggCCAIIAggCCAIIAggCCAIXAgMCowIeAALgAgICGwIEAgUCBgIHAggCCQI4AgsCSQINAggCCAIIAggCCAIIAggCCAIIAggCCAIIAggCCAIIAggCCAIXAgMCUgIeAALgAgICSwIEAgUCBgIHAggCCQI4AgsCSQINAggCCAIIAggCCAIIAggCCAIIAggCCAIIAggCCAIIAggCCAIXAgMCZAIeAALgAgICIwIEAgV6AAAEAAIGAgcCCAIJAkwCCwJJAg0CCAIIAggCCAIIAggCCAIIAggCCAIIAggCCAIIAggCCAIIAhcCAwJQAh4AAuACAgJfAgQCBQIGAgcCCAIJAkwCCwJJAg0CCAIIAggCCAIIAggCCAIIAggCCAIIAggCCAIIAggCCAIIAhcCAwKdAh4AAuACAgKCAgQCBQIGAgcCCAIJAjgCCwJJAg0CCAIIAggCCAIIAggCCAIIAggCCAIIAggCCAIIAggCCAIIAhcCAwKDAh4AAuACAgIhAgQCBQIGAgcCCAIJAkwCCwJJAg0CCAIIAggCCAIIAggCCAIIAggCCAIIAggCCAIIAggCCAIIAhcCAwJQAh4AAuACAgIbAgQCBQIGAgcCCAIJAkwCCwJJAg0CCAIIAggCCAIIAggCCAIIAggCCAIIAggCCAIIAggCCAIIAhcCAwJOAh4AAuACAgJWAgQCBQIGAgcCCAIJAgoCCwJJAg0CCAIIAggCCAIIAggCCAIIAggCCAIIAggCCAIIAggCCAIIAhcCAwJXAh4AAuACAgJ1AgQCBQIGAgcCCAIJAgoCCwJJAg0CCAIIAggCCAIIAggCCAIIAggCCAIIAggCCAIIAggCCAIIAhcCAwKQAh4AAuACAgIzAgQCBQIGAgcCCAIJAgoCCwJJAg0CCAIIAggCCAIIAggCCAIIAggCCAIIAggCCAIIAggCCAIIAhcCAwKLAh4AAuACAgIvAgQCBQIGAgcCCAIJAgoCCwJJAg0CCAIIAggCCAIIAggCCAIIAggCCAIIAggCCAIIAggCCAIIAhcCAwKJAh4AAuACAgIdAgQCBQIGAgcCCAIJAgoCCwJJAg0CCAIIAggCCAIIAggCCAIIAggCCAIIAggCCAIIAggCCAIIAhcCAwJRAh4AAuACAgI1AgQCBQIGAgcCCAIJAgoCCwJJAg0CCAIIAggCCAIIAggCCAIIAggCCAIIAggCCAIIAggCCAIIAhcCAwKKAh4AAuEACTQxNzAxNzA2NAICAiECBAIFAgYCBwIIAgkCqQILAgwCDQIIAggCCAIIAggCCAIIAggCCAIIAggCCAIIAggCCAIIAggCFAIDAlACHgAC4QICAngCBAIFAgYCBwIIAgkCOAILAgwCDQIIAggCCAIIAggCCAIIAggCCAIIAggCCAIIAggCCAIIAggCFAIDAsMCHgAC4QICAisCBAIFAgYCBwIIAgkCqQILAgwCDQIIAggCCAIIAggCCAIIAggCCAIIAggCCAIIAggCCAIIAggCFAIDAsUCHgAC4QICAh8CBAIFAgYCBwIIAgkCOAILAgwCDQIIAggCCAIIAggCCAIIAggCCAIIAggCCAIIAggCCAJ6AAAEAAgCCAIUAgMCRwIeAALhAgICewIEAgUCBgIHAggCCQI4AgsCDAINAggCCAIIAggCCAIIAggCCAIIAggCCAIIAggCCAIIAggCCAIUAgMCxgIeAALhAgICIwIEAgUCBgIHAggCCQIKAgsCDAINAggCCAIIAggCCAIIAggCCAIIAggCCAIIAggCCAIIAggCCAIUAgMCJAIeAALhAgICAwIEAgUCBgIHAggCCQKpAgsCDAINAggCCAIIAggCCAIIAggCCAIIAggCCAIIAggCCAIIAggCCAIUAgMCzAIeAALhAgICLQIEAgUCBgIHAggCCQKpAgsCDAINAggCCAIIAggCCAIIAggCCAIIAggCCAIIAggCCAIIAggCCAIUAgMC1gIeAALhAgICggIEAgUCBgIHAggCCQIKAgsCDAINAggCCAIIAggCCAIIAggCCAIIAggCCAIIAggCCAIIAggCCAIUAgMCyAIeAALhAgICJwIEAgUCBgIHAggCCQI4AgsCDAINAggCCAIIAggCCAIIAggCCAIIAggCCAIIAggCCAIIAggCCAIUAgMCPgIeAALhAgICUwIEAgUCBgIHAggCCQKpAgsCDAINAggCCAIIAggCCAIIAggCCAIIAggCCAIIAggCCAIIAggCCAIUAgMCxAIeAALhAgICMQIEAgUCBgIHAggCCQIKAgsCDAINAggCCAIIAggCCAIIAggCCAIIAggCCAIIAggCCAIIAggCCAIUAgMCMgIeAALhAgICHQIEAgUCBgIHAggCCQI4AgsCDAINAggCCAIIAggCCAIIAggCCAIIAggCCAIIAggCCAIIAggCCAIUAgMCQgIeAALhAgICVgIEAgUCBgIHAggCCQI4AgsCDAINAggCCAIIAggCCAIIAggCCAIIAggCCAIIAggCCAIIAggCCAIUAgMCvgIeAALhAgICGwIEAgUCBgIHAggCCQKpAgsCDAINAggCCAIIAggCCAIIAggCCAIIAggCCAIIAggCCAIIAggCCAIUAgMCvwIeAALhAgICTwIEAgUCBgIHAggCCQKpAgsCDAINAggCCAIIAggCCAIIAggCCAIIAggCCAIIAggCCAIIAggCCAIUAgMCUAIeAALhAgICaQIEAgUCBgIHAggCCQI4AgsCDAINAggCCAIIAggCCAIIAggCCAIIAggCCAIIAggCCAIIAggCCAIUAgMCxwIeAALhAgICeAIEAgUCBgIHAggCCQIKAgsCDAINAggCCAIIAggCCAIIAggCCAIIAggCCAIIAggCCAIIAggCCAIUAgMCwQIeAALhAgICAwIEAgUCBgIHAggCCQI4AgsCDAINAggCCAIIAggCCAIIAggCCAIIAgh6AAAEAAIIAggCCAIIAggCCAIIAhQCAwJEAh4AAuECAgJZAgQCBQIGAgcCCAIJAqkCCwIMAg0CCAIIAggCCAIIAggCCAIIAggCCAIIAggCCAIIAggCCAIIAhQCAwLXAh4AAuECAgJfAgQCBQIGAgcCCAIJAqkCCwIMAg0CCAIIAggCCAIIAggCCAIIAggCCAIIAggCCAIIAggCCAIIAhQCAwLCAh4AAuECAgIfAgQCBQIGAgcCCAIJAgoCCwIMAg0CCAIIAggCCAIIAggCCAIIAggCCAIIAggCCAIIAggCCAIIAhQCAwIgAh4AAuECAgIvAgQCBQIGAgcCCAIJAjgCCwIMAg0CCAIIAggCCAIIAggCCAIIAggCCAIIAggCCAIIAggCCAIIAhQCAwJDAh4AAuECAgJ1AgQCBQIGAgcCCAIJAjgCCwIMAg0CCAIIAggCCAIIAggCCAIIAggCCAIIAggCCAIIAggCCAIIAhQCAwK3Ah4AAuECAgJ7AgQCBQIGAgcCCAIJAgoCCwIMAg0CCAIIAggCCAIIAggCCAIIAggCCAIIAggCCAIIAggCCAIIAhQCAwK6Ah4AAuECAgJZAgQCBQIGAgcCCAIJAjgCCwIMAg0CCAIIAggCCAIIAggCCAIIAggCCAIIAggCCAIIAggCCAIIAhQCAwK4Ah4AAuECAgIlAgQCBQIGAgcCCAIJAgoCCwIMAg0CCAIIAggCCAIIAggCCAIIAggCCAIIAggCCAIIAggCCAIIAhQCAwImAh4AAuECAgIrAgQCBQIGAgcCCAIJAjgCCwIMAg0CCAIIAggCCAIIAggCCAIIAggCCAIIAggCCAIIAggCCAIIAhQCAwI/Ah4AAuECAgKFAgQCBQIGAgcCCAIJAgoCCwIMAg0CCAIIAggCCAIIAggCCAIIAggCCAIIAggCCAIIAggCCAIIAhQCAwK7Ah4AAuECAgJLAgQCBQIGAgcCCAIJAqkCCwIMAg0CCAIIAggCCAIIAggCCAIIAggCCAIIAggCCAIIAggCCAIIAhQCAwLAAh4AAuECAgJWAgQCBQIGAgcCCAIJAqkCCwIMAg0CCAIIAggCCAIIAggCCAIIAggCCAIIAggCCAIIAggCCAIIAhQCAwLKAh4AAuECAgIpAgQCBQIGAgcCCAIJAgoCCwIMAg0CCAIIAggCCAIIAggCCAIIAggCCAIIAggCCAIIAggCCAIIAhQCAwIqAh4AAuECAgI1AgQCBQIGAgcCCAIJAqkCCwIMAg0CCAIIAggCCAIIAggCCAIIAggCCAIIAggCCAIIAggCCAIIAhQCAwKyAh4AAuECAgIdAgQCBQIGAgcCCAIJAqkCCwIMAg0CCAIIAggCCAJ6AAAEAAgCCAIIAggCCAIIAggCCAIIAggCCAIIAggCFAIDAlACHgAC4QICAlMCBAIFAgYCBwIIAgkCCgILAgwCDQIIAggCCAIIAggCCAIIAggCCAIIAggCCAIIAggCCAIIAggCFAIDArYCHgAC4QICAi0CBAIFAgYCBwIIAgkCOAILAgwCDQIIAggCCAIIAggCCAIIAggCCAIIAggCCAIIAggCCAIIAggCFAIDAkACHgAC4QICAjMCBAIFAgYCBwIIAgkCqQILAgwCDQIIAggCCAIIAggCCAIIAggCCAIIAggCCAIIAggCCAIIAggCFAIDAlACHgAC4QICAicCBAIFAgYCBwIIAgkCqQILAgwCDQIIAggCCAIIAggCCAIIAggCCAIIAggCCAIIAggCCAIIAggCFAIDArkCHgAC4QICAmkCBAIFAgYCBwIIAgkCqQILAgwCDQIIAggCCAIIAggCCAIIAggCCAIIAggCCAIIAggCCAIIAggCFAIDAssCHgAC4QICAgMCBAIFAgYCBwIIAgkCCgILAgwCDQIIAggCCAIIAggCCAIIAggCCAIIAggCCAIIAggCCAIIAggCFAIDAg4CHgAC4QICAi8CBAIFAgYCBwIIAgkCqQILAgwCDQIIAggCCAIIAggCCAIIAggCCAIIAggCCAIIAggCCAIIAggCFAIDAq4CHgAC4QICAlkCBAIFAgYCBwIIAgkCCgILAgwCDQIIAggCCAIIAggCCAIIAggCCAIIAggCCAIIAggCCAIIAggCFAIDAq8CHgAC4QICAikCBAIFAgYCBwIIAgkCOAILAgwCDQIIAggCCAIIAggCCAIIAggCCAIIAggCCAIIAggCCAIIAggCFAIDAj0CHgAC4QICAiMCBAIFAgYCBwIIAgkCqQILAgwCDQIIAggCCAIIAggCCAIIAggCCAIIAggCCAIIAggCCAIIAggCFAIDAlACHgAC4QICAl8CBAIFAgYCBwIIAgkCCgILAgwCDQIIAggCCAIIAggCCAIIAggCCAIIAggCCAIIAggCCAIIAggCFAIDArECHgAC4QICAiECBAIFAgYCBwIIAgkCCgILAgwCDQIIAggCCAIIAggCCAIIAggCCAIIAggCCAIIAggCCAIIAggCFAIDAiICHgAC4QICAnUCBAIFAgYCBwIIAgkCqQILAgwCDQIIAggCCAIIAggCCAIIAggCCAIIAggCCAIIAggCCAIIAggCFAIDArACHgAC4QICAisCBAIFAgYCBwIIAgkCCgILAgwCDQIIAggCCAIIAggCCAIIAggCCAIIAggCCAIIAggCCAIIAggCFAIDAiwCHgAC4QICAiUCBAIFAgYCBwIIAgkCOAILAgx6AAAEAAINAggCCAIIAggCCAIIAggCCAIIAggCCAIIAggCCAIIAggCCAIUAgMCPAIeAALhAgICSwIEAgUCBgIHAggCCQIKAgsCDAINAggCCAIIAggCCAIIAggCCAIIAggCCAIIAggCCAIIAggCCAIUAgMC1QIeAALhAgICNQIEAgUCBgIHAggCCQI4AgsCDAINAggCCAIIAggCCAIIAggCCAIIAggCCAIIAggCCAIIAggCCAIUAgMCRQIeAALhAgICTwIEAgUCBgIHAggCCQIKAgsCDAINAggCCAIIAggCCAIIAggCCAIIAggCCAIIAggCCAIIAggCCAIUAgMC2wIeAALhAgICMQIEAgUCBgIHAggCCQKpAgsCDAINAggCCAIIAggCCAIIAggCCAIIAggCCAIIAggCCAIIAggCCAIUAgMCvQIeAALhAgIChQIEAgUCBgIHAggCCQI4AgsCDAINAggCCAIIAggCCAIIAggCCAIIAggCCAIIAggCCAIIAggCCAIUAgMC0wIeAALhAgICggIEAgUCBgIHAggCCQKpAgsCDAINAggCCAIIAggCCAIIAggCCAIIAggCCAIIAggCCAIIAggCCAIUAgMCvAIeAALhAgICLQIEAgUCBgIHAggCCQIKAgsCDAINAggCCAIIAggCCAIIAggCCAIIAggCCAIIAggCCAIIAggCCAIUAgMCLgIeAALhAgICMwIEAgUCBgIHAggCCQI4AgsCDAINAggCCAIIAggCCAIIAggCCAIIAggCCAIIAggCCAIIAggCCAIUAgMCQQIeAALhAgICGwIEAgUCBgIHAggCCQIKAgsCDAINAggCCAIIAggCCAIIAggCCAIIAggCCAIIAggCCAIIAggCCAIUAgMCHAIeAALhAgICJQIEAgUCBgIHAggCCQKpAgsCDAINAggCCAIIAggCCAIIAggCCAIIAggCCAIIAggCCAIIAggCCAIUAgMCUAIeAALhAgICKQIEAgUCBgIHAggCCQKpAgsCDAINAggCCAIIAggCCAIIAggCCAIIAggCCAIIAggCCAIIAggCCAIUAgMCzgIeAALhAgICXwIEAgUCBgIHAggCCQI4AgsCDAINAggCCAIIAggCCAIIAggCCAIIAggCCAIIAggCCAIIAggCCAIUAgMCzwIeAALhAgICIQIEAgUCBgIHAggCCQI4AgsCDAINAggCCAIIAggCCAIIAggCCAIIAggCCAIIAggCCAIIAggCCAIUAgMCOgIeAALhAgICaQIEAgUCBgIHAggCCQIKAgsCDAINAggCCAIIAggCCAIIAggCCAIIAggCCAIIAggCCAIIAggCCAIUAgMC1AIeAALhAgICUwIEAgUCBgJ6AAAEAAcCCAIJAjgCCwIMAg0CCAIIAggCCAIIAggCCAIIAggCCAIIAggCCAIIAggCCAIIAhQCAwLYAh4AAuECAgIfAgQCBQIGAgcCCAIJAqkCCwIMAg0CCAIIAggCCAIIAggCCAIIAggCCAIIAggCCAIIAggCCAIIAhQCAwLQAh4AAuECAgJ4AgQCBQIGAgcCCAIJAqkCCwIMAg0CCAIIAggCCAIIAggCCAIIAggCCAIIAggCCAIIAggCCAIIAhQCAwLSAh4AAuECAgInAgQCBQIGAgcCCAIJAgoCCwIMAg0CCAIIAggCCAIIAggCCAIIAggCCAIIAggCCAIIAggCCAIIAhQCAwIoAh4AAuECAgIjAgQCBQIGAgcCCAIJAjgCCwIMAg0CCAIIAggCCAIIAggCCAIIAggCCAIIAggCCAIIAggCCAIIAhQCAwI7Ah4AAuECAgKFAgQCBQIGAgcCCAIJAqkCCwIMAg0CCAIIAggCCAIIAggCCAIIAggCCAIIAggCCAIIAggCCAIIAhQCAwKzAh4AAuECAgIxAgQCBQIGAgcCCAIJAjgCCwIMAg0CCAIIAggCCAIIAggCCAIIAggCCAIIAggCCAIIAggCCAIIAhQCAwI5Ah4AAuECAgIbAgQCBQIGAgcCCAIJAjgCCwIMAg0CCAIIAggCCAIIAggCCAIIAggCCAIIAggCCAIIAggCCAIIAhQCAwJGAh4AAuECAgJLAgQCBQIGAgcCCAIJAjgCCwIMAg0CCAIIAggCCAIIAggCCAIIAggCCAIIAggCCAIIAggCCAIIAhQCAwK0Ah4AAuECAgKCAgQCBQIGAgcCCAIJAjgCCwIMAg0CCAIIAggCCAIIAggCCAIIAggCCAIIAggCCAIIAggCCAIIAhQCAwLJAh4AAuECAgIzAgQCBQIGAgcCCAIJAgoCCwIMAg0CCAIIAggCCAIIAggCCAIIAggCCAIIAggCCAIIAggCCAIIAhQCAwI0Ah4AAuECAgJWAgQCBQIGAgcCCAIJAgoCCwIMAg0CCAIIAggCCAIIAggCCAIIAggCCAIIAggCCAIIAggCCAIIAhQCAwK1Ah4AAuECAgJ1AgQCBQIGAgcCCAIJAgoCCwIMAg0CCAIIAggCCAIIAggCCAIIAggCCAIIAggCCAIIAggCCAIIAhQCAwLNAh4AAuECAgIdAgQCBQIGAgcCCAIJAgoCCwIMAg0CCAIIAggCCAIIAggCCAIIAggCCAIIAggCCAIIAggCCAIIAhQCAwIeAh4AAuECAgJPAgQCBQIGAgcCCAIJAjgCCwIMAg0CCAIIAggCCAIIAggCCAIIAggCCAIIAggCCAIIAggCCAIIAhQCAwLdAh4AAuF6AAAEAAICAi8CBAIFAgYCBwIIAgkCCgILAgwCDQIIAggCCAIIAggCCAIIAggCCAIIAggCCAIIAggCCAIIAggCFAIDAjACHgAC4QICAjUCBAIFAgYCBwIIAgkCCgILAgwCDQIIAggCCAIIAggCCAIIAggCCAIIAggCCAIIAggCCAIIAggCFAIDAjYCHgAC4QICAnsCBAIFAgYCBwIIAgkCqQILAgwCDQIIAggCCAIIAggCCAIIAggCCAIIAggCCAIIAggCCAIIAggCFAIDAtECHgAC4gAJNDE3MDE4MjI0AgICAwIEAgUCBgIHAggCCQJMAgsCSQINAggCCAIIAggCCAIIAggCCAIIAggCCAIIAggCCAIIAggCCAIVAgMCmAIeAALiAgICHQIEAgUCBgIHAggCCQI4AgsCSQINAggCCAIIAggCCAIIAggCCAIIAggCCAIIAggCCAIIAggCCAIVAgMCawIeAALiAgICeAIEAgUCBgIHAggCCQIKAgsCSQINAggCCAIIAggCCAIIAggCCAIIAggCCAIIAggCCAIIAggCCAIVAgMCeQIeAALiAgICHwIEAgUCBgIHAggCCQIKAgsCSQINAggCCAIIAggCCAIIAggCCAIIAggCCAIIAggCCAIIAggCCAIVAgMCbwIeAALiAgICHQIEAgUCBgIHAggCCQJMAgsCSQINAggCCAIIAggCCAIIAggCCAIIAggCCAIIAggCCAIIAggCCAIVAgMCUAIeAALiAgICVgIEAgUCBgIHAggCCQJMAgsCSQINAggCCAIIAggCCAIIAggCCAIIAggCCAIIAggCCAIIAggCCAIVAgMCfwIeAALiAgICAwIEAgUCBgIHAggCCQI4AgsCSQINAggCCAIIAggCCAIIAggCCAIIAggCCAIIAggCCAIIAggCCAIVAgMCoQIeAALiAgICUwIEAgUCBgIHAggCCQI4AgsCSQINAggCCAIIAggCCAIIAggCCAIIAggCCAIIAggCCAIIAggCCAIVAgMCpAIeAALiAgICUwIEAgUCBgIHAggCCQJMAgsCSQINAggCCAIIAggCCAIIAggCCAIIAggCCAIIAggCCAIIAggCCAIVAgMCpQIeAALiAgICVgIEAgUCBgIHAggCCQI4AgsCSQINAggCCAIIAggCCAIIAggCCAIIAggCCAIIAggCCAIIAggCCAIVAgMCfgIeAALiAgICJwIEAgUCBgIHAggCCQJMAgsCSQINAggCCAIIAggCCAIIAggCCAIIAggCCAIIAggCCAIIAggCCAIVAgMCjgIeAALiAgICaQIEAgUCBgIHAggCCQJMAgsCSQINAggCCAIIAggCCAIIAggCCAIIAggCCAJ6AAAEAAgCCAIIAggCCAIIAhUCAwJxAh4AAuICAgIxAgQCBQIGAgcCCAIJAgoCCwJJAg0CCAIIAggCCAIIAggCCAIIAggCCAIIAggCCAIIAggCCAIIAhUCAwKTAh4AAuICAgInAgQCBQIGAgcCCAIJAjgCCwJJAg0CCAIIAggCCAIIAggCCAIIAggCCAIIAggCCAIIAggCCAIIAhUCAwJtAh4AAuICAgJpAgQCBQIGAgcCCAIJAjgCCwJJAg0CCAIIAggCCAIIAggCCAIIAggCCAIIAggCCAIIAggCCAIIAhUCAwJqAh4AAuICAgJ7AgQCBQIGAgcCCAIJAkwCCwJJAg0CCAIIAggCCAIIAggCCAIIAggCCAIIAggCCAIIAggCCAIIAhUCAwKMAh4AAuICAgKCAgQCBQIGAgcCCAIJAgoCCwJJAg0CCAIIAggCCAIIAggCCAIIAggCCAIIAggCCAIIAggCCAIIAhUCAwKZAh4AAuICAgJ7AgQCBQIGAgcCCAIJAjgCCwJJAg0CCAIIAggCCAIIAggCCAIIAggCCAIIAggCCAIIAggCCAIIAhUCAwKaAh4AAuICAgJTAgQCBQIGAgcCCAIJAgoCCwJJAg0CCAIIAggCCAIIAggCCAIIAggCCAIIAggCCAIIAggCCAIIAhUCAwJUAh4AAuICAgIDAgQCBQIGAgcCCAIJAgoCCwJJAg0CCAIIAggCCAIIAggCCAIIAggCCAIIAggCCAIIAggCCAIIAhUCAwJbAh4AAuICAgIfAgQCBQIGAgcCCAIJAkwCCwJJAg0CCAIIAggCCAIIAggCCAIIAggCCAIIAggCCAIIAggCCAIIAhUCAwKSAh4AAuICAgIhAgQCBQIGAgcCCAIJAgoCCwJJAg0CCAIIAggCCAIIAggCCAIIAggCCAIIAggCCAIIAggCCAIIAhUCAwJlAh4AAuICAgIlAgQCBQIGAgcCCAIJAkwCCwJJAg0CCAIIAggCCAIIAggCCAIIAggCCAIIAggCCAIIAggCCAIIAhUCAwJQAh4AAuICAgIfAgQCBQIGAgcCCAIJAjgCCwJJAg0CCAIIAggCCAIIAggCCAIIAggCCAIIAggCCAIIAggCCAIIAhUCAwKPAh4AAuICAgItAgQCBQIGAgcCCAIJAjgCCwJJAg0CCAIIAggCCAIIAggCCAIIAggCCAIIAggCCAIIAggCCAIIAhUCAwJKAh4AAuICAgItAgQCBQIGAgcCCAIJAkwCCwJJAg0CCAIIAggCCAIIAggCCAIIAggCCAIIAggCCAIIAggCCAIIAhUCAwJiAh4AAuICAgIjAgQCBQIGAgcCCAIJAgoCCwJJAg0CCAIIAggCCAIIAgh6AAAEAAIIAggCCAIIAggCCAIIAggCCAIIAggCFQIDApQCHgAC4gICAngCBAIFAgYCBwIIAgkCTAILAkkCDQIIAggCCAIIAggCCAIIAggCCAIIAggCCAIIAggCCAIIAggCFQIDApECHgAC4gICAngCBAIFAgYCBwIIAgkCOAILAkkCDQIIAggCCAIIAggCCAIIAggCCAIIAggCCAIIAggCCAIIAggCFQIDAo0CHgAC4gICAisCBAIFAgYCBwIIAgkCOAILAkkCDQIIAggCCAIIAggCCAIIAggCCAIIAggCCAIIAggCCAIIAggCFQIDAlUCHgAC4gICAnsCBAIFAgYCBwIIAgkCCgILAkkCDQIIAggCCAIIAggCCAIIAggCCAIIAggCCAIIAggCCAIIAggCFQIDAnwCHgAC4gICAoUCBAIFAgYCBwIIAgkCCgILAkkCDQIIAggCCAIIAggCCAIIAggCCAIIAggCCAIIAggCCAIIAggCFQIDAoYCHgAC4gICAlkCBAIFAgYCBwIIAgkCOAILAkkCDQIIAggCCAIIAggCCAIIAggCCAIIAggCCAIIAggCCAIIAggCFQIDAloCHgAC4gICAlkCBAIFAgYCBwIIAgkCTAILAkkCDQIIAggCCAIIAggCCAIIAggCCAIIAggCCAIIAggCCAIIAggCFQIDAnICHgAC4gICAisCBAIFAgYCBwIIAgkCTAILAkkCDQIIAggCCAIIAggCCAIIAggCCAIIAggCCAIIAggCCAIIAggCFQIDAnMCHgAC4gICAoUCBAIFAgYCBwIIAgkCOAILAkkCDQIIAggCCAIIAggCCAIIAggCCAIIAggCCAIIAggCCAIIAggCFQIDApsCHgAC4gICAjUCBAIFAgYCBwIIAgkCOAILAkkCDQIIAggCCAIIAggCCAIIAggCCAIIAggCCAIIAggCCAIIAggCFQIDAm4CHgAC4gICAksCBAIFAgYCBwIIAgkCCgILAkkCDQIIAggCCAIIAggCCAIIAggCCAIIAggCCAIIAggCCAIIAggCFQIDApYCHgAC4gICAhsCBAIFAgYCBwIIAgkCCgILAkkCDQIIAggCCAIIAggCCAIIAggCCAIIAggCCAIIAggCCAIIAggCFQIDApcCHgAC4gICAjMCBAIFAgYCBwIIAgkCOAILAkkCDQIIAggCCAIIAggCCAIIAggCCAIIAggCCAIIAggCCAIIAggCFQIDAmgCHgAC4gICAiMCBAIFAgYCBwIIAgkCTAILAkkCDQIIAggCCAIIAggCCAIIAggCCAIIAggCCAIIAggCCAIIAggCFQIDAlACHgAC4gICAikCBAIFAgYCBwIIAgkCCgILAkkCDQJ6AAAEAAgCCAIIAggCCAIIAggCCAIIAggCCAIIAggCCAIIAggCCAIVAgMCdAIeAALiAgICJQIEAgUCBgIHAggCCQIKAgsCSQINAggCCAIIAggCCAIIAggCCAIIAggCCAIIAggCCAIIAggCCAIVAgMCgQIeAALiAgICLwIEAgUCBgIHAggCCQJMAgsCSQINAggCCAIIAggCCAIIAggCCAIIAggCCAIIAggCCAIIAggCCAIVAgMCdwIeAALiAgICNQIEAgUCBgIHAggCCQJMAgsCSQINAggCCAIIAggCCAIIAggCCAIIAggCCAIIAggCCAIIAggCCAIVAgMCbAIeAALiAgICdQIEAgUCBgIHAggCCQI4AgsCSQINAggCCAIIAggCCAIIAggCCAIIAggCCAIIAggCCAIIAggCCAIVAgMCdgIeAALiAgICdQIEAgUCBgIHAggCCQJMAgsCSQINAggCCAIIAggCCAIIAggCCAIIAggCCAIIAggCCAIIAggCCAIVAgMCgAIeAALiAgICJQIEAgUCBgIHAggCCQI4AgsCSQINAggCCAIIAggCCAIIAggCCAIIAggCCAIIAggCCAIIAggCCAIVAgMCYwIeAALiAgICKQIEAgUCBgIHAggCCQI4AgsCSQINAggCCAIIAggCCAIIAggCCAIIAggCCAIIAggCCAIIAggCCAIVAgMCXgIeAALiAgICLwIEAgUCBgIHAggCCQI4AgsCSQINAggCCAIIAggCCAIIAggCCAIIAggCCAIIAggCCAIIAggCCAIVAgMCegIeAALiAgICWQIEAgUCBgIHAggCCQIKAgsCSQINAggCCAIIAggCCAIIAggCCAIIAggCCAIIAggCCAIIAggCCAIVAgMCYQIeAALiAgICLQIEAgUCBgIHAggCCQIKAgsCSQINAggCCAIIAggCCAIIAggCCAIIAggCCAIIAggCCAIIAggCCAIVAgMCcAIeAALiAgICKwIEAgUCBgIHAggCCQIKAgsCSQINAggCCAIIAggCCAIIAggCCAIIAggCCAIIAggCCAIIAggCCAIVAgMCXAIeAALiAgICMwIEAgUCBgIHAggCCQJMAgsCSQINAggCCAIIAggCCAIIAggCCAIIAggCCAIIAggCCAIIAggCCAIVAgMCUAIeAALiAgICKQIEAgUCBgIHAggCCQJMAgsCSQINAggCCAIIAggCCAIIAggCCAIIAggCCAIIAggCCAIIAggCCAIVAgMCXQIeAALiAgIChQIEAgUCBgIHAggCCQJMAgsCSQINAggCCAIIAggCCAIIAggCCAIIAggCCAIIAggCCAIIAggCCAIVAgMCnAIeAALiAgICXwIEAgUCBgIHAgh6AAAEAAIJAgoCCwJJAg0CCAIIAggCCAIIAggCCAIIAggCCAIIAggCCAIIAggCCAIIAhUCAwJgAh4AAuICAgJPAgQCBQIGAgcCCAIJAgoCCwJJAg0CCAIIAggCCAIIAggCCAIIAggCCAIIAggCCAIIAggCCAIIAhUCAwKVAh4AAuICAgIbAgQCBQIGAgcCCAIJAjgCCwJJAg0CCAIIAggCCAIIAggCCAIIAggCCAIIAggCCAIIAggCCAIIAhUCAwJSAh4AAuICAgIxAgQCBQIGAgcCCAIJAjgCCwJJAg0CCAIIAggCCAIIAggCCAIIAggCCAIIAggCCAIIAggCCAIIAhUCAwKEAh4AAuICAgJPAgQCBQIGAgcCCAIJAjgCCwJJAg0CCAIIAggCCAIIAggCCAIIAggCCAIIAggCCAIIAggCCAIIAhUCAwJYAh4AAuICAgJPAgQCBQIGAgcCCAIJAkwCCwJJAg0CCAIIAggCCAIIAggCCAIIAggCCAIIAggCCAIIAggCCAIIAhUCAwJQAh4AAuICAgJ1AgQCBQIGAgcCCAIJAgoCCwJJAg0CCAIIAggCCAIIAggCCAIIAggCCAIIAggCCAIIAggCCAIIAhUCAwKQAh4AAuICAgJWAgQCBQIGAgcCCAIJAgoCCwJJAg0CCAIIAggCCAIIAggCCAIIAggCCAIIAggCCAIIAggCCAIIAhUCAwJXAh4AAuICAgIbAgQCBQIGAgcCCAIJAkwCCwJJAg0CCAIIAggCCAIIAggCCAIIAggCCAIIAggCCAIIAggCCAIIAhUCAwJOAh4AAuICAgJLAgQCBQIGAgcCCAIJAjgCCwJJAg0CCAIIAggCCAIIAggCCAIIAggCCAIIAggCCAIIAggCCAIIAhUCAwJkAh4AAuICAgJLAgQCBQIGAgcCCAIJAkwCCwJJAg0CCAIIAggCCAIIAggCCAIIAggCCAIIAggCCAIIAggCCAIIAhUCAwJNAh4AAuICAgInAgQCBQIGAgcCCAIJAgoCCwJJAg0CCAIIAggCCAIIAggCCAIIAggCCAIIAggCCAIIAggCCAIIAhUCAwKjAh4AAuICAgJpAgQCBQIGAgcCCAIJAgoCCwJJAg0CCAIIAggCCAIIAggCCAIIAggCCAIIAggCCAIIAggCCAIIAhUCAwKiAh4AAuICAgIhAgQCBQIGAgcCCAIJAjgCCwJJAg0CCAIIAggCCAIIAggCCAIIAggCCAIIAggCCAIIAggCCAIIAhUCAwKgAh4AAuICAgIjAgQCBQIGAgcCCAIJAjgCCwJJAg0CCAIIAggCCAIIAggCCAIIAggCCAIIAggCCAIIAggCCAIIAhUCAwKfAh4AAuICAgJ6AAAEAB0CBAIFAgYCBwIIAgkCCgILAkkCDQIIAggCCAIIAggCCAIIAggCCAIIAggCCAIIAggCCAIIAggCFQIDAlECHgAC4gICAi8CBAIFAgYCBwIIAgkCCgILAkkCDQIIAggCCAIIAggCCAIIAggCCAIIAggCCAIIAggCCAIIAggCFQIDAokCHgAC4gICAjUCBAIFAgYCBwIIAgkCCgILAkkCDQIIAggCCAIIAggCCAIIAggCCAIIAggCCAIIAggCCAIIAggCFQIDAooCHgAC4gICAjMCBAIFAgYCBwIIAgkCCgILAkkCDQIIAggCCAIIAggCCAIIAggCCAIIAggCCAIIAggCCAIIAggCFQIDAosCHgAC4gICAoICBAIFAgYCBwIIAgkCOAILAkkCDQIIAggCCAIIAggCCAIIAggCCAIIAggCCAIIAggCCAIIAggCFQIDAoMCHgAC4gICAjECBAIFAgYCBwIIAgkCTAILAkkCDQIIAggCCAIIAggCCAIIAggCCAIIAggCCAIIAggCCAIIAggCFQIDAocCHgAC4gICAoICBAIFAgYCBwIIAgkCTAILAkkCDQIIAggCCAIIAggCCAIIAggCCAIIAggCCAIIAggCCAIIAggCFQIDAogCHgAC4gICAl8CBAIFAgYCBwIIAgkCTAILAkkCDQIIAggCCAIIAggCCAIIAggCCAIIAggCCAIIAggCCAIIAggCFQIDAp0CHgAC4gICAiECBAIFAgYCBwIIAgkCTAILAkkCDQIIAggCCAIIAggCCAIIAggCCAIIAggCCAIIAggCCAIIAggCFQIDAlACHgAC4gICAl8CBAIFAgYCBwIIAgkCOAILAkkCDQIIAggCCAIIAggCCAIIAggCCAIIAggCCAIIAggCCAIIAggCFQIDAp4CHgAC4wAJNDMxNzAwNzM2AgICIQIEAgUCBgIHAggCCQI4AgsCSQINAggCCAIIAggCCAIIAggCCAIIAggCCAIIAggCCAIIAggCCAIDAgMCoAIeAALjAgICHwIEAgUCBgIHAggCCQI4AgsCSQINAggCCAIIAggCCAIIAggCCAIIAggCCAIIAggCCAIIAggCCAIDAgMCjwIeAALjAgICLwIEAgUCBgIHAggCCQI4AgsCSQINAggCCAIIAggCCAIIAggCCAIIAggCCAIIAggCCAIIAggCCAIDAgMCegIeAALjAgICKQIEAgUCBgIHAggCCQI4AgsCSQINAggCCAIIAggCCAIIAggCCAIIAggCCAIIAggCCAIIAggCCAIDAgMCXgIeAALjAgICKwIEAgUCBgIHAggCCQI4AgsCSQINAggCCAIIAggCCAIIAggCCAIIAggCCAIIAgh6AAAEAAIIAggCCAIIAgMCAwJVAh4AAuMCAgIlAgQCBQIGAgcCCAIJAjgCCwJJAg0CCAIIAggCCAIIAggCCAIIAggCCAIIAggCCAIIAggCCAIIAgMCAwJjAh4AAuMCAgIjAgQCBQIGAgcCCAIJAjgCCwJJAg0CCAIIAggCCAIIAggCCAIIAggCCAIIAggCCAIIAggCCAIIAgMCAwKfAh4AAuMCAgItAgQCBQIGAgcCCAIJAjgCCwJJAg0CCAIIAggCCAIIAggCCAIIAggCCAIIAggCCAIIAggCCAIIAgMCAwJKAh4AAuMCAgInAgQCBQIGAgcCCAIJAjgCCwJJAg0CCAIIAggCCAIIAggCCAIIAggCCAIIAggCCAIIAggCCAIIAgMCAwJtAh4AAuMCAgI1AgQCBQIGAgcCCAIJAjgCCwJJAg0CCAIIAggCCAIIAggCCAIIAggCCAIIAggCCAIIAggCCAIIAgMCAwJuAh4AAuMCAgIxAgQCBQIGAgcCCAIJAjgCCwJJAg0CCAIIAggCCAIIAggCCAIIAggCCAIIAggCCAIIAggCCAIIAgMCAwKEAh4AAuMCAgIdAgQCBQIGAgcCCAIJAjgCCwJJAg0CCAIIAggCCAIIAggCCAIIAggCCAIIAggCCAIIAggCCAIIAgMCAwJrAh4AAuMCAgIbAgQCBQIGAgcCCAIJAjgCCwJJAg0CCAIIAggCCAIIAggCCAIIAggCCAIIAggCCAIIAggCCAIIAgMCAwJSAh4AAuMCAgIDAgQCBQIGAgcCCAIJAjgCCwJJAg0CCAIIAggCCAIIAggCCAIIAggCCAIIAggCCAIIAggCCAIIAgMCAwKhAh4AAuMCAgIzAgQCBQIGAgcCCAIJAjgCCwJJAg0CCAIIAggCCAIIAggCCAIIAggCCAIIAggCCAIIAggCCAIIAgMCAwJoAh4AAuQACTQxNzAxOTM4NAICAlYCBAIFAgYCBwIIAgkCOAILAgwCDQIIAggCCAIIAggCCAIIAggCCAIIAggCCAIIAggCCAIIAggCFgIDAr4CHgAC5AICAngCBAIFAgYCBwIIAgkCCgILAgwCDQIIAggCCAIIAggCCAIIAggCCAIIAggCCAIIAggCCAIIAggCFgIDAsECHgAC5AICAicCBAIFAgYCBwIIAgkCOAILAgwCDQIIAggCCAIIAggCCAIIAggCCAIIAggCCAIIAggCCAIIAggCFgIDAj4CHgAC5AICAh0CBAIFAgYCBwIIAgkCOAILAgwCDQIIAggCCAIIAggCCAIIAggCCAIIAggCCAIIAggCCAIIAggCFgIDAkICHgAC5AICAgMCBAIFAgYCBwIIAgkCOAILAgwCDQIIAgh6AAAEAAIIAggCCAIIAggCCAIIAggCCAIIAggCCAIIAggCCAIWAgMCRAIeAALkAgICHwIEAgUCBgIHAggCCQIKAgsCDAINAggCCAIIAggCCAIIAggCCAIIAggCCAIIAggCCAIIAggCCAIWAgMCIAIeAALkAgICaQIEAgUCBgIHAggCCQI4AgsCDAINAggCCAIIAggCCAIIAggCCAIIAggCCAIIAggCCAIIAggCCAIWAgMCxwIeAALkAgICWQIEAgUCBgIHAggCCQKpAgsCDAINAggCCAIIAggCCAIIAggCCAIIAggCCAIIAggCCAIIAggCCAIWAgMC1wIeAALkAgICKwIEAgUCBgIHAggCCQKpAgsCDAINAggCCAIIAggCCAIIAggCCAIIAggCCAIIAggCCAIIAggCCAIWAgMCxQIeAALkAgICJQIEAgUCBgIHAggCCQKpAgsCDAINAggCCAIIAggCCAIIAggCCAIIAggCCAIIAggCCAIIAggCCAIWAgMCUAIeAALkAgICKQIEAgUCBgIHAggCCQKpAgsCDAINAggCCAIIAggCCAIIAggCCAIIAggCCAIIAggCCAIIAggCCAIWAgMCzgIeAALkAgICXwIEAgUCBgIHAggCCQKpAgsCDAINAggCCAIIAggCCAIIAggCCAIIAggCCAIIAggCCAIIAggCCAIWAgMCwgIeAALkAgICXwIEAgUCBgIHAggCCQI4AgsCDAINAggCCAIIAggCCAIIAggCCAIIAggCCAIIAggCCAIIAggCCAIWAgMCzwIeAALkAgICaQIEAgUCBgIHAggCCQIKAgsCDAINAggCCAIIAggCCAIIAggCCAIIAggCCAIIAggCCAIIAggCCAIWAgMC1AIeAALkAgICKwIEAgUCBgIHAggCCQI4AgsCDAINAggCCAIIAggCCAIIAggCCAIIAggCCAIIAggCCAIIAggCCAIWAgMCPwIeAALkAgICewIEAgUCBgIHAggCCQIKAgsCDAINAggCCAIIAggCCAIIAggCCAIIAggCCAIIAggCCAIIAggCCAIWAgMCugIeAALkAgICIQIEAgUCBgIHAggCCQI4AgsCDAINAggCCAIIAggCCAIIAggCCAIIAggCCAIIAggCCAIIAggCCAIWAgMCOgIeAALkAgICUwIEAgUCBgIHAggCCQI4AgsCDAINAggCCAIIAggCCAIIAggCCAIIAggCCAIIAggCCAIIAggCCAIWAgMC2AIeAALkAgICJwIEAgUCBgIHAggCCQIKAgsCDAINAggCCAIIAggCCAIIAggCCAIIAggCCAIIAggCCAIIAggCCAIWAgMCKAIeAALkAgICLQIEAgUCBgIHAggCCQJ6AAAEAKkCCwIMAg0CCAIIAggCCAIIAggCCAIIAggCCAIIAggCCAIIAggCCAIIAhYCAwLWAh4AAuQCAgIbAgQCBQIGAgcCCAIJAqkCCwIMAg0CCAIIAggCCAIIAggCCAIIAggCCAIIAggCCAIIAggCCAIIAhYCAwK/Ah4AAuQCAgJLAgQCBQIGAgcCCAIJAqkCCwIMAg0CCAIIAggCCAIIAggCCAIIAggCCAIIAggCCAIIAggCCAIIAhYCAwLAAh4AAuQCAgKFAgQCBQIGAgcCCAIJAqkCCwIMAg0CCAIIAggCCAIIAggCCAIIAggCCAIIAggCCAIIAggCCAIIAhYCAwKzAh4AAuQCAgKCAgQCBQIGAgcCCAIJAjgCCwIMAg0CCAIIAggCCAIIAggCCAIIAggCCAIIAggCCAIIAggCCAIIAhYCAwLJAh4AAuQCAgIbAgQCBQIGAgcCCAIJAjgCCwIMAg0CCAIIAggCCAIIAggCCAIIAggCCAIIAggCCAIIAggCCAIIAhYCAwJGAh4AAuQCAgJLAgQCBQIGAgcCCAIJAjgCCwIMAg0CCAIIAggCCAIIAggCCAIIAggCCAIIAggCCAIIAggCCAIIAhYCAwK0Ah4AAuQCAgIxAgQCBQIGAgcCCAIJAjgCCwIMAg0CCAIIAggCCAIIAggCCAIIAggCCAIIAggCCAIIAggCCAIIAhYCAwI5Ah4AAuQCAgJWAgQCBQIGAgcCCAIJAgoCCwIMAg0CCAIIAggCCAIIAggCCAIIAggCCAIIAggCCAIIAggCCAIIAhYCAwK1Ah4AAuQCAgIzAgQCBQIGAgcCCAIJAgoCCwIMAg0CCAIIAggCCAIIAggCCAIIAggCCAIIAggCCAIIAggCCAIIAhYCAwI0Ah4AAuQCAgI1AgQCBQIGAgcCCAIJAgoCCwIMAg0CCAIIAggCCAIIAggCCAIIAggCCAIIAggCCAIIAggCCAIIAhYCAwI2Ah4AAuQCAgIvAgQCBQIGAgcCCAIJAgoCCwIMAg0CCAIIAggCCAIIAggCCAIIAggCCAIIAggCCAIIAggCCAIIAhYCAwIwAh4AAuQCAgIdAgQCBQIGAgcCCAIJAgoCCwIMAg0CCAIIAggCCAIIAggCCAIIAggCCAIIAggCCAIIAggCCAIIAhYCAwIeAh4AAuQCAgIhAgQCBQIGAgcCCAIJAqkCCwIMAg0CCAIIAggCCAIIAggCCAIIAggCCAIIAggCCAIIAggCCAIIAhYCAwJQAh4AAuQCAgJZAgQCBQIGAgcCCAIJAgoCCwIMAg0CCAIIAggCCAIIAggCCAIIAggCCAIIAggCCAIIAggCCAIIAhYCAwKvAh4AAuQCAgIrAgR6AAAEAAIFAgYCBwIIAgkCCgILAgwCDQIIAggCCAIIAggCCAIIAggCCAIIAggCCAIIAggCCAIIAggCFgIDAiwCHgAC5AICAnsCBAIFAgYCBwIIAgkCqQILAgwCDQIIAggCCAIIAggCCAIIAggCCAIIAggCCAIIAggCCAIIAggCFgIDAtECHgAC5AICAiMCBAIFAgYCBwIIAgkCqQILAgwCDQIIAggCCAIIAggCCAIIAggCCAIIAggCCAIIAggCCAIIAggCFgIDAlACHgAC5AICAnUCBAIFAgYCBwIIAgkCCgILAgwCDQIIAggCCAIIAggCCAIIAggCCAIIAggCCAIIAggCCAIIAggCFgIDAs0CHgAC5AICAlMCBAIFAgYCBwIIAgkCqQILAgwCDQIIAggCCAIIAggCCAIIAggCCAIIAggCCAIIAggCCAIIAggCFgIDAsQCHgAC5AICAgMCBAIFAgYCBwIIAgkCqQILAgwCDQIIAggCCAIIAggCCAIIAggCCAIIAggCCAIIAggCCAIIAggCFgIDAswCHgAC5AICAjUCBAIFAgYCBwIIAgkCOAILAgwCDQIIAggCCAIIAggCCAIIAggCCAIIAggCCAIIAggCCAIIAggCFgIDAkUCHgAC5AICAjMCBAIFAgYCBwIIAgkCOAILAgwCDQIIAggCCAIIAggCCAIIAggCCAIIAggCCAIIAggCCAIIAggCFgIDAkECHgAC5AICAoUCBAIFAgYCBwIIAgkCOAILAgwCDQIIAggCCAIIAggCCAIIAggCCAIIAggCCAIIAggCCAIIAggCFgIDAtMCHgAC5AICAksCBAIFAgYCBwIIAgkCCgILAgwCDQIIAggCCAIIAggCCAIIAggCCAIIAggCCAIIAggCCAIIAggCFgIDAtUCHgAC5AICAi0CBAIFAgYCBwIIAgkCCgILAgwCDQIIAggCCAIIAggCCAIIAggCCAIIAggCCAIIAggCCAIIAggCFgIDAi4CHgAC5AICAoICBAIFAgYCBwIIAgkCqQILAgwCDQIIAggCCAIIAggCCAIIAggCCAIIAggCCAIIAggCCAIIAggCFgIDArwCHgAC5AICAjECBAIFAgYCBwIIAgkCqQILAgwCDQIIAggCCAIIAggCCAIIAggCCAIIAggCCAIIAggCCAIIAggCFgIDAr0CHgAC5AICAhsCBAIFAgYCBwIIAgkCCgILAgwCDQIIAggCCAIIAggCCAIIAggCCAIIAggCCAIIAggCCAIIAggCFgIDAhwCHgAC5AICAi8CBAIFAgYCBwIIAgkCOAILAgwCDQIIAggCCAIIAggCCAIIAggCCAIIAggCCAIIAggCCAIIAggCFgIDAkN6AAAEAAIeAALkAgICIwIEAgUCBgIHAggCCQI4AgsCDAINAggCCAIIAggCCAIIAggCCAIIAggCCAIIAggCCAIIAggCCAIWAgMCOwIeAALkAgICdQIEAgUCBgIHAggCCQI4AgsCDAINAggCCAIIAggCCAIIAggCCAIIAggCCAIIAggCCAIIAggCCAIWAgMCtwIeAALkAgICHwIEAgUCBgIHAggCCQKpAgsCDAINAggCCAIIAggCCAIIAggCCAIIAggCCAIIAggCCAIIAggCCAIWAgMC0AIeAALkAgICKQIEAgUCBgIHAggCCQIKAgsCDAINAggCCAIIAggCCAIIAggCCAIIAggCCAIIAggCCAIIAggCCAIWAgMCKgIeAALkAgICeAIEAgUCBgIHAggCCQKpAgsCDAINAggCCAIIAggCCAIIAggCCAIIAggCCAIIAggCCAIIAggCCAIWAgMC0gIeAALkAgICJQIEAgUCBgIHAggCCQIKAgsCDAINAggCCAIIAggCCAIIAggCCAIIAggCCAIIAggCCAIIAggCCAIWAgMCJgIeAALkAgICVgIEAgUCBgIHAggCCQKpAgsCDAINAggCCAIIAggCCAIIAggCCAIIAggCCAIIAggCCAIIAggCCAIWAgMCygIeAALkAgICHQIEAgUCBgIHAggCCQKpAgsCDAINAggCCAIIAggCCAIIAggCCAIIAggCCAIIAggCCAIIAggCCAIWAgMCUAIeAALkAgICNQIEAgUCBgIHAggCCQKpAgsCDAINAggCCAIIAggCCAIIAggCCAIIAggCCAIIAggCCAIIAggCCAIWAgMCsgIeAALkAgICAwIEAgUCBgIHAggCCQIKAgsCDAINAggCCAIIAggCCAIIAggCCAIIAggCCAIIAggCCAIIAggCCAIWAgMCDgIeAALkAgIChQIEAgUCBgIHAggCCQIKAgsCDAINAggCCAIIAggCCAIIAggCCAIIAggCCAIIAggCCAIIAggCCAIWAgMCuwIeAALkAgICMwIEAgUCBgIHAggCCQKpAgsCDAINAggCCAIIAggCCAIIAggCCAIIAggCCAIIAggCCAIIAggCCAIWAgMCUAIeAALkAgICUwIEAgUCBgIHAggCCQIKAgsCDAINAggCCAIIAggCCAIIAggCCAIIAggCCAIIAggCCAIIAggCCAIWAgMCtgIeAALkAgICLQIEAgUCBgIHAggCCQI4AgsCDAINAggCCAIIAggCCAIIAggCCAIIAggCCAIIAggCCAIIAggCCAIWAgMCQAIeAALkAgICJwIEAgUCBgIHAggCCQKpAgsCDAINAggCCAIIAggCCAIIAggCCAIIAggCCAIIAggCCAJ6AAAD0QgCCAIIAhYCAwK5Ah4AAuQCAgJpAgQCBQIGAgcCCAIJAqkCCwIMAg0CCAIIAggCCAIIAggCCAIIAggCCAIIAggCCAIIAggCCAIIAhYCAwLLAh4AAuQCAgJZAgQCBQIGAgcCCAIJAjgCCwIMAg0CCAIIAggCCAIIAggCCAIIAggCCAIIAggCCAIIAggCCAIIAhYCAwK4Ah4AAuQCAgIvAgQCBQIGAgcCCAIJAqkCCwIMAg0CCAIIAggCCAIIAggCCAIIAggCCAIIAggCCAIIAggCCAIIAhYCAwKuAh4AAuQCAgJ1AgQCBQIGAgcCCAIJAqkCCwIMAg0CCAIIAggCCAIIAggCCAIIAggCCAIIAggCCAIIAggCCAIIAhYCAwKwAh4AAuQCAgIlAgQCBQIGAgcCCAIJAjgCCwIMAg0CCAIIAggCCAIIAggCCAIIAggCCAIIAggCCAIIAggCCAIIAhYCAwI8Ah4AAuQCAgJ4AgQCBQIGAgcCCAIJAjgCCwIMAg0CCAIIAggCCAIIAggCCAIIAggCCAIIAggCCAIIAggCCAIIAhYCAwLDAh4AAuQCAgJ7AgQCBQIGAgcCCAIJAjgCCwIMAg0CCAIIAggCCAIIAggCCAIIAggCCAIIAggCCAIIAggCCAIIAhYCAwLGAh4AAuQCAgIfAgQCBQIGAgcCCAIJAjgCCwIMAg0CCAIIAggCCAIIAggCCAIIAggCCAIIAggCCAIIAggCCAIIAhYCAwJHAh4AAuQCAgIpAgQCBQIGAgcCCAIJAjgCCwIMAg0CCAIIAggCCAIIAggCCAIIAggCCAIIAggCCAIIAggCCAIIAhYCAwI9Ah4AAuQCAgJfAgQCBQIGAgcCCAIJAgoCCwIMAg0CCAIIAggCCAIIAggCCAIIAggCCAIIAggCCAIIAggCCAIIAhYCAwKxAh4AAuQCAgIxAgQCBQIGAgcCCAIJAgoCCwIMAg0CCAIIAggCCAIIAggCCAIIAggCCAIIAggCCAIIAggCCAIIAhYCAwIyAh4AAuQCAgKCAgQCBQIGAgcCCAIJAgoCCwIMAg0CCAIIAggCCAIIAggCCAIIAggCCAIIAggCCAIIAggCCAIIAhYCAwLIAh4AAuQCAgIhAgQCBQIGAgcCCAIJAgoCCwIMAg0CCAIIAggCCAIIAggCCAIIAggCCAIIAggCCAIIAggCCAIIAhYCAwIiAh4AAuQCAgIjAgQCBQIGAgcCCAIJAgoCCwIMAg0CCAIIAggCCAIIAggCCAIIAggCCAIIAggCCAIIAggCCAIIAhYCAwIk]]></xxe4awand>
</file>

<file path=customXml/item11.xml><?xml version="1.0" encoding="utf-8"?>
<xxe4awand xmlns="http://www.excel4apps.com"><![CDATA[rO0ABXfZCMCtii8ABEk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t4ABjIwMTgwNQIEAgUCBgIHAggCCQI4AgsCOQINAggCCAIIAggCCAIIAggCCAIIAggCCAIIAggCCAIIAggCCAIQAgMCUAIeAALdAgICJQIEAgUCBgIHAggCCQI4AgsCOQINAggCCAIIAggCCAIIAggCCAIIAggCCAIIAggCCAIIAggCCAIQAgMCfgIeAALdAgICQwIEAgUCBgIHAggCCQIKAgsCOQINAggCCAIIAggCCAIIAggCCAIIAggCCAIIAggCCAIIAggCCAIQAgMCfwIeAALdAgICKwIEAgUCBgIHAggCCQI9AgsCOQINAggCCAIIAggCCAIIAggCCAIIAggCCAIIAggCCAIIAggCCAIQAgMCdgIeAALdAgICQQIEAgUCBgIHAggCCQI4AgsCOQINAggCCAIIAggCCAIIAggCCAIIAggCCAIIAggCCAIIAggCCAIQAgMCjAIeAALdAgICUwIEAgUCBgIHAggCCQI4AgsCOQINAggCCAIIAggCCAIIAggCCAIIAggCCAIIAggCCAIIAggCCAIQAgMCcAIeAALdAgICNQIEAgUCBgIHAggCCQI4AgsCOQINAggCCAIIAggCCAIIAggCCAIIAggCCAIIAggCCAIIAggCCAIQAgMCUAIeAALdAgICPAIEAgUCBgIHAggCCQIKAgsCOQINAggCCAIIAggCCAIIAggCCAIIAggCCAIIAggCCAIIAggCCAIQAgMCYAIeAALdAgICHwIEAgUCBgIHAggCCQIKAgsCegAABAA5Ag0CCAIIAggCCAIIAggCCAIIAggCCAIIAggCCAIIAggCCAIIAhACAwJYAh4AAt0CAgIdAgQCBQIGAgcCCAIJAj0CCwI5Ag0CCAIIAggCCAIIAggCCAIIAggCCAIIAggCCAIIAggCCAIIAhACAwKCAh4AAt0CAgJMAgQCBQIGAgcCCAIJAjgCCwI5Ag0CCAIIAggCCAIIAggCCAIIAggCCAIIAggCCAIIAggCCAIIAhACAwJZAh4AAt0CAgIDAgQCBQIGAgcCCAIJAjgCCwI5Ag0CCAIIAggCCAIIAggCCAIIAggCCAIIAggCCAIIAggCCAIIAhACAwJXAh4AAt0CAgIjAgQCBQIGAgcCCAIJAj0CCwI5Ag0CCAIIAggCCAIIAggCCAIIAggCCAIIAggCCAIIAggCCAIIAhACAwKFAh4AAt0CAgJjAgQCBQIGAgcCCAIJAj0CCwI5Ag0CCAIIAggCCAIIAggCCAIIAggCCAIIAggCCAIIAggCCAIIAhACAwKEAh4AAt0CAgJqAgQCBQIGAgcCCAIJAgoCCwI5Ag0CCAIIAggCCAIIAggCCAIIAggCCAIIAggCCAIIAggCCAIIAhACAwJrAh4AAt0CAgIrAgQCBQIGAgcCCAIJAgoCCwI5Ag0CCAIIAggCCAIIAggCCAIIAggCCAIIAggCCAIIAggCCAIIAhACAwJpAh4AAt0CAgJDAgQCBQIGAgcCCAIJAj0CCwI5Ag0CCAIIAggCCAIIAggCCAIIAggCCAIIAggCCAIIAggCCAIIAhACAwJEAh4AAt0CAgJBAgQCBQIGAgcCCAIJAgoCCwI5Ag0CCAIIAggCCAIIAggCCAIIAggCCAIIAggCCAIIAggCCAIIAhACAwJCAh4AAt0CAgJhAgQCBQIGAgcCCAIJAj0CCwI5Ag0CCAIIAggCCAIIAggCCAIIAggCCAIIAggCCAIIAggCCAIIAhACAwJiAh4AAt0CAgIvAgQCBQIGAgcCCAIJAj0CCwI5Ag0CCAIIAggCCAIIAggCCAIIAggCCAIIAggCCAIIAggCCAIIAhACAwJlAh4AAt0CAgIfAgQCBQIGAgcCCAIJAjgCCwI5Ag0CCAIIAggCCAIIAggCCAIIAggCCAIIAggCCAIIAggCCAIIAhACAwJ1Ah4AAt0CAgI8AgQCBQIGAgcCCAIJAjgCCwI5Ag0CCAIIAggCCAIIAggCCAIIAggCCAIIAggCCAIIAggCCAIIAhACAwJ4Ah4AAt0CAgJjAgQCBQIGAgcCCAIJAjgCCwI5Ag0CCAIIAggCCAIIAggCCAIIAggCCAIIAggCCAIIAggCCAIIAhACAwJkAh4AAt0CAgIpAgQCBQIGegAABAACBwIIAgkCCgILAjkCDQIIAggCCAIIAggCCAIIAggCCAIIAggCCAIIAggCCAIIAggCEAIDAmgCHgAC3QICAlMCBAIFAgYCBwIIAgkCCgILAjkCDQIIAggCCAIIAggCCAIIAggCCAIIAggCCAIIAggCCAIIAggCEAIDAlsCHgAC3QICApICBAIFAgYCBwIIAgkCOAILAjkCDQIIAggCCAIIAggCCAIIAggCCAIIAggCCAIIAggCCAIIAggCEAIDAlACHgAC3QICAkoCBAIFAgYCBwIIAgkCPQILAjkCDQIIAggCCAIIAggCCAIIAggCCAIIAggCCAIIAggCCAIIAggCEAIDAm0CHgAC3QICAi0CBAIFAgYCBwIIAgkCCgILAjkCDQIIAggCCAIIAggCCAIIAggCCAIIAggCCAIIAggCCAIIAggCEAIDAl4CHgAC3QICAjUCBAIFAgYCBwIIAgkCCgILAjkCDQIIAggCCAIIAggCCAIIAggCCAIIAggCCAIIAggCCAIIAggCEAIDAlwCHgAC3QICAiUCBAIFAgYCBwIIAgkCCgILAjkCDQIIAggCCAIIAggCCAIIAggCCAIIAggCCAIIAggCCAIIAggCEAIDAkUCHgAC3QICAt4CBAIFAgYCBwIIAgkCCgILAjkCDQIIAggCCAIIAggCCAIIAggCCAIIAggCCAIIAggCCAIIAggCEAIDApQCHgAC3QICAjECBAIFAgYCBwIIAgkCOAILAjkCDQIIAggCCAIIAggCCAIIAggCCAIIAggCCAIIAggCCAIIAggCEAIDAl0CHgAC3QICAkcCBAIFAgYCBwIIAgkCOAILAjkCDQIIAggCCAIIAggCCAIIAggCCAIIAggCCAIIAggCCAIIAggCEAIDAkgCHgAC3QICAhsCBAIFAgYCBwIIAgkCPQILAjkCDQIIAggCCAIIAggCCAIIAggCCAIIAggCCAIIAggCCAIIAggCEAIDApMCHgAC3QICAiECBAIFAgYCBwIIAgkCPQILAjkCDQIIAggCCAIIAggCCAIIAggCCAIIAggCCAIIAggCCAIIAggCEAIDAm4CHgAC3QICAisCBAIFAgYCBwIIAgkCOAILAjkCDQIIAggCCAIIAggCCAIIAggCCAIIAggCCAIIAggCCAIIAggCEAIDAnwCHgAC3QICAkECBAIFAgYCBwIIAgkCPQILAjkCDQIIAggCCAIIAggCCAIIAggCCAIIAggCCAIIAggCCAIIAggCEAIDAlYCHgAC3QICAiUCBAIFAgYCBwIIAgkCPQILAjkCDQIIAggCCAIIAggCCAIIAggCCAIIAggCCAIIAggCCAIIAggCEAIDAloCHgACegAABADdAgICagIEAgUCBgIHAggCCQI4AgsCOQINAggCCAIIAggCCAIIAggCCAIIAggCCAIIAggCCAIIAggCCAIQAgMChgIeAALdAgIC3gIEAgUCBgIHAggCCQI9AgsCOQINAggCCAIIAggCCAIIAggCCAIIAggCCAIIAggCCAIIAggCCAIQAgMClgIeAALdAgICIQIEAgUCBgIHAggCCQIKAgsCOQINAggCCAIIAggCCAIIAggCCAIIAggCCAIIAggCCAIIAggCCAIQAgMCfQIeAALdAgICPwIEAgUCBgIHAggCCQI9AgsCOQINAggCCAIIAggCCAIIAggCCAIIAggCCAIIAggCCAIIAggCCAIQAgMCgwIeAALdAgICHQIEAgUCBgIHAggCCQI4AgsCOQINAggCCAIIAggCCAIIAggCCAIIAggCCAIIAggCCAIIAggCCAIQAgMCUAIeAALdAgICMwIEAgUCBgIHAggCCQI9AgsCOQINAggCCAIIAggCCAIIAggCCAIIAggCCAIIAggCCAIIAggCCAIQAgMCZgIeAALdAgICAwIEAgUCBgIHAggCCQI9AgsCOQINAggCCAIIAggCCAIIAggCCAIIAggCCAIIAggCCAIIAggCCAIQAgMCSQIeAALdAgICkgIEAgUCBgIHAggCCQIKAgsCOQINAggCCAIIAggCCAIIAggCCAIIAggCCAIIAggCCAIIAggCCAIQAgMClAIeAALdAgICSgIEAgUCBgIHAggCCQI4AgsCOQINAggCCAIIAggCCAIIAggCCAIIAggCCAIIAggCCAIIAggCCAIQAgMCSwIeAALdAgICKQIEAgUCBgIHAggCCQI4AgsCOQINAggCCAIIAggCCAIIAggCCAIIAggCCAIIAggCCAIIAggCCAIQAgMCUAIeAALdAgICLQIEAgUCBgIHAggCCQI4AgsCOQINAggCCAIIAggCCAIIAggCCAIIAggCCAIIAggCCAIIAggCCAIQAgMCUQIeAALdAgICkgIEAgUCBgIHAggCCQI9AgsCOQINAggCCAIIAggCCAIIAggCCAIIAggCCAIIAggCCAIIAggCCAIQAgMClgIeAALdAgICIwIEAgUCBgIHAggCCQI4AgsCOQINAggCCAIIAggCCAIIAggCCAIIAggCCAIIAggCCAIIAggCCAIQAgMCXwIeAALdAgICUwIEAgUCBgIHAggCCQI9AgsCOQINAggCCAIIAggCCAIIAggCCAIIAggCCAIIAggCCAIIAggCCAIQAgMCVAIeAALdAgICSgIEAgUCBgIHAggCCQIKAgsCOQINAggCCAIIAggCCAIIAggCCAIIAggCCAIIAggCCAIIAggCegAABAAIAhACAwKJAh4AAt0CAgJMAgQCBQIGAgcCCAIJAj0CCwI5Ag0CCAIIAggCCAIIAggCCAIIAggCCAIIAggCCAIIAggCCAIIAhACAwJNAh4AAt0CAgIxAgQCBQIGAgcCCAIJAgoCCwI5Ag0CCAIIAggCCAIIAggCCAIIAggCCAIIAggCCAIIAggCCAIIAhACAwJOAh4AAt0CAgIzAgQCBQIGAgcCCAIJAgoCCwI5Ag0CCAIIAggCCAIIAggCCAIIAggCCAIIAggCCAIIAggCCAIIAhACAwJPAh4AAt0CAgJHAgQCBQIGAgcCCAIJAgoCCwI5Ag0CCAIIAggCCAIIAggCCAIIAggCCAIIAggCCAIIAggCCAIIAhACAwJSAh4AAt0CAgInAgQCBQIGAgcCCAIJAj0CCwI5Ag0CCAIIAggCCAIIAggCCAIIAggCCAIIAggCCAIIAggCCAIIAhACAwKHAh4AAt0CAgIbAgQCBQIGAgcCCAIJAgoCCwI5Ag0CCAIIAggCCAIIAggCCAIIAggCCAIIAggCCAIIAggCCAIIAhACAwKVAh4AAt0CAgInAgQCBQIGAgcCCAIJAgoCCwI5Ag0CCAIIAggCCAIIAggCCAIIAggCCAIIAggCCAIIAggCCAIIAhACAwI7Ah4AAt0CAgIdAgQCBQIGAgcCCAIJAgoCCwI5Ag0CCAIIAggCCAIIAggCCAIIAggCCAIIAggCCAIIAggCCAIIAhACAwJxAh4AAt0CAgIhAgQCBQIGAgcCCAIJAjgCCwI5Ag0CCAIIAggCCAIIAggCCAIIAggCCAIIAggCCAIIAggCCAIIAhACAwI6Ah4AAt0CAgI/AgQCBQIGAgcCCAIJAgoCCwI5Ag0CCAIIAggCCAIIAggCCAIIAggCCAIIAggCCAIIAggCCAIIAhACAwJAAh4AAt0CAgI8AgQCBQIGAgcCCAIJAj0CCwI5Ag0CCAIIAggCCAIIAggCCAIIAggCCAIIAggCCAIIAggCCAIIAhACAwI+Ah4AAt0CAgIbAgQCBQIGAgcCCAIJAjgCCwI5Ag0CCAIIAggCCAIIAggCCAIIAggCCAIIAggCCAIIAggCCAIIAhACAwJQAh4AAt0CAgIDAgQCBQIGAgcCCAIJAgoCCwI5Ag0CCAIIAggCCAIIAggCCAIIAggCCAIIAggCCAIIAggCCAIIAhACAwKLAh4AAt0CAgIpAgQCBQIGAgcCCAIJAj0CCwI5Ag0CCAIIAggCCAIIAggCCAIIAggCCAIIAggCCAIIAggCCAIIAhACAwJ0Ah4AAt0CAgI1AgQCBQIGAgcCCAIJAj0CCwI5Ag0CCAIIAggCCAIIAggCCAIIAggCCAIIegAABAACCAIIAggCCAIIAggCEAIDAlUCHgAC3QICAi0CBAIFAgYCBwIIAgkCPQILAjkCDQIIAggCCAIIAggCCAIIAggCCAIIAggCCAIIAggCCAIIAggCEAIDAncCHgAC3QICAkMCBAIFAgYCBwIIAgkCOAILAjkCDQIIAggCCAIIAggCCAIIAggCCAIIAggCCAIIAggCCAIIAggCEAIDAnsCHgAC3QICAmMCBAIFAgYCBwIIAgkCCgILAjkCDQIIAggCCAIIAggCCAIIAggCCAIIAggCCAIIAggCCAIIAggCEAIDAnMCHgAC3QICAiMCBAIFAgYCBwIIAgkCCgILAjkCDQIIAggCCAIIAggCCAIIAggCCAIIAggCCAIIAggCCAIIAggCEAIDAnICHgAC3QICAkcCBAIFAgYCBwIIAgkCPQILAjkCDQIIAggCCAIIAggCCAIIAggCCAIIAggCCAIIAggCCAIIAggCEAIDAogCHgAC3QICAjECBAIFAgYCBwIIAgkCPQILAjkCDQIIAggCCAIIAggCCAIIAggCCAIIAggCCAIIAggCCAIIAggCEAIDAo0CHgAC3QICAkwCBAIFAgYCBwIIAgkCCgILAjkCDQIIAggCCAIIAggCCAIIAggCCAIIAggCCAIIAggCCAIIAggCEAIDAooCHgAC3QICAi8CBAIFAgYCBwIIAgkCOAILAjkCDQIIAggCCAIIAggCCAIIAggCCAIIAggCCAIIAggCCAIIAggCEAIDAmwCHgAC3QICAh8CBAIFAgYCBwIIAgkCPQILAjkCDQIIAggCCAIIAggCCAIIAggCCAIIAggCCAIIAggCCAIIAggCEAIDAkYCHgAC3QICAjMCBAIFAgYCBwIIAgkCOAILAjkCDQIIAggCCAIIAggCCAIIAggCCAIIAggCCAIIAggCCAIIAggCEAIDAoECHgAC3QICAmECBAIFAgYCBwIIAgkCOAILAjkCDQIIAggCCAIIAggCCAIIAggCCAIIAggCCAIIAggCCAIIAggCEAIDAm8CHgAC3wAJMzMwNTYwNTIwAgICLwIEAgUCBgIHAggCCQKqAgsCDAINAggCCAIIAggCCAIIAggCCAIIAggCCAIIAggCCAIIAggCCAIRAgMCvQIeAALfAgICYQIEAgUCBgIHAggCCQKqAgsCDAINAggCCAIIAggCCAIIAggCCAIIAggCCAIIAggCCAIIAggCCAIRAgMCrgIeAALfAgICYwIEAgUCBgIHAggCCQIKAgsCDAINAggCCAIIAggCCAIIAggCCAIIAggCCAIIAggCCAIIAggCCAIRAgMC1AIeAALfAgICHQIEAgUCBgIHAggCCQI9AgsCDAINegAABAACCAIIAggCCAIIAggCCAIIAggCCAIIAggCCAIIAggCCAIIAhECAwKfAh4AAt8CAgIjAgQCBQIGAgcCCAIJAgoCCwIMAg0CCAIIAggCCAIIAggCCAIIAggCCAIIAggCCAIIAggCCAIIAhECAwIkAh4AAt8CAgJKAgQCBQIGAgcCCAIJAj0CCwIMAg0CCAIIAggCCAIIAggCCAIIAggCCAIIAggCCAIIAggCCAIIAhECAwKtAh4AAt8CAgJjAgQCBQIGAgcCCAIJAqoCCwIMAg0CCAIIAggCCAIIAggCCAIIAggCCAIIAggCCAIIAggCCAIIAhECAwKrAh4AAt8CAgIjAgQCBQIGAgcCCAIJAqoCCwIMAg0CCAIIAggCCAIIAggCCAIIAggCCAIIAggCCAIIAggCCAIIAhECAwKsAh4AAt8CAgJhAgQCBQIGAgcCCAIJAgoCCwIMAg0CCAIIAggCCAIIAggCCAIIAggCCAIIAggCCAIIAggCCAIIAhECAwK7Ah4AAt8CAgIvAgQCBQIGAgcCCAIJAgoCCwIMAg0CCAIIAggCCAIIAggCCAIIAggCCAIIAggCCAIIAggCCAIIAhECAwIwAh4AAt8CAgIpAgQCBQIGAgcCCAIJAj0CCwIMAg0CCAIIAggCCAIIAggCCAIIAggCCAIIAggCCAIIAggCCAIIAhECAwKbAh4AAt8CAgJqAgQCBQIGAgcCCAIJAj0CCwIMAg0CCAIIAggCCAIIAggCCAIIAggCCAIIAggCCAIIAggCCAIIAhECAwLTAh4AAt8CAgIrAgQCBQIGAgcCCAIJAj0CCwIMAg0CCAIIAggCCAIIAggCCAIIAggCCAIIAggCCAIIAggCCAIIAhECAwKiAh4AAt8CAgItAgQCBQIGAgcCCAIJAj0CCwIMAg0CCAIIAggCCAIIAggCCAIIAggCCAIIAggCCAIIAggCCAIIAhECAwKaAh4AAt8CAgJKAgQCBQIGAgcCCAIJAgoCCwIMAg0CCAIIAggCCAIIAggCCAIIAggCCAIIAggCCAIIAggCCAIIAhECAwK0Ah4AAt8CAgJMAgQCBQIGAgcCCAIJAqoCCwIMAg0CCAIIAggCCAIIAggCCAIIAggCCAIIAggCCAIIAggCCAIIAhECAwLRAh4AAt8CAgI/AgQCBQIGAgcCCAIJAqoCCwIMAg0CCAIIAggCCAIIAggCCAIIAggCCAIIAggCCAIIAggCCAIIAhECAwLSAh4AAt8CAgInAgQCBQIGAgcCCAIJAqoCCwIMAg0CCAIIAggCCAIIAggCCAIIAggCCAIIAggCCAIIAggCCAIIAhECAwJQAh4AAt8CAgIDAgQCBQIGAgcCegAABAAIAgkCqgILAgwCDQIIAggCCAIIAggCCAIIAggCCAIIAggCCAIIAggCCAIIAggCEQIDAtACHgAC3wICAkwCBAIFAgYCBwIIAgkCCgILAgwCDQIIAggCCAIIAggCCAIIAggCCAIIAggCCAIIAggCCAIIAggCEQIDAsgCHgAC3wICAmMCBAIFAgYCBwIIAgkCPQILAgwCDQIIAggCCAIIAggCCAIIAggCCAIIAggCCAIIAggCCAIIAggCEQIDArgCHgAC3wICAh0CBAIFAgYCBwIIAgkCqgILAgwCDQIIAggCCAIIAggCCAIIAggCCAIIAggCCAIIAggCCAIIAggCEQIDAlACHgAC3wICAh0CBAIFAgYCBwIIAgkCCgILAgwCDQIIAggCCAIIAggCCAIIAggCCAIIAggCCAIIAggCCAIIAggCEQIDAh4CHgAC3wICAiMCBAIFAgYCBwIIAgkCPQILAgwCDQIIAggCCAIIAggCCAIIAggCCAIIAggCCAIIAggCCAIIAggCEQIDApgCHgAC3wICAkMCBAIFAgYCBwIIAgkCCgILAgwCDQIIAggCCAIIAggCCAIIAggCCAIIAggCCAIIAggCCAIIAggCEQIDArYCHgAC3wICAiECBAIFAgYCBwIIAgkCCgILAgwCDQIIAggCCAIIAggCCAIIAggCCAIIAggCCAIIAggCCAIIAggCEQIDAiICHgAC3wICAkoCBAIFAgYCBwIIAgkCqgILAgwCDQIIAggCCAIIAggCCAIIAggCCAIIAggCCAIIAggCCAIIAggCEQIDArUCHgAC3wICAgMCBAIFAgYCBwIIAgkCCgILAgwCDQIIAggCCAIIAggCCAIIAggCCAIIAggCCAIIAggCCAIIAggCEQIDAg4CHgAC3wICApICBAIFAgYCBwIIAgkCPQILAgwCDQIIAggCCAIIAggCCAIIAggCCAIIAggCCAIIAggCCAIIAggCEQIDAtoCHgAC3wICAkMCBAIFAgYCBwIIAgkCqgILAgwCDQIIAggCCAIIAggCCAIIAggCCAIIAggCCAIIAggCCAIIAggCEQIDArMCHgAC3wICAkcCBAIFAgYCBwIIAgkCPQILAgwCDQIIAggCCAIIAggCCAIIAggCCAIIAggCCAIIAggCCAIIAggCEQIDAs8CHgAC3wICAjECBAIFAgYCBwIIAgkCPQILAgwCDQIIAggCCAIIAggCCAIIAggCCAIIAggCCAIIAggCCAIIAggCEQIDApwCHgAC3wICAjECBAIFAgYCBwIIAgkCCgILAgwCDQIIAggCCAIIAggCCAIIAggCCAIIAggCCAIIAggCCAIIAggCEQIDAjICHgAC3wICegAABAACTAIEAgUCBgIHAggCCQI9AgsCDAINAggCCAIIAggCCAIIAggCCAIIAggCCAIIAggCCAIIAggCCAIRAgMCvgIeAALfAgICRwIEAgUCBgIHAggCCQIKAgsCDAINAggCCAIIAggCCAIIAggCCAIIAggCCAIIAggCCAIIAggCCAIRAgMCxwIeAALfAgICGwIEAgUCBgIHAggCCQKqAgsCDAINAggCCAIIAggCCAIIAggCCAIIAggCCAIIAggCCAIIAggCCAIRAgMCUAIeAALfAgICIQIEAgUCBgIHAggCCQKqAgsCDAINAggCCAIIAggCCAIIAggCCAIIAggCCAIIAggCCAIIAggCCAIRAgMCzAIeAALfAgICRwIEAgUCBgIHAggCCQKqAgsCDAINAggCCAIIAggCCAIIAggCCAIIAggCCAIIAggCCAIIAggCCAIRAgMCyQIeAALfAgICPwIEAgUCBgIHAggCCQI9AgsCDAINAggCCAIIAggCCAIIAggCCAIIAggCCAIIAggCCAIIAggCCAIRAgMCywIeAALfAgICJwIEAgUCBgIHAggCCQI9AgsCDAINAggCCAIIAggCCAIIAggCCAIIAggCCAIIAggCCAIIAggCCAIRAgMCoAIeAALfAgICGwIEAgUCBgIHAggCCQIKAgsCDAINAggCCAIIAggCCAIIAggCCAIIAggCCAIIAggCCAIIAggCCAIRAgMCHAIeAALfAgICJQIEAgUCBgIHAggCCQI9AgsCDAINAggCCAIIAggCCAIIAggCCAIIAggCCAIIAggCCAIIAggCCAIRAgMCpAIeAALfAgICHwIEAgUCBgIHAggCCQI9AgsCDAINAggCCAIIAggCCAIIAggCCAIIAggCCAIIAggCCAIIAggCCAIRAgMCpgIeAALfAgIC3gIEAgUCBgIHAggCCQIKAgsCDAINAggCCAIIAggCCAIIAggCCAIIAggCCAIIAggCCAIIAggCCAIRAgMC2wIeAALfAgICPAIEAgUCBgIHAggCCQI9AgsCDAINAggCCAIIAggCCAIIAggCCAIIAggCCAIIAggCCAIIAggCCAIRAgMCxQIeAALfAgIC3gIEAgUCBgIHAggCCQI9AgsCDAINAggCCAIIAggCCAIIAggCCAIIAggCCAIIAggCCAIIAggCCAIRAgMC2gIeAALfAgICJwIEAgUCBgIHAggCCQIKAgsCDAINAggCCAIIAggCCAIIAggCCAIIAggCCAIIAggCCAIIAggCCAIRAgMCKAIeAALfAgICQQIEAgUCBgIHAggCCQIKAgsCDAINAggCCAIIAggCCAIIAggCCAIIAggCCAIIAggCCAIIAggCCAIRegAABAACAwLCAh4AAt8CAgJBAgQCBQIGAgcCCAIJAqoCCwIMAg0CCAIIAggCCAIIAggCCAIIAggCCAIIAggCCAIIAggCCAIIAhECAwLBAh4AAt8CAgIlAgQCBQIGAgcCCAIJAgoCCwIMAg0CCAIIAggCCAIIAggCCAIIAggCCAIIAggCCAIIAggCCAIIAhECAwImAh4AAt8CAgI/AgQCBQIGAgcCCAIJAgoCCwIMAg0CCAIIAggCCAIIAggCCAIIAggCCAIIAggCCAIIAggCCAIIAhECAwLVAh4AAt8CAgIlAgQCBQIGAgcCCAIJAqoCCwIMAg0CCAIIAggCCAIIAggCCAIIAggCCAIIAggCCAIIAggCCAIIAhECAwLAAh4AAt8CAgIzAgQCBQIGAgcCCAIJAqoCCwIMAg0CCAIIAggCCAIIAggCCAIIAggCCAIIAggCCAIIAggCCAIIAhECAwLDAh4AAt8CAgJTAgQCBQIGAgcCCAIJAj0CCwIMAg0CCAIIAggCCAIIAggCCAIIAggCCAIIAggCCAIIAggCCAIIAhECAwLEAh4AAt8CAgI1AgQCBQIGAgcCCAIJAj0CCwIMAg0CCAIIAggCCAIIAggCCAIIAggCCAIIAggCCAIIAggCCAIIAhECAwKeAh4AAt8CAgIxAgQCBQIGAgcCCAIJAqoCCwIMAg0CCAIIAggCCAIIAggCCAIIAggCCAIIAggCCAIIAggCCAIIAhECAwLGAh4AAt8CAgKSAgQCBQIGAgcCCAIJAqoCCwIMAg0CCAIIAggCCAIIAggCCAIIAggCCAIIAggCCAIIAggCCAIIAhECAwJQAh4AAt8CAgIzAgQCBQIGAgcCCAIJAgoCCwIMAg0CCAIIAggCCAIIAggCCAIIAggCCAIIAggCCAIIAggCCAIIAhECAwI0Ah4AAt8CAgIDAgQCBQIGAgcCCAIJAj0CCwIMAg0CCAIIAggCCAIIAggCCAIIAggCCAIIAggCCAIIAggCCAIIAhECAwKdAh4AAt8CAgKSAgQCBQIGAgcCCAIJAgoCCwIMAg0CCAIIAggCCAIIAggCCAIIAggCCAIIAggCCAIIAggCCAIIAhECAwLbAh4AAt8CAgJTAgQCBQIGAgcCCAIJAgoCCwIMAg0CCAIIAggCCAIIAggCCAIIAggCCAIIAggCCAIIAggCCAIIAhECAwK6Ah4AAt8CAgI1AgQCBQIGAgcCCAIJAgoCCwIMAg0CCAIIAggCCAIIAggCCAIIAggCCAIIAggCCAIIAggCCAIIAhECAwI2Ah4AAt8CAgJhAgQCBQIGAgcCCAIJAj0CCwIMAg0CCAIIAggCCAIIAggCCAIIAggCCAIIAggCegAABAAIAggCCAIIAggCEQIDAsoCHgAC3wICAi0CBAIFAgYCBwIIAgkCCgILAgwCDQIIAggCCAIIAggCCAIIAggCCAIIAggCCAIIAggCCAIIAggCEQIDAi4CHgAC3wICAisCBAIFAgYCBwIIAgkCqgILAgwCDQIIAggCCAIIAggCCAIIAggCCAIIAggCCAIIAggCCAIIAggCEQIDArECHgAC3wICAhsCBAIFAgYCBwIIAgkCPQILAgwCDQIIAggCCAIIAggCCAIIAggCCAIIAggCCAIIAggCCAIIAggCEQIDAqMCHgAC3wICAh8CBAIFAgYCBwIIAgkCCgILAgwCDQIIAggCCAIIAggCCAIIAggCCAIIAggCCAIIAggCCAIIAggCEQIDAiACHgAC3wICAkMCBAIFAgYCBwIIAgkCPQILAgwCDQIIAggCCAIIAggCCAIIAggCCAIIAggCCAIIAggCCAIIAggCEQIDAr8CHgAC3wICAlMCBAIFAgYCBwIIAgkCqgILAgwCDQIIAggCCAIIAggCCAIIAggCCAIIAggCCAIIAggCCAIIAggCEQIDArwCHgAC3wICAmoCBAIFAgYCBwIIAgkCqgILAgwCDQIIAggCCAIIAggCCAIIAggCCAIIAggCCAIIAggCCAIIAggCEQIDArACHgAC3wICAt4CBAIFAgYCBwIIAgkCqgILAgwCDQIIAggCCAIIAggCCAIIAggCCAIIAggCCAIIAggCCAIIAggCEQIDAlACHgAC3wICAiECBAIFAgYCBwIIAgkCPQILAgwCDQIIAggCCAIIAggCCAIIAggCCAIIAggCCAIIAggCCAIIAggCEQIDAqUCHgAC3wICAjwCBAIFAgYCBwIIAgkCqgILAgwCDQIIAggCCAIIAggCCAIIAggCCAIIAggCCAIIAggCCAIIAggCEQIDArcCHgAC3wICAh8CBAIFAgYCBwIIAgkCqgILAgwCDQIIAggCCAIIAggCCAIIAggCCAIIAggCCAIIAggCCAIIAggCEQIDArICHgAC3wICAisCBAIFAgYCBwIIAgkCCgILAgwCDQIIAggCCAIIAggCCAIIAggCCAIIAggCCAIIAggCCAIIAggCEQIDAiwCHgAC3wICAkECBAIFAgYCBwIIAgkCPQILAgwCDQIIAggCCAIIAggCCAIIAggCCAIIAggCCAIIAggCCAIIAggCEQIDAs0CHgAC3wICAi0CBAIFAgYCBwIIAgkCqgILAgwCDQIIAggCCAIIAggCCAIIAggCCAIIAggCCAIIAggCCAIIAggCEQIDArkCHgAC3wICAmoCBAIFAgYCBwIIAgkCCgILAgwCDQIIAggCCAIIAggCCAIIegAAAbgCCAIIAggCCAIIAggCCAIIAggCCAIRAgMCrwIeAALfAgICNQIEAgUCBgIHAggCCQKqAgsCDAINAggCCAIIAggCCAIIAggCCAIIAggCCAIIAggCCAIIAggCCAIRAgMCUAIeAALfAgICPAIEAgUCBgIHAggCCQIKAgsCDAINAggCCAIIAggCCAIIAggCCAIIAggCCAIIAggCCAIIAggCCAIRAgMCzgIeAALfAgICMwIEAgUCBgIHAggCCQI9AgsCDAINAggCCAIIAggCCAIIAggCCAIIAggCCAIIAggCCAIIAggCCAIRAgMCmQIeAALfAgICKQIEAgUCBgIHAggCCQKqAgsCDAINAggCCAIIAggCCAIIAggCCAIIAggCCAIIAggCCAIIAggCCAIRAgMCUAIeAALfAgICKQIEAgUCBgIHAggCCQIKAgsCDAINAggCCAIIAggCCAIIAggCCAIIAggCCAIIAggCCAIIAggCCAIRAgMCKgIeAALfAgICLwIEAgUCBgIHAggCCQI9AgsCDAINAggCCAIIAggCCAIIAggCCAIIAggCCAIIAggCCAIIAggCCAIRAgMCoQ==]]></xxe4awand>
</file>

<file path=customXml/item12.xml><?xml version="1.0" encoding="utf-8"?>
<xxe4awand xmlns="http://www.excel4apps.com"><![CDATA[rO0ABXfZCMCtii8ABEkDAh4AAERjb20uZXhjZWw0YXBwcy53YW5kLm9yYWNsZS5n
bHdhbmQuY2FsY3VsYXRpb25zLmdldGJhbGFuY2UuR2V0QmFsYW5jZQIBAAkyMTkw
NjcwOTYCAgABMAIDAAYyMDE3MDUCBAADWVREAgUAA1VTRAIGAAVUb3RhbAIHAAFB
AggAAAIJAAMwMDECCgAGMTkxMDAwAgsAAkdEAgwAAldBAg0AAkRMAggCCAIIAggC
CAIIAggCCAIIAggCCAIIAggCCAIIAggCCAIE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BiEYhXh4d00CHgACAQICAhsABjIwMTcwMwIEAgUCBgIHAggCCQIKAgsCDAIN
AggCCAIIAggCCAIIAggCCAIIAggCCAIIAggCCAIIAggCCAIEAgMCHHNxAH4AAAAA
AAJzcQB+AAT///////////////7////+/////3VxAH4ABwAAAAQQ/fIjeHh3TQIeAAIBAgICHQAGMjAxNzEyAgQCBQIGAgcCCAIJAgoCCwIMAg0CCAIIAggCCAIIAggCCAIIAggCCAIIAggCCAIIAggCCAIIAgQCAwIec3EAfgAAAAAAAnNxAH4ABP///////////////v////7/////dXEAfgAHAAAABDRJviN4eHdNAh4AAgECAgIfAAYyMDE3MDcCBAIFAgYCBwIIAgkCCgILAgwCDQIIAggCCAIIAggCCAIIAggCCAIIAggCCAIIAggCCAIIAggCBAIDAiBzcQB+AAAAAAACc3EAfgAE///////////////+/////v////91cQB+AAcAAAAEAgr29Hh4d00CHgACAQICAiEABjIwMTcxMQIEAgUCBgIHAggCCQIKAgsCDAINAggCCAIIAggCCAIIAggCCAIIAggCCAIIAggCCAIIAggCCAIEAgMCInNxAH4AAAAAAAJzcQB+AAT///////////////7////+/////3VxAH4ABwAAAAREule8eHh3TQIeAAIBAgICIwAGMjAxODAxAgQCBQIGAgcCCAIJAgoCCwIMAg0CCAIIAggCCAIIAggCCAIIAggCCAIIAggCCAIIAggCCAIIAgQCAwIkc3EAfgAAAAAAAnNxAH4ABP///////////////v////7/////dXEAfgAHAAAABCZxo1d4eHdNAh4AAgECAgIlAAYyMDE4MDMCBAIFAgYCBwIIAgkCCgILAgwCDQIIAggCCAIIAggCCAIIAggCCAIIAggCCAIIAggCCAIIAggCBAIDAiZzcQB+AAAAAAACc3EAfgAE///////////////+/////v////91cQB+AAcAAAAEDlPJjHh4d00CHgACAQICAicABjIwMTcwNgIEAgUCBgIHAggCCQIKAgsCDAINAggCCAIIAggCCAIIAggCCAIIAggCCAIIAggCCAIIAggCCAIEAgMCKHNxAH4AAAAAAAJzcQB+AAT///////////////7////+/////3VxAH4ABwAAAAQD3U0geHh3TQIeAAIBAgICKQAGMjAxNzAyAgQCBQIGAgcCCAIJAgoCCwIMAg0CCAIIAggCCAIIAggCCAIIAggCCAIIAggCCAIIAggCCAIIAgQCAwIqc3EAfgAAAAAAAnNxAH4ABP///////////////v////7/////dXEAfgAHAAAABBtHMdN4eHdNAh4AAgECAgIrAAYyMDE3MDQCBAIFAgYCBwIIAgkCCgILAgwCDQIIAggCCAIIAggCCAIIAggCCAIIAggCCAIIAggCCAIIAggCBAIDAixzcQB+AAAAAAACc3EAfgAE///////////////+/////v////91cQB+AAcAAAAECfBqRnh4d00CHgACAQICAi0ABjIwMTcxMAIEAgUCBgIHAggCCQIKAgsCDAINAggCCAIIAggCCAIIAggCCAIIAggCCAIIAggCCAIIAggCCAIEAgMCLnNxAH4AAAAAAAJzcQB+AAT///////////////7////+AAAAAXVxAH4ABwAAAAQJDRX9eHh3TQIeAAIBAgICLwAGMjAxNzA5AgQCBQIGAgcCCAIJAgoCCwIMAg0CCAIIAggCCAIIAggCCAIIAggCCAIIAggCCAIIAggCCAIIAgQCAwIwc3EAfgAAAAAAAnNxAH4ABP///////////////v////4AAAABdXEAfgAHAAAABAKOsKB4eHdNAh4AAgECAgIxAAYyMDE3MDgCBAIFAgYCBwIIAgkCCgILAgwCDQIIAggCCAIIAggCCAIIAggCCAIIAggCCAIIAggCCAIIAggCBAIDAjJzcQB+AAAAAAACc3EAfgAE///////////////+/////v////91cQB+AAcAAAADMpTWeHh3TQIeAAIBAgICMwAGMjAxODAyAgQCBQIGAgcCCAIJAgoCCwIMAg0CCAIIAggCCAIIAggCCAIIAggCCAIIAggCCAIIAggCCAIIAgQCAwI0c3EAfgAAAAAAAnNxAH4ABP///////////////v////7/////dXEAfgAHAAAABBli52V4eHdNAh4AAgECAgI1AAYyMDE3MDECBAIFAgYCBwIIAgkCCgILAgwCDQIIAggCCAIIAggCCAIIAggCCAIIAggCCAIIAggCCAIIAggCBAIDAjZzcQB+AAAAAAACc3EAfgAE///////////////+/////v////91cQB+AAcAAAAEKOmGtnh4d1gCHgACNwAJNDMxNzAzMDU2AgICMQIEAgUCBgIHAggCCQI4AAYxOTEwMTACCwIMAg0CCAIIAggCCAIIAggCCAIIAggCCAIIAggCCAIIAggCCAIIAgICAwI5c3EAfgAAAAAAAnNxAH4ABP///////////////v////7/////dXEAfgAHAAAABGUxQat4eHdFAh4AAjcCAgIhAgQCBQIGAgcCCAIJAjgCCwIMAg0CCAIIAggCCAIIAggCCAIIAggCCAIIAggCCAIIAggCCAIIAgICAwI6c3EAfgAAAAAAAnNxAH4ABP///////////////v////7/////dXEAfgAHAAAABDDQqrN4eHdFAh4AAjcCAgIjAgQCBQIGAgcCCAIJAjgCCwIMAg0CCAIIAggCCAIIAggCCAIIAggCCAIIAggCCAIIAggCCAIIAgICAwI7c3EAfgAAAAAAAnNxAH4ABP///////////////v////7/////dXEAfgAHAAAABE7u6Np4eHdFAh4AAjcCAgIlAgQCBQIGAgcCCAIJAjgCCwIMAg0CCAIIAggCCAIIAggCCAIIAggCCAIIAggCCAIIAggCCAIIAgICAwI8c3EAfgAAAAAAAnNxAH4ABP///////////////v////7/////dXEAfgAHAAAABFJ+oxp4eHdFAh4AAjcCAgIpAgQCBQIGAgcCCAIJAjgCCwIMAg0CCAIIAggCCAIIAggCCAIIAggCCAIIAggCCAIIAggCCAIIAgICAwI9c3EAfgAAAAAAAnNxAH4ABP///////////////v////7/////dXEAfgAHAAAABEmLU8l4eHdFAh4AAjcCAgInAgQCBQIGAgcCCAIJAjgCCwIMAg0CCAIIAggCCAIIAggCCAIIAggCCAIIAggCCAIIAggCCAIIAgICAwI+c3EAfgAAAAAAAnNxAH4ABP///////////////v////7/////dXEAfgAHAAAABFgLByx4eHdFAh4AAjcCAgIrAgQCBQIGAgcCCAIJAjgCCwIMAg0CCAIIAggCCAIIAggCCAIIAggCCAIIAggCCAIIAggCCAIIAgICAwI/c3EAfgAAAAAAAnNxAH4ABP///////////////v////7/////dXEAfgAHAAAABFpw2Xd4eHdFAh4AAjcCAgItAgQCBQIGAgcCCAIJAjgCCwIMAg0CCAIIAggCCAIIAggCCAIIAggCCAIIAggCCAIIAggCCAIIAgICAwJAc3EAfgAAAAAAAnNxAH4ABP///////////////v////7/////dXEAfgAHAAAABILciPF4eHdFAh4AAjcCAgIzAgQCBQIGAgcCCAIJAjgCCwIMAg0CCAIIAggCCAIIAggCCAIIAggCCAIIAggCCAIIAggCCAIIAgICAwJBc3EAfgAAAAAAAnNxAH4ABP///////////////v////7/////dXEAfgAHAAAABE8qcfl4eHdFAh4AAjcCAgIdAgQCBQIGAgcCCAIJAjgCCwIMAg0CCAIIAggCCAIIAggCCAIIAggCCAIIAggCCAIIAggCCAIIAgICAwJCc3EAfgAAAAAAAnNxAH4ABP///////////////v////7/////dXEAfgAHAAAABEI0vHx4eHdFAh4AAjcCAgIvAgQCBQIGAgcCCAIJAjgCCwIMAg0CCAIIAggCCAIIAggCCAIIAggCCAIIAggCCAIIAggCCAIIAgICAwJDc3EAfgAAAAAAAnNxAH4ABP///////////////v////7/////dXEAfgAHAAAABHEGWUl4eHdFAh4AAjcCAgIDAgQCBQIGAgcCCAIJAjgCCwIMAg0CCAIIAggCCAIIAggCCAIIAggCCAIIAggCCAIIAggCCAIIAgICAwJEc3EAfgAAAAAAAnNxAH4ABP///////////////v////7/////dXEAfgAHAAAABFn95fJ4eHdFAh4AAjcCAgI1AgQCBQIGAgcCCAIJAjgCCwIMAg0CCAIIAggCCAIIAggCCAIIAggCCAIIAggCCAIIAggCCAIIAgICAwJFc3EAfgAAAAAAAnNxAH4ABP///////////////v////7/////dXEAfgAHAAAABD0VO3Z4eHdFAh4AAjcCAgIbAgQCBQIGAgcCCAIJAjgCCwIMAg0CCAIIAggCCAIIAggCCAIIAggCCAIIAggCCAIIAggCCAIIAgICAwJGc3EAfgAAAAAAAnNxAH4ABP///////////////v////7/////dXEAfgAHAAAABFNjmyZ4eHdFAh4AAjcCAgIfAgQCBQIGAgcCCAIJAjgCCwIMAg0CCAIIAggCCAIIAggCCAIIAggCCAIIAggCCAIIAggCCAIIAgICAwJHc3EAfgAAAAAAAnNxAH4ABP///////////////v////7/////dXEAfgAHAAAABF7UYvh4eHdUAh4AAkgACTQxNzAxNTkwNAICAi0CBAIFAgYCBwIIAgkCOAILAkkAAklEAg0CCAIIAggCCAIIAggCCAIIAggCCAIIAggCCAIIAggCCAIIAhMCAwJKc3EAfgAAAAAAAnNxAH4ABP///////////////v////7/////dXEAfgAHAAAABENETeB4eHdVAh4AAkgCAgJLAAYyMDE2MDICBAIFAgYCBwIIAgkCTAAGMTkxMDE1AgsCSQINAggCCAIIAggCCAIIAggCCAIIAggCCAIIAggCCAIIAggCCAITAgMCTXNxAH4AAAAAAAJzcQB+AAT///////////////7////+/////3VxAH4ABwAAAAMSV794eHdFAh4AAkgCAgIbAgQCBQIGAgcCCAIJAkwCCwJJAg0CCAIIAggCCAIIAggCCAIIAggCCAIIAggCCAIIAggCCAIIAhMCAwJOc3EAfgAAAAAAAnNxAH4ABP///////////////v////7/////dXEAfgAHAAAAAxKK33h4d00CHgACSAICAk8ABjIwMTgwNAIEAgUCBgIHAggCCQJMAgsCSQINAggCCAIIAggCCAIIAggCCAIIAggCCAIIAggCCAIIAggCCAITAgMCUHNxAH4AAAAAAAJzcQB+AAT///////////////7////+AAAAAHVxAH4ABwAAAAB4eHdFAh4AAkgCAgIdAgQCBQIGAgcCCAIJAgoCCwJJAg0CCAIIAggCCAIIAggCCAIIAggCCAIIAggCCAIIAggCCAIIAhMCAwJRc3EAfgAAAAAAAnNxAH4ABP///////////////v////7/////dXEAfgAHAAAABBa3qKJ4eHdFAh4AAkgCAgIbAgQCBQIGAgcCCAIJAjgCCwJJAg0CCAIIAggCCAIIAggCCAIIAggCCAIIAggCCAIIAggCCAIIAhMCAwJSc3EAfgAAAAAAAnNxAH4ABP///////////////v////7/////dXEAfgAHAAAABCZ4H3F4eHdNAh4AAkgCAgJTAAYyMDE2MDQCBAIFAgYCBwIIAgkCCgILAkkCDQIIAggCCAIIAggCCAIIAggCCAIIAggCCAIIAggCCAIIAggCEwIDAlRzcQB+AAAAAAACc3EAfgAE///////////////+/////v////91cQB+AAcAAAAEAlAe6Xh4d0UCHgACSAICAisCBAIFAgYCBwIIAgkCOAILAkkCDQIIAggCCAIIAggCCAIIAggCCAIIAggCCAIIAggCCAIIAggCEwIDAlVzcQB+AAAAAAACc3EAfgAE///////////////+/////v////91cQB+AAcAAAAEKeDlE3h4d00CHgACSAICAlYABjIwMTYxMQIEAgUCBgIHAggCCQIKAgsCSQINAggCCAIIAggCCAIIAggCCAIIAggCCAIIAggCCAIIAggCCAITAgMCV3NxAH4AAAAAAAJzcQB+AAT///////////////7////+/////3VxAH4ABwAAAAQlkNH7eHh3RQIeAAJIAgICTwIEAgUCBgIHAggCCQI4AgsCSQINAggCCAIIAggCCAIIAggCCAIIAggCCAIIAggCCAIIAggCCAITAgMCWHNxAH4AAAAAAAJzcQB+AAT///////////////7////+/////3VxAH4ABwAAAAQu9BT/eHh3TQIeAAJIAgICWQAGMjAxNjAzAgQCBQIGAgcCCAIJAjgCCwJJAg0CCAIIAggCCAIIAggCCAIIAggCCAIIAggCCAIIAggCCAIIAhMCAwJac3EAfgAAAAAAAnNxAH4ABP///////////////v////7/////dXEAfgAHAAAABB6uCU94eHdFAh4AAkgCAgIDAgQCBQIGAgcCCAIJAgoCCwJJAg0CCAIIAggCCAIIAggCCAIIAggCCAIIAggCCAIIAggCCAIIAhMCAwJbc3EAfgAAAAAAAnNxAH4ABP///////////////v////7/////dXEAfgAHAAAABALXZ1R4eHdFAh4AAkgCAgIrAgQCBQIGAgcCCAIJAgoCCwJJAg0CCAIIAggCCAIIAggCCAIIAggCCAIIAggCCAIIAggCCAIIAhMCAwJcc3EAfgAAAAAAAnNxAH4ABP///////////////v////7/////dXEAfgAHAAAABAUEo0F4eHeKAh4AAkgCAgIlAgQCBQIGAgcCCAIJAkwCCwJJAg0CCAIIAggCCAIIAggCCAIIAggCCAIIAggCCAIIAggCCAIIAhMCAwJQAh4AAkgCAgIpAgQCBQIGAgcCCAIJAkwCCwJJAg0CCAIIAggCCAIIAggCCAIIAggCCAIIAggCCAIIAggCCAIIAhMCAwJdc3EAfgAAAAAAAnNxAH4ABP///////////////v////7/////dXEAfgAHAAAAAxKG63h4d0UCHgACSAICAikCBAIFAgYCBwIIAgkCOAILAkkCDQIIAggCCAIIAggCCAIIAggCCAIIAggCCAIIAggCCAIIAggCEwIDAl5zcQB+AAAAAAACc3EAfgAE///////////////+/////v////91cQB+AAcAAAAEIgqsMXh4d00CHgACSAICAl8ABjIwMTYxMAIEAgUCBgIHAggCCQIKAgsCSQINAggCCAIIAggCCAIIAggCCAIIAggCCAIIAggCCAIIAggCCAITAgMCYHNxAH4AAAAAAAJzcQB+AAT///////////////7////+AAAAAXVxAH4ABwAAAAO5cnx4eHdFAh4AAkgCAgJZAgQCBQIGAgcCCAIJAgoCCwJJAg0CCAIIAggCCAIIAggCCAIIAggCCAIIAggCCAIIAggCCAIIAhMCAwJhc3EAfgAAAAAAAnNxAH4ABP///////////////v////7/////dXEAfgAHAAAABAL7S4t4eHdFAh4AAkgCAgItAgQCBQIGAgcCCAIJAkwCCwJJAg0CCAIIAggCCAIIAggCCAIIAggCCAIIAggCCAIIAggCCAIIAhMCAwJic3EAfgAAAAAAAnNxAH4ABP///////////////v////7/////dXEAfgAHAAAAAxKmonh4d0UCHgACSAICAiUCBAIFAgYCBwIIAgkCOAILAkkCDQIIAggCCAIIAggCCAIIAggCCAIIAggCCAIIAggCCAIIAggCEwIDAmNzcQB+AAAAAAACc3EAfgAE///////////////+/////v////91cQB+AAcAAAAEKsKx+Hh4d0UCHgACSAICAksCBAIFAgYCBwIIAgkCOAILAkkCDQIIAggCCAIIAggCCAIIAggCCAIIAggCCAIIAggCCAIIAggCEwIDAmRzcQB+AAAAAAACc3EAfgAE///////////////+/////v////91cQB+AAcAAAAEG7MeXHh4d0UCHgACSAICAiECBAIFAgYCBwIIAgkCCgILAkkCDQIIAggCCAIIAggCCAIIAggCCAIIAggCCAIIAggCCAIIAggCEwIDAmVzcQB+AAAAAAACc3EAfgAE///////////////+/////v////91cQB+AAcAAAAEHsB0bHh4d00CHgACSAICAmYABjIwMTgwNQIEAgUCBgIHAggCCQIKAgsCSQINAggCCAIIAggCCAIIAggCCAIIAggCCAIIAggCCAIIAggCCAITAgMCZ3NxAH4AAAAAAAJzcQB+AAT///////////////7////+AAAAAXVxAH4ABwAAAAM2pbZ4eHdFAh4AAkgCAgIzAgQCBQIGAgcCCAIJAjgCCwJJAg0CCAIIAggCCAIIAggCCAIIAggCCAIIAggCCAIIAggCCAIIAhMCAwJoc3EAfgAAAAAAAnNxAH4ABP///////////////v////7/////dXEAfgAHAAAABClGhLZ4eHdNAh4AAkgCAgJpAAYyMDE2MDUCBAIFAgYCBwIIAgkCOAILAkkCDQIIAggCCAIIAggCCAIIAggCCAIIAggCCAIIAggCCAIIAggCEwIDAmpzcQB+AAAAAAACc3EAfgAE///////////////+/////v////91cQB+AAcAAAAEJi8ywnh4d0UCHgACSAICAh0CBAIFAgYCBwIIAgkCOAILAkkCDQIIAggCCAIIAggCCAIIAggCCAIIAggCCAIIAggCCAIIAggCEwIDAmtzcQB+AAAAAAACc3EAfgAE///////////////+/////v////91cQB+AAcAAAAEJDRt9Hh4d4oCHgACSAICAh0CBAIFAgYCBwIIAgkCTAILAkkCDQIIAggCCAIIAggCCAIIAggCCAIIAggCCAIIAggCCAIIAggCEwIDAlACHgACSAICAjUCBAIFAgYCBwIIAgkCTAILAkkCDQIIAggCCAIIAggCCAIIAggCCAIIAggCCAIIAggCCAIIAggCEwIDAmxzcQB+AAAAAAACc3EAfgAE///////////////+/////v////91cQB+AAcAAAADEoL4eHh3RQIeAAJIAgICJwIEAgUCBgIHAggCCQI4AgsCSQINAggCCAIIAggCCAIIAggCCAIIAggCCAIIAggCCAIIAggCCAITAgMCbXNxAH4AAAAAAAJzcQB+AAT///////////////7////+/////3VxAH4ABwAAAAQqC0YheHh3RQIeAAJIAgICNQIEAgUCBgIHAggCCQI4AgsCSQINAggCCAIIAggCCAIIAggCCAIIAggCCAIIAggCCAIIAggCCAITAgMCbnNxAH4AAAAAAAJzcQB+AAT///////////////7////+/////3VxAH4ABwAAAAQdsfpMeHh3RQIeAAJIAgICHwIEAgUCBgIHAggCCQIKAgsCSQINAggCCAIIAggCCAIIAggCCAIIAggCCAIIAggCCAIIAggCCAITAgMCb3NxAH4AAAAAAAJzcQB+AAT///////////////7////+/////3VxAH4ABwAAAANOuAp4eHeKAh4AAkgCAgIzAgQCBQIGAgcCCAIJAkwCCwJJAg0CCAIIAggCCAIIAggCCAIIAggCCAIIAggCCAIIAggCCAIIAhMCAwJQAh4AAkgCAgItAgQCBQIGAgcCCAIJAgoCCwJJAg0CCAIIAggCCAIIAggCCAIIAggCCAIIAggCCAIIAggCCAIIAhMCAwJwc3EAfgAAAAAAAnNxAH4ABP///////////////v////4AAAABdXEAfgAHAAAABAYbWmp4eHdFAh4AAkgCAgJpAgQCBQIGAgcCCAIJAkwCCwJJAg0CCAIIAggCCAIIAggCCAIIAggCCAIIAggCCAIIAggCCAIIAhMCAwJxc3EAfgAAAAAAAnNxAH4ABP///////////////v////7/////dXEAfgAHAAAAAxJjf3h4d4oCHgACSAICAmYCBAIFAgYCBwIIAgkCTAILAkkCDQIIAggCCAIIAggCCAIIAggCCAIIAggCCAIIAggCCAIIAggCEwIDAlACHgACSAICAlkCBAIFAgYCBwIIAgkCTAILAkkCDQIIAggCCAIIAggCCAIIAggCCAIIAggCCAIIAggCCAIIAggCEwIDAnJzcQB+AAAAAAACc3EAfgAE///////////////+/////v////91cQB+AAcAAAADElupeHh3RQIeAAJIAgICKwIEAgUCBgIHAggCCQJMAgsCSQINAggCCAIIAggCCAIIAggCCAIIAggCCAIIAggCCAIIAggCCAITAgMCc3NxAH4AAAAAAAJzcQB+AAT///////////////7////+/////3VxAH4ABwAAAAMSjtR4eHdFAh4AAkgCAgIpAgQCBQIGAgcCCAIJAgoCCwJJAg0CCAIIAggCCAIIAggCCAIIAggCCAIIAggCCAIIAggCCAIIAhMCAwJ0c3EAfgAAAAAAAnNxAH4ABP///////////////v////7/////dXEAfgAHAAAABA4LHEp4eHdNAh4AAkgCAgJ1AAYyMDE2MDgCBAIFAgYCBwIIAgkCOAILAkkCDQIIAggCCAIIAggCCAIIAggCCAIIAggCCAIIAggCCAIIAggCEwIDAnZzcQB+AAAAAAACc3EAfgAE///////////////+/////v////91cQB+AAcAAAAEMe+1GXh4d0UCHgACSAICAi8CBAIFAgYCBwIIAgkCTAILAkkCDQIIAggCCAIIAggCCAIIAggCCAIIAggCCAIIAggCCAIIAggCEwIDAndzcQB+AAAAAAACc3EAfgAE///////////////+/////v////91cQB+AAcAAAADEqKoeHh3TQIeAAJIAgICeAAGMjAxNjA2AgQCBQIGAgcCCAIJAgoCCwJJAg0CCAIIAggCCAIIAggCCAIIAggCCAIIAggCCAIIAggCCAIIAhMCAwJ5c3EAfgAAAAAAAnNxAH4ABP///////////////v////7/////dXEAfgAHAAAABAFkyvJ4eHdFAh4AAkgCAgIvAgQCBQIGAgcCCAIJAjgCCwJJAg0CCAIIAggCCAIIAggCCAIIAggCCAIIAggCCAIIAggCCAIIAhMCAwJ6c3EAfgAAAAAAAnNxAH4ABP///////////////v////7/////dXEAfgAHAAAABDlFLv54eHdNAh4AAkgCAgJ7AAYyMDE2MTICBAIFAgYCBwIIAgkCCgILAkkCDQIIAggCCAIIAggCCAIIAggCCAIIAggCCAIIAggCCAIIAggCEwIDAnxzcQB+AAAAAAACc3EAfgAE///////////////+/////v////91cQB+AAcAAAAEHRCpdHh4d0UCHgACSAICAmYCBAIFAgYCBwIIAgkCOAILAkkCDQIIAggCCAIIAggCCAIIAggCCAIIAggCCAIIAggCCAIIAggCEwIDAn1zcQB+AAAAAAACc3EAfgAE///////////////+/////v////91cQB+AAcAAAAEL/7GXHh4d0UCHgACSAICAlYCBAIFAgYCBwIIAgkCOAILAkkCDQIIAggCCAIIAggCCAIIAggCCAIIAggCCAIIAggCCAIIAggCEwIDAn5zcQB+AAAAAAACc3EAfgAE///////////////+/////v////91cQB+AAcAAAAEC9ESdHh4d0UCHgACSAICAlYCBAIFAgYCBwIIAgkCTAILAkkCDQIIAggCCAIIAggCCAIIAggCCAIIAggCCAIIAggCCAIIAggCEwIDAn9zcQB+AAAAAAACc3EAfgAE///////////////+/////v////91cQB+AAcAAAADEnsVeHh3RQIeAAJIAgICdQIEAgUCBgIHAggCCQJMAgsCSQINAggCCAIIAggCCAIIAggCCAIIAggCCAIIAggCCAIIAggCCAITAgMCgHNxAH4AAAAAAAJzcQB+AAT///////////////7////+/////3VxAH4ABwAAAAMSb0Z4eHdFAh4AAkgCAgIlAgQCBQIGAgcCCAIJAgoCCwJJAg0CCAIIAggCCAIIAggCCAIIAggCCAIIAggCCAIIAggCCAIIAhMCAwKBc3EAfgAAAAAAAnNxAH4ABP///////////////v////7/////dXEAfgAHAAAABATh3pl4eHdNAh4AAkgCAgKCAAYyMDE2MDcCBAIFAgYCBwIIAgkCOAILAkkCDQIIAggCCAIIAggCCAIIAggCCAIIAggCCAIIAggCCAIIAggCEwIDAoNzcQB+AAAAAAACc3EAfgAE///////////////+/////v////91cQB+AAcAAAAELv3gknh4d0UCHgACSAICAjECBAIFAgYCBwIIAgkCOAILAkkCDQIIAggCCAIIAggCCAIIAggCCAIIAggCCAIIAggCCAIIAggCEwIDAoRzcQB+AAAAAAACc3EAfgAE///////////////+/////v////91cQB+AAcAAAAENDlU6Hh4d00CHgACSAICAoUABjIwMTYwOQIEAgUCBgIHAggCCQIKAgsCSQINAggCCAIIAggCCAIIAggCCAIIAggCCAIIAggCCAIIAggCCAITAgMChnNxAH4AAAAAAAJzcQB+AAT///////////////7////+/////3VxAH4ABwAAAAMy9xF4eHdFAh4AAkgCAgIxAgQCBQIGAgcCCAIJAkwCCwJJAg0CCAIIAggCCAIIAggCCAIIAggCCAIIAggCCAIIAggCCAIIAhMCAwKHc3EAfgAAAAAAAnNxAH4ABP///////////////v////7/////dXEAfgAHAAAAAxKer3h4d0UCHgACSAICAoICBAIFAgYCBwIIAgkCTAILAkkCDQIIAggCCAIIAggCCAIIAggCCAIIAggCCAIIAggCCAIIAggCEwIDAohzcQB+AAAAAAACc3EAfgAE///////////////+/////v////91cQB+AAcAAAADEmtYeHh3RQIeAAJIAgICLwIEAgUCBgIHAggCCQIKAgsCSQINAggCCAIIAggCCAIIAggCCAIIAggCCAIIAggCCAIIAggCCAITAgMCiXNxAH4AAAAAAAJzcQB+AAT///////////////7////+AAAAAXVxAH4ABwAAAAQCWhLSeHh3RQIeAAJIAgICNQIEAgUCBgIHAggCCQIKAgsCSQINAggCCAIIAggCCAIIAggCCAIIAggCCAIIAggCCAIIAggCCAITAgMCinNxAH4AAAAAAAJzcQB+AAT///////////////7////+/////3VxAH4ABwAAAAQUOveDeHh3RQIeAAJIAgICMwIEAgUCBgIHAggCCQIKAgsCSQINAggCCAIIAggCCAIIAggCCAIIAggCCAIIAggCCAIIAggCCAITAgMCi3NxAH4AAAAAAAJzcQB+AAT///////////////7////+/////3VxAH4ABwAAAAQKK9PneHh3RQIeAAJIAgICewIEAgUCBgIHAggCCQJMAgsCSQINAggCCAIIAggCCAIIAggCCAIIAggCCAIIAggCCAIIAggCCAITAgMCjHNxAH4AAAAAAAJzcQB+AAT///////////////7////+/////3VxAH4ABwAAAAMSfwZ4eHdFAh4AAkgCAgJ4AgQCBQIGAgcCCAIJAjgCCwJJAg0CCAIIAggCCAIIAggCCAIIAggCCAIIAggCCAIIAggCCAIIAhMCAwKNc3EAfgAAAAAAAnNxAH4ABP///////////////v////7/////dXEAfgAHAAAABCsQC1F4eHdFAh4AAkgCAgInAgQCBQIGAgcCCAIJAkwCCwJJAg0CCAIIAggCCAIIAggCCAIIAggCCAIIAggCCAIIAggCCAIIAhMCAwKOc3EAfgAAAAAAAnNxAH4ABP///////////////v////7/////dXEAfgAHAAAAAxKWwHh4d0UCHgACSAICAh8CBAIFAgYCBwIIAgkCOAILAkkCDQIIAggCCAIIAggCCAIIAggCCAIIAggCCAIIAggCCAIIAggCEwIDAo9zcQB+AAAAAAACc3EAfgAE///////////////+/////v////91cQB+AAcAAAAELpGFK3h4d0UCHgACSAICAnUCBAIFAgYCBwIIAgkCCgILAkkCDQIIAggCCAIIAggCCAIIAggCCAIIAggCCAIIAggCCAIIAggCEwIDApBzcQB+AAAAAAACc3EAfgAE///////////////+/////v////91cQB+AAcAAAADnrKqeHh3RQIeAAJIAgICeAIEAgUCBgIHAggCCQJMAgsCSQINAggCCAIIAggCCAIIAggCCAIIAggCCAIIAggCCAIIAggCCAITAgMCkXNxAH4AAAAAAAJzcQB+AAT///////////////7////+/////3VxAH4ABwAAAAMSZ2t4eHdFAh4AAkgCAgIfAgQCBQIGAgcCCAIJAkwCCwJJAg0CCAIIAggCCAIIAggCCAIIAggCCAIIAggCCAIIAggCCAIIAhMCAwKSc3EAfgAAAAAAAnNxAH4ABP///////////////v////7/////dXEAfgAHAAAAAxKat3h4d0UCHgACSAICAjECBAIFAgYCBwIIAgkCCgILAkkCDQIIAggCCAIIAggCCAIIAggCCAIIAggCCAIIAggCCAIIAggCEwIDApNzcQB+AAAAAAACc3EAfgAE///////////////+/////gAAAAF1cQB+AAcAAAAD/4leeHh3RQIeAAJIAgICIwIEAgUCBgIHAggCCQIKAgsCSQINAggCCAIIAggCCAIIAggCCAIIAggCCAIIAggCCAIIAggCCAITAgMClHNxAH4AAAAAAAJzcQB+AAT///////////////7////+/////3VxAH4ABwAAAAQQposkeHh3RQIeAAJIAgICTwIEAgUCBgIHAggCCQIKAgsCSQINAggCCAIIAggCCAIIAggCCAIIAggCCAIIAggCCAIIAggCCAITAgMClXNxAH4AAAAAAAJzcQB+AAT///////////////7////+/////3VxAH4ABwAAAAQBMmvPeHh3RQIeAAJIAgICSwIEAgUCBgIHAggCCQIKAgsCSQINAggCCAIIAggCCAIIAggCCAIIAggCCAIIAggCCAIIAggCCAITAgMClnNxAH4AAAAAAAJzcQB+AAT///////////////7////+/////3VxAH4ABwAAAAQEW5IQeHh3RQIeAAJIAgICGwIEAgUCBgIHAggCCQIKAgsCSQINAggCCAIIAggCCAIIAggCCAIIAggCCAIIAggCCAIIAggCCAITAgMCl3NxAH4AAAAAAAJzcQB+AAT///////////////7////+/////3VxAH4ABwAAAAQIvUgheHh3RQIeAAJIAgICAwIEAgUCBgIHAggCCQJMAgsCSQINAggCCAIIAggCCAIIAggCCAIIAggCCAIIAggCCAIIAggCCAITAgMCmHNxAH4AAAAAAAJzcQB+AAT///////////////7////+/////3VxAH4ABwAAAAMSksp4eHdFAh4AAkgCAgKCAgQCBQIGAgcCCAIJAgoCCwJJAg0CCAIIAggCCAIIAggCCAIIAggCCAIIAggCCAIIAggCCAIIAhMCAwKZc3EAfgAAAAAAAnNxAH4ABP///////////////v////7/////dXEAfgAHAAAABAEGlGB4eHdFAh4AAkgCAgJ7AgQCBQIGAgcCCAIJAjgCCwJJAg0CCAIIAggCCAIIAggCCAIIAggCCAIIAggCCAIIAggCCAIIAhMCAwKac3EAfgAAAAAAAnNxAH4ABP///////////////v////7/////dXEAfgAHAAAABBWstZ94eHeKAh4AAkgCAgIhAgQCBQIGAgcCCAIJAkwCCwJJAg0CCAIIAggCCAIIAggCCAIIAggCCAIIAggCCAIIAggCCAIIAhMCAwJQAh4AAkgCAgKFAgQCBQIGAgcCCAIJAjgCCwJJAg0CCAIIAggCCAIIAggCCAIIAggCCAIIAggCCAIIAggCCAIIAhMCAwKbc3EAfgAAAAAAAnNxAH4ABP///////////////v////7/////dXEAfgAHAAAABDO8lpJ4eHdFAh4AAkgCAgKFAgQCBQIGAgcCCAIJAkwCCwJJAg0CCAIIAggCCAIIAggCCAIIAggCCAIIAggCCAIIAggCCAIIAhMCAwKcc3EAfgAAAAAAAnNxAH4ABP///////////////v////7/////dXEAfgAHAAAAAxJzNXh4d0UCHgACSAICAl8CBAIFAgYCBwIIAgkCTAILAkkCDQIIAggCCAIIAggCCAIIAggCCAIIAggCCAIIAggCCAIIAggCEwIDAp1zcQB+AAAAAAACc3EAfgAE///////////////+/////v////91cQB+AAcAAAADEncleHh3RQIeAAJIAgICXwIEAgUCBgIHAggCCQI4AgsCSQINAggCCAIIAggCCAIIAggCCAIIAggCCAIIAggCCAIIAggCCAITAgMCnnNxAH4AAAAAAAJzcQB+AAT///////////////7////+/////3VxAH4ABwAAAAQ0mEcjeHh3RQIeAAJIAgICIwIEAgUCBgIHAggCCQI4AgsCSQINAggCCAIIAggCCAIIAggCCAIIAggCCAIIAggCCAIIAggCCAITAgMCn3NxAH4AAAAAAAJzcQB+AAT///////////////7////+/////3VxAH4ABwAAAAQpII+FeHh3RQIeAAJIAgICIQIEAgUCBgIHAggCCQI4AgsCSQINAggCCAIIAggCCAIIAggCCAIIAggCCAIIAggCCAIIAggCCAITAgMCoHNxAH4AAAAAAAJzcQB+AAT///////////////7////+/////3VxAH4ABwAAAAQcI3yQeHh3RQIeAAJIAgICAwIEAgUCBgIHAggCCQI4AgsCSQINAggCCAIIAggCCAIIAggCCAIIAggCCAIIAggCCAIIAggCCAITAgMCoXNxAH4AAAAAAAJzcQB+AAT///////////////7////+/////3VxAH4ABwAAAAQqJk8LeHh3RQIeAAJIAgICaQIEAgUCBgIHAggCCQIKAgsCSQINAggCCAIIAggCCAIIAggCCAIIAggCCAIIAggCCAIIAggCCAITAgMConNxAH4AAAAAAAJzcQB+AAT///////////////7////+/////3VxAH4ABwAAAAQBzUp3eHh3igIeAAJIAgICIwIEAgUCBgIHAggCCQJMAgsCSQINAggCCAIIAggCCAIIAggCCAIIAggCCAIIAggCCAIIAggCCAITAgMCUAIeAAJIAgICJwIEAgUCBgIHAggCCQIKAgsCSQINAggCCAIIAggCCAIIAggCCAIIAggCCAIIAggCCAIIAggCCAITAgMCo3NxAH4AAAAAAAJzcQB+AAT///////////////7////+/////3VxAH4ABwAAAAQBbUrSeHh3RQIeAAJIAgICUwIEAgUCBgIHAggCCQI4AgsCSQINAggCCAIIAggCCAIIAggCCAIIAggCCAIIAggCCAIIAggCCAITAgMCpHNxAH4AAAAAAAJzcQB+AAT///////////////7////+/////3VxAH4ABwAAAAQjxnj9eHh3RQIeAAJIAgICUwIEAgUCBgIHAggCCQJMAgsCSQINAggCCAIIAggCCAIIAggCCAIIAggCCAIIAggCCAIIAggCCAITAgMCpXNxAH4AAAAAAAJzcQB+AAT///////////////7////+/////3VxAH4ABwAAAAMSX5R4eHoAAAQAAh4AAqYACTIxOTA2ODI1NgICAicCBAIFAgYCBwIIAgkCCgILAkkCDQIIAggCCAIIAggCCAIIAggCCAIIAggCCAIIAggCCAIIAggCBQIDAqMCHgACpgICAh0CBAIFAgYCBwIIAgkCCgILAkkCDQIIAggCCAIIAggCCAIIAggCCAIIAggCCAIIAggCCAIIAggCBQIDAlECHgACpgICAi8CBAIFAgYCBwIIAgkCCgILAkkCDQIIAggCCAIIAggCCAIIAggCCAIIAggCCAIIAggCCAIIAggCBQIDAokCHgACpgICAjUCBAIFAgYCBwIIAgkCCgILAkkCDQIIAggCCAIIAggCCAIIAggCCAIIAggCCAIIAggCCAIIAggCBQIDAooCHgACpgICAjMCBAIFAgYCBwIIAgkCCgILAkkCDQIIAggCCAIIAggCCAIIAggCCAIIAggCCAIIAggCCAIIAggCBQIDAosCHgACpgICAi0CBAIFAgYCBwIIAgkCCgILAkkCDQIIAggCCAIIAggCCAIIAggCCAIIAggCCAIIAggCCAIIAggCBQIDAnACHgACpgICAh8CBAIFAgYCBwIIAgkCCgILAkkCDQIIAggCCAIIAggCCAIIAggCCAIIAggCCAIIAggCCAIIAggCBQIDAm8CHgACpgICAhsCBAIFAgYCBwIIAgkCCgILAkkCDQIIAggCCAIIAggCCAIIAggCCAIIAggCCAIIAggCCAIIAggCBQIDApcCHgACpgICAgMCBAIFAgYCBwIIAgkCCgILAkkCDQIIAggCCAIIAggCCAIIAggCCAIIAggCCAIIAggCCAIIAggCBQIDAlsCHgACpgICAiMCBAIFAgYCBwIIAgkCCgILAkkCDQIIAggCCAIIAggCCAIIAggCCAIIAggCCAIIAggCCAIIAggCBQIDApQCHgACpgICAikCBAIFAgYCBwIIAgkCCgILAkkCDQIIAggCCAIIAggCCAIIAggCCAIIAggCCAIIAggCCAIIAggCBQIDAnQCHgACpgICAiUCBAIFAgYCBwIIAgkCCgILAkkCDQIIAggCCAIIAggCCAIIAggCCAIIAggCCAIIAggCCAIIAggCBQIDAoECHgACpgICAjECBAIFAgYCBwIIAgkCCgILAkkCDQIIAggCCAIIAggCCAIIAggCCAIIAggCCAIIAggCCAIIAggCBQIDApMCHgACpgICAisCBAIFAgYCBwIIAgkCCgILAkkCDQIIAggCCAIIAggCCAIIAggCCAIIAggCCAIIAggCCAIIAggCBQIDAlwCHgACpgICAiECBAIFAgYCBwIIAgkCCgILAkkCDQIIAggCCAIIAggCCAIIAggCCHd2AggCCAIIAggCCAIIAggCCAIFAgMCZQIeAAKnAAk0OTQwMTYxMDQCAgKoAAYyMDEzMTICBAIFAgYCBwIIAgkCqQAGMTkxMDI1AgsCDAINAggCCAIIAggCCAIIAggCCAIIAggCCAIIAggCCAIIAggCCAIiAgMCqnNxAH4AAAAAAAJzcQB+AAT///////////////7////+/////3VxAH4ABwAAAAMU5eR4eHoAAAQAAh4AAqsACTQzMDk4NDMxMgICAi8CBAIFAgYCBwIIAgkCTAILAkkCDQIIAggCCAIIAggCCAIIAggCCAIIAggCCAIIAggCCAIIAggCGQIDAncCHgACqwICAnUCBAIFAgYCBwIIAgkCTAILAkkCDQIIAggCCAIIAggCCAIIAggCCAIIAggCCAIIAggCCAIIAggCGQIDAoACHgACqwICAoUCBAIFAgYCBwIIAgkCOAILAkkCDQIIAggCCAIIAggCCAIIAggCCAIIAggCCAIIAggCCAIIAggCGQIDApsCHgACqwICAjMCBAIFAgYCBwIIAgkCOAILAkkCDQIIAggCCAIIAggCCAIIAggCCAIIAggCCAIIAggCCAIIAggCGQIDAmgCHgACqwICAjUCBAIFAgYCBwIIAgkCOAILAkkCDQIIAggCCAIIAggCCAIIAggCCAIIAggCCAIIAggCCAIIAggCGQIDAm4CHgACqwICAksCBAIFAgYCBwIIAgkCCgILAkkCDQIIAggCCAIIAggCCAIIAggCCAIIAggCCAIIAggCCAIIAggCGQIDApYCHgACqwICAi8CBAIFAgYCBwIIAgkCOAILAkkCDQIIAggCCAIIAggCCAIIAggCCAIIAggCCAIIAggCCAIIAggCGQIDAnoCHgACqwICAhsCBAIFAgYCBwIIAgkCCgILAkkCDQIIAggCCAIIAggCCAIIAggCCAIIAggCCAIIAggCCAIIAggCGQIDApcCHgACqwICAoUCBAIFAgYCBwIIAgkCTAILAkkCDQIIAggCCAIIAggCCAIIAggCCAIIAggCCAIIAggCCAIIAggCGQIDApwCHgACqwICAisCBAIFAgYCBwIIAgkCCgILAkkCDQIIAggCCAIIAggCCAIIAggCCAIIAggCCAIIAggCCAIIAggCGQIDAlwCHgACqwICAlkCBAIFAgYCBwIIAgkCCgILAkkCDQIIAggCCAIIAggCCAIIAggCCAIIAggCCAIIAggCCAIIAggCGQIDAmECHgACqwICAikCBAIFAgYCBwIIAgkCOAILAkkCDQIIAggCCAIIAggCCAIIAggCCAIIAggCCAIIAggCCAIIAggCGQIDAl4CHgACqwICAiECBAIFAgYCBwIIAgkCCgILAkkCDQIIAggCCAIIAggCCAIIAggCCAIIAggCCAIIAggCCAIIAggCGQIDAmUCHgACqwICAiMCBAIFAgYCBwIIAgkCCgILAkkCDQIIAggCCAIIAggCCAIIAggCCAIIAggCCAIIAggCCAIIAggCGQIDApQCHgACqwICAh8CBAIFAgYCBwIIAgkCTAILAkkCDQIIAggCCAIIAggCCAIIAggCCHoAAAQAAggCCAIIAggCCAIIAggCCAIZAgMCkgIeAAKrAgICeAIEAgUCBgIHAggCCQJMAgsCSQINAggCCAIIAggCCAIIAggCCAIIAggCCAIIAggCCAIIAggCCAIZAgMCkQIeAAKrAgICeAIEAgUCBgIHAggCCQI4AgsCSQINAggCCAIIAggCCAIIAggCCAIIAggCCAIIAggCCAIIAggCCAIZAgMCjQIeAAKrAgICUwIEAgUCBgIHAggCCQIKAgsCSQINAggCCAIIAggCCAIIAggCCAIIAggCCAIIAggCCAIIAggCCAIZAgMCVAIeAAKrAgICLQIEAgUCBgIHAggCCQI4AgsCSQINAggCCAIIAggCCAIIAggCCAIIAggCCAIIAggCCAIIAggCCAIZAgMCSgIeAAKrAgICHwIEAgUCBgIHAggCCQI4AgsCSQINAggCCAIIAggCCAIIAggCCAIIAggCCAIIAggCCAIIAggCCAIZAgMCjwIeAAKrAgICLQIEAgUCBgIHAggCCQIKAgsCSQINAggCCAIIAggCCAIIAggCCAIIAggCCAIIAggCCAIIAggCCAIZAgMCcAIeAAKrAgICAwIEAgUCBgIHAggCCQIKAgsCSQINAggCCAIIAggCCAIIAggCCAIIAggCCAIIAggCCAIIAggCCAIZAgMCWwIeAAKrAgICMwIEAgUCBgIHAggCCQJMAgsCSQINAggCCAIIAggCCAIIAggCCAIIAggCCAIIAggCCAIIAggCCAIZAgMCUAIeAAKrAgICNQIEAgUCBgIHAggCCQJMAgsCSQINAggCCAIIAggCCAIIAggCCAIIAggCCAIIAggCCAIIAggCCAIZAgMCbAIeAAKrAgICHQIEAgUCBgIHAggCCQJMAgsCSQINAggCCAIIAggCCAIIAggCCAIIAggCCAIIAggCCAIIAggCCAIZAgMCUAIeAAKrAgICVgIEAgUCBgIHAggCCQJMAgsCSQINAggCCAIIAggCCAIIAggCCAIIAggCCAIIAggCCAIIAggCCAIZAgMCfwIeAAKrAgICKwIEAgUCBgIHAggCCQI4AgsCSQINAggCCAIIAggCCAIIAggCCAIIAggCCAIIAggCCAIIAggCCAIZAgMCVQIeAAKrAgICWQIEAgUCBgIHAggCCQI4AgsCSQINAggCCAIIAggCCAIIAggCCAIIAggCCAIIAggCCAIIAggCCAIZAgMCWgIeAAKrAgICdQIEAgUCBgIHAggCCQI4AgsCSQINAggCCAIIAggCCAIIAggCCAIIAggCCAIIAggCCAIIAggCCAIZAgMCdgIeAAKrAgICKwIEAgUCBgIHAggCCQJMAgsCSQINAggCCAIIAnoAAAQACAIIAggCCAIIAggCCAIIAggCCAIIAggCCAIIAhkCAwJzAh4AAqsCAgJ7AgQCBQIGAgcCCAIJAgoCCwJJAg0CCAIIAggCCAIIAggCCAIIAggCCAIIAggCCAIIAggCCAIIAhkCAwJ8Ah4AAqsCAgIpAgQCBQIGAgcCCAIJAgoCCwJJAg0CCAIIAggCCAIIAggCCAIIAggCCAIIAggCCAIIAggCCAIIAhkCAwJ0Ah4AAqsCAgKFAgQCBQIGAgcCCAIJAgoCCwJJAg0CCAIIAggCCAIIAggCCAIIAggCCAIIAggCCAIIAggCCAIIAhkCAwKGAh4AAqsCAgIDAgQCBQIGAgcCCAIJAjgCCwJJAg0CCAIIAggCCAIIAggCCAIIAggCCAIIAggCCAIIAggCCAIIAhkCAwKhAh4AAqsCAgJfAgQCBQIGAgcCCAIJAkwCCwJJAg0CCAIIAggCCAIIAggCCAIIAggCCAIIAggCCAIIAggCCAIIAhkCAwKdAh4AAqsCAgIhAgQCBQIGAgcCCAIJAkwCCwJJAg0CCAIIAggCCAIIAggCCAIIAggCCAIIAggCCAIIAggCCAIIAhkCAwJQAh4AAqsCAgJ4AgQCBQIGAgcCCAIJAgoCCwJJAg0CCAIIAggCCAIIAggCCAIIAggCCAIIAggCCAIIAggCCAIIAhkCAwJ5Ah4AAqsCAgJZAgQCBQIGAgcCCAIJAkwCCwJJAg0CCAIIAggCCAIIAggCCAIIAggCCAIIAggCCAIIAggCCAIIAhkCAwJyAh4AAqsCAgJWAgQCBQIGAgcCCAIJAjgCCwJJAg0CCAIIAggCCAIIAggCCAIIAggCCAIIAggCCAIIAggCCAIIAhkCAwJ+Ah4AAqsCAgJfAgQCBQIGAgcCCAIJAjgCCwJJAg0CCAIIAggCCAIIAggCCAIIAggCCAIIAggCCAIIAggCCAIIAhkCAwKeAh4AAqsCAgJTAgQCBQIGAgcCCAIJAjgCCwJJAg0CCAIIAggCCAIIAggCCAIIAggCCAIIAggCCAIIAggCCAIIAhkCAwKkAh4AAqsCAgIDAgQCBQIGAgcCCAIJAkwCCwJJAg0CCAIIAggCCAIIAggCCAIIAggCCAIIAggCCAIIAggCCAIIAhkCAwKYAh4AAqsCAgIdAgQCBQIGAgcCCAIJAjgCCwJJAg0CCAIIAggCCAIIAggCCAIIAggCCAIIAggCCAIIAggCCAIIAhkCAwJrAh4AAqsCAgIfAgQCBQIGAgcCCAIJAgoCCwJJAg0CCAIIAggCCAIIAggCCAIIAggCCAIIAggCCAIIAggCCAIIAhkCAwJvAh4AAqsCAgIxAgQCBQIGAgcCCAIJAgoCC3oAAAQAAkkCDQIIAggCCAIIAggCCAIIAggCCAIIAggCCAIIAggCCAIIAggCGQIDApMCHgACqwICAoICBAIFAgYCBwIIAgkCCgILAkkCDQIIAggCCAIIAggCCAIIAggCCAIIAggCCAIIAggCCAIIAggCGQIDApkCHgACqwICAicCBAIFAgYCBwIIAgkCOAILAkkCDQIIAggCCAIIAggCCAIIAggCCAIIAggCCAIIAggCCAIIAggCGQIDAm0CHgACqwICAlYCBAIFAgYCBwIIAgkCCgILAkkCDQIIAggCCAIIAggCCAIIAggCCAIIAggCCAIIAggCCAIIAggCGQIDAlcCHgACqwICAksCBAIFAgYCBwIIAgkCTAILAkkCDQIIAggCCAIIAggCCAIIAggCCAIIAggCCAIIAggCCAIIAggCGQIDAk0CHgACqwICAnsCBAIFAgYCBwIIAgkCOAILAkkCDQIIAggCCAIIAggCCAIIAggCCAIIAggCCAIIAggCCAIIAggCGQIDApoCHgACqwICAhsCBAIFAgYCBwIIAgkCTAILAkkCDQIIAggCCAIIAggCCAIIAggCCAIIAggCCAIIAggCCAIIAggCGQIDAk4CHgACqwICAi0CBAIFAgYCBwIIAgkCTAILAkkCDQIIAggCCAIIAggCCAIIAggCCAIIAggCCAIIAggCCAIIAggCGQIDAmICHgACqwICAmkCBAIFAgYCBwIIAgkCTAILAkkCDQIIAggCCAIIAggCCAIIAggCCAIIAggCCAIIAggCCAIIAggCGQIDAnECHgACqwICAmkCBAIFAgYCBwIIAgkCOAILAkkCDQIIAggCCAIIAggCCAIIAggCCAIIAggCCAIIAggCCAIIAggCGQIDAmoCHgACqwICAicCBAIFAgYCBwIIAgkCTAILAkkCDQIIAggCCAIIAggCCAIIAggCCAIIAggCCAIIAggCCAIIAggCGQIDAo4CHgACqwICAikCBAIFAgYCBwIIAgkCTAILAkkCDQIIAggCCAIIAggCCAIIAggCCAIIAggCCAIIAggCCAIIAggCGQIDAl0CHgACqwICAnUCBAIFAgYCBwIIAgkCCgILAkkCDQIIAggCCAIIAggCCAIIAggCCAIIAggCCAIIAggCCAIIAggCGQIDApACHgACqwICAl8CBAIFAgYCBwIIAgkCCgILAkkCDQIIAggCCAIIAggCCAIIAggCCAIIAggCCAIIAggCCAIIAggCGQIDAmACHgACqwICAnsCBAIFAgYCBwIIAgkCTAILAkkCDQIIAggCCAIIAggCCAIIAggCCAIIAggCCAIIAggCCAIIAggCGQIDAowCHgACqwICAksCBAIFAnoAAAQABgIHAggCCQI4AgsCSQINAggCCAIIAggCCAIIAggCCAIIAggCCAIIAggCCAIIAggCCAIZAgMCZAIeAAKrAgICGwIEAgUCBgIHAggCCQI4AgsCSQINAggCCAIIAggCCAIIAggCCAIIAggCCAIIAggCCAIIAggCCAIZAgMCUgIeAAKrAgICLwIEAgUCBgIHAggCCQIKAgsCSQINAggCCAIIAggCCAIIAggCCAIIAggCCAIIAggCCAIIAggCCAIZAgMCiQIeAAKrAgICNQIEAgUCBgIHAggCCQIKAgsCSQINAggCCAIIAggCCAIIAggCCAIIAggCCAIIAggCCAIIAggCCAIZAgMCigIeAAKrAgICHQIEAgUCBgIHAggCCQIKAgsCSQINAggCCAIIAggCCAIIAggCCAIIAggCCAIIAggCCAIIAggCCAIZAgMCUQIeAAKrAgICggIEAgUCBgIHAggCCQJMAgsCSQINAggCCAIIAggCCAIIAggCCAIIAggCCAIIAggCCAIIAggCCAIZAgMCiAIeAAKrAgICMwIEAgUCBgIHAggCCQIKAgsCSQINAggCCAIIAggCCAIIAggCCAIIAggCCAIIAggCCAIIAggCCAIZAgMCiwIeAAKrAgICMQIEAgUCBgIHAggCCQJMAgsCSQINAggCCAIIAggCCAIIAggCCAIIAggCCAIIAggCCAIIAggCCAIZAgMChwIeAAKrAgICggIEAgUCBgIHAggCCQI4AgsCSQINAggCCAIIAggCCAIIAggCCAIIAggCCAIIAggCCAIIAggCCAIZAgMCgwIeAAKrAgICUwIEAgUCBgIHAggCCQJMAgsCSQINAggCCAIIAggCCAIIAggCCAIIAggCCAIIAggCCAIIAggCCAIZAgMCpQIeAAKrAgICMQIEAgUCBgIHAggCCQI4AgsCSQINAggCCAIIAggCCAIIAggCCAIIAggCCAIIAggCCAIIAggCCAIZAgMChAIeAAKrAgICIQIEAgUCBgIHAggCCQI4AgsCSQINAggCCAIIAggCCAIIAggCCAIIAggCCAIIAggCCAIIAggCCAIZAgMCoAIeAAKrAgICJwIEAgUCBgIHAggCCQIKAgsCSQINAggCCAIIAggCCAIIAggCCAIIAggCCAIIAggCCAIIAggCCAIZAgMCowIeAAKrAgICaQIEAgUCBgIHAggCCQIKAgsCSQINAggCCAIIAggCCAIIAggCCAIIAggCCAIIAggCCAIIAggCCAIZAgMCogIeAAKrAgICIwIEAgUCBgIHAggCCQI4AgsCSQINAggCCAIIAggCCAIIAggCCAIIAggCCAIIAggCCAIIAggCCAIZAgMCnwIeAHoAAAQAAqsCAgIjAgQCBQIGAgcCCAIJAkwCCwJJAg0CCAIIAggCCAIIAggCCAIIAggCCAIIAggCCAIIAggCCAIIAhkCAwJQAh4AAqwACTQzMDk4NjYzMgICAoICBAIFAgYCBwIIAgkCTAILAkkCDQIIAggCCAIIAggCCAIIAggCCAIIAggCCAIIAggCCAIIAggCGwIDAogCHgACrAICAoUCBAIFAgYCBwIIAgkCCgILAkkCDQIIAggCCAIIAggCCAIIAggCCAIIAggCCAIIAggCCAIIAggCGwIDAoYCHgACrAICAjECBAIFAgYCBwIIAgkCTAILAkkCDQIIAggCCAIIAggCCAIIAggCCAIIAggCCAIIAggCCAIIAggCGwIDAocCHgACrAICAiMCBAIFAgYCBwIIAgkCOAILAkkCDQIIAggCCAIIAggCCAIIAggCCAIIAggCCAIIAggCCAIIAggCGwIDAp8CHgACrAICAjECBAIFAgYCBwIIAgkCOAILAkkCDQIIAggCCAIIAggCCAIIAggCCAIIAggCCAIIAggCCAIIAggCGwIDAoQCHgACrAICAnUCBAIFAgYCBwIIAgkCOAILAkkCDQIIAggCCAIIAggCCAIIAggCCAIIAggCCAIIAggCCAIIAggCGwIDAnYCHgACrAICAikCBAIFAgYCBwIIAgkCCgILAkkCDQIIAggCCAIIAggCCAIIAggCCAIIAggCCAIIAggCCAIIAggCGwIDAnQCHgACrAICAnUCBAIFAgYCBwIIAgkCTAILAkkCDQIIAggCCAIIAggCCAIIAggCCAIIAggCCAIIAggCCAIIAggCGwIDAoACHgACrAICAoUCBAIFAgYCBwIIAgkCOAILAkkCDQIIAggCCAIIAggCCAIIAggCCAIIAggCCAIIAggCCAIIAggCGwIDApsCHgACrAICAi8CBAIFAgYCBwIIAgkCTAILAkkCDQIIAggCCAIIAggCCAIIAggCCAIIAggCCAIIAggCCAIIAggCGwIDAncCHgACrAICAksCBAIFAgYCBwIIAgkCCgILAkkCDQIIAggCCAIIAggCCAIIAggCCAIIAggCCAIIAggCCAIIAggCGwIDApYCHgACrAICAi8CBAIFAgYCBwIIAgkCOAILAkkCDQIIAggCCAIIAggCCAIIAggCCAIIAggCCAIIAggCCAIIAggCGwIDAnoCHgACrAICAjUCBAIFAgYCBwIIAgkCOAILAkkCDQIIAggCCAIIAggCCAIIAggCCAIIAggCCAIIAggCCAIIAggCGwIDAm4CHgACrAICAmkCBAIFAgYCBwIIAgkCTAILAkkCDQIIAggCCAIIAggCCAIIAggCCAIIAnoAAAQACAIIAggCCAIIAggCCAIbAgMCcQIeAAKsAgICewIEAgUCBgIHAggCCQJMAgsCSQINAggCCAIIAggCCAIIAggCCAIIAggCCAIIAggCCAIIAggCCAIbAgMCjAIeAAKsAgICGwIEAgUCBgIHAggCCQIKAgsCSQINAggCCAIIAggCCAIIAggCCAIIAggCCAIIAggCCAIIAggCCAIbAgMClwIeAAKsAgICJwIEAgUCBgIHAggCCQI4AgsCSQINAggCCAIIAggCCAIIAggCCAIIAggCCAIIAggCCAIIAggCCAIbAgMCbQIeAAKsAgICaQIEAgUCBgIHAggCCQI4AgsCSQINAggCCAIIAggCCAIIAggCCAIIAggCCAIIAggCCAIIAggCCAIbAgMCagIeAAKsAgICJwIEAgUCBgIHAggCCQJMAgsCSQINAggCCAIIAggCCAIIAggCCAIIAggCCAIIAggCCAIIAggCCAIbAgMCjgIeAAKsAgICKwIEAgUCBgIHAggCCQIKAgsCSQINAggCCAIIAggCCAIIAggCCAIIAggCCAIIAggCCAIIAggCCAIbAgMCXAIeAAKsAgICWQIEAgUCBgIHAggCCQIKAgsCSQINAggCCAIIAggCCAIIAggCCAIIAggCCAIIAggCCAIIAggCCAIbAgMCYQIeAAKsAgICUwIEAgUCBgIHAggCCQJMAgsCSQINAggCCAIIAggCCAIIAggCCAIIAggCCAIIAggCCAIIAggCCAIbAgMCpQIeAAKsAgICXwIEAgUCBgIHAggCCQJMAgsCSQINAggCCAIIAggCCAIIAggCCAIIAggCCAIIAggCCAIIAggCCAIbAgMCnQIeAAKsAgICIQIEAgUCBgIHAggCCQJMAgsCSQINAggCCAIIAggCCAIIAggCCAIIAggCCAIIAggCCAIIAggCCAIbAgMCUAIeAAKsAgICIwIEAgUCBgIHAggCCQJMAgsCSQINAggCCAIIAggCCAIIAggCCAIIAggCCAIIAggCCAIIAggCCAIbAgMCUAIeAAKsAgICGwIEAgUCBgIHAggCCQI4AgsCSQINAggCCAIIAggCCAIIAggCCAIIAggCCAIIAggCCAIIAggCCAIbAgMCUgIeAAKsAgICSwIEAgUCBgIHAggCCQI4AgsCSQINAggCCAIIAggCCAIIAggCCAIIAggCCAIIAggCCAIIAggCCAIbAgMCZAIeAAKsAgICdQIEAgUCBgIHAggCCQIKAgsCSQINAggCCAIIAggCCAIIAggCCAIIAggCCAIIAggCCAIIAggCCAIbAgMCkAIeAAKsAgICggIEAgUCBgIHAggCCQI4AgsCSQINAggCCAIIAggCCHoAAAQAAggCCAIIAggCCAIIAggCCAIIAggCCAIIAhsCAwKDAh4AAqwCAgJfAgQCBQIGAgcCCAIJAjgCCwJJAg0CCAIIAggCCAIIAggCCAIIAggCCAIIAggCCAIIAggCCAIIAhsCAwKeAh4AAqwCAgIvAgQCBQIGAgcCCAIJAgoCCwJJAg0CCAIIAggCCAIIAggCCAIIAggCCAIIAggCCAIIAggCCAIIAhsCAwKJAh4AAqwCAgIdAgQCBQIGAgcCCAIJAgoCCwJJAg0CCAIIAggCCAIIAggCCAIIAggCCAIIAggCCAIIAggCCAIIAhsCAwJRAh4AAqwCAgI1AgQCBQIGAgcCCAIJAgoCCwJJAg0CCAIIAggCCAIIAggCCAIIAggCCAIIAggCCAIIAggCCAIIAhsCAwKKAh4AAqwCAgJZAgQCBQIGAgcCCAIJAjgCCwJJAg0CCAIIAggCCAIIAggCCAIIAggCCAIIAggCCAIIAggCCAIIAhsCAwJaAh4AAqwCAgIrAgQCBQIGAgcCCAIJAjgCCwJJAg0CCAIIAggCCAIIAggCCAIIAggCCAIIAggCCAIIAggCCAIIAhsCAwJVAh4AAqwCAgJWAgQCBQIGAgcCCAIJAgoCCwJJAg0CCAIIAggCCAIIAggCCAIIAggCCAIIAggCCAIIAggCCAIIAhsCAwJXAh4AAqwCAgJpAgQCBQIGAgcCCAIJAgoCCwJJAg0CCAIIAggCCAIIAggCCAIIAggCCAIIAggCCAIIAggCCAIIAhsCAwKiAh4AAqwCAgItAgQCBQIGAgcCCAIJAjgCCwJJAg0CCAIIAggCCAIIAggCCAIIAggCCAIIAggCCAIIAggCCAIIAhsCAwJKAh4AAqwCAgItAgQCBQIGAgcCCAIJAkwCCwJJAg0CCAIIAggCCAIIAggCCAIIAggCCAIIAggCCAIIAggCCAIIAhsCAwJiAh4AAqwCAgIbAgQCBQIGAgcCCAIJAkwCCwJJAg0CCAIIAggCCAIIAggCCAIIAggCCAIIAggCCAIIAggCCAIIAhsCAwJOAh4AAqwCAgIhAgQCBQIGAgcCCAIJAjgCCwJJAg0CCAIIAggCCAIIAggCCAIIAggCCAIIAggCCAIIAggCCAIIAhsCAwKgAh4AAqwCAgJLAgQCBQIGAgcCCAIJAkwCCwJJAg0CCAIIAggCCAIIAggCCAIIAggCCAIIAggCCAIIAggCCAIIAhsCAwJNAh4AAqwCAgInAgQCBQIGAgcCCAIJAgoCCwJJAg0CCAIIAggCCAIIAggCCAIIAggCCAIIAggCCAIIAggCCAIIAhsCAwKjAh4AAqwCAgJ4AgQCBQIGAgcCCAIJAgoCCwJJAnoAAAQADQIIAggCCAIIAggCCAIIAggCCAIIAggCCAIIAggCCAIIAggCGwIDAnkCHgACrAICAgMCBAIFAgYCBwIIAgkCOAILAkkCDQIIAggCCAIIAggCCAIIAggCCAIIAggCCAIIAggCCAIIAggCGwIDAqECHgACrAICAlMCBAIFAgYCBwIIAgkCOAILAkkCDQIIAggCCAIIAggCCAIIAggCCAIIAggCCAIIAggCCAIIAggCGwIDAqQCHgACrAICAiECBAIFAgYCBwIIAgkCCgILAkkCDQIIAggCCAIIAggCCAIIAggCCAIIAggCCAIIAggCCAIIAggCGwIDAmUCHgACrAICAl8CBAIFAgYCBwIIAgkCCgILAkkCDQIIAggCCAIIAggCCAIIAggCCAIIAggCCAIIAggCCAIIAggCGwIDAmACHgACrAICAh0CBAIFAgYCBwIIAgkCOAILAkkCDQIIAggCCAIIAggCCAIIAggCCAIIAggCCAIIAggCCAIIAggCGwIDAmsCHgACrAICAikCBAIFAgYCBwIIAgkCTAILAkkCDQIIAggCCAIIAggCCAIIAggCCAIIAggCCAIIAggCCAIIAggCGwIDAl0CHgACrAICAgMCBAIFAgYCBwIIAgkCTAILAkkCDQIIAggCCAIIAggCCAIIAggCCAIIAggCCAIIAggCCAIIAggCGwIDApgCHgACrAICAh8CBAIFAgYCBwIIAgkCCgILAkkCDQIIAggCCAIIAggCCAIIAggCCAIIAggCCAIIAggCCAIIAggCGwIDAm8CHgACrAICAi0CBAIFAgYCBwIIAgkCCgILAkkCDQIIAggCCAIIAggCCAIIAggCCAIIAggCCAIIAggCCAIIAggCGwIDAnACHgACrAICAjECBAIFAgYCBwIIAgkCCgILAkkCDQIIAggCCAIIAggCCAIIAggCCAIIAggCCAIIAggCCAIIAggCGwIDApMCHgACrAICAoICBAIFAgYCBwIIAgkCCgILAkkCDQIIAggCCAIIAggCCAIIAggCCAIIAggCCAIIAggCCAIIAggCGwIDApkCHgACrAICAlYCBAIFAgYCBwIIAgkCTAILAkkCDQIIAggCCAIIAggCCAIIAggCCAIIAggCCAIIAggCCAIIAggCGwIDAn8CHgACrAICAoUCBAIFAgYCBwIIAgkCTAILAkkCDQIIAggCCAIIAggCCAIIAggCCAIIAggCCAIIAggCCAIIAggCGwIDApwCHgACrAICAnsCBAIFAgYCBwIIAgkCOAILAkkCDQIIAggCCAIIAggCCAIIAggCCAIIAggCCAIIAggCCAIIAggCGwIDApoCHgACrAICAikCBAIFAgYCB3oAAAQAAggCCQI4AgsCSQINAggCCAIIAggCCAIIAggCCAIIAggCCAIIAggCCAIIAggCCAIbAgMCXgIeAAKsAgICHQIEAgUCBgIHAggCCQJMAgsCSQINAggCCAIIAggCCAIIAggCCAIIAggCCAIIAggCCAIIAggCCAIbAgMCUAIeAAKsAgICNQIEAgUCBgIHAggCCQJMAgsCSQINAggCCAIIAggCCAIIAggCCAIIAggCCAIIAggCCAIIAggCCAIbAgMCbAIeAAKsAgICVgIEAgUCBgIHAggCCQI4AgsCSQINAggCCAIIAggCCAIIAggCCAIIAggCCAIIAggCCAIIAggCCAIbAgMCfgIeAAKsAgICeAIEAgUCBgIHAggCCQI4AgsCSQINAggCCAIIAggCCAIIAggCCAIIAggCCAIIAggCCAIIAggCCAIbAgMCjQIeAAKsAgICIwIEAgUCBgIHAggCCQIKAgsCSQINAggCCAIIAggCCAIIAggCCAIIAggCCAIIAggCCAIIAggCCAIbAgMClAIeAAKsAgICeAIEAgUCBgIHAggCCQJMAgsCSQINAggCCAIIAggCCAIIAggCCAIIAggCCAIIAggCCAIIAggCCAIbAgMCkQIeAAKsAgICHwIEAgUCBgIHAggCCQI4AgsCSQINAggCCAIIAggCCAIIAggCCAIIAggCCAIIAggCCAIIAggCCAIbAgMCjwIeAAKsAgICUwIEAgUCBgIHAggCCQIKAgsCSQINAggCCAIIAggCCAIIAggCCAIIAggCCAIIAggCCAIIAggCCAIbAgMCVAIeAAKsAgICewIEAgUCBgIHAggCCQIKAgsCSQINAggCCAIIAggCCAIIAggCCAIIAggCCAIIAggCCAIIAggCCAIbAgMCfAIeAAKsAgICHwIEAgUCBgIHAggCCQJMAgsCSQINAggCCAIIAggCCAIIAggCCAIIAggCCAIIAggCCAIIAggCCAIbAgMCkgIeAAKsAgICKwIEAgUCBgIHAggCCQJMAgsCSQINAggCCAIIAggCCAIIAggCCAIIAggCCAIIAggCCAIIAggCCAIbAgMCcwIeAAKsAgICWQIEAgUCBgIHAggCCQJMAgsCSQINAggCCAIIAggCCAIIAggCCAIIAggCCAIIAggCCAIIAggCCAIbAgMCcgIeAAKsAgICAwIEAgUCBgIHAggCCQIKAgsCSQINAggCCAIIAggCCAIIAggCCAIIAggCCAIIAggCCAIIAggCCAIbAgMCWwIeAAKtAAk0MTcwMjE3MDQCAgIvAgQCBQIGAgcCCAIJAqkCCwIMAg0CCAIIAggCCAIIAggCCAIIAggCCAIIAggCCAIIAggCCAIIAncFGAIDAq5zcQB+AAAAAAACc3EAfgAE///////////////+/////v////91cQB+AAcAAAADBA6ueHh3RQIeAAKtAgICWQIEAgUCBgIHAggCCQIKAgsCDAINAggCCAIIAggCCAIIAggCCAIIAggCCAIIAggCCAIIAggCCAIYAgMCr3NxAH4AAAAAAAJzcQB+AAT///////////////7////+/////3VxAH4ABwAAAAQF6I5ueHh3igIeAAKtAgICKwIEAgUCBgIHAggCCQIKAgsCDAINAggCCAIIAggCCAIIAggCCAIIAggCCAIIAggCCAIIAggCCAIYAgMCLAIeAAKtAgICdQIEAgUCBgIHAggCCQKpAgsCDAINAggCCAIIAggCCAIIAggCCAIIAggCCAIIAggCCAIIAggCCAIYAgMCsHNxAH4AAAAAAAJzcQB+AAT///////////////7////+/////3VxAH4ABwAAAAMItpx4eHfPAh4AAq0CAgIhAgQCBQIGAgcCCAIJAgoCCwIMAg0CCAIIAggCCAIIAggCCAIIAggCCAIIAggCCAIIAggCCAIIAhgCAwIiAh4AAq0CAgIpAgQCBQIGAgcCCAIJAjgCCwIMAg0CCAIIAggCCAIIAggCCAIIAggCCAIIAggCCAIIAggCCAIIAhgCAwI9Ah4AAq0CAgJfAgQCBQIGAgcCCAIJAgoCCwIMAg0CCAIIAggCCAIIAggCCAIIAggCCAIIAggCCAIIAggCCAIIAhgCAwKxc3EAfgAAAAAAAnNxAH4ABP///////////////v////7/////dXEAfgAHAAAAA7xcsnh4d88CHgACrQICAiMCBAIFAgYCBwIIAgkCqQILAgwCDQIIAggCCAIIAggCCAIIAggCCAIIAggCCAIIAggCCAIIAggCGAIDAlACHgACrQICAjMCBAIFAgYCBwIIAgkCqQILAgwCDQIIAggCCAIIAggCCAIIAggCCAIIAggCCAIIAggCCAIIAggCGAIDAlACHgACrQICAjUCBAIFAgYCBwIIAgkCqQILAgwCDQIIAggCCAIIAggCCAIIAggCCAIIAggCCAIIAggCCAIIAggCGAIDArJzcQB+AAAAAAACc3EAfgAE///////////////+/////v////91cQB+AAcAAAADBWT/eHh3zwIeAAKtAgICHQIEAgUCBgIHAggCCQIKAgsCDAINAggCCAIIAggCCAIIAggCCAIIAggCCAIIAggCCAIIAggCCAIYAgMCHgIeAAKtAgICAwIEAgUCBgIHAggCCQIKAgsCDAINAggCCAIIAggCCAIIAggCCAIIAggCCAIIAggCCAIIAggCCAIYAgMCDgIeAAKtAgIChQIEAgUCBgIHAggCCQKpAgsCDAINAggCCAIIAggCCAIIAggCCAIIAggCCAIIAggCCAIIAggCCAIYAgMCs3NxAH4AAAAAAAJzcQB+AAT///////////////7////+/////3VxAH4ABwAAAAMHjdR4eHdFAh4AAq0CAgJLAgQCBQIGAgcCCAIJAjgCCwIMAg0CCAIIAggCCAIIAggCCAIIAggCCAIIAggCCAIIAggCCAIIAhgCAwK0c3EAfgAAAAAAAnNxAH4ABP///////////////v////7/////dXEAfgAHAAAABDc49U94eHdFAh4AAq0CAgJWAgQCBQIGAgcCCAIJAgoCCwIMAg0CCAIIAggCCAIIAggCCAIIAggCCAIIAggCCAIIAggCCAIIAhgCAwK1c3EAfgAAAAAAAnNxAH4ABP///////////////v////7/////dXEAfgAHAAAABExDDhV4eHdFAh4AAq0CAgJTAgQCBQIGAgcCCAIJAgoCCwIMAg0CCAIIAggCCAIIAggCCAIIAggCCAIIAggCCAIIAggCCAIIAhgCAwK2c3EAfgAAAAAAAnNxAH4ABP///////////////v////7/////dXEAfgAHAAAABATkMA94eHfPAh4AAq0CAgIbAgQCBQIGAgcCCAIJAjgCCwIMAg0CCAIIAggCCAIIAggCCAIIAggCCAIIAggCCAIIAggCCAIIAhgCAwJGAh4AAq0CAgItAgQCBQIGAgcCCAIJAjgCCwIMAg0CCAIIAggCCAIIAggCCAIIAggCCAIIAggCCAIIAggCCAIIAhgCAwJAAh4AAq0CAgJ1AgQCBQIGAgcCCAIJAjgCCwIMAg0CCAIIAggCCAIIAggCCAIIAggCCAIIAggCCAIIAggCCAIIAhgCAwK3c3EAfgAAAAAAAnNxAH4ABP///////////////v////7/////dXEAfgAHAAAABF1XUMl4eHeKAh4AAq0CAgIpAgQCBQIGAgcCCAIJAgoCCwIMAg0CCAIIAggCCAIIAggCCAIIAggCCAIIAggCCAIIAggCCAIIAhgCAwIqAh4AAq0CAgJZAgQCBQIGAgcCCAIJAjgCCwIMAg0CCAIIAggCCAIIAggCCAIIAggCCAIIAggCCAIIAggCCAIIAhgCAwK4c3EAfgAAAAAAAnNxAH4ABP///////////////v////7/////dXEAfgAHAAAABD37VuJ4eHeKAh4AAq0CAgIrAgQCBQIGAgcCCAIJAjgCCwIMAg0CCAIIAggCCAIIAggCCAIIAggCCAIIAggCCAIIAggCCAIIAhgCAwI/Ah4AAq0CAgInAgQCBQIGAgcCCAIJAqkCCwIMAg0CCAIIAggCCAIIAggCCAIIAggCCAIIAggCCAIIAggCCAIIAhgCAwK5c3EAfgAAAAAAAnNxAH4ABP///////////////v////7/////dXEAfgAHAAAAAwRDenh4d0UCHgACrQICAnsCBAIFAgYCBwIIAgkCCgILAgwCDQIIAggCCAIIAggCCAIIAggCCAIIAggCCAIIAggCCAIIAggCGAIDArpzcQB+AAAAAAACc3EAfgAE///////////////+/////v////91cQB+AAcAAAAEO4uIvXh4d0UCHgACrQICAoUCBAIFAgYCBwIIAgkCCgILAgwCDQIIAggCCAIIAggCCAIIAggCCAIIAggCCAIIAggCCAIIAggCGAIDArtzcQB+AAAAAAACc3EAfgAE///////////////+/////v////91cQB+AAcAAAAEAhunbnh4d0UCHgACrQICAoICBAIFAgYCBwIIAgkCqQILAgwCDQIIAggCCAIIAggCCAIIAggCCAIIAggCCAIIAggCCAIIAggCGAIDArxzcQB+AAAAAAACc3EAfgAE///////////////+/////v////91cQB+AAcAAAADCZ5/eHh3igIeAAKtAgICMwIEAgUCBgIHAggCCQI4AgsCDAINAggCCAIIAggCCAIIAggCCAIIAggCCAIIAggCCAIIAggCCAIYAgMCQQIeAAKtAgICMQIEAgUCBgIHAggCCQKpAgsCDAINAggCCAIIAggCCAIIAggCCAIIAggCCAIIAggCCAIIAggCCAIYAgMCvXNxAH4AAAAAAAJzcQB+AAT///////////////7////+/////3VxAH4ABwAAAAMEJQl4eHdFAh4AAq0CAgJWAgQCBQIGAgcCCAIJAjgCCwIMAg0CCAIIAggCCAIIAggCCAIIAggCCAIIAggCCAIIAggCCAIIAhgCAwK+c3EAfgAAAAAAAnNxAH4ABP///////////////v////7/////dXEAfgAHAAAABBJUFap4eHdFAh4AAq0CAgIbAgQCBQIGAgcCCAIJAqkCCwIMAg0CCAIIAggCCAIIAggCCAIIAggCCAIIAggCCAIIAggCCAIIAhgCAwK/c3EAfgAAAAAAAnNxAH4ABP///////////////v////7/////dXEAfgAHAAAAAwSrl3h4d0UCHgACrQICAksCBAIFAgYCBwIIAgkCqQILAgwCDQIIAggCCAIIAggCCAIIAggCCAIIAggCCAIIAggCCAIIAggCGAIDAsBzcQB+AAAAAAACc3EAfgAE///////////////+/////v////91cQB+AAcAAAADEhXLeHh3igIeAAKtAgICLQIEAgUCBgIHAggCCQIKAgsCDAINAggCCAIIAggCCAIIAggCCAIIAggCCAIIAggCCAIIAggCCAIYAgMCLgIeAAKtAgICeAIEAgUCBgIHAggCCQIKAgsCDAINAggCCAIIAggCCAIIAggCCAIIAggCCAIIAggCCAIIAggCCAIYAgMCwXNxAH4AAAAAAAJzcQB+AAT///////////////7////+/////3VxAH4ABwAAAAQDq4uteHh6AAABngIeAAKtAgICHwIEAgUCBgIHAggCCQIKAgsCDAINAggCCAIIAggCCAIIAggCCAIIAggCCAIIAggCCAIIAggCCAIYAgMCIAIeAAKtAgICLwIEAgUCBgIHAggCCQI4AgsCDAINAggCCAIIAggCCAIIAggCCAIIAggCCAIIAggCCAIIAggCCAIYAgMCQwIeAAKtAgICNQIEAgUCBgIHAggCCQI4AgsCDAINAggCCAIIAggCCAIIAggCCAIIAggCCAIIAggCCAIIAggCCAIYAgMCRQIeAAKtAgICHQIEAgUCBgIHAggCCQI4AgsCDAINAggCCAIIAggCCAIIAggCCAIIAggCCAIIAggCCAIIAggCCAIYAgMCQgIeAAKtAgICIQIEAgUCBgIHAggCCQKpAgsCDAINAggCCAIIAggCCAIIAggCCAIIAggCCAIIAggCCAIIAggCCAIYAgMCUAIeAAKtAgICXwIEAgUCBgIHAggCCQKpAgsCDAINAggCCAIIAggCCAIIAggCCAIIAggCCAIIAggCCAIIAggCCAIYAgMCwnNxAH4AAAAAAAJzcQB+AAT///////////////7////+/////3VxAH4ABwAAAAMFP694eHdFAh4AAq0CAgJ4AgQCBQIGAgcCCAIJAjgCCwIMAg0CCAIIAggCCAIIAggCCAIIAggCCAIIAggCCAIIAggCCAIIAhgCAwLDc3EAfgAAAAAAAnNxAH4ABP///////////////v////7/////dXEAfgAHAAAABFSIS5t4eHeKAh4AAq0CAgIvAgQCBQIGAgcCCAIJAgoCCwIMAg0CCAIIAggCCAIIAggCCAIIAggCCAIIAggCCAIIAggCCAIIAhgCAwIwAh4AAq0CAgJTAgQCBQIGAgcCCAIJAqkCCwIMAg0CCAIIAggCCAIIAggCCAIIAggCCAIIAggCCAIIAggCCAIIAhgCAwLEc3EAfgAAAAAAAnNxAH4ABP///////////////v////7/////dXEAfgAHAAAAAwzG/nh4d4oCHgACrQICAjECBAIFAgYCBwIIAgkCCgILAgwCDQIIAggCCAIIAggCCAIIAggCCAIIAggCCAIIAggCCAIIAggCGAIDAjICHgACrQICAisCBAIFAgYCBwIIAgkCqQILAgwCDQIIAggCCAIIAggCCAIIAggCCAIIAggCCAIIAggCCAIIAggCGAIDAsVzcQB+AAAAAAACc3EAfgAE///////////////+/////v////91cQB+AAcAAAADBHSNeHh3RQIeAAKtAgICewIEAgUCBgIHAggCCQI4AgsCDAINAggCCAIIAggCCAIIAggCCAIIAggCCAIIAggCCAIIAggCCAIYAgMCxnNxAH4AAAAAAAJzcQB+AAT///////////////7////+/////3VxAH4ABwAAAAQoo9pZeHh3RQIeAAKtAgICaQIEAgUCBgIHAggCCQI4AgsCDAINAggCCAIIAggCCAIIAggCCAIIAggCCAIIAggCCAIIAggCCAIYAgMCx3NxAH4AAAAAAAJzcQB+AAT///////////////7////+/////3VxAH4ABwAAAARMKwuAeHh3igIeAAKtAgICJwIEAgUCBgIHAggCCQI4AgsCDAINAggCCAIIAggCCAIIAggCCAIIAggCCAIIAggCCAIIAggCCAIYAgMCPgIeAAKtAgICggIEAgUCBgIHAggCCQIKAgsCDAINAggCCAIIAggCCAIIAggCCAIIAggCCAIIAggCCAIIAggCCAIYAgMCyHNxAH4AAAAAAAJzcQB+AAT///////////////7////+/////3VxAH4ABwAAAAQDNpKZeHh3RQIeAAKtAgICggIEAgUCBgIHAggCCQI4AgsCDAINAggCCAIIAggCCAIIAggCCAIIAggCCAIIAggCCAIIAggCCAIYAgMCyXNxAH4AAAAAAAJzcQB+AAT///////////////7////+/////3VxAH4ABwAAAARaL7WteHh3RQIeAAKtAgICVgIEAgUCBgIHAggCCQKpAgsCDAINAggCCAIIAggCCAIIAggCCAIIAggCCAIIAggCCAIIAggCCAIYAgMCynNxAH4AAAAAAAJzcQB+AAT///////////////7////+/////3VxAH4ABwAAAAMGaCt4eHoAAAEUAh4AAq0CAgIdAgQCBQIGAgcCCAIJAqkCCwIMAg0CCAIIAggCCAIIAggCCAIIAggCCAIIAggCCAIIAggCCAIIAhgCAwJQAh4AAq0CAgIzAgQCBQIGAgcCCAIJAgoCCwIMAg0CCAIIAggCCAIIAggCCAIIAggCCAIIAggCCAIIAggCCAIIAhgCAwI0Ah4AAq0CAgI1AgQCBQIGAgcCCAIJAgoCCwIMAg0CCAIIAggCCAIIAggCCAIIAggCCAIIAggCCAIIAggCCAIIAhgCAwI2Ah4AAq0CAgJpAgQCBQIGAgcCCAIJAqkCCwIMAg0CCAIIAggCCAIIAggCCAIIAggCCAIIAggCCAIIAggCCAIIAhgCAwLLc3EAfgAAAAAAAnNxAH4ABP///////////////v////7/////dXEAfgAHAAAAAwuCrXh4d0UCHgACrQICAgMCBAIFAgYCBwIIAgkCqQILAgwCDQIIAggCCAIIAggCCAIIAggCCAIIAggCCAIIAggCCAIIAggCGAIDAsxzcQB+AAAAAAACc3EAfgAE///////////////+/////v////91cQB+AAcAAAADBFYreHh3igIeAAKtAgICIwIEAgUCBgIHAggCCQIKAgsCDAINAggCCAIIAggCCAIIAggCCAIIAggCCAIIAggCCAIIAggCCAIYAgMCJAIeAAKtAgICdQIEAgUCBgIHAggCCQIKAgsCDAINAggCCAIIAggCCAIIAggCCAIIAggCCAIIAggCCAIIAggCCAIYAgMCzXNxAH4AAAAAAAJzcQB+AAT///////////////7////+/////3VxAH4ABwAAAAQCvT+keHh3zwIeAAKtAgICHwIEAgUCBgIHAggCCQI4AgsCDAINAggCCAIIAggCCAIIAggCCAIIAggCCAIIAggCCAIIAggCCAIYAgMCRwIeAAKtAgICIwIEAgUCBgIHAggCCQI4AgsCDAINAggCCAIIAggCCAIIAggCCAIIAggCCAIIAggCCAIIAggCCAIYAgMCOwIeAAKtAgICKQIEAgUCBgIHAggCCQKpAgsCDAINAggCCAIIAggCCAIIAggCCAIIAggCCAIIAggCCAIIAggCCAIYAgMCznNxAH4AAAAAAAJzcQB+AAT///////////////7////+/////3VxAH4ABwAAAAME+2h4eHdFAh4AAq0CAgJfAgQCBQIGAgcCCAIJAjgCCwIMAg0CCAIIAggCCAIIAggCCAIIAggCCAIIAggCCAIIAggCCAIIAhgCAwLPc3EAfgAAAAAAAnNxAH4ABP///////////////v////7/////dXEAfgAHAAAABGKNyxZ4eHdFAh4AAq0CAgIfAgQCBQIGAgcCCAIJAqkCCwIMAg0CCAIIAggCCAIIAggCCAIIAggCCAIIAggCCAIIAggCCAIIAhgCAwLQc3EAfgAAAAAAAnNxAH4ABP///////////////v////7/////dXEAfgAHAAAAAwQ0OHh4d0UCHgACrQICAnsCBAIFAgYCBwIIAgkCqQILAgwCDQIIAggCCAIIAggCCAIIAggCCAIIAggCCAIIAggCCAIIAggCGAIDAtFzcQB+AAAAAAACc3EAfgAE///////////////+/////v////91cQB+AAcAAAADBtyTeHh3igIeAAKtAgICJwIEAgUCBgIHAggCCQIKAgsCDAINAggCCAIIAggCCAIIAggCCAIIAggCCAIIAggCCAIIAggCCAIYAgMCKAIeAAKtAgICeAIEAgUCBgIHAggCCQKpAgsCDAINAggCCAIIAggCCAIIAggCCAIIAggCCAIIAggCCAIIAggCCAIYAgMC0nNxAH4AAAAAAAJzcQB+AAT///////////////7////+/////3VxAH4ABwAAAAMKgFR4eHdFAh4AAq0CAgKFAgQCBQIGAgcCCAIJAjgCCwIMAg0CCAIIAggCCAIIAggCCAIIAggCCAIIAggCCAIIAggCCAIIAhgCAwLTc3EAfgAAAAAAAnNxAH4ABP///////////////v////7/////dXEAfgAHAAAABGExCBR4eHdFAh4AAq0CAgJpAgQCBQIGAgcCCAIJAgoCCwIMAg0CCAIIAggCCAIIAggCCAIIAggCCAIIAggCCAIIAggCCAIIAhgCAwLUc3EAfgAAAAAAAnNxAH4ABP///////////////v////7/////dXEAfgAHAAAABAQ2ieN4eHfPAh4AAq0CAgIhAgQCBQIGAgcCCAIJAjgCCwIMAg0CCAIIAggCCAIIAggCCAIIAggCCAIIAggCCAIIAggCCAIIAhgCAwI6Ah4AAq0CAgIxAgQCBQIGAgcCCAIJAjgCCwIMAg0CCAIIAggCCAIIAggCCAIIAggCCAIIAggCCAIIAggCCAIIAhgCAwI5Ah4AAq0CAgJLAgQCBQIGAgcCCAIJAgoCCwIMAg0CCAIIAggCCAIIAggCCAIIAggCCAIIAggCCAIIAggCCAIIAhgCAwLVc3EAfgAAAAAAAnNxAH4ABP///////////////v////7/////dXEAfgAHAAAABAgl/7F4eHeKAh4AAq0CAgIbAgQCBQIGAgcCCAIJAgoCCwIMAg0CCAIIAggCCAIIAggCCAIIAggCCAIIAggCCAIIAggCCAIIAhgCAwIcAh4AAq0CAgItAgQCBQIGAgcCCAIJAqkCCwIMAg0CCAIIAggCCAIIAggCCAIIAggCCAIIAggCCAIIAggCCAIIAhgCAwLWc3EAfgAAAAAAAnNxAH4ABP///////////////v////7/////dXEAfgAHAAAAAwPcq3h4d0UCHgACrQICAlkCBAIFAgYCBwIIAgkCqQILAgwCDQIIAggCCAIIAggCCAIIAggCCAIIAggCCAIIAggCCAIIAggCGAIDAtdzcQB+AAAAAAACc3EAfgAE///////////////+/////v////91cQB+AAcAAAADDoPdeHh3RQIeAAKtAgICUwIEAgUCBgIHAggCCQI4AgsCDAINAggCCAIIAggCCAIIAggCCAIIAggCCAIIAggCCAIIAggCCAIYAgMC2HNxAH4AAAAAAAJzcQB+AAT///////////////7////+/////3VxAH4ABwAAAARIcHiveHh6AAAEAAIeAAKtAgICAwIEAgUCBgIHAggCCQI4AgsCDAINAggCCAIIAggCCAIIAggCCAIIAggCCAIIAggCCAIIAggCCAIYAgMCRAIeAALZAAk0MTcwMTQ3NDQCAgJ7AgQCBQIGAgcCCAIJAgoCCwIMAg0CCAIIAggCCAIIAggCCAIIAggCCAIIAggCCAIIAggCCAIIAhICAwK6Ah4AAtkCAgJfAgQCBQIGAgcCCAIJAjgCCwIMAg0CCAIIAggCCAIIAggCCAIIAggCCAIIAggCCAIIAggCCAIIAhICAwLPAh4AAtkCAgJTAgQCBQIGAgcCCAIJAjgCCwIMAg0CCAIIAggCCAIIAggCCAIIAggCCAIIAggCCAIIAggCCAIIAhICAwLYAh4AAtkCAgIpAgQCBQIGAgcCCAIJAqkCCwIMAg0CCAIIAggCCAIIAggCCAIIAggCCAIIAggCCAIIAggCCAIIAhICAwLOAh4AAtkCAgIfAgQCBQIGAgcCCAIJAgoCCwIMAg0CCAIIAggCCAIIAggCCAIIAggCCAIIAggCCAIIAggCCAIIAhICAwIgAh4AAtkCAgJPAgQCBQIGAgcCCAIJAqkCCwIMAg0CCAIIAggCCAIIAggCCAIIAggCCAIIAggCCAIIAggCCAIIAhICAwJQAh4AAtkCAgIDAgQCBQIGAgcCCAIJAjgCCwIMAg0CCAIIAggCCAIIAggCCAIIAggCCAIIAggCCAIIAggCCAIIAhICAwJEAh4AAtkCAgIdAgQCBQIGAgcCCAIJAjgCCwIMAg0CCAIIAggCCAIIAggCCAIIAggCCAIIAggCCAIIAggCCAIIAhICAwJCAh4AAtkCAgJ4AgQCBQIGAgcCCAIJAgoCCwIMAg0CCAIIAggCCAIIAggCCAIIAggCCAIIAggCCAIIAggCCAIIAhICAwLBAh4AAtkCAgJWAgQCBQIGAgcCCAIJAgoCCwIMAg0CCAIIAggCCAIIAggCCAIIAggCCAIIAggCCAIIAggCCAIIAhICAwK1Ah4AAtkCAgJpAgQCBQIGAgcCCAIJAjgCCwIMAg0CCAIIAggCCAIIAggCCAIIAggCCAIIAggCCAIIAggCCAIIAhICAwLHAh4AAtkCAgItAgQCBQIGAgcCCAIJAjgCCwIMAg0CCAIIAggCCAIIAggCCAIIAggCCAIIAggCCAIIAggCCAIIAhICAwJAAh4AAtkCAgIzAgQCBQIGAgcCCAIJAqkCCwIMAg0CCAIIAggCCAIIAggCCAIIAggCCAIIAggCCAIIAggCCAIIAhICAwJQAh4AAtkCAgI1AgQCBQIGAgcCCAIJAqkCCwIMAg0CCAIIAggCCAIIAggCCAIIAgh6AAAEAAIIAggCCAIIAggCCAIIAggCEgIDArICHgAC2QICAisCBAIFAgYCBwIIAgkCqQILAgwCDQIIAggCCAIIAggCCAIIAggCCAIIAggCCAIIAggCCAIIAggCEgIDAsUCHgAC2QICAnsCBAIFAgYCBwIIAgkCOAILAgwCDQIIAggCCAIIAggCCAIIAggCCAIIAggCCAIIAggCCAIIAggCEgIDAsYCHgAC2QICAmYCBAIFAgYCBwIIAgkCqQILAgwCDQIIAggCCAIIAggCCAIIAggCCAIIAggCCAIIAggCCAIIAggCEgIDAlACHgAC2QICAjECBAIFAgYCBwIIAgkCCgILAgwCDQIIAggCCAIIAggCCAIIAggCCAIIAggCCAIIAggCCAIIAggCEgIDAjICHgAC2QICAoICBAIFAgYCBwIIAgkCCgILAgwCDQIIAggCCAIIAggCCAIIAggCCAIIAggCCAIIAggCCAIIAggCEgIDAsgCHgAC2QICAiECBAIFAgYCBwIIAgkCCgILAgwCDQIIAggCCAIIAggCCAIIAggCCAIIAggCCAIIAggCCAIIAggCEgIDAiICHgAC2QICAl8CBAIFAgYCBwIIAgkCCgILAgwCDQIIAggCCAIIAggCCAIIAggCCAIIAggCCAIIAggCCAIIAggCEgIDArECHgAC2QICAicCBAIFAgYCBwIIAgkCOAILAgwCDQIIAggCCAIIAggCCAIIAggCCAIIAggCCAIIAggCCAIIAggCEgIDAj4CHgAC2QICAh8CBAIFAgYCBwIIAgkCOAILAgwCDQIIAggCCAIIAggCCAIIAggCCAIIAggCCAIIAggCCAIIAggCEgIDAkcCHgAC2QICAngCBAIFAgYCBwIIAgkCOAILAgwCDQIIAggCCAIIAggCCAIIAggCCAIIAggCCAIIAggCCAIIAggCEgIDAsMCHgAC2QICAl8CBAIFAgYCBwIIAgkCqQILAgwCDQIIAggCCAIIAggCCAIIAggCCAIIAggCCAIIAggCCAIIAggCEgIDAsICHgAC2QICAiMCBAIFAgYCBwIIAgkCqQILAgwCDQIIAggCCAIIAggCCAIIAggCCAIIAggCCAIIAggCCAIIAggCEgIDAlACHgAC2QICAnUCBAIFAgYCBwIIAgkCqQILAgwCDQIIAggCCAIIAggCCAIIAggCCAIIAggCCAIIAggCCAIIAggCEgIDArACHgAC2QICAiECBAIFAgYCBwIIAgkCqQILAgwCDQIIAggCCAIIAggCCAIIAggCCAIIAggCCAIIAggCCAIIAggCEgIDAlACHgAC2QICAiMCBAIFAgYCBwIIAgkCCgILAgwCDQIIAggCCAJ6AAADGAgCCAIIAggCCAIIAggCCAIIAggCCAIIAggCCAISAgMCJAIeAALZAgICLwIEAgUCBgIHAggCCQKpAgsCDAINAggCCAIIAggCCAIIAggCCAIIAggCCAIIAggCCAIIAggCCAISAgMCrgIeAALZAgICLQIEAgUCBgIHAggCCQIKAgsCDAINAggCCAIIAggCCAIIAggCCAIIAggCCAIIAggCCAIIAggCCAISAgMCLgIeAALZAgICAwIEAgUCBgIHAggCCQIKAgsCDAINAggCCAIIAggCCAIIAggCCAIIAggCCAIIAggCCAIIAggCCAISAgMCDgIeAALZAgICUwIEAgUCBgIHAggCCQIKAgsCDAINAggCCAIIAggCCAIIAggCCAIIAggCCAIIAggCCAIIAggCCAISAgMCtgIeAALZAgIChQIEAgUCBgIHAggCCQIKAgsCDAINAggCCAIIAggCCAIIAggCCAIIAggCCAIIAggCCAIIAggCCAISAgMCuwIeAALZAgICaQIEAgUCBgIHAggCCQKpAgsCDAINAggCCAIIAggCCAIIAggCCAIIAggCCAIIAggCCAIIAggCCAISAgMCywIeAALZAgICWQIEAgUCBgIHAggCCQI4AgsCDAINAggCCAIIAggCCAIIAggCCAIIAggCCAIIAggCCAIIAggCCAISAgMCuAIeAALZAgICVgIEAgUCBgIHAggCCQI4AgsCDAINAggCCAIIAggCCAIIAggCCAIIAggCCAIIAggCCAIIAggCCAISAgMCvgIeAALZAgICGwIEAgUCBgIHAggCCQKpAgsCDAINAggCCAIIAggCCAIIAggCCAIIAggCCAIIAggCCAIIAggCCAISAgMCvwIeAALZAgICJwIEAgUCBgIHAggCCQKpAgsCDAINAggCCAIIAggCCAIIAggCCAIIAggCCAIIAggCCAIIAggCCAISAgMCuQIeAALZAgICZgIEAgUCBgIHAggCCQI4AgsCDAINAggCCAIIAggCCAIIAggCCAIIAggCCAIIAggCCAIIAggCCAISAgMC2nNxAH4AAAAAAAJzcQB+AAT///////////////7////+/////3VxAH4ABwAAAARc5cCweHh6AAAEAAIeAALZAgICSwIEAgUCBgIHAggCCQKpAgsCDAINAggCCAIIAggCCAIIAggCCAIIAggCCAIIAggCCAIIAggCCAISAgMCwAIeAALZAgICKwIEAgUCBgIHAggCCQI4AgsCDAINAggCCAIIAggCCAIIAggCCAIIAggCCAIIAggCCAIIAggCCAISAgMCPwIeAALZAgICKQIEAgUCBgIHAggCCQIKAgsCDAINAggCCAIIAggCCAIIAggCCAIIAggCCAIIAggCCAIIAggCCAISAgMCKgIeAALZAgICIwIEAgUCBgIHAggCCQI4AgsCDAINAggCCAIIAggCCAIIAggCCAIIAggCCAIIAggCCAIIAggCCAISAgMCOwIeAALZAgICeAIEAgUCBgIHAggCCQKpAgsCDAINAggCCAIIAggCCAIIAggCCAIIAggCCAIIAggCCAIIAggCCAISAgMC0gIeAALZAgICdQIEAgUCBgIHAggCCQI4AgsCDAINAggCCAIIAggCCAIIAggCCAIIAggCCAIIAggCCAIIAggCCAISAgMCtwIeAALZAgICHwIEAgUCBgIHAggCCQKpAgsCDAINAggCCAIIAggCCAIIAggCCAIIAggCCAIIAggCCAIIAggCCAISAgMC0AIeAALZAgICJQIEAgUCBgIHAggCCQIKAgsCDAINAggCCAIIAggCCAIIAggCCAIIAggCCAIIAggCCAIIAggCCAISAgMCJgIeAALZAgICewIEAgUCBgIHAggCCQKpAgsCDAINAggCCAIIAggCCAIIAggCCAIIAggCCAIIAggCCAIIAggCCAISAgMC0QIeAALZAgICNQIEAgUCBgIHAggCCQI4AgsCDAINAggCCAIIAggCCAIIAggCCAIIAggCCAIIAggCCAIIAggCCAISAgMCRQIeAALZAgICMwIEAgUCBgIHAggCCQI4AgsCDAINAggCCAIIAggCCAIIAggCCAIIAggCCAIIAggCCAIIAggCCAISAgMCQQIeAALZAgICLwIEAgUCBgIHAggCCQI4AgsCDAINAggCCAIIAggCCAIIAggCCAIIAggCCAIIAggCCAIIAggCCAISAgMCQwIeAALZAgICSwIEAgUCBgIHAggCCQIKAgsCDAINAggCCAIIAggCCAIIAggCCAIIAggCCAIIAggCCAIIAggCCAISAgMC1QIeAALZAgICGwIEAgUCBgIHAggCCQIKAgsCDAINAggCCAIIAggCCAIIAggCCAIIAggCCAIIAggCCAIIAggCCAISAgMCHAIeAALZAgICggIEAgUCBgIHAggCCQKpAgsCDAINAggCCAIIAggCCAIIAggCCAIIAggCCAIIAggCCAJ3lQgCCAIIAhICAwK8Ah4AAtkCAgIdAgQCBQIGAgcCCAIJAqkCCwIMAg0CCAIIAggCCAIIAggCCAIIAggCCAIIAggCCAIIAggCCAIIAhICAwJQAh4AAtkCAgJPAgQCBQIGAgcCCAIJAgoCCwIMAg0CCAIIAggCCAIIAggCCAIIAggCCAIIAggCCAIIAggCCAIIAhICAwLbc3EAfgAAAAAAAnNxAH4ABP///////////////v////7/////dXEAfgAHAAAABAcZP5l4eHoAAAKyAh4AAtkCAgIxAgQCBQIGAgcCCAIJAqkCCwIMAg0CCAIIAggCCAIIAggCCAIIAggCCAIIAggCCAIIAggCCAIIAhICAwK9Ah4AAtkCAgKFAgQCBQIGAgcCCAIJAjgCCwIMAg0CCAIIAggCCAIIAggCCAIIAggCCAIIAggCCAIIAggCCAIIAhICAwLTAh4AAtkCAgIlAgQCBQIGAgcCCAIJAjgCCwIMAg0CCAIIAggCCAIIAggCCAIIAggCCAIIAggCCAIIAggCCAIIAhICAwI8Ah4AAtkCAgJTAgQCBQIGAgcCCAIJAqkCCwIMAg0CCAIIAggCCAIIAggCCAIIAggCCAIIAggCCAIIAggCCAIIAhICAwLEAh4AAtkCAgJWAgQCBQIGAgcCCAIJAqkCCwIMAg0CCAIIAggCCAIIAggCCAIIAggCCAIIAggCCAIIAggCCAIIAhICAwLKAh4AAtkCAgJZAgQCBQIGAgcCCAIJAgoCCwIMAg0CCAIIAggCCAIIAggCCAIIAggCCAIIAggCCAIIAggCCAIIAhICAwKvAh4AAtkCAgIrAgQCBQIGAgcCCAIJAgoCCwIMAg0CCAIIAggCCAIIAggCCAIIAggCCAIIAggCCAIIAggCCAIIAhICAwIsAh4AAtkCAgIpAgQCBQIGAgcCCAIJAjgCCwIMAg0CCAIIAggCCAIIAggCCAIIAggCCAIIAggCCAIIAggCCAIIAhICAwI9Ah4AAtkCAgIvAgQCBQIGAgcCCAIJAgoCCwIMAg0CCAIIAggCCAIIAggCCAIIAggCCAIIAggCCAIIAggCCAIIAhICAwIwAh4AAtkCAgJmAgQCBQIGAgcCCAIJAgoCCwIMAg0CCAIIAggCCAIIAggCCAIIAggCCAIIAggCCAIIAggCCAIIAhICAwLcc3EAfgAAAAAAAnNxAH4ABP///////////////v////7/////dXEAfgAHAAAABARKQZV4eHeKAh4AAtkCAgIDAgQCBQIGAgcCCAIJAqkCCwIMAg0CCAIIAggCCAIIAggCCAIIAggCCAIIAggCCAIIAggCCAIIAhICAwLMAh4AAtkCAgJPAgQCBQIGAgcCCAIJAjgCCwIMAg0CCAIIAggCCAIIAggCCAIIAggCCAIIAggCCAIIAggCCAIIAhICAwLdc3EAfgAAAAAAAnNxAH4ABP///////////////v////7/////dXEAfgAHAAAABFqpyF94eHoAAAQAAh4AAtkCAgIbAgQCBQIGAgcCCAIJAjgCCwIMAg0CCAIIAggCCAIIAggCCAIIAggCCAIIAggCCAIIAggCCAIIAhICAwJGAh4AAtkCAgJLAgQCBQIGAgcCCAIJAjgCCwIMAg0CCAIIAggCCAIIAggCCAIIAggCCAIIAggCCAIIAggCCAIIAhICAwK0Ah4AAtkCAgJZAgQCBQIGAgcCCAIJAqkCCwIMAg0CCAIIAggCCAIIAggCCAIIAggCCAIIAggCCAIIAggCCAIIAhICAwLXAh4AAtkCAgKFAgQCBQIGAgcCCAIJAqkCCwIMAg0CCAIIAggCCAIIAggCCAIIAggCCAIIAggCCAIIAggCCAIIAhICAwKzAh4AAtkCAgJ1AgQCBQIGAgcCCAIJAgoCCwIMAg0CCAIIAggCCAIIAggCCAIIAggCCAIIAggCCAIIAggCCAIIAhICAwLNAh4AAtkCAgItAgQCBQIGAgcCCAIJAqkCCwIMAg0CCAIIAggCCAIIAggCCAIIAggCCAIIAggCCAIIAggCCAIIAhICAwLWAh4AAtkCAgIdAgQCBQIGAgcCCAIJAgoCCwIMAg0CCAIIAggCCAIIAggCCAIIAggCCAIIAggCCAIIAggCCAIIAhICAwIeAh4AAtkCAgI1AgQCBQIGAgcCCAIJAgoCCwIMAg0CCAIIAggCCAIIAggCCAIIAggCCAIIAggCCAIIAggCCAIIAhICAwI2Ah4AAtkCAgKCAgQCBQIGAgcCCAIJAjgCCwIMAg0CCAIIAggCCAIIAggCCAIIAggCCAIIAggCCAIIAggCCAIIAhICAwLJAh4AAtkCAgIzAgQCBQIGAgcCCAIJAgoCCwIMAg0CCAIIAggCCAIIAggCCAIIAggCCAIIAggCCAIIAggCCAIIAhICAwI0Ah4AAtkCAgInAgQCBQIGAgcCCAIJAgoCCwIMAg0CCAIIAggCCAIIAggCCAIIAggCCAIIAggCCAIIAggCCAIIAhICAwIoAh4AAtkCAgJpAgQCBQIGAgcCCAIJAgoCCwIMAg0CCAIIAggCCAIIAggCCAIIAggCCAIIAggCCAIIAggCCAIIAhICAwLUAh4AAtkCAgIlAgQCBQIGAgcCCAIJAqkCCwIMAg0CCAIIAggCCAIIAggCCAIIAggCCAIIAggCCAIIAggCCAIIAhICAwJQAh4AAtkCAgIxAgQCBQIGAgcCCAIJAjgCCwIMAg0CCAIIAggCCAIIAggCCAIIAggCCAIIAggCCAIIAggCCAIIAhICAwI5Ah4AAtkCAgIhAgQCBQIGAgcCCAIJAjgCCwIMAg0CCAIIAggCCAIIAggCCAIIAggCCAIIAggCCAIIAnoAAAQACAIIAggCEgIDAjoCHgAC3gAJNDMwOTg1NDcyAgIChQIEAgUCBgIHAggCCQI4AgsCDAINAggCCAIIAggCCAIIAggCCAIIAggCCAIIAggCCAIIAggCCAIaAgMC0wIeAALeAgICHwIEAgUCBgIHAggCCQKpAgsCDAINAggCCAIIAggCCAIIAggCCAIIAggCCAIIAggCCAIIAggCCAIaAgMC0AIeAALeAgICIwIEAgUCBgIHAggCCQI4AgsCDAINAggCCAIIAggCCAIIAggCCAIIAggCCAIIAggCCAIIAggCCAIaAgMCOwIeAALeAgICMQIEAgUCBgIHAggCCQKpAgsCDAINAggCCAIIAggCCAIIAggCCAIIAggCCAIIAggCCAIIAggCCAIaAgMCvQIeAALeAgICKQIEAgUCBgIHAggCCQIKAgsCDAINAggCCAIIAggCCAIIAggCCAIIAggCCAIIAggCCAIIAggCCAIaAgMCKgIeAALeAgICeAIEAgUCBgIHAggCCQKpAgsCDAINAggCCAIIAggCCAIIAggCCAIIAggCCAIIAggCCAIIAggCCAIaAgMC0gIeAALeAgICLQIEAgUCBgIHAggCCQIKAgsCDAINAggCCAIIAggCCAIIAggCCAIIAggCCAIIAggCCAIIAggCCAIaAgMCLgIeAALeAgICggIEAgUCBgIHAggCCQKpAgsCDAINAggCCAIIAggCCAIIAggCCAIIAggCCAIIAggCCAIIAggCCAIaAgMCvAIeAALeAgICSwIEAgUCBgIHAggCCQIKAgsCDAINAggCCAIIAggCCAIIAggCCAIIAggCCAIIAggCCAIIAggCCAIaAgMC1QIeAALeAgICGwIEAgUCBgIHAggCCQIKAgsCDAINAggCCAIIAggCCAIIAggCCAIIAggCCAIIAggCCAIIAggCCAIaAgMCHAIeAALeAgICdQIEAgUCBgIHAggCCQI4AgsCDAINAggCCAIIAggCCAIIAggCCAIIAggCCAIIAggCCAIIAggCCAIaAgMCtwIeAALeAgICLwIEAgUCBgIHAggCCQI4AgsCDAINAggCCAIIAggCCAIIAggCCAIIAggCCAIIAggCCAIIAggCCAIaAgMCQwIeAALeAgICNQIEAgUCBgIHAggCCQI4AgsCDAINAggCCAIIAggCCAIIAggCCAIIAggCCAIIAggCCAIIAggCCAIaAgMCRQIeAALeAgICUwIEAgUCBgIHAggCCQKpAgsCDAINAggCCAIIAggCCAIIAggCCAIIAggCCAIIAggCCAIIAggCCAIaAgMCxAIeAALeAgICAwIEAgUCBgIHAggCCQKpAgsCDAINAggCCAIIAnoAAAQACAIIAggCCAIIAggCCAIIAggCCAIIAggCCAIIAhoCAwLMAh4AAt4CAgJLAgQCBQIGAgcCCAIJAjgCCwIMAg0CCAIIAggCCAIIAggCCAIIAggCCAIIAggCCAIIAggCCAIIAhoCAwK0Ah4AAt4CAgIvAgQCBQIGAgcCCAIJAgoCCwIMAg0CCAIIAggCCAIIAggCCAIIAggCCAIIAggCCAIIAggCCAIIAhoCAwIwAh4AAt4CAgKFAgQCBQIGAgcCCAIJAqkCCwIMAg0CCAIIAggCCAIIAggCCAIIAggCCAIIAggCCAIIAggCCAIIAhoCAwKzAh4AAt4CAgIhAgQCBQIGAgcCCAIJAqkCCwIMAg0CCAIIAggCCAIIAggCCAIIAggCCAIIAggCCAIIAggCCAIIAhoCAwJQAh4AAt4CAgIjAgQCBQIGAgcCCAIJAqkCCwIMAg0CCAIIAggCCAIIAggCCAIIAggCCAIIAggCCAIIAggCCAIIAhoCAwJQAh4AAt4CAgIrAgQCBQIGAgcCCAIJAgoCCwIMAg0CCAIIAggCCAIIAggCCAIIAggCCAIIAggCCAIIAggCCAIIAhoCAwIsAh4AAt4CAgKCAgQCBQIGAgcCCAIJAjgCCwIMAg0CCAIIAggCCAIIAggCCAIIAggCCAIIAggCCAIIAggCCAIIAhoCAwLJAh4AAt4CAgJZAgQCBQIGAgcCCAIJAgoCCwIMAg0CCAIIAggCCAIIAggCCAIIAggCCAIIAggCCAIIAggCCAIIAhoCAwKvAh4AAt4CAgIxAgQCBQIGAgcCCAIJAjgCCwIMAg0CCAIIAggCCAIIAggCCAIIAggCCAIIAggCCAIIAggCCAIIAhoCAwI5Ah4AAt4CAgI1AgQCBQIGAgcCCAIJAgoCCwIMAg0CCAIIAggCCAIIAggCCAIIAggCCAIIAggCCAIIAggCCAIIAhoCAwI2Ah4AAt4CAgJ7AgQCBQIGAgcCCAIJAqkCCwIMAg0CCAIIAggCCAIIAggCCAIIAggCCAIIAggCCAIIAggCCAIIAhoCAwLRAh4AAt4CAgIpAgQCBQIGAgcCCAIJAqkCCwIMAg0CCAIIAggCCAIIAggCCAIIAggCCAIIAggCCAIIAggCCAIIAhoCAwLOAh4AAt4CAgIdAgQCBQIGAgcCCAIJAgoCCwIMAg0CCAIIAggCCAIIAggCCAIIAggCCAIIAggCCAIIAggCCAIIAhoCAwIeAh4AAt4CAgJ1AgQCBQIGAgcCCAIJAgoCCwIMAg0CCAIIAggCCAIIAggCCAIIAggCCAIIAggCCAIIAggCCAIIAhoCAwLNAh4AAt4CAgJWAgQCBQIGAgcCCAIJAgoCC3oAAAQAAgwCDQIIAggCCAIIAggCCAIIAggCCAIIAggCCAIIAggCCAIIAggCGgIDArUCHgAC3gICAhsCBAIFAgYCBwIIAgkCOAILAgwCDQIIAggCCAIIAggCCAIIAggCCAIIAggCCAIIAggCCAIIAggCGgIDAkYCHgAC3gICAngCBAIFAgYCBwIIAgkCCgILAgwCDQIIAggCCAIIAggCCAIIAggCCAIIAggCCAIIAggCCAIIAggCGgIDAsECHgAC3gICAh8CBAIFAgYCBwIIAgkCCgILAgwCDQIIAggCCAIIAggCCAIIAggCCAIIAggCCAIIAggCCAIIAggCGgIDAiACHgAC3gICAlMCBAIFAgYCBwIIAgkCOAILAgwCDQIIAggCCAIIAggCCAIIAggCCAIIAggCCAIIAggCCAIIAggCGgIDAtgCHgAC3gICAlYCBAIFAgYCBwIIAgkCOAILAgwCDQIIAggCCAIIAggCCAIIAggCCAIIAggCCAIIAggCCAIIAggCGgIDAr4CHgAC3gICAhsCBAIFAgYCBwIIAgkCqQILAgwCDQIIAggCCAIIAggCCAIIAggCCAIIAggCCAIIAggCCAIIAggCGgIDAr8CHgAC3gICAksCBAIFAgYCBwIIAgkCqQILAgwCDQIIAggCCAIIAggCCAIIAggCCAIIAggCCAIIAggCCAIIAggCGgIDAsACHgAC3gICAl8CBAIFAgYCBwIIAgkCOAILAgwCDQIIAggCCAIIAggCCAIIAggCCAIIAggCCAIIAggCCAIIAggCGgIDAs8CHgAC3gICAmkCBAIFAgYCBwIIAgkCOAILAgwCDQIIAggCCAIIAggCCAIIAggCCAIIAggCCAIIAggCCAIIAggCGgIDAscCHgAC3gICAmkCBAIFAgYCBwIIAgkCCgILAgwCDQIIAggCCAIIAggCCAIIAggCCAIIAggCCAIIAggCCAIIAggCGgIDAtQCHgAC3gICAoICBAIFAgYCBwIIAgkCCgILAgwCDQIIAggCCAIIAggCCAIIAggCCAIIAggCCAIIAggCCAIIAggCGgIDAsgCHgAC3gICAnsCBAIFAgYCBwIIAgkCCgILAgwCDQIIAggCCAIIAggCCAIIAggCCAIIAggCCAIIAggCCAIIAggCGgIDAroCHgAC3gICAiECBAIFAgYCBwIIAgkCOAILAgwCDQIIAggCCAIIAggCCAIIAggCCAIIAggCCAIIAggCCAIIAggCGgIDAjoCHgAC3gICAicCBAIFAgYCBwIIAgkCOAILAgwCDQIIAggCCAIIAggCCAIIAggCCAIIAggCCAIIAggCCAIIAggCGgIDAj4CHgAC3gICAlkCBAIFAnoAAAQABgIHAggCCQKpAgsCDAINAggCCAIIAggCCAIIAggCCAIIAggCCAIIAggCCAIIAggCCAIaAgMC1wIeAALeAgICKwIEAgUCBgIHAggCCQKpAgsCDAINAggCCAIIAggCCAIIAggCCAIIAggCCAIIAggCCAIIAggCCAIaAgMCxQIeAALeAgICJwIEAgUCBgIHAggCCQIKAgsCDAINAggCCAIIAggCCAIIAggCCAIIAggCCAIIAggCCAIIAggCCAIaAgMCKAIeAALeAgICewIEAgUCBgIHAggCCQI4AgsCDAINAggCCAIIAggCCAIIAggCCAIIAggCCAIIAggCCAIIAggCCAIaAgMCxgIeAALeAgICLQIEAgUCBgIHAggCCQKpAgsCDAINAggCCAIIAggCCAIIAggCCAIIAggCCAIIAggCCAIIAggCCAIaAgMC1gIeAALeAgICXwIEAgUCBgIHAggCCQKpAgsCDAINAggCCAIIAggCCAIIAggCCAIIAggCCAIIAggCCAIIAggCCAIaAgMCwgIeAALeAgICAwIEAgUCBgIHAggCCQI4AgsCDAINAggCCAIIAggCCAIIAggCCAIIAggCCAIIAggCCAIIAggCCAIaAgMCRAIeAALeAgICHQIEAgUCBgIHAggCCQI4AgsCDAINAggCCAIIAggCCAIIAggCCAIIAggCCAIIAggCCAIIAggCCAIaAgMCQgIeAALeAgICIwIEAgUCBgIHAggCCQIKAgsCDAINAggCCAIIAggCCAIIAggCCAIIAggCCAIIAggCCAIIAggCCAIaAgMCJAIeAALeAgICIQIEAgUCBgIHAggCCQIKAgsCDAINAggCCAIIAggCCAIIAggCCAIIAggCCAIIAggCCAIIAggCCAIaAgMCIgIeAALeAgICAwIEAgUCBgIHAggCCQIKAgsCDAINAggCCAIIAggCCAIIAggCCAIIAggCCAIIAggCCAIIAggCCAIaAgMCDgIeAALeAgICHQIEAgUCBgIHAggCCQKpAgsCDAINAggCCAIIAggCCAIIAggCCAIIAggCCAIIAggCCAIIAggCCAIaAgMCUAIeAALeAgICVgIEAgUCBgIHAggCCQKpAgsCDAINAggCCAIIAggCCAIIAggCCAIIAggCCAIIAggCCAIIAggCCAIaAgMCygIeAALeAgICdQIEAgUCBgIHAggCCQKpAgsCDAINAggCCAIIAggCCAIIAggCCAIIAggCCAIIAggCCAIIAggCCAIaAgMCsAIeAALeAgIChQIEAgUCBgIHAggCCQIKAgsCDAINAggCCAIIAggCCAIIAggCCAIIAggCCAIIAggCCAIIAggCCAIaAgMCuwIeAHoAAAQAAt4CAgJfAgQCBQIGAgcCCAIJAgoCCwIMAg0CCAIIAggCCAIIAggCCAIIAggCCAIIAggCCAIIAggCCAIIAhoCAwKxAh4AAt4CAgIrAgQCBQIGAgcCCAIJAjgCCwIMAg0CCAIIAggCCAIIAggCCAIIAggCCAIIAggCCAIIAggCCAIIAhoCAwI/Ah4AAt4CAgIpAgQCBQIGAgcCCAIJAjgCCwIMAg0CCAIIAggCCAIIAggCCAIIAggCCAIIAggCCAIIAggCCAIIAhoCAwI9Ah4AAt4CAgIxAgQCBQIGAgcCCAIJAgoCCwIMAg0CCAIIAggCCAIIAggCCAIIAggCCAIIAggCCAIIAggCCAIIAhoCAwIyAh4AAt4CAgJZAgQCBQIGAgcCCAIJAjgCCwIMAg0CCAIIAggCCAIIAggCCAIIAggCCAIIAggCCAIIAggCCAIIAhoCAwK4Ah4AAt4CAgInAgQCBQIGAgcCCAIJAqkCCwIMAg0CCAIIAggCCAIIAggCCAIIAggCCAIIAggCCAIIAggCCAIIAhoCAwK5Ah4AAt4CAgJpAgQCBQIGAgcCCAIJAqkCCwIMAg0CCAIIAggCCAIIAggCCAIIAggCCAIIAggCCAIIAggCCAIIAhoCAwLLAh4AAt4CAgIvAgQCBQIGAgcCCAIJAqkCCwIMAg0CCAIIAggCCAIIAggCCAIIAggCCAIIAggCCAIIAggCCAIIAhoCAwKuAh4AAt4CAgI1AgQCBQIGAgcCCAIJAqkCCwIMAg0CCAIIAggCCAIIAggCCAIIAggCCAIIAggCCAIIAggCCAIIAhoCAwKyAh4AAt4CAgJ4AgQCBQIGAgcCCAIJAjgCCwIMAg0CCAIIAggCCAIIAggCCAIIAggCCAIIAggCCAIIAggCCAIIAhoCAwLDAh4AAt4CAgJTAgQCBQIGAgcCCAIJAgoCCwIMAg0CCAIIAggCCAIIAggCCAIIAggCCAIIAggCCAIIAggCCAIIAhoCAwK2Ah4AAt4CAgItAgQCBQIGAgcCCAIJAjgCCwIMAg0CCAIIAggCCAIIAggCCAIIAggCCAIIAggCCAIIAggCCAIIAhoCAwJAAh4AAt4CAgIfAgQCBQIGAgcCCAIJAjgCCwIMAg0CCAIIAggCCAIIAggCCAIIAggCCAIIAggCCAIIAggCCAIIAhoCAwJHAh4AAt8ACTQxNzAyMDU0NAICAnsCBAIFAgYCBwIIAgkCOAILAkkCDQIIAggCCAIIAggCCAIIAggCCAIIAggCCAIIAggCCAIIAggCFwIDApoCHgAC3wICAmkCBAIFAgYCBwIIAgkCTAILAkkCDQIIAggCCAIIAggCCAIIAggCCAIIAnoAAAQACAIIAggCCAIIAggCCAIXAgMCcQIeAALfAgICggIEAgUCBgIHAggCCQIKAgsCSQINAggCCAIIAggCCAIIAggCCAIIAggCCAIIAggCCAIIAggCCAIXAgMCmQIeAALfAgICJwIEAgUCBgIHAggCCQJMAgsCSQINAggCCAIIAggCCAIIAggCCAIIAggCCAIIAggCCAIIAggCCAIXAgMCjgIeAALfAgICHQIEAgUCBgIHAggCCQJMAgsCSQINAggCCAIIAggCCAIIAggCCAIIAggCCAIIAggCCAIIAggCCAIXAgMCUAIeAALfAgICeAIEAgUCBgIHAggCCQI4AgsCSQINAggCCAIIAggCCAIIAggCCAIIAggCCAIIAggCCAIIAggCCAIXAgMCjQIeAALfAgICJwIEAgUCBgIHAggCCQI4AgsCSQINAggCCAIIAggCCAIIAggCCAIIAggCCAIIAggCCAIIAggCCAIXAgMCbQIeAALfAgICVgIEAgUCBgIHAggCCQJMAgsCSQINAggCCAIIAggCCAIIAggCCAIIAggCCAIIAggCCAIIAggCCAIXAgMCfwIeAALfAgICMQIEAgUCBgIHAggCCQIKAgsCSQINAggCCAIIAggCCAIIAggCCAIIAggCCAIIAggCCAIIAggCCAIXAgMCkwIeAALfAgICeAIEAgUCBgIHAggCCQIKAgsCSQINAggCCAIIAggCCAIIAggCCAIIAggCCAIIAggCCAIIAggCCAIXAgMCeQIeAALfAgICAwIEAgUCBgIHAggCCQI4AgsCSQINAggCCAIIAggCCAIIAggCCAIIAggCCAIIAggCCAIIAggCCAIXAgMCoQIeAALfAgICUwIEAgUCBgIHAggCCQI4AgsCSQINAggCCAIIAggCCAIIAggCCAIIAggCCAIIAggCCAIIAggCCAIXAgMCpAIeAALfAgICUwIEAgUCBgIHAggCCQJMAgsCSQINAggCCAIIAggCCAIIAggCCAIIAggCCAIIAggCCAIIAggCCAIXAgMCpQIeAALfAgICAwIEAgUCBgIHAggCCQJMAgsCSQINAggCCAIIAggCCAIIAggCCAIIAggCCAIIAggCCAIIAggCCAIXAgMCmAIeAALfAgICVgIEAgUCBgIHAggCCQI4AgsCSQINAggCCAIIAggCCAIIAggCCAIIAggCCAIIAggCCAIIAggCCAIXAgMCfgIeAALfAgICHQIEAgUCBgIHAggCCQI4AgsCSQINAggCCAIIAggCCAIIAggCCAIIAggCCAIIAggCCAIIAggCCAIXAgMCawIeAALfAgICaQIEAgUCBgIHAggCCQI4AgsCSQINAggCCAIIAggCCHoAAAQAAggCCAIIAggCCAIIAggCCAIIAggCCAIIAhcCAwJqAh4AAt8CAgJ7AgQCBQIGAgcCCAIJAkwCCwJJAg0CCAIIAggCCAIIAggCCAIIAggCCAIIAggCCAIIAggCCAIIAhcCAwKMAh4AAt8CAgIfAgQCBQIGAgcCCAIJAgoCCwJJAg0CCAIIAggCCAIIAggCCAIIAggCCAIIAggCCAIIAggCCAIIAhcCAwJvAh4AAt8CAgIrAgQCBQIGAgcCCAIJAjgCCwJJAg0CCAIIAggCCAIIAggCCAIIAggCCAIIAggCCAIIAggCCAIIAhcCAwJVAh4AAt8CAgIvAgQCBQIGAgcCCAIJAjgCCwJJAg0CCAIIAggCCAIIAggCCAIIAggCCAIIAggCCAIIAggCCAIIAhcCAwJ6Ah4AAt8CAgJ1AgQCBQIGAgcCCAIJAjgCCwJJAg0CCAIIAggCCAIIAggCCAIIAggCCAIIAggCCAIIAggCCAIIAhcCAwJ2Ah4AAt8CAgJZAgQCBQIGAgcCCAIJAjgCCwJJAg0CCAIIAggCCAIIAggCCAIIAggCCAIIAggCCAIIAggCCAIIAhcCAwJaAh4AAt8CAgIrAgQCBQIGAgcCCAIJAkwCCwJJAg0CCAIIAggCCAIIAggCCAIIAggCCAIIAggCCAIIAggCCAIIAhcCAwJzAh4AAt8CAgItAgQCBQIGAgcCCAIJAkwCCwJJAg0CCAIIAggCCAIIAggCCAIIAggCCAIIAggCCAIIAggCCAIIAhcCAwJiAh4AAt8CAgKFAgQCBQIGAgcCCAIJAgoCCwJJAg0CCAIIAggCCAIIAggCCAIIAggCCAIIAggCCAIIAggCCAIIAhcCAwKGAh4AAt8CAgJ7AgQCBQIGAgcCCAIJAgoCCwJJAg0CCAIIAggCCAIIAggCCAIIAggCCAIIAggCCAIIAggCCAIIAhcCAwJ8Ah4AAt8CAgIlAgQCBQIGAgcCCAIJAgoCCwJJAg0CCAIIAggCCAIIAggCCAIIAggCCAIIAggCCAIIAggCCAIIAhcCAwKBAh4AAt8CAgIpAgQCBQIGAgcCCAIJAgoCCwJJAg0CCAIIAggCCAIIAggCCAIIAggCCAIIAggCCAIIAggCCAIIAhcCAwJ0Ah4AAt8CAgJ4AgQCBQIGAgcCCAIJAkwCCwJJAg0CCAIIAggCCAIIAggCCAIIAggCCAIIAggCCAIIAggCCAIIAhcCAwKRAh4AAt8CAgIfAgQCBQIGAgcCCAIJAkwCCwJJAg0CCAIIAggCCAIIAggCCAIIAggCCAIIAggCCAIIAggCCAIIAhcCAwKSAh4AAt8CAgJTAgQCBQIGAgcCCAIJAgoCCwJJAnoAAAQADQIIAggCCAIIAggCCAIIAggCCAIIAggCCAIIAggCCAIIAggCFwIDAlQCHgAC3wICAiMCBAIFAgYCBwIIAgkCCgILAkkCDQIIAggCCAIIAggCCAIIAggCCAIIAggCCAIIAggCCAIIAggCFwIDApQCHgAC3wICAh8CBAIFAgYCBwIIAgkCOAILAkkCDQIIAggCCAIIAggCCAIIAggCCAIIAggCCAIIAggCCAIIAggCFwIDAo8CHgAC3wICAi0CBAIFAgYCBwIIAgkCOAILAkkCDQIIAggCCAIIAggCCAIIAggCCAIIAggCCAIIAggCCAIIAggCFwIDAkoCHgAC3wICAlkCBAIFAgYCBwIIAgkCTAILAkkCDQIIAggCCAIIAggCCAIIAggCCAIIAggCCAIIAggCCAIIAggCFwIDAnICHgAC3wICAgMCBAIFAgYCBwIIAgkCCgILAkkCDQIIAggCCAIIAggCCAIIAggCCAIIAggCCAIIAggCCAIIAggCFwIDAlsCHgAC3wICAikCBAIFAgYCBwIIAgkCOAILAkkCDQIIAggCCAIIAggCCAIIAggCCAIIAggCCAIIAggCCAIIAggCFwIDAl4CHgAC3wICAjUCBAIFAgYCBwIIAgkCTAILAkkCDQIIAggCCAIIAggCCAIIAggCCAIIAggCCAIIAggCCAIIAggCFwIDAmwCHgAC3wICAlkCBAIFAgYCBwIIAgkCCgILAkkCDQIIAggCCAIIAggCCAIIAggCCAIIAggCCAIIAggCCAIIAggCFwIDAmECHgAC3wICAiUCBAIFAgYCBwIIAgkCTAILAkkCDQIIAggCCAIIAggCCAIIAggCCAIIAggCCAIIAggCCAIIAggCFwIDAlACHgAC3wICAiECBAIFAgYCBwIIAgkCCgILAkkCDQIIAggCCAIIAggCCAIIAggCCAIIAggCCAIIAggCCAIIAggCFwIDAmUCHgAC3wICAiUCBAIFAgYCBwIIAgkCOAILAkkCDQIIAggCCAIIAggCCAIIAggCCAIIAggCCAIIAggCCAIIAggCFwIDAmMCHgAC3wICAisCBAIFAgYCBwIIAgkCCgILAkkCDQIIAggCCAIIAggCCAIIAggCCAIIAggCCAIIAggCCAIIAggCFwIDAlwCHgAC3wICAoUCBAIFAgYCBwIIAgkCOAILAkkCDQIIAggCCAIIAggCCAIIAggCCAIIAggCCAIIAggCCAIIAggCFwIDApsCHgAC3wICAjUCBAIFAgYCBwIIAgkCOAILAkkCDQIIAggCCAIIAggCCAIIAggCCAIIAggCCAIIAggCCAIIAggCFwIDAm4CHgAC3wICAi8CBAIFAgYCB3oAAAQAAggCCQJMAgsCSQINAggCCAIIAggCCAIIAggCCAIIAggCCAIIAggCCAIIAggCCAIXAgMCdwIeAALfAgICdQIEAgUCBgIHAggCCQJMAgsCSQINAggCCAIIAggCCAIIAggCCAIIAggCCAIIAggCCAIIAggCCAIXAgMCgAIeAALfAgICXwIEAgUCBgIHAggCCQIKAgsCSQINAggCCAIIAggCCAIIAggCCAIIAggCCAIIAggCCAIIAggCCAIXAgMCYAIeAALfAgICKQIEAgUCBgIHAggCCQJMAgsCSQINAggCCAIIAggCCAIIAggCCAIIAggCCAIIAggCCAIIAggCCAIXAgMCXQIeAALfAgICSwIEAgUCBgIHAggCCQIKAgsCSQINAggCCAIIAggCCAIIAggCCAIIAggCCAIIAggCCAIIAggCCAIXAgMClgIeAALfAgIChQIEAgUCBgIHAggCCQJMAgsCSQINAggCCAIIAggCCAIIAggCCAIIAggCCAIIAggCCAIIAggCCAIXAgMCnAIeAALfAgICMwIEAgUCBgIHAggCCQJMAgsCSQINAggCCAIIAggCCAIIAggCCAIIAggCCAIIAggCCAIIAggCCAIXAgMCUAIeAALfAgICMwIEAgUCBgIHAggCCQI4AgsCSQINAggCCAIIAggCCAIIAggCCAIIAggCCAIIAggCCAIIAggCCAIXAgMCaAIeAALfAgICLQIEAgUCBgIHAggCCQIKAgsCSQINAggCCAIIAggCCAIIAggCCAIIAggCCAIIAggCCAIIAggCCAIXAgMCcAIeAALfAgICGwIEAgUCBgIHAggCCQIKAgsCSQINAggCCAIIAggCCAIIAggCCAIIAggCCAIIAggCCAIIAggCCAIXAgMClwIeAALfAgICaQIEAgUCBgIHAggCCQIKAgsCSQINAggCCAIIAggCCAIIAggCCAIIAggCCAIIAggCCAIIAggCCAIXAgMCogIeAALfAgICggIEAgUCBgIHAggCCQJMAgsCSQINAggCCAIIAggCCAIIAggCCAIIAggCCAIIAggCCAIIAggCCAIXAgMCiAIeAALfAgICIQIEAgUCBgIHAggCCQI4AgsCSQINAggCCAIIAggCCAIIAggCCAIIAggCCAIIAggCCAIIAggCCAIXAgMCoAIeAALfAgICXwIEAgUCBgIHAggCCQI4AgsCSQINAggCCAIIAggCCAIIAggCCAIIAggCCAIIAggCCAIIAggCCAIXAgMCngIeAALfAgICMQIEAgUCBgIHAggCCQJMAgsCSQINAggCCAIIAggCCAIIAggCCAIIAggCCAIIAggCCAIIAggCCAIXAgMChwIeAALfAnoAAAQAAgJLAgQCBQIGAgcCCAIJAkwCCwJJAg0CCAIIAggCCAIIAggCCAIIAggCCAIIAggCCAIIAggCCAIIAhcCAwJNAh4AAt8CAgIxAgQCBQIGAgcCCAIJAjgCCwJJAg0CCAIIAggCCAIIAggCCAIIAggCCAIIAggCCAIIAggCCAIIAhcCAwKEAh4AAt8CAgIjAgQCBQIGAgcCCAIJAjgCCwJJAg0CCAIIAggCCAIIAggCCAIIAggCCAIIAggCCAIIAggCCAIIAhcCAwKfAh4AAt8CAgInAgQCBQIGAgcCCAIJAgoCCwJJAg0CCAIIAggCCAIIAggCCAIIAggCCAIIAggCCAIIAggCCAIIAhcCAwKjAh4AAt8CAgIbAgQCBQIGAgcCCAIJAjgCCwJJAg0CCAIIAggCCAIIAggCCAIIAggCCAIIAggCCAIIAggCCAIIAhcCAwJSAh4AAt8CAgJLAgQCBQIGAgcCCAIJAjgCCwJJAg0CCAIIAggCCAIIAggCCAIIAggCCAIIAggCCAIIAggCCAIIAhcCAwJkAh4AAt8CAgIjAgQCBQIGAgcCCAIJAkwCCwJJAg0CCAIIAggCCAIIAggCCAIIAggCCAIIAggCCAIIAggCCAIIAhcCAwJQAh4AAt8CAgJfAgQCBQIGAgcCCAIJAkwCCwJJAg0CCAIIAggCCAIIAggCCAIIAggCCAIIAggCCAIIAggCCAIIAhcCAwKdAh4AAt8CAgKCAgQCBQIGAgcCCAIJAjgCCwJJAg0CCAIIAggCCAIIAggCCAIIAggCCAIIAggCCAIIAggCCAIIAhcCAwKDAh4AAt8CAgIhAgQCBQIGAgcCCAIJAkwCCwJJAg0CCAIIAggCCAIIAggCCAIIAggCCAIIAggCCAIIAggCCAIIAhcCAwJQAh4AAt8CAgIbAgQCBQIGAgcCCAIJAkwCCwJJAg0CCAIIAggCCAIIAggCCAIIAggCCAIIAggCCAIIAggCCAIIAhcCAwJOAh4AAt8CAgJWAgQCBQIGAgcCCAIJAgoCCwJJAg0CCAIIAggCCAIIAggCCAIIAggCCAIIAggCCAIIAggCCAIIAhcCAwJXAh4AAt8CAgJ1AgQCBQIGAgcCCAIJAgoCCwJJAg0CCAIIAggCCAIIAggCCAIIAggCCAIIAggCCAIIAggCCAIIAhcCAwKQAh4AAt8CAgIzAgQCBQIGAgcCCAIJAgoCCwJJAg0CCAIIAggCCAIIAggCCAIIAggCCAIIAggCCAIIAggCCAIIAhcCAwKLAh4AAt8CAgIvAgQCBQIGAgcCCAIJAgoCCwJJAg0CCAIIAggCCAIIAggCCAIIAggCCAIIAggCCAIIAggCCAIIAnoAAAQAFwIDAokCHgAC3wICAh0CBAIFAgYCBwIIAgkCCgILAkkCDQIIAggCCAIIAggCCAIIAggCCAIIAggCCAIIAggCCAIIAggCFwIDAlECHgAC3wICAjUCBAIFAgYCBwIIAgkCCgILAkkCDQIIAggCCAIIAggCCAIIAggCCAIIAggCCAIIAggCCAIIAggCFwIDAooCHgAC4AAJNDE3MDE3MDY0AgICIQIEAgUCBgIHAggCCQKpAgsCDAINAggCCAIIAggCCAIIAggCCAIIAggCCAIIAggCCAIIAggCCAIUAgMCUAIeAALgAgICeAIEAgUCBgIHAggCCQI4AgsCDAINAggCCAIIAggCCAIIAggCCAIIAggCCAIIAggCCAIIAggCCAIUAgMCwwIeAALgAgICKwIEAgUCBgIHAggCCQKpAgsCDAINAggCCAIIAggCCAIIAggCCAIIAggCCAIIAggCCAIIAggCCAIUAgMCxQIeAALgAgICHwIEAgUCBgIHAggCCQI4AgsCDAINAggCCAIIAggCCAIIAggCCAIIAggCCAIIAggCCAIIAggCCAIUAgMCRwIeAALgAgICewIEAgUCBgIHAggCCQI4AgsCDAINAggCCAIIAggCCAIIAggCCAIIAggCCAIIAggCCAIIAggCCAIUAgMCxgIeAALgAgICIwIEAgUCBgIHAggCCQIKAgsCDAINAggCCAIIAggCCAIIAggCCAIIAggCCAIIAggCCAIIAggCCAIUAgMCJAIeAALgAgICAwIEAgUCBgIHAggCCQKpAgsCDAINAggCCAIIAggCCAIIAggCCAIIAggCCAIIAggCCAIIAggCCAIUAgMCzAIeAALgAgICLQIEAgUCBgIHAggCCQKpAgsCDAINAggCCAIIAggCCAIIAggCCAIIAggCCAIIAggCCAIIAggCCAIUAgMC1gIeAALgAgICggIEAgUCBgIHAggCCQIKAgsCDAINAggCCAIIAggCCAIIAggCCAIIAggCCAIIAggCCAIIAggCCAIUAgMCyAIeAALgAgICJwIEAgUCBgIHAggCCQI4AgsCDAINAggCCAIIAggCCAIIAggCCAIIAggCCAIIAggCCAIIAggCCAIUAgMCPgIeAALgAgICUwIEAgUCBgIHAggCCQKpAgsCDAINAggCCAIIAggCCAIIAggCCAIIAggCCAIIAggCCAIIAggCCAIUAgMCxAIeAALgAgICMQIEAgUCBgIHAggCCQIKAgsCDAINAggCCAIIAggCCAIIAggCCAIIAggCCAIIAggCCAIIAggCCAIUAgMCMgIeAALgAgICHQIEAgUCBgIHAggCCQI4AgsCDAINAggCCAIIAggCCAIIAnoAAAQACAIIAggCCAIIAggCCAIIAggCCAIIAhQCAwJCAh4AAuACAgJWAgQCBQIGAgcCCAIJAjgCCwIMAg0CCAIIAggCCAIIAggCCAIIAggCCAIIAggCCAIIAggCCAIIAhQCAwK+Ah4AAuACAgIbAgQCBQIGAgcCCAIJAqkCCwIMAg0CCAIIAggCCAIIAggCCAIIAggCCAIIAggCCAIIAggCCAIIAhQCAwK/Ah4AAuACAgJPAgQCBQIGAgcCCAIJAqkCCwIMAg0CCAIIAggCCAIIAggCCAIIAggCCAIIAggCCAIIAggCCAIIAhQCAwJQAh4AAuACAgJpAgQCBQIGAgcCCAIJAjgCCwIMAg0CCAIIAggCCAIIAggCCAIIAggCCAIIAggCCAIIAggCCAIIAhQCAwLHAh4AAuACAgJ4AgQCBQIGAgcCCAIJAgoCCwIMAg0CCAIIAggCCAIIAggCCAIIAggCCAIIAggCCAIIAggCCAIIAhQCAwLBAh4AAuACAgIDAgQCBQIGAgcCCAIJAjgCCwIMAg0CCAIIAggCCAIIAggCCAIIAggCCAIIAggCCAIIAggCCAIIAhQCAwJEAh4AAuACAgJZAgQCBQIGAgcCCAIJAqkCCwIMAg0CCAIIAggCCAIIAggCCAIIAggCCAIIAggCCAIIAggCCAIIAhQCAwLXAh4AAuACAgJfAgQCBQIGAgcCCAIJAqkCCwIMAg0CCAIIAggCCAIIAggCCAIIAggCCAIIAggCCAIIAggCCAIIAhQCAwLCAh4AAuACAgIfAgQCBQIGAgcCCAIJAgoCCwIMAg0CCAIIAggCCAIIAggCCAIIAggCCAIIAggCCAIIAggCCAIIAhQCAwIgAh4AAuACAgIvAgQCBQIGAgcCCAIJAjgCCwIMAg0CCAIIAggCCAIIAggCCAIIAggCCAIIAggCCAIIAggCCAIIAhQCAwJDAh4AAuACAgJ1AgQCBQIGAgcCCAIJAjgCCwIMAg0CCAIIAggCCAIIAggCCAIIAggCCAIIAggCCAIIAggCCAIIAhQCAwK3Ah4AAuACAgJ7AgQCBQIGAgcCCAIJAgoCCwIMAg0CCAIIAggCCAIIAggCCAIIAggCCAIIAggCCAIIAggCCAIIAhQCAwK6Ah4AAuACAgJZAgQCBQIGAgcCCAIJAjgCCwIMAg0CCAIIAggCCAIIAggCCAIIAggCCAIIAggCCAIIAggCCAIIAhQCAwK4Ah4AAuACAgIlAgQCBQIGAgcCCAIJAgoCCwIMAg0CCAIIAggCCAIIAggCCAIIAggCCAIIAggCCAIIAggCCAIIAhQCAwImAh4AAuACAgIrAgQCBQIGAgcCCAIJAjgCCwIMAg0CCHoAAAQAAggCCAIIAggCCAIIAggCCAIIAggCCAIIAggCCAIIAggCFAIDAj8CHgAC4AICAoUCBAIFAgYCBwIIAgkCCgILAgwCDQIIAggCCAIIAggCCAIIAggCCAIIAggCCAIIAggCCAIIAggCFAIDArsCHgAC4AICAksCBAIFAgYCBwIIAgkCqQILAgwCDQIIAggCCAIIAggCCAIIAggCCAIIAggCCAIIAggCCAIIAggCFAIDAsACHgAC4AICAlYCBAIFAgYCBwIIAgkCqQILAgwCDQIIAggCCAIIAggCCAIIAggCCAIIAggCCAIIAggCCAIIAggCFAIDAsoCHgAC4AICAikCBAIFAgYCBwIIAgkCCgILAgwCDQIIAggCCAIIAggCCAIIAggCCAIIAggCCAIIAggCCAIIAggCFAIDAioCHgAC4AICAjUCBAIFAgYCBwIIAgkCqQILAgwCDQIIAggCCAIIAggCCAIIAggCCAIIAggCCAIIAggCCAIIAggCFAIDArICHgAC4AICAh0CBAIFAgYCBwIIAgkCqQILAgwCDQIIAggCCAIIAggCCAIIAggCCAIIAggCCAIIAggCCAIIAggCFAIDAlACHgAC4AICAlMCBAIFAgYCBwIIAgkCCgILAgwCDQIIAggCCAIIAggCCAIIAggCCAIIAggCCAIIAggCCAIIAggCFAIDArYCHgAC4AICAi0CBAIFAgYCBwIIAgkCOAILAgwCDQIIAggCCAIIAggCCAIIAggCCAIIAggCCAIIAggCCAIIAggCFAIDAkACHgAC4AICAjMCBAIFAgYCBwIIAgkCqQILAgwCDQIIAggCCAIIAggCCAIIAggCCAIIAggCCAIIAggCCAIIAggCFAIDAlACHgAC4AICAicCBAIFAgYCBwIIAgkCqQILAgwCDQIIAggCCAIIAggCCAIIAggCCAIIAggCCAIIAggCCAIIAggCFAIDArkCHgAC4AICAmkCBAIFAgYCBwIIAgkCqQILAgwCDQIIAggCCAIIAggCCAIIAggCCAIIAggCCAIIAggCCAIIAggCFAIDAssCHgAC4AICAgMCBAIFAgYCBwIIAgkCCgILAgwCDQIIAggCCAIIAggCCAIIAggCCAIIAggCCAIIAggCCAIIAggCFAIDAg4CHgAC4AICAi8CBAIFAgYCBwIIAgkCqQILAgwCDQIIAggCCAIIAggCCAIIAggCCAIIAggCCAIIAggCCAIIAggCFAIDAq4CHgAC4AICAlkCBAIFAgYCBwIIAgkCCgILAgwCDQIIAggCCAIIAggCCAIIAggCCAIIAggCCAIIAggCCAIIAggCFAIDAq8CHgAC4AICAikCBAIFAgYCBwIIAnoAAAQACQI4AgsCDAINAggCCAIIAggCCAIIAggCCAIIAggCCAIIAggCCAIIAggCCAIUAgMCPQIeAALgAgICIwIEAgUCBgIHAggCCQKpAgsCDAINAggCCAIIAggCCAIIAggCCAIIAggCCAIIAggCCAIIAggCCAIUAgMCUAIeAALgAgICXwIEAgUCBgIHAggCCQIKAgsCDAINAggCCAIIAggCCAIIAggCCAIIAggCCAIIAggCCAIIAggCCAIUAgMCsQIeAALgAgICIQIEAgUCBgIHAggCCQIKAgsCDAINAggCCAIIAggCCAIIAggCCAIIAggCCAIIAggCCAIIAggCCAIUAgMCIgIeAALgAgICdQIEAgUCBgIHAggCCQKpAgsCDAINAggCCAIIAggCCAIIAggCCAIIAggCCAIIAggCCAIIAggCCAIUAgMCsAIeAALgAgICKwIEAgUCBgIHAggCCQIKAgsCDAINAggCCAIIAggCCAIIAggCCAIIAggCCAIIAggCCAIIAggCCAIUAgMCLAIeAALgAgICJQIEAgUCBgIHAggCCQI4AgsCDAINAggCCAIIAggCCAIIAggCCAIIAggCCAIIAggCCAIIAggCCAIUAgMCPAIeAALgAgICSwIEAgUCBgIHAggCCQIKAgsCDAINAggCCAIIAggCCAIIAggCCAIIAggCCAIIAggCCAIIAggCCAIUAgMC1QIeAALgAgICNQIEAgUCBgIHAggCCQI4AgsCDAINAggCCAIIAggCCAIIAggCCAIIAggCCAIIAggCCAIIAggCCAIUAgMCRQIeAALgAgICTwIEAgUCBgIHAggCCQIKAgsCDAINAggCCAIIAggCCAIIAggCCAIIAggCCAIIAggCCAIIAggCCAIUAgMC2wIeAALgAgICMQIEAgUCBgIHAggCCQKpAgsCDAINAggCCAIIAggCCAIIAggCCAIIAggCCAIIAggCCAIIAggCCAIUAgMCvQIeAALgAgIChQIEAgUCBgIHAggCCQI4AgsCDAINAggCCAIIAggCCAIIAggCCAIIAggCCAIIAggCCAIIAggCCAIUAgMC0wIeAALgAgICggIEAgUCBgIHAggCCQKpAgsCDAINAggCCAIIAggCCAIIAggCCAIIAggCCAIIAggCCAIIAggCCAIUAgMCvAIeAALgAgICLQIEAgUCBgIHAggCCQIKAgsCDAINAggCCAIIAggCCAIIAggCCAIIAggCCAIIAggCCAIIAggCCAIUAgMCLgIeAALgAgICMwIEAgUCBgIHAggCCQI4AgsCDAINAggCCAIIAggCCAIIAggCCAIIAggCCAIIAggCCAIIAggCCAIUAgMCQQIeAALgAgICG3oAAAQAAgQCBQIGAgcCCAIJAgoCCwIMAg0CCAIIAggCCAIIAggCCAIIAggCCAIIAggCCAIIAggCCAIIAhQCAwIcAh4AAuACAgIlAgQCBQIGAgcCCAIJAqkCCwIMAg0CCAIIAggCCAIIAggCCAIIAggCCAIIAggCCAIIAggCCAIIAhQCAwJQAh4AAuACAgIpAgQCBQIGAgcCCAIJAqkCCwIMAg0CCAIIAggCCAIIAggCCAIIAggCCAIIAggCCAIIAggCCAIIAhQCAwLOAh4AAuACAgJfAgQCBQIGAgcCCAIJAjgCCwIMAg0CCAIIAggCCAIIAggCCAIIAggCCAIIAggCCAIIAggCCAIIAhQCAwLPAh4AAuACAgIhAgQCBQIGAgcCCAIJAjgCCwIMAg0CCAIIAggCCAIIAggCCAIIAggCCAIIAggCCAIIAggCCAIIAhQCAwI6Ah4AAuACAgJpAgQCBQIGAgcCCAIJAgoCCwIMAg0CCAIIAggCCAIIAggCCAIIAggCCAIIAggCCAIIAggCCAIIAhQCAwLUAh4AAuACAgJTAgQCBQIGAgcCCAIJAjgCCwIMAg0CCAIIAggCCAIIAggCCAIIAggCCAIIAggCCAIIAggCCAIIAhQCAwLYAh4AAuACAgIfAgQCBQIGAgcCCAIJAqkCCwIMAg0CCAIIAggCCAIIAggCCAIIAggCCAIIAggCCAIIAggCCAIIAhQCAwLQAh4AAuACAgJ4AgQCBQIGAgcCCAIJAqkCCwIMAg0CCAIIAggCCAIIAggCCAIIAggCCAIIAggCCAIIAggCCAIIAhQCAwLSAh4AAuACAgInAgQCBQIGAgcCCAIJAgoCCwIMAg0CCAIIAggCCAIIAggCCAIIAggCCAIIAggCCAIIAggCCAIIAhQCAwIoAh4AAuACAgIjAgQCBQIGAgcCCAIJAjgCCwIMAg0CCAIIAggCCAIIAggCCAIIAggCCAIIAggCCAIIAggCCAIIAhQCAwI7Ah4AAuACAgKFAgQCBQIGAgcCCAIJAqkCCwIMAg0CCAIIAggCCAIIAggCCAIIAggCCAIIAggCCAIIAggCCAIIAhQCAwKzAh4AAuACAgIxAgQCBQIGAgcCCAIJAjgCCwIMAg0CCAIIAggCCAIIAggCCAIIAggCCAIIAggCCAIIAggCCAIIAhQCAwI5Ah4AAuACAgIbAgQCBQIGAgcCCAIJAjgCCwIMAg0CCAIIAggCCAIIAggCCAIIAggCCAIIAggCCAIIAggCCAIIAhQCAwJGAh4AAuACAgJLAgQCBQIGAgcCCAIJAjgCCwIMAg0CCAIIAggCCAIIAggCCAIIAggCCAIIAggCCAIIAggCCAIIAhQCA3oAAAQAArQCHgAC4AICAoICBAIFAgYCBwIIAgkCOAILAgwCDQIIAggCCAIIAggCCAIIAggCCAIIAggCCAIIAggCCAIIAggCFAIDAskCHgAC4AICAjMCBAIFAgYCBwIIAgkCCgILAgwCDQIIAggCCAIIAggCCAIIAggCCAIIAggCCAIIAggCCAIIAggCFAIDAjQCHgAC4AICAlYCBAIFAgYCBwIIAgkCCgILAgwCDQIIAggCCAIIAggCCAIIAggCCAIIAggCCAIIAggCCAIIAggCFAIDArUCHgAC4AICAnUCBAIFAgYCBwIIAgkCCgILAgwCDQIIAggCCAIIAggCCAIIAggCCAIIAggCCAIIAggCCAIIAggCFAIDAs0CHgAC4AICAh0CBAIFAgYCBwIIAgkCCgILAgwCDQIIAggCCAIIAggCCAIIAggCCAIIAggCCAIIAggCCAIIAggCFAIDAh4CHgAC4AICAk8CBAIFAgYCBwIIAgkCOAILAgwCDQIIAggCCAIIAggCCAIIAggCCAIIAggCCAIIAggCCAIIAggCFAIDAt0CHgAC4AICAi8CBAIFAgYCBwIIAgkCCgILAgwCDQIIAggCCAIIAggCCAIIAggCCAIIAggCCAIIAggCCAIIAggCFAIDAjACHgAC4AICAjUCBAIFAgYCBwIIAgkCCgILAgwCDQIIAggCCAIIAggCCAIIAggCCAIIAggCCAIIAggCCAIIAggCFAIDAjYCHgAC4AICAnsCBAIFAgYCBwIIAgkCqQILAgwCDQIIAggCCAIIAggCCAIIAggCCAIIAggCCAIIAggCCAIIAggCFAIDAtECHgAC4QAJNDE3MDE4MjI0AgICAwIEAgUCBgIHAggCCQJMAgsCSQINAggCCAIIAggCCAIIAggCCAIIAggCCAIIAggCCAIIAggCCAIVAgMCmAIeAALhAgICHQIEAgUCBgIHAggCCQI4AgsCSQINAggCCAIIAggCCAIIAggCCAIIAggCCAIIAggCCAIIAggCCAIVAgMCawIeAALhAgICeAIEAgUCBgIHAggCCQIKAgsCSQINAggCCAIIAggCCAIIAggCCAIIAggCCAIIAggCCAIIAggCCAIVAgMCeQIeAALhAgICHwIEAgUCBgIHAggCCQIKAgsCSQINAggCCAIIAggCCAIIAggCCAIIAggCCAIIAggCCAIIAggCCAIVAgMCbwIeAALhAgICHQIEAgUCBgIHAggCCQJMAgsCSQINAggCCAIIAggCCAIIAggCCAIIAggCCAIIAggCCAIIAggCCAIVAgMCUAIeAALhAgICVgIEAgUCBgIHAggCCQJMAgsCSQINAggCCAIIAggCCAIIAggCCHoAAAQAAggCCAIIAggCCAIIAggCCAIIAhUCAwJ/Ah4AAuECAgIDAgQCBQIGAgcCCAIJAjgCCwJJAg0CCAIIAggCCAIIAggCCAIIAggCCAIIAggCCAIIAggCCAIIAhUCAwKhAh4AAuECAgJTAgQCBQIGAgcCCAIJAjgCCwJJAg0CCAIIAggCCAIIAggCCAIIAggCCAIIAggCCAIIAggCCAIIAhUCAwKkAh4AAuECAgJTAgQCBQIGAgcCCAIJAkwCCwJJAg0CCAIIAggCCAIIAggCCAIIAggCCAIIAggCCAIIAggCCAIIAhUCAwKlAh4AAuECAgJWAgQCBQIGAgcCCAIJAjgCCwJJAg0CCAIIAggCCAIIAggCCAIIAggCCAIIAggCCAIIAggCCAIIAhUCAwJ+Ah4AAuECAgInAgQCBQIGAgcCCAIJAkwCCwJJAg0CCAIIAggCCAIIAggCCAIIAggCCAIIAggCCAIIAggCCAIIAhUCAwKOAh4AAuECAgJpAgQCBQIGAgcCCAIJAkwCCwJJAg0CCAIIAggCCAIIAggCCAIIAggCCAIIAggCCAIIAggCCAIIAhUCAwJxAh4AAuECAgIxAgQCBQIGAgcCCAIJAgoCCwJJAg0CCAIIAggCCAIIAggCCAIIAggCCAIIAggCCAIIAggCCAIIAhUCAwKTAh4AAuECAgInAgQCBQIGAgcCCAIJAjgCCwJJAg0CCAIIAggCCAIIAggCCAIIAggCCAIIAggCCAIIAggCCAIIAhUCAwJtAh4AAuECAgJpAgQCBQIGAgcCCAIJAjgCCwJJAg0CCAIIAggCCAIIAggCCAIIAggCCAIIAggCCAIIAggCCAIIAhUCAwJqAh4AAuECAgJ7AgQCBQIGAgcCCAIJAkwCCwJJAg0CCAIIAggCCAIIAggCCAIIAggCCAIIAggCCAIIAggCCAIIAhUCAwKMAh4AAuECAgKCAgQCBQIGAgcCCAIJAgoCCwJJAg0CCAIIAggCCAIIAggCCAIIAggCCAIIAggCCAIIAggCCAIIAhUCAwKZAh4AAuECAgJ7AgQCBQIGAgcCCAIJAjgCCwJJAg0CCAIIAggCCAIIAggCCAIIAggCCAIIAggCCAIIAggCCAIIAhUCAwKaAh4AAuECAgJTAgQCBQIGAgcCCAIJAgoCCwJJAg0CCAIIAggCCAIIAggCCAIIAggCCAIIAggCCAIIAggCCAIIAhUCAwJUAh4AAuECAgIDAgQCBQIGAgcCCAIJAgoCCwJJAg0CCAIIAggCCAIIAggCCAIIAggCCAIIAggCCAIIAggCCAIIAhUCAwJbAh4AAuECAgIfAgQCBQIGAgcCCAIJAkwCCwJJAg0CCAIIAnoAAAQACAIIAggCCAIIAggCCAIIAggCCAIIAggCCAIIAggCFQIDApICHgAC4QICAiECBAIFAgYCBwIIAgkCCgILAkkCDQIIAggCCAIIAggCCAIIAggCCAIIAggCCAIIAggCCAIIAggCFQIDAmUCHgAC4QICAiUCBAIFAgYCBwIIAgkCTAILAkkCDQIIAggCCAIIAggCCAIIAggCCAIIAggCCAIIAggCCAIIAggCFQIDAlACHgAC4QICAh8CBAIFAgYCBwIIAgkCOAILAkkCDQIIAggCCAIIAggCCAIIAggCCAIIAggCCAIIAggCCAIIAggCFQIDAo8CHgAC4QICAi0CBAIFAgYCBwIIAgkCOAILAkkCDQIIAggCCAIIAggCCAIIAggCCAIIAggCCAIIAggCCAIIAggCFQIDAkoCHgAC4QICAi0CBAIFAgYCBwIIAgkCTAILAkkCDQIIAggCCAIIAggCCAIIAggCCAIIAggCCAIIAggCCAIIAggCFQIDAmICHgAC4QICAiMCBAIFAgYCBwIIAgkCCgILAkkCDQIIAggCCAIIAggCCAIIAggCCAIIAggCCAIIAggCCAIIAggCFQIDApQCHgAC4QICAngCBAIFAgYCBwIIAgkCTAILAkkCDQIIAggCCAIIAggCCAIIAggCCAIIAggCCAIIAggCCAIIAggCFQIDApECHgAC4QICAngCBAIFAgYCBwIIAgkCOAILAkkCDQIIAggCCAIIAggCCAIIAggCCAIIAggCCAIIAggCCAIIAggCFQIDAo0CHgAC4QICAisCBAIFAgYCBwIIAgkCOAILAkkCDQIIAggCCAIIAggCCAIIAggCCAIIAggCCAIIAggCCAIIAggCFQIDAlUCHgAC4QICAnsCBAIFAgYCBwIIAgkCCgILAkkCDQIIAggCCAIIAggCCAIIAggCCAIIAggCCAIIAggCCAIIAggCFQIDAnwCHgAC4QICAoUCBAIFAgYCBwIIAgkCCgILAkkCDQIIAggCCAIIAggCCAIIAggCCAIIAggCCAIIAggCCAIIAggCFQIDAoYCHgAC4QICAlkCBAIFAgYCBwIIAgkCOAILAkkCDQIIAggCCAIIAggCCAIIAggCCAIIAggCCAIIAggCCAIIAggCFQIDAloCHgAC4QICAlkCBAIFAgYCBwIIAgkCTAILAkkCDQIIAggCCAIIAggCCAIIAggCCAIIAggCCAIIAggCCAIIAggCFQIDAnICHgAC4QICAisCBAIFAgYCBwIIAgkCTAILAkkCDQIIAggCCAIIAggCCAIIAggCCAIIAggCCAIIAggCCAIIAggCFQIDAnMCHgAC4QICAoUCBAIFAgYCBwIIAgkCOHoAAAQAAgsCSQINAggCCAIIAggCCAIIAggCCAIIAggCCAIIAggCCAIIAggCCAIVAgMCmwIeAALhAgICNQIEAgUCBgIHAggCCQI4AgsCSQINAggCCAIIAggCCAIIAggCCAIIAggCCAIIAggCCAIIAggCCAIVAgMCbgIeAALhAgICSwIEAgUCBgIHAggCCQIKAgsCSQINAggCCAIIAggCCAIIAggCCAIIAggCCAIIAggCCAIIAggCCAIVAgMClgIeAALhAgICGwIEAgUCBgIHAggCCQIKAgsCSQINAggCCAIIAggCCAIIAggCCAIIAggCCAIIAggCCAIIAggCCAIVAgMClwIeAALhAgICMwIEAgUCBgIHAggCCQI4AgsCSQINAggCCAIIAggCCAIIAggCCAIIAggCCAIIAggCCAIIAggCCAIVAgMCaAIeAALhAgICIwIEAgUCBgIHAggCCQJMAgsCSQINAggCCAIIAggCCAIIAggCCAIIAggCCAIIAggCCAIIAggCCAIVAgMCUAIeAALhAgICKQIEAgUCBgIHAggCCQIKAgsCSQINAggCCAIIAggCCAIIAggCCAIIAggCCAIIAggCCAIIAggCCAIVAgMCdAIeAALhAgICJQIEAgUCBgIHAggCCQIKAgsCSQINAggCCAIIAggCCAIIAggCCAIIAggCCAIIAggCCAIIAggCCAIVAgMCgQIeAALhAgICLwIEAgUCBgIHAggCCQJMAgsCSQINAggCCAIIAggCCAIIAggCCAIIAggCCAIIAggCCAIIAggCCAIVAgMCdwIeAALhAgICNQIEAgUCBgIHAggCCQJMAgsCSQINAggCCAIIAggCCAIIAggCCAIIAggCCAIIAggCCAIIAggCCAIVAgMCbAIeAALhAgICdQIEAgUCBgIHAggCCQI4AgsCSQINAggCCAIIAggCCAIIAggCCAIIAggCCAIIAggCCAIIAggCCAIVAgMCdgIeAALhAgICdQIEAgUCBgIHAggCCQJMAgsCSQINAggCCAIIAggCCAIIAggCCAIIAggCCAIIAggCCAIIAggCCAIVAgMCgAIeAALhAgICJQIEAgUCBgIHAggCCQI4AgsCSQINAggCCAIIAggCCAIIAggCCAIIAggCCAIIAggCCAIIAggCCAIVAgMCYwIeAALhAgICKQIEAgUCBgIHAggCCQI4AgsCSQINAggCCAIIAggCCAIIAggCCAIIAggCCAIIAggCCAIIAggCCAIVAgMCXgIeAALhAgICLwIEAgUCBgIHAggCCQI4AgsCSQINAggCCAIIAggCCAIIAggCCAIIAggCCAIIAggCCAIIAggCCAIVAgMCegIeAALhAgICWQIEAnoAAAQABQIGAgcCCAIJAgoCCwJJAg0CCAIIAggCCAIIAggCCAIIAggCCAIIAggCCAIIAggCCAIIAhUCAwJhAh4AAuECAgItAgQCBQIGAgcCCAIJAgoCCwJJAg0CCAIIAggCCAIIAggCCAIIAggCCAIIAggCCAIIAggCCAIIAhUCAwJwAh4AAuECAgIrAgQCBQIGAgcCCAIJAgoCCwJJAg0CCAIIAggCCAIIAggCCAIIAggCCAIIAggCCAIIAggCCAIIAhUCAwJcAh4AAuECAgIzAgQCBQIGAgcCCAIJAkwCCwJJAg0CCAIIAggCCAIIAggCCAIIAggCCAIIAggCCAIIAggCCAIIAhUCAwJQAh4AAuECAgIpAgQCBQIGAgcCCAIJAkwCCwJJAg0CCAIIAggCCAIIAggCCAIIAggCCAIIAggCCAIIAggCCAIIAhUCAwJdAh4AAuECAgKFAgQCBQIGAgcCCAIJAkwCCwJJAg0CCAIIAggCCAIIAggCCAIIAggCCAIIAggCCAIIAggCCAIIAhUCAwKcAh4AAuECAgJfAgQCBQIGAgcCCAIJAgoCCwJJAg0CCAIIAggCCAIIAggCCAIIAggCCAIIAggCCAIIAggCCAIIAhUCAwJgAh4AAuECAgJPAgQCBQIGAgcCCAIJAgoCCwJJAg0CCAIIAggCCAIIAggCCAIIAggCCAIIAggCCAIIAggCCAIIAhUCAwKVAh4AAuECAgIbAgQCBQIGAgcCCAIJAjgCCwJJAg0CCAIIAggCCAIIAggCCAIIAggCCAIIAggCCAIIAggCCAIIAhUCAwJSAh4AAuECAgIxAgQCBQIGAgcCCAIJAjgCCwJJAg0CCAIIAggCCAIIAggCCAIIAggCCAIIAggCCAIIAggCCAIIAhUCAwKEAh4AAuECAgJPAgQCBQIGAgcCCAIJAjgCCwJJAg0CCAIIAggCCAIIAggCCAIIAggCCAIIAggCCAIIAggCCAIIAhUCAwJYAh4AAuECAgJPAgQCBQIGAgcCCAIJAkwCCwJJAg0CCAIIAggCCAIIAggCCAIIAggCCAIIAggCCAIIAggCCAIIAhUCAwJQAh4AAuECAgJ1AgQCBQIGAgcCCAIJAgoCCwJJAg0CCAIIAggCCAIIAggCCAIIAggCCAIIAggCCAIIAggCCAIIAhUCAwKQAh4AAuECAgJWAgQCBQIGAgcCCAIJAgoCCwJJAg0CCAIIAggCCAIIAggCCAIIAggCCAIIAggCCAIIAggCCAIIAhUCAwJXAh4AAuECAgIbAgQCBQIGAgcCCAIJAkwCCwJJAg0CCAIIAggCCAIIAggCCAIIAggCCAIIAggCCAIIAggCCAIIAhUCAwJOAnoAAAQAHgAC4QICAksCBAIFAgYCBwIIAgkCOAILAkkCDQIIAggCCAIIAggCCAIIAggCCAIIAggCCAIIAggCCAIIAggCFQIDAmQCHgAC4QICAksCBAIFAgYCBwIIAgkCTAILAkkCDQIIAggCCAIIAggCCAIIAggCCAIIAggCCAIIAggCCAIIAggCFQIDAk0CHgAC4QICAicCBAIFAgYCBwIIAgkCCgILAkkCDQIIAggCCAIIAggCCAIIAggCCAIIAggCCAIIAggCCAIIAggCFQIDAqMCHgAC4QICAmkCBAIFAgYCBwIIAgkCCgILAkkCDQIIAggCCAIIAggCCAIIAggCCAIIAggCCAIIAggCCAIIAggCFQIDAqICHgAC4QICAiECBAIFAgYCBwIIAgkCOAILAkkCDQIIAggCCAIIAggCCAIIAggCCAIIAggCCAIIAggCCAIIAggCFQIDAqACHgAC4QICAiMCBAIFAgYCBwIIAgkCOAILAkkCDQIIAggCCAIIAggCCAIIAggCCAIIAggCCAIIAggCCAIIAggCFQIDAp8CHgAC4QICAh0CBAIFAgYCBwIIAgkCCgILAkkCDQIIAggCCAIIAggCCAIIAggCCAIIAggCCAIIAggCCAIIAggCFQIDAlECHgAC4QICAi8CBAIFAgYCBwIIAgkCCgILAkkCDQIIAggCCAIIAggCCAIIAggCCAIIAggCCAIIAggCCAIIAggCFQIDAokCHgAC4QICAjUCBAIFAgYCBwIIAgkCCgILAkkCDQIIAggCCAIIAggCCAIIAggCCAIIAggCCAIIAggCCAIIAggCFQIDAooCHgAC4QICAjMCBAIFAgYCBwIIAgkCCgILAkkCDQIIAggCCAIIAggCCAIIAggCCAIIAggCCAIIAggCCAIIAggCFQIDAosCHgAC4QICAoICBAIFAgYCBwIIAgkCOAILAkkCDQIIAggCCAIIAggCCAIIAggCCAIIAggCCAIIAggCCAIIAggCFQIDAoMCHgAC4QICAjECBAIFAgYCBwIIAgkCTAILAkkCDQIIAggCCAIIAggCCAIIAggCCAIIAggCCAIIAggCCAIIAggCFQIDAocCHgAC4QICAoICBAIFAgYCBwIIAgkCTAILAkkCDQIIAggCCAIIAggCCAIIAggCCAIIAggCCAIIAggCCAIIAggCFQIDAogCHgAC4QICAl8CBAIFAgYCBwIIAgkCTAILAkkCDQIIAggCCAIIAggCCAIIAggCCAIIAggCCAIIAggCCAIIAggCFQIDAp0CHgAC4QICAiECBAIFAgYCBwIIAgkCTAILAkkCDQIIAggCCAIIAggCCAIIAggCCAIIAggCCAIIAggCCHoAAAQAAggCCAIVAgMCUAIeAALhAgICXwIEAgUCBgIHAggCCQI4AgsCSQINAggCCAIIAggCCAIIAggCCAIIAggCCAIIAggCCAIIAggCCAIVAgMCngIeAALiAAk0MzE3MDA3MzYCAgIhAgQCBQIGAgcCCAIJAjgCCwJJAg0CCAIIAggCCAIIAggCCAIIAggCCAIIAggCCAIIAggCCAIIAgMCAwKgAh4AAuICAgIfAgQCBQIGAgcCCAIJAjgCCwJJAg0CCAIIAggCCAIIAggCCAIIAggCCAIIAggCCAIIAggCCAIIAgMCAwKPAh4AAuICAgIvAgQCBQIGAgcCCAIJAjgCCwJJAg0CCAIIAggCCAIIAggCCAIIAggCCAIIAggCCAIIAggCCAIIAgMCAwJ6Ah4AAuICAgIpAgQCBQIGAgcCCAIJAjgCCwJJAg0CCAIIAggCCAIIAggCCAIIAggCCAIIAggCCAIIAggCCAIIAgMCAwJeAh4AAuICAgIrAgQCBQIGAgcCCAIJAjgCCwJJAg0CCAIIAggCCAIIAggCCAIIAggCCAIIAggCCAIIAggCCAIIAgMCAwJVAh4AAuICAgIlAgQCBQIGAgcCCAIJAjgCCwJJAg0CCAIIAggCCAIIAggCCAIIAggCCAIIAggCCAIIAggCCAIIAgMCAwJjAh4AAuICAgIjAgQCBQIGAgcCCAIJAjgCCwJJAg0CCAIIAggCCAIIAggCCAIIAggCCAIIAggCCAIIAggCCAIIAgMCAwKfAh4AAuICAgItAgQCBQIGAgcCCAIJAjgCCwJJAg0CCAIIAggCCAIIAggCCAIIAggCCAIIAggCCAIIAggCCAIIAgMCAwJKAh4AAuICAgInAgQCBQIGAgcCCAIJAjgCCwJJAg0CCAIIAggCCAIIAggCCAIIAggCCAIIAggCCAIIAggCCAIIAgMCAwJtAh4AAuICAgI1AgQCBQIGAgcCCAIJAjgCCwJJAg0CCAIIAggCCAIIAggCCAIIAggCCAIIAggCCAIIAggCCAIIAgMCAwJuAh4AAuICAgIxAgQCBQIGAgcCCAIJAjgCCwJJAg0CCAIIAggCCAIIAggCCAIIAggCCAIIAggCCAIIAggCCAIIAgMCAwKEAh4AAuICAgIdAgQCBQIGAgcCCAIJAjgCCwJJAg0CCAIIAggCCAIIAggCCAIIAggCCAIIAggCCAIIAggCCAIIAgMCAwJrAh4AAuICAgIbAgQCBQIGAgcCCAIJAjgCCwJJAg0CCAIIAggCCAIIAggCCAIIAggCCAIIAggCCAIIAggCCAIIAgMCAwJSAh4AAuICAgIDAgQCBQIGAgcCCAIJAjgCCwJJAg0CCAIIAggCCHoAAAQAAggCCAIIAggCCAIIAggCCAIIAggCCAIIAggCAwIDAqECHgAC4gICAjMCBAIFAgYCBwIIAgkCOAILAkkCDQIIAggCCAIIAggCCAIIAggCCAIIAggCCAIIAggCCAIIAggCAwIDAmgCHgAC4wAJNDE3MDE5Mzg0AgICVgIEAgUCBgIHAggCCQI4AgsCDAINAggCCAIIAggCCAIIAggCCAIIAggCCAIIAggCCAIIAggCCAIWAgMCvgIeAALjAgICeAIEAgUCBgIHAggCCQIKAgsCDAINAggCCAIIAggCCAIIAggCCAIIAggCCAIIAggCCAIIAggCCAIWAgMCwQIeAALjAgICJwIEAgUCBgIHAggCCQI4AgsCDAINAggCCAIIAggCCAIIAggCCAIIAggCCAIIAggCCAIIAggCCAIWAgMCPgIeAALjAgICHQIEAgUCBgIHAggCCQI4AgsCDAINAggCCAIIAggCCAIIAggCCAIIAggCCAIIAggCCAIIAggCCAIWAgMCQgIeAALjAgICAwIEAgUCBgIHAggCCQI4AgsCDAINAggCCAIIAggCCAIIAggCCAIIAggCCAIIAggCCAIIAggCCAIWAgMCRAIeAALjAgICHwIEAgUCBgIHAggCCQIKAgsCDAINAggCCAIIAggCCAIIAggCCAIIAggCCAIIAggCCAIIAggCCAIWAgMCIAIeAALjAgICaQIEAgUCBgIHAggCCQI4AgsCDAINAggCCAIIAggCCAIIAggCCAIIAggCCAIIAggCCAIIAggCCAIWAgMCxwIeAALjAgICWQIEAgUCBgIHAggCCQKpAgsCDAINAggCCAIIAggCCAIIAggCCAIIAggCCAIIAggCCAIIAggCCAIWAgMC1wIeAALjAgICKwIEAgUCBgIHAggCCQKpAgsCDAINAggCCAIIAggCCAIIAggCCAIIAggCCAIIAggCCAIIAggCCAIWAgMCxQIeAALjAgICJQIEAgUCBgIHAggCCQKpAgsCDAINAggCCAIIAggCCAIIAggCCAIIAggCCAIIAggCCAIIAggCCAIWAgMCUAIeAALjAgICKQIEAgUCBgIHAggCCQKpAgsCDAINAggCCAIIAggCCAIIAggCCAIIAggCCAIIAggCCAIIAggCCAIWAgMCzgIeAALjAgICXwIEAgUCBgIHAggCCQKpAgsCDAINAggCCAIIAggCCAIIAggCCAIIAggCCAIIAggCCAIIAggCCAIWAgMCwgIeAALjAgICXwIEAgUCBgIHAggCCQI4AgsCDAINAggCCAIIAggCCAIIAggCCAIIAggCCAIIAggCCAIIAggCCAIWAgMCzwIeAALjAgICaQIEAgUCBnoAAAQAAgcCCAIJAgoCCwIMAg0CCAIIAggCCAIIAggCCAIIAggCCAIIAggCCAIIAggCCAIIAhYCAwLUAh4AAuMCAgIrAgQCBQIGAgcCCAIJAjgCCwIMAg0CCAIIAggCCAIIAggCCAIIAggCCAIIAggCCAIIAggCCAIIAhYCAwI/Ah4AAuMCAgJ7AgQCBQIGAgcCCAIJAgoCCwIMAg0CCAIIAggCCAIIAggCCAIIAggCCAIIAggCCAIIAggCCAIIAhYCAwK6Ah4AAuMCAgIhAgQCBQIGAgcCCAIJAjgCCwIMAg0CCAIIAggCCAIIAggCCAIIAggCCAIIAggCCAIIAggCCAIIAhYCAwI6Ah4AAuMCAgJTAgQCBQIGAgcCCAIJAjgCCwIMAg0CCAIIAggCCAIIAggCCAIIAggCCAIIAggCCAIIAggCCAIIAhYCAwLYAh4AAuMCAgInAgQCBQIGAgcCCAIJAgoCCwIMAg0CCAIIAggCCAIIAggCCAIIAggCCAIIAggCCAIIAggCCAIIAhYCAwIoAh4AAuMCAgItAgQCBQIGAgcCCAIJAqkCCwIMAg0CCAIIAggCCAIIAggCCAIIAggCCAIIAggCCAIIAggCCAIIAhYCAwLWAh4AAuMCAgIbAgQCBQIGAgcCCAIJAqkCCwIMAg0CCAIIAggCCAIIAggCCAIIAggCCAIIAggCCAIIAggCCAIIAhYCAwK/Ah4AAuMCAgJLAgQCBQIGAgcCCAIJAqkCCwIMAg0CCAIIAggCCAIIAggCCAIIAggCCAIIAggCCAIIAggCCAIIAhYCAwLAAh4AAuMCAgKFAgQCBQIGAgcCCAIJAqkCCwIMAg0CCAIIAggCCAIIAggCCAIIAggCCAIIAggCCAIIAggCCAIIAhYCAwKzAh4AAuMCAgKCAgQCBQIGAgcCCAIJAjgCCwIMAg0CCAIIAggCCAIIAggCCAIIAggCCAIIAggCCAIIAggCCAIIAhYCAwLJAh4AAuMCAgIbAgQCBQIGAgcCCAIJAjgCCwIMAg0CCAIIAggCCAIIAggCCAIIAggCCAIIAggCCAIIAggCCAIIAhYCAwJGAh4AAuMCAgJLAgQCBQIGAgcCCAIJAjgCCwIMAg0CCAIIAggCCAIIAggCCAIIAggCCAIIAggCCAIIAggCCAIIAhYCAwK0Ah4AAuMCAgIxAgQCBQIGAgcCCAIJAjgCCwIMAg0CCAIIAggCCAIIAggCCAIIAggCCAIIAggCCAIIAggCCAIIAhYCAwI5Ah4AAuMCAgJWAgQCBQIGAgcCCAIJAgoCCwIMAg0CCAIIAggCCAIIAggCCAIIAggCCAIIAggCCAIIAggCCAIIAhYCAwK1Ah4AAnoAAAQA4wICAjMCBAIFAgYCBwIIAgkCCgILAgwCDQIIAggCCAIIAggCCAIIAggCCAIIAggCCAIIAggCCAIIAggCFgIDAjQCHgAC4wICAjUCBAIFAgYCBwIIAgkCCgILAgwCDQIIAggCCAIIAggCCAIIAggCCAIIAggCCAIIAggCCAIIAggCFgIDAjYCHgAC4wICAi8CBAIFAgYCBwIIAgkCCgILAgwCDQIIAggCCAIIAggCCAIIAggCCAIIAggCCAIIAggCCAIIAggCFgIDAjACHgAC4wICAh0CBAIFAgYCBwIIAgkCCgILAgwCDQIIAggCCAIIAggCCAIIAggCCAIIAggCCAIIAggCCAIIAggCFgIDAh4CHgAC4wICAiECBAIFAgYCBwIIAgkCqQILAgwCDQIIAggCCAIIAggCCAIIAggCCAIIAggCCAIIAggCCAIIAggCFgIDAlACHgAC4wICAlkCBAIFAgYCBwIIAgkCCgILAgwCDQIIAggCCAIIAggCCAIIAggCCAIIAggCCAIIAggCCAIIAggCFgIDAq8CHgAC4wICAisCBAIFAgYCBwIIAgkCCgILAgwCDQIIAggCCAIIAggCCAIIAggCCAIIAggCCAIIAggCCAIIAggCFgIDAiwCHgAC4wICAnsCBAIFAgYCBwIIAgkCqQILAgwCDQIIAggCCAIIAggCCAIIAggCCAIIAggCCAIIAggCCAIIAggCFgIDAtECHgAC4wICAiMCBAIFAgYCBwIIAgkCqQILAgwCDQIIAggCCAIIAggCCAIIAggCCAIIAggCCAIIAggCCAIIAggCFgIDAlACHgAC4wICAnUCBAIFAgYCBwIIAgkCCgILAgwCDQIIAggCCAIIAggCCAIIAggCCAIIAggCCAIIAggCCAIIAggCFgIDAs0CHgAC4wICAlMCBAIFAgYCBwIIAgkCqQILAgwCDQIIAggCCAIIAggCCAIIAggCCAIIAggCCAIIAggCCAIIAggCFgIDAsQCHgAC4wICAgMCBAIFAgYCBwIIAgkCqQILAgwCDQIIAggCCAIIAggCCAIIAggCCAIIAggCCAIIAggCCAIIAggCFgIDAswCHgAC4wICAjUCBAIFAgYCBwIIAgkCOAILAgwCDQIIAggCCAIIAggCCAIIAggCCAIIAggCCAIIAggCCAIIAggCFgIDAkUCHgAC4wICAjMCBAIFAgYCBwIIAgkCOAILAgwCDQIIAggCCAIIAggCCAIIAggCCAIIAggCCAIIAggCCAIIAggCFgIDAkECHgAC4wICAoUCBAIFAgYCBwIIAgkCOAILAgwCDQIIAggCCAIIAggCCAIIAggCCAIIAggCCAIIAggCCAIIAnoAAAQACAIWAgMC0wIeAALjAgICSwIEAgUCBgIHAggCCQIKAgsCDAINAggCCAIIAggCCAIIAggCCAIIAggCCAIIAggCCAIIAggCCAIWAgMC1QIeAALjAgICLQIEAgUCBgIHAggCCQIKAgsCDAINAggCCAIIAggCCAIIAggCCAIIAggCCAIIAggCCAIIAggCCAIWAgMCLgIeAALjAgICggIEAgUCBgIHAggCCQKpAgsCDAINAggCCAIIAggCCAIIAggCCAIIAggCCAIIAggCCAIIAggCCAIWAgMCvAIeAALjAgICMQIEAgUCBgIHAggCCQKpAgsCDAINAggCCAIIAggCCAIIAggCCAIIAggCCAIIAggCCAIIAggCCAIWAgMCvQIeAALjAgICGwIEAgUCBgIHAggCCQIKAgsCDAINAggCCAIIAggCCAIIAggCCAIIAggCCAIIAggCCAIIAggCCAIWAgMCHAIeAALjAgICLwIEAgUCBgIHAggCCQI4AgsCDAINAggCCAIIAggCCAIIAggCCAIIAggCCAIIAggCCAIIAggCCAIWAgMCQwIeAALjAgICIwIEAgUCBgIHAggCCQI4AgsCDAINAggCCAIIAggCCAIIAggCCAIIAggCCAIIAggCCAIIAggCCAIWAgMCOwIeAALjAgICdQIEAgUCBgIHAggCCQI4AgsCDAINAggCCAIIAggCCAIIAggCCAIIAggCCAIIAggCCAIIAggCCAIWAgMCtwIeAALjAgICHwIEAgUCBgIHAggCCQKpAgsCDAINAggCCAIIAggCCAIIAggCCAIIAggCCAIIAggCCAIIAggCCAIWAgMC0AIeAALjAgICKQIEAgUCBgIHAggCCQIKAgsCDAINAggCCAIIAggCCAIIAggCCAIIAggCCAIIAggCCAIIAggCCAIWAgMCKgIeAALjAgICeAIEAgUCBgIHAggCCQKpAgsCDAINAggCCAIIAggCCAIIAggCCAIIAggCCAIIAggCCAIIAggCCAIWAgMC0gIeAALjAgICJQIEAgUCBgIHAggCCQIKAgsCDAINAggCCAIIAggCCAIIAggCCAIIAggCCAIIAggCCAIIAggCCAIWAgMCJgIeAALjAgICVgIEAgUCBgIHAggCCQKpAgsCDAINAggCCAIIAggCCAIIAggCCAIIAggCCAIIAggCCAIIAggCCAIWAgMCygIeAALjAgICHQIEAgUCBgIHAggCCQKpAgsCDAINAggCCAIIAggCCAIIAggCCAIIAggCCAIIAggCCAIIAggCCAIWAgMCUAIeAALjAgICNQIEAgUCBgIHAggCCQKpAgsCDAINAggCCAIIAggCCAIIAggCCAIIAggCCHoAAAQAAggCCAIIAggCCAIIAhYCAwKyAh4AAuMCAgIDAgQCBQIGAgcCCAIJAgoCCwIMAg0CCAIIAggCCAIIAggCCAIIAggCCAIIAggCCAIIAggCCAIIAhYCAwIOAh4AAuMCAgKFAgQCBQIGAgcCCAIJAgoCCwIMAg0CCAIIAggCCAIIAggCCAIIAggCCAIIAggCCAIIAggCCAIIAhYCAwK7Ah4AAuMCAgIzAgQCBQIGAgcCCAIJAqkCCwIMAg0CCAIIAggCCAIIAggCCAIIAggCCAIIAggCCAIIAggCCAIIAhYCAwJQAh4AAuMCAgJTAgQCBQIGAgcCCAIJAgoCCwIMAg0CCAIIAggCCAIIAggCCAIIAggCCAIIAggCCAIIAggCCAIIAhYCAwK2Ah4AAuMCAgItAgQCBQIGAgcCCAIJAjgCCwIMAg0CCAIIAggCCAIIAggCCAIIAggCCAIIAggCCAIIAggCCAIIAhYCAwJAAh4AAuMCAgInAgQCBQIGAgcCCAIJAqkCCwIMAg0CCAIIAggCCAIIAggCCAIIAggCCAIIAggCCAIIAggCCAIIAhYCAwK5Ah4AAuMCAgJpAgQCBQIGAgcCCAIJAqkCCwIMAg0CCAIIAggCCAIIAggCCAIIAggCCAIIAggCCAIIAggCCAIIAhYCAwLLAh4AAuMCAgJZAgQCBQIGAgcCCAIJAjgCCwIMAg0CCAIIAggCCAIIAggCCAIIAggCCAIIAggCCAIIAggCCAIIAhYCAwK4Ah4AAuMCAgIvAgQCBQIGAgcCCAIJAqkCCwIMAg0CCAIIAggCCAIIAggCCAIIAggCCAIIAggCCAIIAggCCAIIAhYCAwKuAh4AAuMCAgJ1AgQCBQIGAgcCCAIJAqkCCwIMAg0CCAIIAggCCAIIAggCCAIIAggCCAIIAggCCAIIAggCCAIIAhYCAwKwAh4AAuMCAgIlAgQCBQIGAgcCCAIJAjgCCwIMAg0CCAIIAggCCAIIAggCCAIIAggCCAIIAggCCAIIAggCCAIIAhYCAwI8Ah4AAuMCAgJ4AgQCBQIGAgcCCAIJAjgCCwIMAg0CCAIIAggCCAIIAggCCAIIAggCCAIIAggCCAIIAggCCAIIAhYCAwLDAh4AAuMCAgJ7AgQCBQIGAgcCCAIJAjgCCwIMAg0CCAIIAggCCAIIAggCCAIIAggCCAIIAggCCAIIAggCCAIIAhYCAwLGAh4AAuMCAgIfAgQCBQIGAgcCCAIJAjgCCwIMAg0CCAIIAggCCAIIAggCCAIIAggCCAIIAggCCAIIAggCCAIIAhYCAwJHAh4AAuMCAgIpAgQCBQIGAgcCCAIJAjgCCwIMAg0CCAIIAggCCAIIAnoAAAF2CAIIAggCCAIIAggCCAIIAggCCAIIAggCFgIDAj0CHgAC4wICAl8CBAIFAgYCBwIIAgkCCgILAgwCDQIIAggCCAIIAggCCAIIAggCCAIIAggCCAIIAggCCAIIAggCFgIDArECHgAC4wICAjECBAIFAgYCBwIIAgkCCgILAgwCDQIIAggCCAIIAggCCAIIAggCCAIIAggCCAIIAggCCAIIAggCFgIDAjICHgAC4wICAoICBAIFAgYCBwIIAgkCCgILAgwCDQIIAggCCAIIAggCCAIIAggCCAIIAggCCAIIAggCCAIIAggCFgIDAsgCHgAC4wICAiECBAIFAgYCBwIIAgkCCgILAgwCDQIIAggCCAIIAggCCAIIAggCCAIIAggCCAIIAggCCAIIAggCFgIDAiICHgAC4wICAiMCBAIFAgYCBwIIAgkCCgILAgwCDQIIAggCCAIIAggCCAIIAggCCAIIAggCCAIIAggCCAIIAggCFgIDAiQ=]]></xxe4awand>
</file>

<file path=customXml/item13.xml><?xml version="1.0" encoding="utf-8"?>
<xxe4awand xmlns="http://www.excel4apps.com"><![CDATA[rO0ABXfZCMCtii8ABEkDAh4AAERjb20uZXhjZWw0YXBwcy53YW5kLm9yYWNsZS5n
bHdhbmQuY2FsY3VsYXRpb25zLmdldGJhbGFuY2UuR2V0QmFsYW5jZQIBAAkzMjYx
NTgxOTICAgABMAIDAAYyMDE3MDcCBAADWVREAgUAA1VTRAIGAAVUb3RhbAIHAAFB
AggAAAIJAAMwMDECCgAGMTkxMDAwAgsAAkdEAgwAAklEAg0AAkRMAggCCAIIAggC
CAIIAggCCAIIAggCCAIIAggCCAIIAggCCAIi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DTrgKeHh3TQIeAAIBAgICGwAGMjAxNzExAgQCBQIGAgcCCAIJAgoCCwIMAg0C
CAIIAggCCAIIAggCCAIIAggCCAIIAggCCAIIAggCCAIIAiICAwIcc3EAfgAAAAAA
AnNxAH4ABP///////////////v////7/////dXEAfgAHAAAABB7AdGx4eHdNAh4A
AgECAgIdAAYyMDE3MDkCBAIFAgYCBwIIAgkCCgILAgwCDQIIAggCCAIIAggCCAII
AggCCAIIAggCCAIIAggCCAIIAggCIgIDAh5zcQB+AAAAAAACc3EAfgAE////////
///////+/////gAAAAF1cQB+AAcAAAAEAloS0nh4d00CHgACAQICAh8ABjIwMTcw
NQIEAgUCBgIHAggCCQIKAgsCDAINAggCCAIIAggCCAIIAggCCAIIAggCCAIIAggC
CAIIAggCCAIiAgMCIHNxAH4AAAAAAAJzcQB+AAT///////////////7////+////
/3VxAH4ABwAAAAQC12dUeHh3TQIeAAIBAgICIQAGMjAxODAzAgQCBQIGAgcCCAIJ
AgoCCwIMAg0CCAIIAggCCAIIAggCCAIIAggCCAIIAggCCAIIAggCCAIIAiICAwIi
c3EAfgAAAAAAAnNxAH4ABP///////////////v////7/////dXEAfgAHAAAABATh
3pl4eHdNAh4AAgECAgIjAAYyMDE4MDECBAIFAgYCBwIIAgkCCgILAgwCDQIIAggC
CAIIAggCCAIIAggCCAIIAggCCAIIAggCCAIIAggCIgIDAiRzcQB+AAAAAAACc3EA
fgAE///////////////+/////v////91cQB+AAcAAAAEEKaLJHh4d00CHgACAQIC
AiUABjIwMTcwMwIEAgUCBgIHAggCCQIKAgsCDAINAggCCAIIAggCCAIIAggCCAII
AggCCAIIAggCCAIIAggCCAIiAgMCJnNxAH4AAAAAAAJzcQB+AAT/////////////
//7////+/////3VxAH4ABwAAAAQIvUgheHh3TQIeAAIBAgICJwAGMjAxNzEyAgQC
BQIGAgcCCAIJAgoCCwIMAg0CCAIIAggCCAIIAggCCAIIAggCCAIIAggCCAIIAggC
CAIIAiICAwIoc3EAfgAAAAAAAnNxAH4ABP///////////////v////7/////dXEA
fgAHAAAABBa3qKJ4eHdNAh4AAgECAgIpAAYyMDE3MDYCBAIFAgYCBwIIAgkCCgIL
AgwCDQIIAggCCAIIAggCCAIIAggCCAIIAggCCAIIAggCCAIIAggCIgIDAipzcQB+
AAAAAAACc3EAfgAE///////////////+/////v////91cQB+AAcAAAAEAW1K0nh4
d00CHgACAQICAisABjIwMTcwOAIEAgUCBgIHAggCCQIKAgsCDAINAggCCAIIAggC
CAIIAggCCAIIAggCCAIIAggCCAIIAggCCAIiAgMCLHNxAH4AAAAAAAJzcQB+AAT///////////////7////+AAAAAXVxAH4ABwAAAAP/iV54eHdNAh4AAgECAgItAAYyMDE3MTACBAIFAgYCBwIIAgkCCgILAgwCDQIIAggCCAIIAggCCAIIAggCCAIIAggCCAIIAggCCAIIAggCIgIDAi5zcQB+AAAAAAACc3EAfgAE///////////////+/////gAAAAF1cQB+AAcAAAAEBhtaanh4d00CHgACAQICAi8ABjIwMTcwMQIEAgUCBgIHAggCCQIKAgsCDAINAggCCAIIAggCCAIIAggCCAIIAggCCAIIAggCCAIIAggCCAIiAgMCMHNxAH4AAAAAAAJzcQB+AAT///////////////7////+/////3VxAH4ABwAAAAQUOveDeHh3TQIeAAIBAgICMQAGMjAxODAyAgQCBQIGAgcCCAIJAgoCCwIMAg0CCAIIAggCCAIIAggCCAIIAggCCAIIAggCCAIIAggCCAIIAiICAwIyc3EAfgAAAAAAAnNxAH4ABP///////////////v////7/////dXEAfgAHAAAABAor0+d4eHdNAh4AAgECAgIzAAYyMDE3MDICBAIFAgYCBwIIAgkCCgILAgwCDQIIAggCCAIIAggCCAIIAggCCAIIAggCCAIIAggCCAIIAggCIgIDAjRzcQB+AAAAAAACc3EAfgAE///////////////+/////v////91cQB+AAcAAAAEDgscSnh4d00CHgACAQICAjUABjIwMTcwNAIEAgUCBgIHAggCCQIKAgsCDAINAggCCAIIAggCCAIIAggCCAIIAggCCAIIAggCCAIIAggCCAIiAgMCNnNxAH4AAAAAAAJzcQB+AAT///////////////7////+/////3VxAH4ABwAAAAQFBKNBeHh3VAIeAAI3AAk0MjY0NTQ3OTICAgIpAgQCBQIGAgcCCAIJAgoCCwI4AAJXQQINAggCCAIIAggCCAIIAggCCAIIAggCCAIIAggCCAIIAggCCAIgAgMCOXNxAH4AAAAAAAJzcQB+AAT///////////////7////+/////3VxAH4ABwAAAAQD3U0geHh3RQIeAAI3AgICNQIEAgUCBgIHAggCCQIKAgsCOAINAggCCAIIAggCCAIIAggCCAIIAggCCAIIAggCCAIIAggCCAIgAgMCOnNxAH4AAAAAAAJzcQB+AAT///////////////7////+/////3VxAH4ABwAAAAQJ8GpGeHh3RQIeAAI3AgICMQIEAgUCBgIHAggCCQIKAgsCOAINAggCCAIIAggCCAIIAggCCAIIAggCCAIIAggCCAIIAggCCAIgAgMCO3NxAH4AAAAAAAJzcQB+AAT///////////////7////+/////3VxAH4ABwAAAAQZYudleHh3RQIeAAI3AgICIQIEAgUCBgIHAggCCQIKAgsCOAINAggCCAIIAggCCAIIAggCCAIIAggCCAIIAggCCAIIAggCCAIgAgMCPHNxAH4AAAAAAAJzcQB+AAT///////////////7////+/////3VxAH4ABwAAAAQOU8mMeHh3RQIeAAI3AgICJwIEAgUCBgIHAggCCQIKAgsCOAINAggCCAIIAggCCAIIAggCCAIIAggCCAIIAggCCAIIAggCCAIgAgMCPXNxAH4AAAAAAAJzcQB+AAT///////////////7////+/////3VxAH4ABwAAAAQ0Sb4jeHh3RQIeAAI3AgICHQIEAgUCBgIHAggCCQIKAgsCOAINAggCCAIIAggCCAIIAggCCAIIAggCCAIIAggCCAIIAggCCAIgAgMCPnNxAH4AAAAAAAJzcQB+AAT///////////////7////+AAAAAXVxAH4ABwAAAAQCjrCgeHh3RQIeAAI3AgICLwIEAgUCBgIHAggCCQIKAgsCOAINAggCCAIIAggCCAIIAggCCAIIAggCCAIIAggCCAIIAggCCAIgAgMCP3NxAH4AAAAAAAJzcQB+AAT///////////////7////+/////3VxAH4ABwAAAAQo6Ya2eHh3RQIeAAI3AgICJQIEAgUCBgIHAggCCQIKAgsCOAINAggCCAIIAggCCAIIAggCCAIIAggCCAIIAggCCAIIAggCCAIgAgMCQHNxAH4AAAAAAAJzcQB+AAT///////////////7////+/////3VxAH4ABwAAAAQQ/fIjeHh3RQIeAAI3AgICLQIEAgUCBgIHAggCCQIKAgsCOAINAggCCAIIAggCCAIIAggCCAIIAggCCAIIAggCCAIIAggCCAIgAgMCQXNxAH4AAAAAAAJzcQB+AAT///////////////7////+AAAAAXVxAH4ABwAAAAQJDRX9eHh3RQIeAAI3AgICHwIEAgUCBgIHAggCCQIKAgsCOAINAggCCAIIAggCCAIIAggCCAIIAggCCAIIAggCCAIIAggCCAIgAgMCQnNxAH4AAAAAAAJzcQB+AAT///////////////7////+/////3VxAH4ABwAAAAQGIRiFeHh3RQIeAAI3AgICAwIEAgUCBgIHAggCCQIKAgsCOAINAggCCAIIAggCCAIIAggCCAIIAggCCAIIAggCCAIIAggCCAIgAgMCQ3NxAH4AAAAAAAJzcQB+AAT///////////////7////+/////3VxAH4ABwAAAAQCCvb0eHh3RQIeAAI3AgICIwIEAgUCBgIHAggCCQIKAgsCOAINAggCCAIIAggCCAIIAggCCAIIAggCCAIIAggCCAIIAggCCAIgAgMCRHNxAH4AAAAAAAJzcQB+AAT///////////////7////+/////3VxAH4ABwAAAAQmcaNXeHh3RQIeAAI3AgICGwIEAgUCBgIHAggCCQIKAgsCOAINAggCCAIIAggCCAIIAggCCAIIAggCCAIIAggCCAIIAggCCAIgAgMCRXNxAH4AAAAAAAJzcQB+AAT///////////////7////+/////3VxAH4ABwAAAAREule8eHh3RQIeAAI3AgICMwIEAgUCBgIHAggCCQIKAgsCOAINAggCCAIIAggCCAIIAggCCAIIAggCCAIIAggCCAIIAggCCAIgAgMCRnNxAH4AAAAAAAJzcQB+AAT///////////////7////+/////3VxAH4ABwAAAAQbRzHTeHh3RQIeAAI3AgICKwIEAgUCBgIHAggCCQIKAgsCOAINAggCCAIIAggCCAIIAggCCAIIAggCCAIIAggCCAIIAggCCAIgAgMCR3NxAH4AAAAAAAJzcQB+AAT///////////////7////+/////3VxAH4ABwAAAAMylNZ4eHdYAh4AAkgACTMyOTgwNTA5NgICAgMCBAIFAgYCBwIIAgkCSQAGMTkxMDE1AgsCDAINAggCCAIIAggCCAIIAggCCAIIAggCCAIIAggCCAIIAggCCAIXAgMCSnNxAH4AAAAAAAJzcQB+AAT///////////////7////+/////3VxAH4ABwAAAAMSmrd4eHdNAh4AAkgCAgIrAgQCBQIGAgcCCAIJAksABjE5MTAxMAILAgwCDQIIAggCCAIIAggCCAIIAggCCAIIAggCCAIIAggCCAIIAggCFwIDAkxzcQB+AAAAAAACc3EAfgAE///////////////+/////v////91cQB+AAcAAAAENDlU6Hh4d00CHgACSAICAk0ABjIwMTYwOQIEAgUCBgIHAggCCQIKAgsCDAINAggCCAIIAggCCAIIAggCCAIIAggCCAIIAggCCAIIAggCCAIXAgMCTnNxAH4AAAAAAAJzcQB+AAT///////////////7////+/////3VxAH4ABwAAAAMy9xF4eHfPAh4AAkgCAgIvAgQCBQIGAgcCCAIJAgoCCwIMAg0CCAIIAggCCAIIAggCCAIIAggCCAIIAggCCAIIAggCCAIIAhcCAwIwAh4AAkgCAgIdAgQCBQIGAgcCCAIJAgoCCwIMAg0CCAIIAggCCAIIAggCCAIIAggCCAIIAggCCAIIAggCCAIIAhcCAwIeAh4AAkgCAgIrAgQCBQIGAgcCCAIJAkkCCwIMAg0CCAIIAggCCAIIAggCCAIIAggCCAIIAggCCAIIAggCCAIIAhcCAwJPc3EAfgAAAAAAAnNxAH4ABP///////////////v////7/////dXEAfgAHAAAAAxKer3h4d00CHgACSAICAlAABjIwMTYwNwIEAgUCBgIHAggCCQJLAgsCDAINAggCCAIIAggCCAIIAggCCAIIAggCCAIIAggCCAIIAggCCAIXAgMCUXNxAH4AAAAAAAJzcQB+AAT///////////////7////+/////3VxAH4ABwAAAAQu/eCSeHh3TQIeAAJIAgICUgAGMjAxNjEyAgQCBQIGAgcCCAIJAkkCCwIMAg0CCAIIAggCCAIIAggCCAIIAggCCAIIAggCCAIIAggCCAIIAhcCAwJTc3EAfgAAAAAAAnNxAH4ABP///////////////v////7/////dXEAfgAHAAAAAxJ/Bnh4d0UCHgACSAICAlACBAIFAgYCBwIIAgkCSQILAgwCDQIIAggCCAIIAggCCAIIAggCCAIIAggCCAIIAggCCAIIAggCFwIDAlRzcQB+AAAAAAACc3EAfgAE///////////////+/////v////91cQB+AAcAAAADEmtYeHh3TQIeAAJIAgICVQAGMjAxNjA4AgQCBQIGAgcCCAIJAksCCwIMAg0CCAIIAggCCAIIAggCCAIIAggCCAIIAggCCAIIAggCCAIIAhcCAwJWc3EAfgAAAAAAAnNxAH4ABP///////////////v////7/////dXEAfgAHAAAABDHvtRl4eHdFAh4AAkgCAgIdAgQCBQIGAgcCCAIJAksCCwIMAg0CCAIIAggCCAIIAggCCAIIAggCCAIIAggCCAIIAggCCAIIAhcCAwJXc3EAfgAAAAAAAnNxAH4ABP///////////////v////7/////dXEAfgAHAAAABDlFLv54eHdFAh4AAkgCAgIjAgQCBQIGAgcCCAIJAksCCwIMAg0CCAIIAggCCAIIAggCCAIIAggCCAIIAggCCAIIAggCCAIIAhcCAwJYc3EAfgAAAAAAAnNxAH4ABP///////////////v////7/////dXEAfgAHAAAABCkgj4V4eHdFAh4AAkgCAgInAgQCBQIGAgcCCAIJAkkCCwIMAg0CCAIIAggCCAIIAggCCAIIAggCCAIIAggCCAIIAggCCAIIAhcCAwJZc3EAfgAAAAAAAnNxAH4ABP///////////////v////4AAAAAdXEAfgAHAAAAAHh4d00CHgACSAICAloABjIwMTYxMQIEAgUCBgIHAggCCQJJAgsCDAINAggCCAIIAggCCAIIAggCCAIIAggCCAIIAggCCAIIAggCCAIXAgMCW3NxAH4AAAAAAAJzcQB+AAT///////////////7////+/////3VxAH4ABwAAAAMSexV4eHdFAh4AAkgCAgJVAgQCBQIGAgcCCAIJAkkCCwIMAg0CCAIIAggCCAIIAggCCAIIAggCCAIIAggCCAIIAggCCAIIAhcCAwJcc3EAfgAAAAAAAnNxAH4ABP///////////////v////7/////dXEAfgAHAAAAAxJvRnh4d4oCHgACSAICAjMCBAIFAgYCBwIIAgkCCgILAgwCDQIIAggCCAIIAggCCAIIAggCCAIIAggCCAIIAggCCAIIAggCFwIDAjQCHgACSAICAh0CBAIFAgYCBwIIAgkCSQILAgwCDQIIAggCCAIIAggCCAIIAggCCAIIAggCCAIIAggCCAIIAggCFwIDAl1zcQB+AAAAAAACc3EAfgAE///////////////+/////v////91cQB+AAcAAAADEqKoeHh3TQIeAAJIAgICXgAGMjAxNjA0AgQCBQIGAgcCCAIJAkkCCwIMAg0CCAIIAggCCAIIAggCCAIIAggCCAIIAggCCAIIAggCCAIIAhcCAwJfc3EAfgAAAAAAAnNxAH4ABP///////////////v////7/////dXEAfgAHAAAAAxJflHh4d0UCHgACSAICAh8CBAIFAgYCBwIIAgkCSQILAgwCDQIIAggCCAIIAggCCAIIAggCCAIIAggCCAIIAggCCAIIAggCFwIDAmBzcQB+AAAAAAACc3EAfgAE///////////////+/////v////91cQB+AAcAAAADEpLKeHh3TQIeAAJIAgICYQAGMjAxNjAyAgQCBQIGAgcCCAIJAgoCCwIMAg0CCAIIAggCCAIIAggCCAIIAggCCAIIAggCCAIIAggCCAIIAhcCAwJic3EAfgAAAAAAAnNxAH4ABP///////////////v////7/////dXEAfgAHAAAABARbkhB4eHeKAh4AAkgCAgIlAgQCBQIGAgcCCAIJAgoCCwIMAg0CCAIIAggCCAIIAggCCAIIAggCCAIIAggCCAIIAggCCAIIAhcCAwImAh4AAkgCAgJQAgQCBQIGAgcCCAIJAgoCCwIMAg0CCAIIAggCCAIIAggCCAIIAggCCAIIAggCCAIIAggCCAIIAhcCAwJjc3EAfgAAAAAAAnNxAH4ABP///////////////v////7/////dXEAfgAHAAAABAEGlGB4eHdFAh4AAkgCAgJSAgQCBQIGAgcCCAIJAksCCwIMAg0CCAIIAggCCAIIAggCCAIIAggCCAIIAggCCAIIAggCCAIIAhcCAwJkc3EAfgAAAAAAAnNxAH4ABP///////////////v////7/////dXEAfgAHAAAABBWstZ94eHdFAh4AAkgCAgJNAgQCBQIGAgcCCAIJAksCCwIMAg0CCAIIAggCCAIIAggCCAIIAggCCAIIAggCCAIIAggCCAIIAhcCAwJlc3EAfgAAAAAAAnNxAH4ABP///////////////v////7/////dXEAfgAHAAAABDO8lpJ4eHdFAh4AAkgCAgJNAgQCBQIGAgcCCAIJAkkCCwIMAg0CCAIIAggCCAIIAggCCAIIAggCCAIIAggCCAIIAggCCAIIAhcCAwJmc3EAfgAAAAAAAnNxAH4ABP///////////////v////7/////dXEAfgAHAAAAAxJzNXh4d00CHgACSAICAmcABjIwMTYwMwIEAgUCBgIHAggCCQJJAgsCDAINAggCCAIIAggCCAIIAggCCAIIAggCCAIIAggCCAIIAggCCAIXAgMCaHNxAH4AAAAAAAJzcQB+AAT///////////////7////+/////3VxAH4ABwAAAAMSW6l4eHdFAh4AAkgCAgIzAgQCBQIGAgcCCAIJAksCCwIMAg0CCAIIAggCCAIIAggCCAIIAggCCAIIAggCCAIIAggCCAIIAhcCAwJpc3EAfgAAAAAAAnNxAH4ABP///////////////v////7/////dXEAfgAHAAAABCIKrDF4eHdFAh4AAkgCAgIDAgQCBQIGAgcCCAIJAksCCwIMAg0CCAIIAggCCAIIAggCCAIIAggCCAIIAggCCAIIAggCCAIIAhcCAwJqc3EAfgAAAAAAAnNxAH4ABP///////////////v////7/////dXEAfgAHAAAABC6RhSt4eHfPAh4AAkgCAgIrAgQCBQIGAgcCCAIJAgoCCwIMAg0CCAIIAggCCAIIAggCCAIIAggCCAIIAggCCAIIAggCCAIIAhcCAwIsAh4AAkgCAgIbAgQCBQIGAgcCCAIJAgoCCwIMAg0CCAIIAggCCAIIAggCCAIIAggCCAIIAggCCAIIAggCCAIIAhcCAwIcAh4AAkgCAgItAgQCBQIGAgcCCAIJAkkCCwIMAg0CCAIIAggCCAIIAggCCAIIAggCCAIIAggCCAIIAggCCAIIAhcCAwJrc3EAfgAAAAAAAnNxAH4ABP///////////////v////7/////dXEAfgAHAAAAAxKmonh4d00CHgACSAICAmwABjIwMTYwNgIEAgUCBgIHAggCCQJLAgsCDAINAggCCAIIAggCCAIIAggCCAIIAggCCAIIAggCCAIIAggCCAIXAgMCbXNxAH4AAAAAAAJzcQB+AAT///////////////7////+/////3VxAH4ABwAAAAQrEAtReHh3igIeAAJIAgICIwIEAgUCBgIHAggCCQIKAgsCDAINAggCCAIIAggCCAIIAggCCAIIAggCCAIIAggCCAIIAggCCAIXAgMCJAIeAAJIAgICbAIEAgUCBgIHAggCCQJJAgsCDAINAggCCAIIAggCCAIIAggCCAIIAggCCAIIAggCCAIIAggCCAIXAgMCbnNxAH4AAAAAAAJzcQB+AAT///////////////7////+/////3VxAH4ABwAAAAMSZ2t4eHdFAh4AAkgCAgJeAgQCBQIGAgcCCAIJAgoCCwIMAg0CCAIIAggCCAIIAggCCAIIAggCCAIIAggCCAIIAggCCAIIAhcCAwJvc3EAfgAAAAAAAnNxAH4ABP///////////////v////7/////dXEAfgAHAAAABAJQHul4eHeKAh4AAkgCAgIfAgQCBQIGAgcCCAIJAgoCCwIMAg0CCAIIAggCCAIIAggCCAIIAggCCAIIAggCCAIIAggCCAIIAhcCAwIgAh4AAkgCAgItAgQCBQIGAgcCCAIJAksCCwIMAg0CCAIIAggCCAIIAggCCAIIAggCCAIIAggCCAIIAggCCAIIAhcCAwJwc3EAfgAAAAAAAnNxAH4ABP///////////////v////7/////dXEAfgAHAAAABENETeB4eHdFAh4AAkgCAgIlAgQCBQIGAgcCCAIJAksCCwIMAg0CCAIIAggCCAIIAggCCAIIAggCCAIIAggCCAIIAggCCAIIAhcCAwJxc3EAfgAAAAAAAnNxAH4ABP///////////////v////7/////dXEAfgAHAAAABCZ4H3F4eHdNAh4AAkgCAgJyAAYyMDE2MTACBAIFAgYCBwIIAgkCCgILAgwCDQIIAggCCAIIAggCCAIIAggCCAIIAggCCAIIAggCCAIIAggCFwIDAnNzcQB+AAAAAAACc3EAfgAE///////////////+/////gAAAAF1cQB+AAcAAAADuXJ8eHh3igIeAAJIAgICJwIEAgUCBgIHAggCCQIKAgsCDAINAggCCAIIAggCCAIIAggCCAIIAggCCAIIAggCCAIIAggCCAIXAgMCKAIeAAJIAgICMwIEAgUCBgIHAggCCQJJAgsCDAINAggCCAIIAggCCAIIAggCCAIIAggCCAIIAggCCAIIAggCCAIXAgMCdHNxAH4AAAAAAAJzcQB+AAT///////////////7////+/////3VxAH4ABwAAAAMShut4eHdFAh4AAkgCAgJnAgQCBQIGAgcCCAIJAksCCwIMAg0CCAIIAggCCAIIAggCCAIIAggCCAIIAggCCAIIAggCCAIIAhcCAwJ1c3EAfgAAAAAAAnNxAH4ABP///////////////v////7/////dXEAfgAHAAAABB6uCU94eHdFAh4AAkgCAgIbAgQCBQIGAgcCCAIJAksCCwIMAg0CCAIIAggCCAIIAggCCAIIAggCCAIIAggCCAIIAggCCAIIAhcCAwJ2c3EAfgAAAAAAAnNxAH4ABP///////////////v////7/////dXEAfgAHAAAABBwjfJB4eHdFAh4AAkgCAgI1AgQCBQIGAgcCCAIJAkkCCwIMAg0CCAIIAggCCAIIAggCCAIIAggCCAIIAggCCAIIAggCCAIIAhcCAwJ3c3EAfgAAAAAAAnNxAH4ABP///////////////v////7/////dXEAfgAHAAAAAxKO1Hh4d0UCHgACSAICAlICBAIFAgYCBwIIAgkCCgILAgwCDQIIAggCCAIIAggCCAIIAggCCAIIAggCCAIIAggCCAIIAggCFwIDAnhzcQB+AAAAAAACc3EAfgAE///////////////+/////v////91cQB+AAcAAAAEHRCpdHh4d88CHgACSAICAi0CBAIFAgYCBwIIAgkCCgILAgwCDQIIAggCCAIIAggCCAIIAggCCAIIAggCCAIIAggCCAIIAggCFwIDAi4CHgACSAICAikCBAIFAgYCBwIIAgkCCgILAgwCDQIIAggCCAIIAggCCAIIAggCCAIIAggCCAIIAggCCAIIAggCFwIDAioCHgACSAICAjUCBAIFAgYCBwIIAgkCSwILAgwCDQIIAggCCAIIAggCCAIIAggCCAIIAggCCAIIAggCCAIIAggCFwIDAnlzcQB+AAAAAAACc3EAfgAE///////////////+/////v////91cQB+AAcAAAAEKeDlE3h4d00CHgACSAICAnoABjIwMTYwNQIEAgUCBgIHAggCCQIKAgsCDAINAggCCAIIAggCCAIIAggCCAIIAggCCAIIAggCCAIIAggCCAIXAgMCe3NxAH4AAAAAAAJzcQB+AAT///////////////7////+/////3VxAH4ABwAAAAQBzUp3eHh3RQIeAAJIAgICXgIEAgUCBgIHAggCCQJLAgsCDAINAggCCAIIAggCCAIIAggCCAIIAggCCAIIAggCCAIIAggCCAIXAgMCfHNxAH4AAAAAAAJzcQB+AAT///////////////7////+/////3VxAH4ABwAAAAQjxnj9eHh3RQIeAAJIAgICHwIEAgUCBgIHAggCCQJLAgsCDAINAggCCAIIAggCCAIIAggCCAIIAggCCAIIAggCCAIIAggCCAIXAgMCfXNxAH4AAAAAAAJzcQB+AAT///////////////7////+/////3VxAH4ABwAAAAQqJk8LeHh3RQIeAAJIAgICLwIEAgUCBgIHAggCCQJJAgsCDAINAggCCAIIAggCCAIIAggCCAIIAggCCAIIAggCCAIIAggCCAIXAgMCfnNxAH4AAAAAAAJzcQB+AAT///////////////7////+/////3VxAH4ABwAAAAMSgvh4eHdFAh4AAkgCAgJaAgQCBQIGAgcCCAIJAksCCwIMAg0CCAIIAggCCAIIAggCCAIIAggCCAIIAggCCAIIAggCCAIIAhcCAwJ/c3EAfgAAAAAAAnNxAH4ABP///////////////v////7/////dXEAfgAHAAAABAvREnR4eHdFAh4AAkgCAgInAgQCBQIGAgcCCAIJAksCCwIMAg0CCAIIAggCCAIIAggCCAIIAggCCAIIAggCCAIIAggCCAIIAhcCAwKAc3EAfgAAAAAAAnNxAH4ABP///////////////v////7/////dXEAfgAHAAAABCQ0bfR4eHdFAh4AAkgCAgIvAgQCBQIGAgcCCAIJAksCCwIMAg0CCAIIAggCCAIIAggCCAIIAggCCAIIAggCCAIIAggCCAIIAhcCAwKBc3EAfgAAAAAAAnNxAH4ABP///////////////v////7/////dXEAfgAHAAAABB2x+kx4eHdFAh4AAkgCAgJsAgQCBQIGAgcCCAIJAgoCCwIMAg0CCAIIAggCCAIIAggCCAIIAggCCAIIAggCCAIIAggCCAIIAhcCAwKCc3EAfgAAAAAAAnNxAH4ABP///////////////v////7/////dXEAfgAHAAAABAFkyvJ4eHfPAh4AAkgCAgIDAgQCBQIGAgcCCAIJAgoCCwIMAg0CCAIIAggCCAIIAggCCAIIAggCCAIIAggCCAIIAggCCAIIAhcCAwIOAh4AAkgCAgIjAgQCBQIGAgcCCAIJAkkCCwIMAg0CCAIIAggCCAIIAggCCAIIAggCCAIIAggCCAIIAggCCAIIAhcCAwJZAh4AAkgCAgIpAgQCBQIGAgcCCAIJAksCCwIMAg0CCAIIAggCCAIIAggCCAIIAggCCAIIAggCCAIIAggCCAIIAhcCAwKDc3EAfgAAAAAAAnNxAH4ABP///////////////v////7/////dXEAfgAHAAAABCoLRiF4eHeKAh4AAkgCAgIbAgQCBQIGAgcCCAIJAkkCCwIMAg0CCAIIAggCCAIIAggCCAIIAggCCAIIAggCCAIIAggCCAIIAhcCAwJZAh4AAkgCAgJyAgQCBQIGAgcCCAIJAkkCCwIMAg0CCAIIAggCCAIIAggCCAIIAggCCAIIAggCCAIIAggCCAIIAhcCAwKEc3EAfgAAAAAAAnNxAH4ABP///////////////v////7/////dXEAfgAHAAAAAxJ3JXh4d0UCHgACSAICAnICBAIFAgYCBwIIAgkCSwILAgwCDQIIAggCCAIIAggCCAIIAggCCAIIAggCCAIIAggCCAIIAggCFwIDAoVzcQB+AAAAAAACc3EAfgAE///////////////+/////v////91cQB+AAcAAAAENJhHI3h4d0UCHgACSAICAnoCBAIFAgYCBwIIAgkCSwILAgwCDQIIAggCCAIIAggCCAIIAggCCAIIAggCCAIIAggCCAIIAggCFwIDAoZzcQB+AAAAAAACc3EAfgAE///////////////+/////v////91cQB+AAcAAAAEJi8ywnh4d0UCHgACSAICAnoCBAIFAgYCBwIIAgkCSQILAgwCDQIIAggCCAIIAggCCAIIAggCCAIIAggCCAIIAggCCAIIAggCFwIDAodzcQB+AAAAAAACc3EAfgAE///////////////+/////v////91cQB+AAcAAAADEmN/eHh3igIeAAJIAgICNQIEAgUCBgIHAggCCQIKAgsCDAINAggCCAIIAggCCAIIAggCCAIIAggCCAIIAggCCAIIAggCCAIXAgMCNgIeAAJIAgICZwIEAgUCBgIHAggCCQIKAgsCDAINAggCCAIIAggCCAIIAggCCAIIAggCCAIIAggCCAIIAggCCAIXAgMCiHNxAH4AAAAAAAJzcQB+AAT///////////////7////+/////3VxAH4ABwAAAAQC+0uLeHh3RQIeAAJIAgICKQIEAgUCBgIHAggCCQJJAgsCDAINAggCCAIIAggCCAIIAggCCAIIAggCCAIIAggCCAIIAggCCAIXAgMCiXNxAH4AAAAAAAJzcQB+AAT///////////////7////+/////3VxAH4ABwAAAAMSlsB4eHdFAh4AAkgCAgJVAgQCBQIGAgcCCAIJAgoCCwIMAg0CCAIIAggCCAIIAggCCAIIAggCCAIIAggCCAIIAggCCAIIAhcCAwKKc3EAfgAAAAAAAnNxAH4ABP///////////////v////7/////dXEAfgAHAAAAA56yqnh4d0UCHgACSAICAloCBAIFAgYCBwIIAgkCCgILAgwCDQIIAggCCAIIAggCCAIIAggCCAIIAggCCAIIAggCCAIIAggCFwIDAotzcQB+AAAAAAACc3EAfgAE///////////////+/////v////91cQB+AAcAAAAEJZDR+3h4d0UCHgACSAICAiUCBAIFAgYCBwIIAgkCSQILAgwCDQIIAggCCAIIAggCCAIIAggCCAIIAggCCAIIAggCCAIIAggCFwIDAoxzcQB+AAAAAAACc3EAfgAE///////////////+/////v////91cQB+AAcAAAADEorfeHh3RQIeAAJIAgICYQIEAgUCBgIHAggCCQJLAgsCDAINAggCCAIIAggCCAIIAggCCAIIAggCCAIIAggCCAIIAggCCAIXAgMCjXNxAH4AAAAAAAJzcQB+AAT///////////////7////+/////3VxAH4ABwAAAAQbsx5ceHh3RQIeAAJIAgICYQIEAgUCBgIHAggCCQJJAgsCDAINAggCCAIIAggCCAIIAggCCAIIAggCCAIIAggCCAIIAggCCAIXAgMCjnNxAH4AAAAAAAJzcQB+AAT///////////////7////+/////3VxAH4ABwAAAAMSV794eHdQAh4AAo8ACTQyNjQ1MjQ3MgICAiUCBAIFAgYCBwIIAgkCSwILAjgCDQIIAggCCAIIAggCCAIIAggCCAIIAggCCAIIAggCCAIIAggCDgIDApBzcQB+AAAAAAACc3EAfgAE///////////////+/////v////91cQB+AAcAAAAEU2ObJnh4d0UCHgACjwICAjECBAIFAgYCBwIIAgkCSwILAjgCDQIIAggCCAIIAggCCAIIAggCCAIIAggCCAIIAggCCAIIAggCDgIDApFzcQB+AAAAAAACc3EAfgAE///////////////+/////v////91cQB+AAcAAAAETypx+Xh4d0UCHgACjwICAikCBAIFAgYCBwIIAgkCSwILAjgCDQIIAggCCAIIAggCCAIIAggCCAIIAggCCAIIAggCCAIIAggCDgIDApJzcQB+AAAAAAACc3EAfgAE///////////////+/////v////91cQB+AAcAAAAEWAsHLHh4d0UCHgACjwICAhsCBAIFAgYCBwIIAgkCSwILAjgCDQIIAggCCAIIAggCCAIIAggCCAIIAggCCAIIAggCCAIIAggCDgIDApNzcQB+AAAAAAACc3EAfgAE///////////////+/////v////91cQB+AAcAAAAEMNCqs3h4d0UCHgACjwICAisCBAIFAgYCBwIIAgkCSwILAjgCDQIIAggCCAIIAggCCAIIAggCCAIIAggCCAIIAggCCAIIAggCDgIDApRzcQB+AAAAAAACc3EAfgAE///////////////+/////v////91cQB+AAcAAAAEZTFBq3h4d0UCHgACjwICAjUCBAIFAgYCBwIIAgkCSwILAjgCDQIIAggCCAIIAggCCAIIAggCCAIIAggCCAIIAggCCAIIAggCDgIDApVzcQB+AAAAAAACc3EAfgAE///////////////+/////v////91cQB+AAcAAAAEWnDZd3h4d0UCHgACjwICAjMCBAIFAgYCBwIIAgkCSwILAjgCDQIIAggCCAIIAggCCAIIAggCCAIIAggCCAIIAggCCAIIAggCDgIDApZzcQB+AAAAAAACc3EAfgAE///////////////+/////v////91cQB+AAcAAAAESYtTyXh4d0UCHgACjwICAiECBAIFAgYCBwIIAgkCSwILAjgCDQIIAggCCAIIAggCCAIIAggCCAIIAggCCAIIAggCCAIIAggCDgIDApdzcQB+AAAAAAACc3EAfgAE///////////////+/////v////91cQB+AAcAAAAEUn6jGnh4d0UCHgACjwICAiMCBAIFAgYCBwIIAgkCSwILAjgCDQIIAggCCAIIAggCCAIIAggCCAIIAggCCAIIAggCCAIIAggCDgIDAphzcQB+AAAAAAACc3EAfgAE///////////////+/////v////91cQB+AAcAAAAETu7o2nh4d0UCHgACjwICAgMCBAIFAgYCBwIIAgkCSwILAjgCDQIIAggCCAIIAggCCAIIAggCCAIIAggCCAIIAggCCAIIAggCDgIDAplzcQB+AAAAAAACc3EAfgAE///////////////+/////v////91cQB+AAcAAAAEXtRi+Hh4d0UCHgACjwICAh0CBAIFAgYCBwIIAgkCSwILAjgCDQIIAggCCAIIAggCCAIIAggCCAIIAggCCAIIAggCCAIIAggCDgIDAppzcQB+AAAAAAACc3EAfgAE///////////////+/////v////91cQB+AAcAAAAEcQZZSXh4d0UCHgACjwICAh8CBAIFAgYCBwIIAgkCSwILAjgCDQIIAggCCAIIAggCCAIIAggCCAIIAggCCAIIAggCCAIIAggCDgIDAptzcQB+AAAAAAACc3EAfgAE///////////////+/////v////91cQB+AAcAAAAEWf3l8nh4d0UCHgACjwICAi8CBAIFAgYCBwIIAgkCSwILAjgCDQIIAggCCAIIAggCCAIIAggCCAIIAggCCAIIAggCCAIIAggCDgIDApxzcQB+AAAAAAACc3EAfgAE///////////////+/////v////91cQB+AAcAAAAEPRU7dnh4d0UCHgACjwICAicCBAIFAgYCBwIIAgkCSwILAjgCDQIIAggCCAIIAggCCAIIAggCCAIIAggCCAIIAggCCAIIAggCDgIDAp1zcQB+AAAAAAACc3EAfgAE///////////////+/////v////91cQB+AAcAAAAEQjS8fHh4d0UCHgACjwICAi0CBAIFAgYCBwIIAgkCSwILAjgCDQIIAggCCAIIAggCCAIIAggCCAIIAggCCAIIAggCCAIIAggCDgIDAp5zcQB+AAAAAAACc3EAfgAE///////////////+/////v////91cQB+AAcAAAAEgtyI8Xh4d50CHgACnwAJMzY0NTI1MjcyAgICIwIEAgUCBgIHAggCCQIKAgsCOAINAggCCAIIAggCCAIIAggCCAIIAggCCAIIAggCCAIIAggCCAIBAgMCRAIeAAKfAgICHwIEAgUCBgIHAggCCQKgAAYxOTEwMjUCCwI4Ag0CCAIIAggCCAIIAggCCAIIAggCCAIIAggCCAIIAggCCAIIAgECAwKhc3EAfgAAAAAAAnNxAH4ABP///////////////v////7/////dXEAfgAHAAAAAwRWK3h4d0UCHgACnwICAl4CBAIFAgYCBwIIAgkCoAILAjgCDQIIAggCCAIIAggCCAIIAggCCAIIAggCCAIIAggCCAIIAggCAQIDAqJzcQB+AAAAAAACc3EAfgAE///////////////+/////v////91cQB+AAcAAAADDMb+eHh3RQIeAAKfAgICWgIEAgUCBgIHAggCCQKgAgsCOAINAggCCAIIAggCCAIIAggCCAIIAggCCAIIAggCCAIIAggCCAIBAgMCo3NxAH4AAAAAAAJzcQB+AAT///////////////7////+/////3VxAH4ABwAAAAMGaCt4eHoAAAEUAh4AAp8CAgIdAgQCBQIGAgcCCAIJAgoCCwI4Ag0CCAIIAggCCAIIAggCCAIIAggCCAIIAggCCAIIAggCCAIIAgECAwI+Ah4AAp8CAgIrAgQCBQIGAgcCCAIJAksCCwI4Ag0CCAIIAggCCAIIAggCCAIIAggCCAIIAggCCAIIAggCCAIIAgECAwKUAh4AAp8CAgIbAgQCBQIGAgcCCAIJAqACCwI4Ag0CCAIIAggCCAIIAggCCAIIAggCCAIIAggCCAIIAggCCAIIAgECAwJZAh4AAp8CAgJNAgQCBQIGAgcCCAIJAgoCCwI4Ag0CCAIIAggCCAIIAggCCAIIAggCCAIIAggCCAIIAggCCAIIAgECAwKkc3EAfgAAAAAAAnNxAH4ABP///////////////v////7/////dXEAfgAHAAAABAIbp254eHeKAh4AAp8CAgIxAgQCBQIGAgcCCAIJAgoCCwI4Ag0CCAIIAggCCAIIAggCCAIIAggCCAIIAggCCAIIAggCCAIIAgECAwI7Ah4AAp8CAgIpAgQCBQIGAgcCCAIJAqACCwI4Ag0CCAIIAggCCAIIAggCCAIIAggCCAIIAggCCAIIAggCCAIIAgECAwKlc3EAfgAAAAAAAnNxAH4ABP///////////////v////7/////dXEAfgAHAAAAAwRDenh4d0UCHgACnwICAlACBAIFAgYCBwIIAgkCSwILAjgCDQIIAggCCAIIAggCCAIIAggCCAIIAggCCAIIAggCCAIIAggCAQIDAqZzcQB+AAAAAAACc3EAfgAE///////////////+/////v////91cQB+AAcAAAAEWi+1rXh4d0UCHgACnwICAlACBAIFAgYCBwIIAgkCCgILAjgCDQIIAggCCAIIAggCCAIIAggCCAIIAggCCAIIAggCCAIIAggCAQIDAqdzcQB+AAAAAAACc3EAfgAE///////////////+/////v////91cQB+AAcAAAAEAzaSmXh4d0UCHgACnwICAnoCBAIFAgYCBwIIAgkCoAILAjgCDQIIAggCCAIIAggCCAIIAggCCAIIAggCCAIIAggCCAIIAggCAQIDAqhzcQB+AAAAAAACc3EAfgAE///////////////+/////v////91cQB+AAcAAAADC4KteHh3igIeAAKfAgICLwIEAgUCBgIHAggCCQIKAgsCOAINAggCCAIIAggCCAIIAggCCAIIAggCCAIIAggCCAIIAggCCAIBAgMCPwIeAAKfAgICUgIEAgUCBgIHAggCCQKgAgsCOAINAggCCAIIAggCCAIIAggCCAIIAggCCAIIAggCCAIIAggCCAIBAgMCqXNxAH4AAAAAAAJzcQB+AAT///////////////7////+/////3VxAH4ABwAAAAMG3JN4eHeKAh4AAp8CAgIrAgQCBQIGAgcCCAIJAgoCCwI4Ag0CCAIIAggCCAIIAggCCAIIAggCCAIIAggCCAIIAggCCAIIAgECAwJHAh4AAp8CAgJsAgQCBQIGAgcCCAIJAksCCwI4Ag0CCAIIAggCCAIIAggCCAIIAggCCAIIAggCCAIIAggCCAIIAgECAwKqc3EAfgAAAAAAAnNxAH4ABP///////////////v////7/////dXEAfgAHAAAABFSIS5t4eHfPAh4AAp8CAgIDAgQCBQIGAgcCCAIJAksCCwI4Ag0CCAIIAggCCAIIAggCCAIIAggCCAIIAggCCAIIAggCCAIIAgECAwKZAh4AAp8CAgInAgQCBQIGAgcCCAIJAqACCwI4Ag0CCAIIAggCCAIIAggCCAIIAggCCAIIAggCCAIIAggCCAIIAgECAwJZAh4AAp8CAgJVAgQCBQIGAgcCCAIJAgoCCwI4Ag0CCAIIAggCCAIIAggCCAIIAggCCAIIAggCCAIIAggCCAIIAgECAwKrc3EAfgAAAAAAAnNxAH4ABP///////////////v////7/////dXEAfgAHAAAABAK9P6R4eHdFAh4AAp8CAgIlAgQCBQIGAgcCCAIJAqACCwI4Ag0CCAIIAggCCAIIAggCCAIIAggCCAIIAggCCAIIAggCCAIIAgECAwKsc3EAfgAAAAAAAnNxAH4ABP///////////////v////7/////dXEAfgAHAAAAAwSrl3h4d0UCHgACnwICAmwCBAIFAgYCBwIIAgkCCgILAjgCDQIIAggCCAIIAggCCAIIAggCCAIIAggCCAIIAggCCAIIAggCAQIDAq1zcQB+AAAAAAACc3EAfgAE///////////////+/////v////91cQB+AAcAAAAEA6uLrXh4d0UCHgACnwICAmECBAIFAgYCBwIIAgkCoAILAjgCDQIIAggCCAIIAggCCAIIAggCCAIIAggCCAIIAggCCAIIAggCAQIDAq5zcQB+AAAAAAACc3EAfgAE///////////////+/////v////91cQB+AAcAAAADEhXLeHh3RQIeAAKfAgICUAIEAgUCBgIHAggCCQKgAgsCOAINAggCCAIIAggCCAIIAggCCAIIAggCCAIIAggCCAIIAggCCAIBAgMCr3NxAH4AAAAAAAJzcQB+AAT///////////////7////+/////3VxAH4ABwAAAAMJnn94eHoAAAEUAh4AAp8CAgIzAgQCBQIGAgcCCAIJAgoCCwI4Ag0CCAIIAggCCAIIAggCCAIIAggCCAIIAggCCAIIAggCCAIIAgECAwJGAh4AAp8CAgIDAgQCBQIGAgcCCAIJAgoCCwI4Ag0CCAIIAggCCAIIAggCCAIIAggCCAIIAggCCAIIAggCCAIIAgECAwJDAh4AAp8CAgIxAgQCBQIGAgcCCAIJAksCCwI4Ag0CCAIIAggCCAIIAggCCAIIAggCCAIIAggCCAIIAggCCAIIAgECAwKRAh4AAp8CAgIrAgQCBQIGAgcCCAIJAqACCwI4Ag0CCAIIAggCCAIIAggCCAIIAggCCAIIAggCCAIIAggCCAIIAgECAwKwc3EAfgAAAAAAAnNxAH4ABP///////////////v////7/////dXEAfgAHAAAAAwQlCXh4d0UCHgACnwICAlICBAIFAgYCBwIIAgkCCgILAjgCDQIIAggCCAIIAggCCAIIAggCCAIIAggCCAIIAggCCAIIAggCAQIDArFzcQB+AAAAAAACc3EAfgAE///////////////+/////v////91cQB+AAcAAAAEO4uIvXh4d4oCHgACnwICAikCBAIFAgYCBwIIAgkCSwILAjgCDQIIAggCCAIIAggCCAIIAggCCAIIAggCCAIIAggCCAIIAggCAQIDApICHgACnwICAnoCBAIFAgYCBwIIAgkCSwILAjgCDQIIAggCCAIIAggCCAIIAggCCAIIAggCCAIIAggCCAIIAggCAQIDArJzcQB+AAAAAAACc3EAfgAE///////////////+/////v////91cQB+AAcAAAAETCsLgHh4d88CHgACnwICAjUCBAIFAgYCBwIIAgkCSwILAjgCDQIIAggCCAIIAggCCAIIAggCCAIIAggCCAIIAggCCAIIAggCAQIDApUCHgACnwICAi0CBAIFAgYCBwIIAgkCCgILAjgCDQIIAggCCAIIAggCCAIIAggCCAIIAggCCAIIAggCCAIIAggCAQIDAkECHgACnwICAnICBAIFAgYCBwIIAgkCoAILAjgCDQIIAggCCAIIAggCCAIIAggCCAIIAggCCAIIAggCCAIIAggCAQIDArNzcQB+AAAAAAACc3EAfgAE///////////////+/////v////91cQB+AAcAAAADBT+veHh6AAABWQIeAAKfAgICIQIEAgUCBgIHAggCCQIKAgsCOAINAggCCAIIAggCCAIIAggCCAIIAggCCAIIAggCCAIIAggCCAIBAgMCPAIeAAKfAgICHQIEAgUCBgIHAggCCQJLAgsCOAINAggCCAIIAggCCAIIAggCCAIIAggCCAIIAggCCAIIAggCCAIBAgMCmgIeAAKfAgICLwIEAgUCBgIHAggCCQJLAgsCOAINAggCCAIIAggCCAIIAggCCAIIAggCCAIIAggCCAIIAggCCAIBAgMCnAIeAAKfAgICJwIEAgUCBgIHAggCCQJLAgsCOAINAggCCAIIAggCCAIIAggCCAIIAggCCAIIAggCCAIIAggCCAIBAgMCnQIeAAKfAgICVQIEAgUCBgIHAggCCQJLAgsCOAINAggCCAIIAggCCAIIAggCCAIIAggCCAIIAggCCAIIAggCCAIBAgMCtHNxAH4AAAAAAAJzcQB+AAT///////////////7////+/////3VxAH4ABwAAAARdV1DJeHh3RQIeAAKfAgICWgIEAgUCBgIHAggCCQJLAgsCOAINAggCCAIIAggCCAIIAggCCAIIAggCCAIIAggCCAIIAggCCAIBAgMCtXNxAH4AAAAAAAJzcQB+AAT///////////////7////+/////3VxAH4ABwAAAAQSVBWqeHh31wIeAAKfAgICtgAGMjAxODA0AgQCBQIGAgcCCAIJAqACCwI4Ag0CCAIIAggCCAIIAggCCAIIAggCCAIIAggCCAIIAggCCAIIAgECAwJZAh4AAp8CAgIlAgQCBQIGAgcCCAIJAksCCwI4Ag0CCAIIAggCCAIIAggCCAIIAggCCAIIAggCCAIIAggCCAIIAgECAwKQAh4AAp8CAgJhAgQCBQIGAgcCCAIJAksCCwI4Ag0CCAIIAggCCAIIAggCCAIIAggCCAIIAggCCAIIAggCCAIIAgECAwK3c3EAfgAAAAAAAnNxAH4ABP///////////////v////7/////dXEAfgAHAAAABDc49U94eHdFAh4AAp8CAgJeAgQCBQIGAgcCCAIJAgoCCwI4Ag0CCAIIAggCCAIIAggCCAIIAggCCAIIAggCCAIIAggCCAIIAgECAwK4c3EAfgAAAAAAAnNxAH4ABP///////////////v////7/////dXEAfgAHAAAABATkMA94eHeKAh4AAp8CAgIbAgQCBQIGAgcCCAIJAgoCCwI4Ag0CCAIIAggCCAIIAggCCAIIAggCCAIIAggCCAIIAggCCAIIAgECAwJFAh4AAp8CAgK2AgQCBQIGAgcCCAIJAksCCwI4Ag0CCAIIAggCCAIIAggCCAIIAggCCAIIAggCCAIIAggCCAIIAgECAwK5c3EAfgAAAAAAAnNxAH4ABP///////////////v////7/////dXEAfgAHAAAABFqpyF94eHeKAh4AAp8CAgIfAgQCBQIGAgcCCAIJAgoCCwI4Ag0CCAIIAggCCAIIAggCCAIIAggCCAIIAggCCAIIAggCCAIIAgECAwJCAh4AAp8CAgJNAgQCBQIGAgcCCAIJAqACCwI4Ag0CCAIIAggCCAIIAggCCAIIAggCCAIIAggCCAIIAggCCAIIAgECAwK6c3EAfgAAAAAAAnNxAH4ABP///////////////v////7/////dXEAfgAHAAAAAweN1Hh4d4oCHgACnwICAiMCBAIFAgYCBwIIAgkCoAILAjgCDQIIAggCCAIIAggCCAIIAggCCAIIAggCCAIIAggCCAIIAggCAQIDAlkCHgACnwICAmcCBAIFAgYCBwIIAgkCCgILAjgCDQIIAggCCAIIAggCCAIIAggCCAIIAggCCAIIAggCCAIIAggCAQIDArtzcQB+AAAAAAACc3EAfgAE///////////////+/////v////91cQB+AAcAAAAEBeiObnh4d0UCHgACnwICAnICBAIFAgYCBwIIAgkCCgILAjgCDQIIAggCCAIIAggCCAIIAggCCAIIAggCCAIIAggCCAIIAggCAQIDArxzcQB+AAAAAAACc3EAfgAE///////////////+/////v////91cQB+AAcAAAADvFyyeHh3RQIeAAKfAgICZwIEAgUCBgIHAggCCQJLAgsCOAINAggCCAIIAggCCAIIAggCCAIIAggCCAIIAggCCAIIAggCCAIBAgMCvXNxAH4AAAAAAAJzcQB+AAT///////////////7////+/////3VxAH4ABwAAAAQ9+1bieHh6AAABWQIeAAKfAgICMwIEAgUCBgIHAggCCQJLAgsCOAINAggCCAIIAggCCAIIAggCCAIIAggCCAIIAggCCAIIAggCCAIBAgMClgIeAAKfAgICJwIEAgUCBgIHAggCCQIKAgsCOAINAggCCAIIAggCCAIIAggCCAIIAggCCAIIAggCCAIIAggCCAIBAgMCPQIeAAKfAgICNQIEAgUCBgIHAggCCQIKAgsCOAINAggCCAIIAggCCAIIAggCCAIIAggCCAIIAggCCAIIAggCCAIBAgMCOgIeAAKfAgICIQIEAgUCBgIHAggCCQJLAgsCOAINAggCCAIIAggCCAIIAggCCAIIAggCCAIIAggCCAIIAggCCAIBAgMClwIeAAKfAgICVQIEAgUCBgIHAggCCQKgAgsCOAINAggCCAIIAggCCAIIAggCCAIIAggCCAIIAggCCAIIAggCCAIBAgMCvnNxAH4AAAAAAAJzcQB+AAT///////////////7////+/////3VxAH4ABwAAAAMItpx4eHeKAh4AAp8CAgItAgQCBQIGAgcCCAIJAksCCwI4Ag0CCAIIAggCCAIIAggCCAIIAggCCAIIAggCCAIIAggCCAIIAgECAwKeAh4AAp8CAgJaAgQCBQIGAgcCCAIJAgoCCwI4Ag0CCAIIAggCCAIIAggCCAIIAggCCAIIAggCCAIIAggCCAIIAgECAwK/c3EAfgAAAAAAAnNxAH4ABP///////////////v////7/////dXEAfgAHAAAABExDDhV4eHdFAh4AAp8CAgIdAgQCBQIGAgcCCAIJAqACCwI4Ag0CCAIIAggCCAIIAggCCAIIAggCCAIIAggCCAIIAggCCAIIAgECAwLAc3EAfgAAAAAAAnNxAH4ABP///////////////v////7/////dXEAfgAHAAAAAwQOrnh4d0UCHgACnwICAi8CBAIFAgYCBwIIAgkCoAILAjgCDQIIAggCCAIIAggCCAIIAggCCAIIAggCCAIIAggCCAIIAggCAQIDAsFzcQB+AAAAAAACc3EAfgAE///////////////+/////v////91cQB+AAcAAAADBWT/eHh3igIeAAKfAgICMQIEAgUCBgIHAggCCQKgAgsCOAINAggCCAIIAggCCAIIAggCCAIIAggCCAIIAggCCAIIAggCCAIBAgMCWQIeAAKfAgICbAIEAgUCBgIHAggCCQKgAgsCOAINAggCCAIIAggCCAIIAggCCAIIAggCCAIIAggCCAIIAggCCAIBAgMCwnNxAH4AAAAAAAJzcQB+AAT///////////////7////+/////3VxAH4ABwAAAAMKgFR4eHfPAh4AAp8CAgIlAgQCBQIGAgcCCAIJAgoCCwI4Ag0CCAIIAggCCAIIAggCCAIIAggCCAIIAggCCAIIAggCCAIIAgECAwJAAh4AAp8CAgIbAgQCBQIGAgcCCAIJAksCCwI4Ag0CCAIIAggCCAIIAggCCAIIAggCCAIIAggCCAIIAggCCAIIAgECAwKTAh4AAp8CAgK2AgQCBQIGAgcCCAIJAgoCCwI4Ag0CCAIIAggCCAIIAggCCAIIAggCCAIIAggCCAIIAggCCAIIAgECAwLDc3EAfgAAAAAAAnNxAH4ABP///////////////v////7/////dXEAfgAHAAAABAcZP5l4eHeKAh4AAp8CAgIhAgQCBQIGAgcCCAIJAqACCwI4Ag0CCAIIAggCCAIIAggCCAIIAggCCAIIAggCCAIIAggCCAIIAgECAwJZAh4AAp8CAgIzAgQCBQIGAgcCCAIJAqACCwI4Ag0CCAIIAggCCAIIAggCCAIIAggCCAIIAggCCAIIAggCCAIIAgECAwLEc3EAfgAAAAAAAnNxAH4ABP///////////////v////7/////dXEAfgAHAAAAAwT7aHh4d0UCHgACnwICAnICBAIFAgYCBwIIAgkCSwILAjgCDQIIAggCCAIIAggCCAIIAggCCAIIAggCCAIIAggCCAIIAggCAQIDAsVzcQB+AAAAAAACc3EAfgAE///////////////+/////v////91cQB+AAcAAAAEYo3LFnh4d0UCHgACnwICAk0CBAIFAgYCBwIIAgkCSwILAjgCDQIIAggCCAIIAggCCAIIAggCCAIIAggCCAIIAggCCAIIAggCAQIDAsZzcQB+AAAAAAACc3EAfgAE///////////////+/////v////91cQB+AAcAAAAEYTEIFHh4d0UCHgACnwICAmcCBAIFAgYCBwIIAgkCoAILAjgCDQIIAggCCAIIAggCCAIIAggCCAIIAggCCAIIAggCCAIIAggCAQIDAsdzcQB+AAAAAAACc3EAfgAE///////////////+/////v////91cQB+AAcAAAADDoPdeHh3RQIeAAKfAgICNQIEAgUCBgIHAggCCQKgAgsCOAINAggCCAIIAggCCAIIAggCCAIIAggCCAIIAggCCAIIAggCCAIBAgMCyHNxAH4AAAAAAAJzcQB+AAT///////////////7////+/////3VxAH4ABwAAAAMEdI14eHdFAh4AAp8CAgJSAgQCBQIGAgcCCAIJAksCCwI4Ag0CCAIIAggCCAIIAggCCAIIAggCCAIIAggCCAIIAggCCAIIAgECAwLJc3EAfgAAAAAAAnNxAH4ABP///////////////v////7/////dXEAfgAHAAAABCij2ll4eHdFAh4AAp8CAgJ6AgQCBQIGAgcCCAIJAgoCCwI4Ag0CCAIIAggCCAIIAggCCAIIAggCCAIIAggCCAIIAggCCAIIAgECAwLKc3EAfgAAAAAAAnNxAH4ABP///////////////v////7/////dXEAfgAHAAAABAQ2ieN4eHfPAh4AAp8CAgIpAgQCBQIGAgcCCAIJAgoCCwI4Ag0CCAIIAggCCAIIAggCCAIIAggCCAIIAggCCAIIAggCCAIIAgECAwI5Ah4AAp8CAgIjAgQCBQIGAgcCCAIJAksCCwI4Ag0CCAIIAggCCAIIAggCCAIIAggCCAIIAggCCAIIAggCCAIIAgECAwKYAh4AAp8CAgIDAgQCBQIGAgcCCAIJAqACCwI4Ag0CCAIIAggCCAIIAggCCAIIAggCCAIIAggCCAIIAggCCAIIAgECAwLLc3EAfgAAAAAAAnNxAH4ABP///////////////v////7/////dXEAfgAHAAAAAwQ0OHh4d0UCHgACnwICAmECBAIFAgYCBwIIAgkCCgILAjgCDQIIAggCCAIIAggCCAIIAggCCAIIAggCCAIIAggCCAIIAggCAQIDAsxzcQB+AAAAAAACc3EAfgAE///////////////+/////v////91cQB+AAcAAAAECCX/sXh4d0UCHgACnwICAi0CBAIFAgYCBwIIAgkCoAILAjgCDQIIAggCCAIIAggCCAIIAggCCAIIAggCCAIIAggCCAIIAggCAQIDAs1zcQB+AAAAAAACc3EAfgAE///////////////+/////v////91cQB+AAcAAAADA9yreHh3igIeAAKfAgICHwIEAgUCBgIHAggCCQJLAgsCOAINAggCCAIIAggCCAIIAggCCAIIAggCCAIIAggCCAIIAggCCAIBAgMCmwIeAAKfAgICXgIEAgUCBgIHAggCCQJLAgsCOAINAggCCAIIAggCCAIIAggCCAIIAggCCAIIAggCCAIIAggCCAIBAgMCznNxAH4AAAAAAAJzcQB+AAT///////////////7////+/////3VxAH4ABwAAAARIcHiveHh6AAAEAAIeAALPAAk0MTQwMTQ5NDQCAgIdAgQCBQIGAgcCCAIJAksCCwIMAg0CCAIIAggCCAIIAggCCAIIAggCCAIIAggCCAIIAggCCAIIAhECAwJXAh4AAs8CAgJVAgQCBQIGAgcCCAIJAksCCwIMAg0CCAIIAggCCAIIAggCCAIIAggCCAIIAggCCAIIAggCCAIIAhECAwJWAh4AAs8CAgIrAgQCBQIGAgcCCAIJAkkCCwIMAg0CCAIIAggCCAIIAggCCAIIAggCCAIIAggCCAIIAggCCAIIAhECAwJPAh4AAs8CAgJVAgQCBQIGAgcCCAIJAkkCCwIMAg0CCAIIAggCCAIIAggCCAIIAggCCAIIAggCCAIIAggCCAIIAhECAwJcAh4AAs8CAgIhAgQCBQIGAgcCCAIJAgoCCwIMAg0CCAIIAggCCAIIAggCCAIIAggCCAIIAggCCAIIAggCCAIIAhECAwIiAh4AAs8CAgIjAgQCBQIGAgcCCAIJAkkCCwIMAg0CCAIIAggCCAIIAggCCAIIAggCCAIIAggCCAIIAggCCAIIAhECAwJZAh4AAs8CAgIjAgQCBQIGAgcCCAIJAksCCwIMAg0CCAIIAggCCAIIAggCCAIIAggCCAIIAggCCAIIAggCCAIIAhECAwJYAh4AAs8CAgIzAgQCBQIGAgcCCAIJAgoCCwIMAg0CCAIIAggCCAIIAggCCAIIAggCCAIIAggCCAIIAggCCAIIAhECAwI0Ah4AAs8CAgIrAgQCBQIGAgcCCAIJAksCCwIMAg0CCAIIAggCCAIIAggCCAIIAggCCAIIAggCCAIIAggCCAIIAhECAwJMAh4AAs8CAgJsAgQCBQIGAgcCCAIJAkkCCwIMAg0CCAIIAggCCAIIAggCCAIIAggCCAIIAggCCAIIAggCCAIIAhECAwJuAh4AAs8CAgIDAgQCBQIGAgcCCAIJAkkCCwIMAg0CCAIIAggCCAIIAggCCAIIAggCCAIIAggCCAIIAggCCAIIAhECAwJKAh4AAs8CAgJNAgQCBQIGAgcCCAIJAgoCCwIMAg0CCAIIAggCCAIIAggCCAIIAggCCAIIAggCCAIIAggCCAIIAhECAwJOAh4AAs8CAgJQAgQCBQIGAgcCCAIJAksCCwIMAg0CCAIIAggCCAIIAggCCAIIAggCCAIIAggCCAIIAggCCAIIAhECAwJRAh4AAs8CAgJVAgQCBQIGAgcCCAIJAgoCCwIMAg0CCAIIAggCCAIIAggCCAIIAggCCAIIAggCCAIIAggCCAIIAhECAwKKAh4AAs8CAgJQAgQCBQIGAgcCCAIJAkkCCwIMAg0CCAIIAggCCAIIAggCCAIIAgh6AAAD3AIIAggCCAIIAggCCAIIAggCEQIDAlQCHgACzwICAjECBAIFAgYCBwIIAgkCCgILAgwCDQIIAggCCAIIAggCCAIIAggCCAIIAggCCAIIAggCCAIIAggCEQIDAjICHgACzwICAh0CBAIFAgYCBwIIAgkCCgILAgwCDQIIAggCCAIIAggCCAIIAggCCAIIAggCCAIIAggCCAIIAggCEQIDAh4CHgACzwICAi8CBAIFAgYCBwIIAgkCCgILAgwCDQIIAggCCAIIAggCCAIIAggCCAIIAggCCAIIAggCCAIIAggCEQIDAjACHgACzwICAjMCBAIFAgYCBwIIAgkCSwILAgwCDQIIAggCCAIIAggCCAIIAggCCAIIAggCCAIIAggCCAIIAggCEQIDAmkCHgACzwICAgMCBAIFAgYCBwIIAgkCSwILAgwCDQIIAggCCAIIAggCCAIIAggCCAIIAggCCAIIAggCCAIIAggCEQIDAmoCHgACzwICAmwCBAIFAgYCBwIIAgkCSwILAgwCDQIIAggCCAIIAggCCAIIAggCCAIIAggCCAIIAggCCAIIAggCEQIDAm0CHgACzwICAlICBAIFAgYCBwIIAgkCSwILAgwCDQIIAggCCAIIAggCCAIIAggCCAIIAggCCAIIAggCCAIIAggCEQIDAmQCHgACzwICAjMCBAIFAgYCBwIIAgkCSQILAgwCDQIIAggCCAIIAggCCAIIAggCCAIIAggCCAIIAggCCAIIAggCEQIDAnQCHgACzwICAnICBAIFAgYCBwIIAgkCCgILAgwCDQIIAggCCAIIAggCCAIIAggCCAIIAggCCAIIAggCCAIIAggCEQIDAnMCHgACzwICAhsCBAIFAgYCBwIIAgkCCgILAgwCDQIIAggCCAIIAggCCAIIAggCCAIIAggCCAIIAggCCAIIAggCEQIDAhwCHgACzwICAlACBAIFAgYCBwIIAgkCCgILAgwCDQIIAggCCAIIAggCCAIIAggCCAIIAggCCAIIAggCCAIIAggCEQIDAmMCHgACzwICAiECBAIFAgYCBwIIAgkCSQILAgwCDQIIAggCCAIIAggCCAIIAggCCAIIAggCCAIIAggCCAIIAggCEQIDAlkCHgACzwICAiMCBAIFAgYCBwIIAgkCCgILAgwCDQIIAggCCAIIAggCCAIIAggCCAIIAggCCAIIAggCCAIIAggCEQIDAiQCHgACzwICAiECBAIFAgYCBwIIAgkCSwILAgwCDQIIAggCCAIIAggCCAIIAggCCAIIAggCCAIIAggCCAIIAggCEQIDAtBzcQB+AAAAAAACc3EAfgAE///////////////+/////v////91cQB+AAcAAAAEKsKx+Hh4egAAAVkCHgACzwICAisCBAIFAgYCBwIIAgkCCgILAgwCDQIIAggCCAIIAggCCAIIAggCCAIIAggCCAIIAggCCAIIAggCEQIDAiwCHgACzwICAl4CBAIFAgYCBwIIAgkCSQILAgwCDQIIAggCCAIIAggCCAIIAggCCAIIAggCCAIIAggCCAIIAggCEQIDAl8CHgACzwICAh8CBAIFAgYCBwIIAgkCSQILAgwCDQIIAggCCAIIAggCCAIIAggCCAIIAggCCAIIAggCCAIIAggCEQIDAmACHgACzwICAmECBAIFAgYCBwIIAgkCCgILAgwCDQIIAggCCAIIAggCCAIIAggCCAIIAggCCAIIAggCCAIIAggCEQIDAmICHgACzwICArYCBAIFAgYCBwIIAgkCCgILAgwCDQIIAggCCAIIAggCCAIIAggCCAIIAggCCAIIAggCCAIIAggCEQIDAtFzcQB+AAAAAAACc3EAfgAE///////////////+/////v////91cQB+AAcAAAAEATJrz3h4egAABAACHgACzwICAk0CBAIFAgYCBwIIAgkCSwILAgwCDQIIAggCCAIIAggCCAIIAggCCAIIAggCCAIIAggCCAIIAggCEQIDAmUCHgACzwICAh8CBAIFAgYCBwIIAgkCSwILAgwCDQIIAggCCAIIAggCCAIIAggCCAIIAggCCAIIAggCCAIIAggCEQIDAn0CHgACzwICAk0CBAIFAgYCBwIIAgkCSQILAgwCDQIIAggCCAIIAggCCAIIAggCCAIIAggCCAIIAggCCAIIAggCEQIDAmYCHgACzwICAlICBAIFAgYCBwIIAgkCSQILAgwCDQIIAggCCAIIAggCCAIIAggCCAIIAggCCAIIAggCCAIIAggCEQIDAlMCHgACzwICAiUCBAIFAgYCBwIIAgkCCgILAgwCDQIIAggCCAIIAggCCAIIAggCCAIIAggCCAIIAggCCAIIAggCEQIDAiYCHgACzwICAhsCBAIFAgYCBwIIAgkCSwILAgwCDQIIAggCCAIIAggCCAIIAggCCAIIAggCCAIIAggCCAIIAggCEQIDAnYCHgACzwICAnICBAIFAgYCBwIIAgkCSwILAgwCDQIIAggCCAIIAggCCAIIAggCCAIIAggCCAIIAggCCAIIAggCEQIDAoUCHgACzwICAmcCBAIFAgYCBwIIAgkCSQILAgwCDQIIAggCCAIIAggCCAIIAggCCAIIAggCCAIIAggCCAIIAggCEQIDAmgCHgACzwICAlICBAIFAgYCBwIIAgkCCgILAgwCDQIIAggCCAIIAggCCAIIAggCCAIIAggCCAIIAggCCAIIAggCEQIDAngCHgACzwICAnoCBAIFAgYCBwIIAgkCCgILAgwCDQIIAggCCAIIAggCCAIIAggCCAIIAggCCAIIAggCCAIIAggCEQIDAnsCHgACzwICAmcCBAIFAgYCBwIIAgkCSwILAgwCDQIIAggCCAIIAggCCAIIAggCCAIIAggCCAIIAggCCAIIAggCEQIDAnUCHgACzwICAjUCBAIFAgYCBwIIAgkCSQILAgwCDQIIAggCCAIIAggCCAIIAggCCAIIAggCCAIIAggCCAIIAggCEQIDAncCHgACzwICAi0CBAIFAgYCBwIIAgkCSQILAgwCDQIIAggCCAIIAggCCAIIAggCCAIIAggCCAIIAggCCAIIAggCEQIDAmsCHgACzwICAl4CBAIFAgYCBwIIAgkCSwILAgwCDQIIAggCCAIIAggCCAIIAggCCAIIAggCCAIIAggCCAIIAggCEQIDAnwCHgACzwICAjUCBAIFAgYCBwIIAgkCSwILAgwCDQIIAggCCAIIAggCCAIIAggCCAIIAggCCAIIAggCd50IAggCCAIRAgMCeQIeAALPAgIC0gAGMjAxODA1AgQCBQIGAgcCCAIJAkkCCwIMAg0CCAIIAggCCAIIAggCCAIIAggCCAIIAggCCAIIAggCCAIIAhECAwJZAh4AAs8CAgLSAgQCBQIGAgcCCAIJAksCCwIMAg0CCAIIAggCCAIIAggCCAIIAggCCAIIAggCCAIIAggCCAIIAhECAwLTc3EAfgAAAAAAAnNxAH4ABP///////////////v////7/////dXEAfgAHAAAABC70FP94eHoAAAQAAh4AAs8CAgIpAgQCBQIGAgcCCAIJAgoCCwIMAg0CCAIIAggCCAIIAggCCAIIAggCCAIIAggCCAIIAggCCAIIAhECAwIqAh4AAs8CAgJeAgQCBQIGAgcCCAIJAgoCCwIMAg0CCAIIAggCCAIIAggCCAIIAggCCAIIAggCCAIIAggCCAIIAhECAwJvAh4AAs8CAgIlAgQCBQIGAgcCCAIJAksCCwIMAg0CCAIIAggCCAIIAggCCAIIAggCCAIIAggCCAIIAggCCAIIAhECAwJxAh4AAs8CAgJhAgQCBQIGAgcCCAIJAksCCwIMAg0CCAIIAggCCAIIAggCCAIIAggCCAIIAggCCAIIAggCCAIIAhECAwKNAh4AAs8CAgJhAgQCBQIGAgcCCAIJAkkCCwIMAg0CCAIIAggCCAIIAggCCAIIAggCCAIIAggCCAIIAggCCAIIAhECAwKOAh4AAs8CAgIlAgQCBQIGAgcCCAIJAkkCCwIMAg0CCAIIAggCCAIIAggCCAIIAggCCAIIAggCCAIIAggCCAIIAhECAwKMAh4AAs8CAgItAgQCBQIGAgcCCAIJAksCCwIMAg0CCAIIAggCCAIIAggCCAIIAggCCAIIAggCCAIIAggCCAIIAhECAwJwAh4AAs8CAgIbAgQCBQIGAgcCCAIJAkkCCwIMAg0CCAIIAggCCAIIAggCCAIIAggCCAIIAggCCAIIAggCCAIIAhECAwJZAh4AAs8CAgJaAgQCBQIGAgcCCAIJAgoCCwIMAg0CCAIIAggCCAIIAggCCAIIAggCCAIIAggCCAIIAggCCAIIAhECAwKLAh4AAs8CAgJyAgQCBQIGAgcCCAIJAkkCCwIMAg0CCAIIAggCCAIIAggCCAIIAggCCAIIAggCCAIIAggCCAIIAhECAwKEAh4AAs8CAgK2AgQCBQIGAgcCCAIJAksCCwIMAg0CCAIIAggCCAIIAggCCAIIAggCCAIIAggCCAIIAggCCAIIAhECAwLTAh4AAs8CAgK2AgQCBQIGAgcCCAIJAkkCCwIMAg0CCAIIAggCCAIIAggCCAIIAggCCAIIAggCCAIIAggCCAIIAhECAwJZAh4AAs8CAgInAgQCBQIGAgcCCAIJAgoCCwIMAg0CCAIIAggCCAIIAggCCAIIAggCCAIIAggCCAIIAggCCAIIAhECAwIoAh4AAs8CAgIfAgQCBQIGAgcCCAIJAgoCCwIMAg0CCAIIAggCCAIIAggCCAIIAggCCAIIAggCCAIIAggCCAIIAhECAwIgAh4AAs8CAgJnAgQCBQIGAgcCCAIJAgoCCwIMAg0CCAIIAggCCAIIAggCCAIIAggCCAIIAggCCAIIAnoAAAHuCAIIAggCEQIDAogCHgACzwICAnoCBAIFAgYCBwIIAgkCSQILAgwCDQIIAggCCAIIAggCCAIIAggCCAIIAggCCAIIAggCCAIIAggCEQIDAocCHgACzwICAtICBAIFAgYCBwIIAgkCCgILAgwCDQIIAggCCAIIAggCCAIIAggCCAIIAggCCAIIAggCCAIIAggCEQIDAtECHgACzwICAikCBAIFAgYCBwIIAgkCSQILAgwCDQIIAggCCAIIAggCCAIIAggCCAIIAggCCAIIAggCCAIIAggCEQIDAokCHgACzwICAikCBAIFAgYCBwIIAgkCSwILAgwCDQIIAggCCAIIAggCCAIIAggCCAIIAggCCAIIAggCCAIIAggCEQIDAoMCHgACzwICAloCBAIFAgYCBwIIAgkCSQILAgwCDQIIAggCCAIIAggCCAIIAggCCAIIAggCCAIIAggCCAIIAggCEQIDAlsCHgACzwICAjUCBAIFAgYCBwIIAgkCCgILAgwCDQIIAggCCAIIAggCCAIIAggCCAIIAggCCAIIAggCCAIIAggCEQIDAjYCHgACzwICAjECBAIFAgYCBwIIAgkCSwILAgwCDQIIAggCCAIIAggCCAIIAggCCAIIAggCCAIIAggCCAIIAggCEQIDAtRzcQB+AAAAAAACc3EAfgAE///////////////+/////v////91cQB+AAcAAAAEKUaEtnh4egAABAACHgACzwICAi8CBAIFAgYCBwIIAgkCSwILAgwCDQIIAggCCAIIAggCCAIIAggCCAIIAggCCAIIAggCCAIIAggCEQIDAoECHgACzwICAloCBAIFAgYCBwIIAgkCSwILAgwCDQIIAggCCAIIAggCCAIIAggCCAIIAggCCAIIAggCCAIIAggCEQIDAn8CHgACzwICAicCBAIFAgYCBwIIAgkCSwILAgwCDQIIAggCCAIIAggCCAIIAggCCAIIAggCCAIIAggCCAIIAggCEQIDAoACHgACzwICAnoCBAIFAgYCBwIIAgkCSwILAgwCDQIIAggCCAIIAggCCAIIAggCCAIIAggCCAIIAggCCAIIAggCEQIDAoYCHgACzwICAicCBAIFAgYCBwIIAgkCSQILAgwCDQIIAggCCAIIAggCCAIIAggCCAIIAggCCAIIAggCCAIIAggCEQIDAlkCHgACzwICAh0CBAIFAgYCBwIIAgkCSQILAgwCDQIIAggCCAIIAggCCAIIAggCCAIIAggCCAIIAggCCAIIAggCEQIDAl0CHgACzwICAi8CBAIFAgYCBwIIAgkCSQILAgwCDQIIAggCCAIIAggCCAIIAggCCAIIAggCCAIIAggCCAIIAggCEQIDAn4CHgACzwICAjECBAIFAgYCBwIIAgkCSQILAgwCDQIIAggCCAIIAggCCAIIAggCCAIIAggCCAIIAggCCAIIAggCEQIDAlkCHgACzwICAmwCBAIFAgYCBwIIAgkCCgILAgwCDQIIAggCCAIIAggCCAIIAggCCAIIAggCCAIIAggCCAIIAggCEQIDAoICHgACzwICAi0CBAIFAgYCBwIIAgkCCgILAgwCDQIIAggCCAIIAggCCAIIAggCCAIIAggCCAIIAggCCAIIAggCEQIDAi4CHgACzwICAgMCBAIFAgYCBwIIAgkCCgILAgwCDQIIAggCCAIIAggCCAIIAggCCAIIAggCCAIIAggCCAIIAggCEQIDAg4CHgAC1QAJNDI2NDUzNjMyAgICMwIEAgUCBgIHAggCCQJLAgsCDAINAggCCAIIAggCCAIIAggCCAIIAggCCAIIAggCCAIIAggCCAIhAgMCaQIeAALVAgICNQIEAgUCBgIHAggCCQJLAgsCDAINAggCCAIIAggCCAIIAggCCAIIAggCCAIIAggCCAIIAggCCAIhAgMCeQIeAALVAgICHQIEAgUCBgIHAggCCQJLAgsCDAINAggCCAIIAggCCAIIAggCCAIIAggCCAIIAggCCAIIAggCCAIhAgMCVwIeAALVAgICGwIEAgUCBgIHAggCCQJLAgsCDAINAggCCAIIAggCCAIIAggCCAIIegAABAACCAIIAggCCAIIAggCCAIIAiECAwJ2Ah4AAtUCAgIpAgQCBQIGAgcCCAIJAksCCwIMAg0CCAIIAggCCAIIAggCCAIIAggCCAIIAggCCAIIAggCCAIIAiECAwKDAh4AAtUCAgIrAgQCBQIGAgcCCAIJAksCCwIMAg0CCAIIAggCCAIIAggCCAIIAggCCAIIAggCCAIIAggCCAIIAiECAwJMAh4AAtUCAgIhAgQCBQIGAgcCCAIJAksCCwIMAg0CCAIIAggCCAIIAggCCAIIAggCCAIIAggCCAIIAggCCAIIAiECAwLQAh4AAtUCAgIjAgQCBQIGAgcCCAIJAksCCwIMAg0CCAIIAggCCAIIAggCCAIIAggCCAIIAggCCAIIAggCCAIIAiECAwJYAh4AAtUCAgIlAgQCBQIGAgcCCAIJAksCCwIMAg0CCAIIAggCCAIIAggCCAIIAggCCAIIAggCCAIIAggCCAIIAiECAwJxAh4AAtUCAgIfAgQCBQIGAgcCCAIJAksCCwIMAg0CCAIIAggCCAIIAggCCAIIAggCCAIIAggCCAIIAggCCAIIAiECAwJ9Ah4AAtUCAgIvAgQCBQIGAgcCCAIJAksCCwIMAg0CCAIIAggCCAIIAggCCAIIAggCCAIIAggCCAIIAggCCAIIAiECAwKBAh4AAtUCAgInAgQCBQIGAgcCCAIJAksCCwIMAg0CCAIIAggCCAIIAggCCAIIAggCCAIIAggCCAIIAggCCAIIAiECAwKAAh4AAtUCAgIDAgQCBQIGAgcCCAIJAksCCwIMAg0CCAIIAggCCAIIAggCCAIIAggCCAIIAggCCAIIAggCCAIIAiECAwJqAh4AAtUCAgItAgQCBQIGAgcCCAIJAksCCwIMAg0CCAIIAggCCAIIAggCCAIIAggCCAIIAggCCAIIAggCCAIIAiECAwJwAh4AAtUCAgIxAgQCBQIGAgcCCAIJAksCCwIMAg0CCAIIAggCCAIIAggCCAIIAggCCAIIAggCCAIIAggCCAIIAiECAwLUAh4AAtYACTQxNDAxMzc4NAICAmECBAIFAgYCBwIIAgkCCgILAjgCDQIIAggCCAIIAggCCAIIAggCCAIIAggCCAIIAggCCAIIAggCEAIDAswCHgAC1gICAi8CBAIFAgYCBwIIAgkCSwILAjgCDQIIAggCCAIIAggCCAIIAggCCAIIAggCCAIIAggCCAIIAggCEAIDApwCHgAC1gICAjECBAIFAgYCBwIIAgkCSwILAjgCDQIIAggCCAIIAggCCAIIAggCCAIIAggCCAIIAggCCAIIAggCEAIDApECHgAC1gICAiUCBAIFAgYCBwIIAgkCCgILegAABAACOAINAggCCAIIAggCCAIIAggCCAIIAggCCAIIAggCCAIIAggCCAIQAgMCQAIeAALWAgICtgIEAgUCBgIHAggCCQIKAgsCOAINAggCCAIIAggCCAIIAggCCAIIAggCCAIIAggCCAIIAggCCAIQAgMCwwIeAALWAgICKwIEAgUCBgIHAggCCQKgAgsCOAINAggCCAIIAggCCAIIAggCCAIIAggCCAIIAggCCAIIAggCCAIQAgMCsAIeAALWAgICUAIEAgUCBgIHAggCCQKgAgsCOAINAggCCAIIAggCCAIIAggCCAIIAggCCAIIAggCCAIIAggCCAIQAgMCrwIeAALWAgICTQIEAgUCBgIHAggCCQJLAgsCOAINAggCCAIIAggCCAIIAggCCAIIAggCCAIIAggCCAIIAggCCAIQAgMCxgIeAALWAgICMwIEAgUCBgIHAggCCQJLAgsCOAINAggCCAIIAggCCAIIAggCCAIIAggCCAIIAggCCAIIAggCCAIQAgMClgIeAALWAgIC0gIEAgUCBgIHAggCCQIKAgsCOAINAggCCAIIAggCCAIIAggCCAIIAggCCAIIAggCCAIIAggCCAIQAgMCwwIeAALWAgICHQIEAgUCBgIHAggCCQKgAgsCOAINAggCCAIIAggCCAIIAggCCAIIAggCCAIIAggCCAIIAggCCAIQAgMCwAIeAALWAgICVQIEAgUCBgIHAggCCQKgAgsCOAINAggCCAIIAggCCAIIAggCCAIIAggCCAIIAggCCAIIAggCCAIQAgMCvgIeAALWAgICZwIEAgUCBgIHAggCCQIKAgsCOAINAggCCAIIAggCCAIIAggCCAIIAggCCAIIAggCCAIIAggCCAIQAgMCuwIeAALWAgICNQIEAgUCBgIHAggCCQIKAgsCOAINAggCCAIIAggCCAIIAggCCAIIAggCCAIIAggCCAIIAggCCAIQAgMCOgIeAALWAgICUgIEAgUCBgIHAggCCQKgAgsCOAINAggCCAIIAggCCAIIAggCCAIIAggCCAIIAggCCAIIAggCCAIQAgMCqQIeAALWAgICIQIEAgUCBgIHAggCCQJLAgsCOAINAggCCAIIAggCCAIIAggCCAIIAggCCAIIAggCCAIIAggCCAIQAgMClwIeAALWAgICYQIEAgUCBgIHAggCCQJLAgsCOAINAggCCAIIAggCCAIIAggCCAIIAggCCAIIAggCCAIIAggCCAIQAgMCtwIeAALWAgICXgIEAgUCBgIHAggCCQIKAgsCOAINAggCCAIIAggCCAIIAggCCAIIAggCCAIIAggCCAIIAggCCAIQAgMCuAIeAALWAgICJQIEAgUCegAABAAGAgcCCAIJAksCCwI4Ag0CCAIIAggCCAIIAggCCAIIAggCCAIIAggCCAIIAggCCAIIAhACAwKQAh4AAtYCAgJQAgQCBQIGAgcCCAIJAksCCwI4Ag0CCAIIAggCCAIIAggCCAIIAggCCAIIAggCCAIIAggCCAIIAhACAwKmAh4AAtYCAgIxAgQCBQIGAgcCCAIJAqACCwI4Ag0CCAIIAggCCAIIAggCCAIIAggCCAIIAggCCAIIAggCCAIIAhACAwJZAh4AAtYCAgIvAgQCBQIGAgcCCAIJAqACCwI4Ag0CCAIIAggCCAIIAggCCAIIAggCCAIIAggCCAIIAggCCAIIAhACAwLBAh4AAtYCAgIrAgQCBQIGAgcCCAIJAksCCwI4Ag0CCAIIAggCCAIIAggCCAIIAggCCAIIAggCCAIIAggCCAIIAhACAwKUAh4AAtYCAgJaAgQCBQIGAgcCCAIJAqACCwI4Ag0CCAIIAggCCAIIAggCCAIIAggCCAIIAggCCAIIAggCCAIIAhACAwKjAh4AAtYCAgInAgQCBQIGAgcCCAIJAqACCwI4Ag0CCAIIAggCCAIIAggCCAIIAggCCAIIAggCCAIIAggCCAIIAhACAwJZAh4AAtYCAgInAgQCBQIGAgcCCAIJAgoCCwI4Ag0CCAIIAggCCAIIAggCCAIIAggCCAIIAggCCAIIAggCCAIIAhACAwI9Ah4AAtYCAgK2AgQCBQIGAgcCCAIJAksCCwI4Ag0CCAIIAggCCAIIAggCCAIIAggCCAIIAggCCAIIAggCCAIIAhACAwK5Ah4AAtYCAgIvAgQCBQIGAgcCCAIJAgoCCwI4Ag0CCAIIAggCCAIIAggCCAIIAggCCAIIAggCCAIIAggCCAIIAhACAwI/Ah4AAtYCAgJNAgQCBQIGAgcCCAIJAqACCwI4Ag0CCAIIAggCCAIIAggCCAIIAggCCAIIAggCCAIIAggCCAIIAhACAwK6Ah4AAtYCAgIxAgQCBQIGAgcCCAIJAgoCCwI4Ag0CCAIIAggCCAIIAggCCAIIAggCCAIIAggCCAIIAggCCAIIAhACAwI7Ah4AAtYCAgIbAgQCBQIGAgcCCAIJAgoCCwI4Ag0CCAIIAggCCAIIAggCCAIIAggCCAIIAggCCAIIAggCCAIIAhACAwJFAh4AAtYCAgJ6AgQCBQIGAgcCCAIJAgoCCwI4Ag0CCAIIAggCCAIIAggCCAIIAggCCAIIAggCCAIIAggCCAIIAhACAwLKAh4AAtYCAgIhAgQCBQIGAgcCCAIJAqACCwI4Ag0CCAIIAggCCAIIAggCCAIIAggCCAIIAggCCAIIAggCCAIIAhACAwJZAh4AegAABAAC1gICAnICBAIFAgYCBwIIAgkCCgILAjgCDQIIAggCCAIIAggCCAIIAggCCAIIAggCCAIIAggCCAIIAggCEAIDArwCHgAC1gICAhsCBAIFAgYCBwIIAgkCSwILAjgCDQIIAggCCAIIAggCCAIIAggCCAIIAggCCAIIAggCCAIIAggCEAIDApMCHgAC1gICAiMCBAIFAgYCBwIIAgkCSwILAjgCDQIIAggCCAIIAggCCAIIAggCCAIIAggCCAIIAggCCAIIAggCEAIDApgCHgAC1gICAgMCBAIFAgYCBwIIAgkCoAILAjgCDQIIAggCCAIIAggCCAIIAggCCAIIAggCCAIIAggCCAIIAggCEAIDAssCHgAC1gICAmwCBAIFAgYCBwIIAgkCoAILAjgCDQIIAggCCAIIAggCCAIIAggCCAIIAggCCAIIAggCCAIIAggCEAIDAsICHgAC1gICAikCBAIFAgYCBwIIAgkCCgILAjgCDQIIAggCCAIIAggCCAIIAggCCAIIAggCCAIIAggCCAIIAggCEAIDAjkCHgAC1gICAmcCBAIFAgYCBwIIAgkCoAILAjgCDQIIAggCCAIIAggCCAIIAggCCAIIAggCCAIIAggCCAIIAggCEAIDAscCHgAC1gICAh8CBAIFAgYCBwIIAgkCSwILAjgCDQIIAggCCAIIAggCCAIIAggCCAIIAggCCAIIAggCCAIIAggCEAIDApsCHgAC1gICAl4CBAIFAgYCBwIIAgkCSwILAjgCDQIIAggCCAIIAggCCAIIAggCCAIIAggCCAIIAggCCAIIAggCEAIDAs4CHgAC1gICAloCBAIFAgYCBwIIAgkCSwILAjgCDQIIAggCCAIIAggCCAIIAggCCAIIAggCCAIIAggCCAIIAggCEAIDArUCHgAC1gICAiUCBAIFAgYCBwIIAgkCoAILAjgCDQIIAggCCAIIAggCCAIIAggCCAIIAggCCAIIAggCCAIIAggCEAIDAqwCHgAC1gICAmECBAIFAgYCBwIIAgkCoAILAjgCDQIIAggCCAIIAggCCAIIAggCCAIIAggCCAIIAggCCAIIAggCEAIDAq4CHgAC1gICAi0CBAIFAgYCBwIIAgkCoAILAjgCDQIIAggCCAIIAggCCAIIAggCCAIIAggCCAIIAggCCAIIAggCEAIDAs0CHgAC1gICAisCBAIFAgYCBwIIAgkCCgILAjgCDQIIAggCCAIIAggCCAIIAggCCAIIAggCCAIIAggCCAIIAggCEAIDAkcCHgAC1gICAlACBAIFAgYCBwIIAgkCCgILAjgCDQIIAggCCAIIAggCCAIIAggCCAIIAggCCAIIAggCCAIIegAABAACCAIQAgMCpwIeAALWAgICNQIEAgUCBgIHAggCCQKgAgsCOAINAggCCAIIAggCCAIIAggCCAIIAggCCAIIAggCCAIIAggCCAIQAgMCyAIeAALWAgICUgIEAgUCBgIHAggCCQJLAgsCOAINAggCCAIIAggCCAIIAggCCAIIAggCCAIIAggCCAIIAggCCAIQAgMCyQIeAALWAgICegIEAgUCBgIHAggCCQJLAgsCOAINAggCCAIIAggCCAIIAggCCAIIAggCCAIIAggCCAIIAggCCAIQAgMCsgIeAALWAgICKQIEAgUCBgIHAggCCQJLAgsCOAINAggCCAIIAggCCAIIAggCCAIIAggCCAIIAggCCAIIAggCCAIQAgMCkgIeAALWAgIC0gIEAgUCBgIHAggCCQKgAgsCOAINAggCCAIIAggCCAIIAggCCAIIAggCCAIIAggCCAIIAggCCAIQAgMCWQIeAALWAgICUgIEAgUCBgIHAggCCQIKAgsCOAINAggCCAIIAggCCAIIAggCCAIIAggCCAIIAggCCAIIAggCCAIQAgMCsQIeAALWAgICbAIEAgUCBgIHAggCCQJLAgsCOAINAggCCAIIAggCCAIIAggCCAIIAggCCAIIAggCCAIIAggCCAIQAgMCqgIeAALWAgICMwIEAgUCBgIHAggCCQKgAgsCOAINAggCCAIIAggCCAIIAggCCAIIAggCCAIIAggCCAIIAggCCAIQAgMCxAIeAALWAgICcgIEAgUCBgIHAggCCQJLAgsCOAINAggCCAIIAggCCAIIAggCCAIIAggCCAIIAggCCAIIAggCCAIQAgMCxQIeAALWAgICHQIEAgUCBgIHAggCCQIKAgsCOAINAggCCAIIAggCCAIIAggCCAIIAggCCAIIAggCCAIIAggCCAIQAgMCPgIeAALWAgICIwIEAgUCBgIHAggCCQIKAgsCOAINAggCCAIIAggCCAIIAggCCAIIAggCCAIIAggCCAIIAggCCAIQAgMCRAIeAALWAgICHwIEAgUCBgIHAggCCQKgAgsCOAINAggCCAIIAggCCAIIAggCCAIIAggCCAIIAggCCAIIAggCCAIQAgMCoQIeAALWAgICWgIEAgUCBgIHAggCCQIKAgsCOAINAggCCAIIAggCCAIIAggCCAIIAggCCAIIAggCCAIIAggCCAIQAgMCvwIeAALWAgICVQIEAgUCBgIHAggCCQIKAgsCOAINAggCCAIIAggCCAIIAggCCAIIAggCCAIIAggCCAIIAggCCAIQAgMCqwIeAALWAgICLQIEAgUCBgIHAggCCQJLAgsCOAINAggCCAIIAggCCAIIAggCCAIIAggCegAABAAIAggCCAIIAggCCAIIAhACAwKeAh4AAtYCAgIDAgQCBQIGAgcCCAIJAksCCwI4Ag0CCAIIAggCCAIIAggCCAIIAggCCAIIAggCCAIIAggCCAIIAhACAwKZAh4AAtYCAgIfAgQCBQIGAgcCCAIJAgoCCwI4Ag0CCAIIAggCCAIIAggCCAIIAggCCAIIAggCCAIIAggCCAIIAhACAwJCAh4AAtYCAgJ6AgQCBQIGAgcCCAIJAqACCwI4Ag0CCAIIAggCCAIIAggCCAIIAggCCAIIAggCCAIIAggCCAIIAhACAwKoAh4AAtYCAgJnAgQCBQIGAgcCCAIJAksCCwI4Ag0CCAIIAggCCAIIAggCCAIIAggCCAIIAggCCAIIAggCCAIIAhACAwK9Ah4AAtYCAgJeAgQCBQIGAgcCCAIJAqACCwI4Ag0CCAIIAggCCAIIAggCCAIIAggCCAIIAggCCAIIAggCCAIIAhACAwKiAh4AAtYCAgLSAgQCBQIGAgcCCAIJAksCCwI4Ag0CCAIIAggCCAIIAggCCAIIAggCCAIIAggCCAIIAggCCAIIAhACAwK5Ah4AAtYCAgI1AgQCBQIGAgcCCAIJAksCCwI4Ag0CCAIIAggCCAIIAggCCAIIAggCCAIIAggCCAIIAggCCAIIAhACAwKVAh4AAtYCAgIpAgQCBQIGAgcCCAIJAqACCwI4Ag0CCAIIAggCCAIIAggCCAIIAggCCAIIAggCCAIIAggCCAIIAhACAwKlAh4AAtYCAgJNAgQCBQIGAgcCCAIJAgoCCwI4Ag0CCAIIAggCCAIIAggCCAIIAggCCAIIAggCCAIIAggCCAIIAhACAwKkAh4AAtYCAgIjAgQCBQIGAgcCCAIJAqACCwI4Ag0CCAIIAggCCAIIAggCCAIIAggCCAIIAggCCAIIAggCCAIIAhACAwJZAh4AAtYCAgIbAgQCBQIGAgcCCAIJAqACCwI4Ag0CCAIIAggCCAIIAggCCAIIAggCCAIIAggCCAIIAggCCAIIAhACAwJZAh4AAtYCAgJyAgQCBQIGAgcCCAIJAqACCwI4Ag0CCAIIAggCCAIIAggCCAIIAggCCAIIAggCCAIIAggCCAIIAhACAwKzAh4AAtYCAgJVAgQCBQIGAgcCCAIJAksCCwI4Ag0CCAIIAggCCAIIAggCCAIIAggCCAIIAggCCAIIAggCCAIIAhACAwK0Ah4AAtYCAgIhAgQCBQIGAgcCCAIJAgoCCwI4Ag0CCAIIAggCCAIIAggCCAIIAggCCAIIAggCCAIIAggCCAIIAhACAwI8Ah4AAtYCAgIzAgQCBQIGAgcCCAIJAgoCCwI4Ag0CCAIIAggCCAIIegAABAACCAIIAggCCAIIAggCCAIIAggCCAIIAggCEAIDAkYCHgAC1gICAi0CBAIFAgYCBwIIAgkCCgILAjgCDQIIAggCCAIIAggCCAIIAggCCAIIAggCCAIIAggCCAIIAggCEAIDAkECHgAC1gICAmwCBAIFAgYCBwIIAgkCCgILAjgCDQIIAggCCAIIAggCCAIIAggCCAIIAggCCAIIAggCCAIIAggCEAIDAq0CHgAC1gICAgMCBAIFAgYCBwIIAgkCCgILAjgCDQIIAggCCAIIAggCCAIIAggCCAIIAggCCAIIAggCCAIIAggCEAIDAkMCHgAC1gICArYCBAIFAgYCBwIIAgkCoAILAjgCDQIIAggCCAIIAggCCAIIAggCCAIIAggCCAIIAggCCAIIAggCEAIDAlkCHgAC1gICAh0CBAIFAgYCBwIIAgkCSwILAjgCDQIIAggCCAIIAggCCAIIAggCCAIIAggCCAIIAggCCAIIAggCEAIDApoCHgAC1gICAicCBAIFAgYCBwIIAgkCSwILAjgCDQIIAggCCAIIAggCCAIIAggCCAIIAggCCAIIAggCCAIIAggCEAIDAp0CHgAC1wAJNDE3NzEzNDMyAgICMQIEAgUCBgIHAggCCQJJAgsCDAINAggCCAIIAggCCAIIAggCCAIIAggCCAIIAggCCAIIAggCCAITAgMCWQIeAALXAgICTQIEAgUCBgIHAggCCQJJAgsCDAINAggCCAIIAggCCAIIAggCCAIIAggCCAIIAggCCAIIAggCCAITAgMCZgIeAALXAgICJQIEAgUCBgIHAggCCQIKAgsCDAINAggCCAIIAggCCAIIAggCCAIIAggCCAIIAggCCAIIAggCCAITAgMCJgIeAALXAgICLQIEAgUCBgIHAggCCQIKAgsCDAINAggCCAIIAggCCAIIAggCCAIIAggCCAIIAggCCAIIAggCCAITAgMCLgIeAALXAgICMQIEAgUCBgIHAggCCQJLAgsCDAINAggCCAIIAggCCAIIAggCCAIIAggCCAIIAggCCAIIAggCCAITAgMC1AIeAALXAgICLwIEAgUCBgIHAggCCQJLAgsCDAINAggCCAIIAggCCAIIAggCCAIIAggCCAIIAggCCAIIAggCCAITAgMCgQIeAALXAgICYQIEAgUCBgIHAggCCQIKAgsCDAINAggCCAIIAggCCAIIAggCCAIIAggCCAIIAggCCAIIAggCCAITAgMCYgIeAALXAgICLwIEAgUCBgIHAggCCQJJAgsCDAINAggCCAIIAggCCAIIAggCCAIIAggCCAIIAggCCAIIAggCCAITAgMCfgIeAALXAgICHQIEAgUCBgIHegAABAACCAIJAkkCCwIMAg0CCAIIAggCCAIIAggCCAIIAggCCAIIAggCCAIIAggCCAIIAhMCAwJdAh4AAtcCAgIhAgQCBQIGAgcCCAIJAkkCCwIMAg0CCAIIAggCCAIIAggCCAIIAggCCAIIAggCCAIIAggCCAIIAhMCAwJZAh4AAtcCAgJyAgQCBQIGAgcCCAIJAgoCCwIMAg0CCAIIAggCCAIIAggCCAIIAggCCAIIAggCCAIIAggCCAIIAhMCAwJzAh4AAtcCAgIbAgQCBQIGAgcCCAIJAgoCCwIMAg0CCAIIAggCCAIIAggCCAIIAggCCAIIAggCCAIIAggCCAIIAhMCAwIcAh4AAtcCAgI1AgQCBQIGAgcCCAIJAgoCCwIMAg0CCAIIAggCCAIIAggCCAIIAggCCAIIAggCCAIIAggCCAIIAhMCAwI2Ah4AAtcCAgIhAgQCBQIGAgcCCAIJAksCCwIMAg0CCAIIAggCCAIIAggCCAIIAggCCAIIAggCCAIIAggCCAIIAhMCAwLQAh4AAtcCAgIzAgQCBQIGAgcCCAIJAksCCwIMAg0CCAIIAggCCAIIAggCCAIIAggCCAIIAggCCAIIAggCCAIIAhMCAwJpAh4AAtcCAgJNAgQCBQIGAgcCCAIJAksCCwIMAg0CCAIIAggCCAIIAggCCAIIAggCCAIIAggCCAIIAggCCAIIAhMCAwJlAh4AAtcCAgJnAgQCBQIGAgcCCAIJAgoCCwIMAg0CCAIIAggCCAIIAggCCAIIAggCCAIIAggCCAIIAggCCAIIAhMCAwKIAh4AAtcCAgIzAgQCBQIGAgcCCAIJAkkCCwIMAg0CCAIIAggCCAIIAggCCAIIAggCCAIIAggCCAIIAggCCAIIAhMCAwJ0Ah4AAtcCAgJeAgQCBQIGAgcCCAIJAgoCCwIMAg0CCAIIAggCCAIIAggCCAIIAggCCAIIAggCCAIIAggCCAIIAhMCAwJvAh4AAtcCAgIfAgQCBQIGAgcCCAIJAgoCCwIMAg0CCAIIAggCCAIIAggCCAIIAggCCAIIAggCCAIIAggCCAIIAhMCAwIgAh4AAtcCAgIdAgQCBQIGAgcCCAIJAksCCwIMAg0CCAIIAggCCAIIAggCCAIIAggCCAIIAggCCAIIAggCCAIIAhMCAwJXAh4AAtcCAgJVAgQCBQIGAgcCCAIJAksCCwIMAg0CCAIIAggCCAIIAggCCAIIAggCCAIIAggCCAIIAggCCAIIAhMCAwJWAh4AAtcCAgJsAgQCBQIGAgcCCAIJAkkCCwIMAg0CCAIIAggCCAIIAggCCAIIAggCCAIIAggCCAIIAggCCAIIAhMCAwJuAh4AAtcCegAABAACAi0CBAIFAgYCBwIIAgkCSwILAgwCDQIIAggCCAIIAggCCAIIAggCCAIIAggCCAIIAggCCAIIAggCEwIDAnACHgAC1wICAi0CBAIFAgYCBwIIAgkCSQILAgwCDQIIAggCCAIIAggCCAIIAggCCAIIAggCCAIIAggCCAIIAggCEwIDAmsCHgAC1wICAgMCBAIFAgYCBwIIAgkCSQILAgwCDQIIAggCCAIIAggCCAIIAggCCAIIAggCCAIIAggCCAIIAggCEwIDAkoCHgAC1wICAiECBAIFAgYCBwIIAgkCCgILAgwCDQIIAggCCAIIAggCCAIIAggCCAIIAggCCAIIAggCCAIIAggCEwIDAiICHgAC1wICAlUCBAIFAgYCBwIIAgkCSQILAgwCDQIIAggCCAIIAggCCAIIAggCCAIIAggCCAIIAggCCAIIAggCEwIDAlwCHgAC1wICAjMCBAIFAgYCBwIIAgkCCgILAgwCDQIIAggCCAIIAggCCAIIAggCCAIIAggCCAIIAggCCAIIAggCEwIDAjQCHgAC1wICAmcCBAIFAgYCBwIIAgkCSQILAgwCDQIIAggCCAIIAggCCAIIAggCCAIIAggCCAIIAggCCAIIAggCEwIDAmgCHgAC1wICAmcCBAIFAgYCBwIIAgkCSwILAgwCDQIIAggCCAIIAggCCAIIAggCCAIIAggCCAIIAggCCAIIAggCEwIDAnUCHgAC1wICAlICBAIFAgYCBwIIAgkCCgILAgwCDQIIAggCCAIIAggCCAIIAggCCAIIAggCCAIIAggCCAIIAggCEwIDAngCHgAC1wICAjUCBAIFAgYCBwIIAgkCSwILAgwCDQIIAggCCAIIAggCCAIIAggCCAIIAggCCAIIAggCCAIIAggCEwIDAnkCHgAC1wICAk0CBAIFAgYCBwIIAgkCCgILAgwCDQIIAggCCAIIAggCCAIIAggCCAIIAggCCAIIAggCCAIIAggCEwIDAk4CHgAC1wICAjUCBAIFAgYCBwIIAgkCSQILAgwCDQIIAggCCAIIAggCCAIIAggCCAIIAggCCAIIAggCCAIIAggCEwIDAncCHgAC1wICAloCBAIFAgYCBwIIAgkCSQILAgwCDQIIAggCCAIIAggCCAIIAggCCAIIAggCCAIIAggCCAIIAggCEwIDAlsCHgAC1wICAikCBAIFAgYCBwIIAgkCSwILAgwCDQIIAggCCAIIAggCCAIIAggCCAIIAggCCAIIAggCCAIIAggCEwIDAoMCHgAC1wICAnoCBAIFAgYCBwIIAgkCSwILAgwCDQIIAggCCAIIAggCCAIIAggCCAIIAggCCAIIAggCCAIIAggCegAABAATAgMChgIeAALXAgICUAIEAgUCBgIHAggCCQIKAgsCDAINAggCCAIIAggCCAIIAggCCAIIAggCCAIIAggCCAIIAggCCAITAgMCYwIeAALXAgICKwIEAgUCBgIHAggCCQIKAgsCDAINAggCCAIIAggCCAIIAggCCAIIAggCCAIIAggCCAIIAggCCAITAgMCLAIeAALXAgICWgIEAgUCBgIHAggCCQJLAgsCDAINAggCCAIIAggCCAIIAggCCAIIAggCCAIIAggCCAIIAggCCAITAgMCfwIeAALXAgICJwIEAgUCBgIHAggCCQJLAgsCDAINAggCCAIIAggCCAIIAggCCAIIAggCCAIIAggCCAIIAggCCAITAgMCgAIeAALXAgICXgIEAgUCBgIHAggCCQJJAgsCDAINAggCCAIIAggCCAIIAggCCAIIAggCCAIIAggCCAIIAggCCAITAgMCXwIeAALXAgICbAIEAgUCBgIHAggCCQIKAgsCDAINAggCCAIIAggCCAIIAggCCAIIAggCCAIIAggCCAIIAggCCAITAgMCggIeAALXAgICAwIEAgUCBgIHAggCCQJLAgsCDAINAggCCAIIAggCCAIIAggCCAIIAggCCAIIAggCCAIIAggCCAITAgMCagIeAALXAgICbAIEAgUCBgIHAggCCQJLAgsCDAINAggCCAIIAggCCAIIAggCCAIIAggCCAIIAggCCAIIAggCCAITAgMCbQIeAALXAgICHwIEAgUCBgIHAggCCQJJAgsCDAINAggCCAIIAggCCAIIAggCCAIIAggCCAIIAggCCAIIAggCCAITAgMCYAIeAALXAgICJwIEAgUCBgIHAggCCQJJAgsCDAINAggCCAIIAggCCAIIAggCCAIIAggCCAIIAggCCAIIAggCCAITAgMCWQIeAALXAgICHwIEAgUCBgIHAggCCQJLAgsCDAINAggCCAIIAggCCAIIAggCCAIIAggCCAIIAggCCAIIAggCCAITAgMCfQIeAALXAgICUgIEAgUCBgIHAggCCQJJAgsCDAINAggCCAIIAggCCAIIAggCCAIIAggCCAIIAggCCAIIAggCCAITAgMCUwIeAALXAgICIwIEAgUCBgIHAggCCQIKAgsCDAINAggCCAIIAggCCAIIAggCCAIIAggCCAIIAggCCAIIAggCCAITAgMCJAIeAALXAgICAwIEAgUCBgIHAggCCQIKAgsCDAINAggCCAIIAggCCAIIAggCCAIIAggCCAIIAggCCAIIAggCCAITAgMCDgIeAALXAgICUgIEAgUCBgIHAggCCQJLAgsCDAINAggCCAIIAggCCAIIAggCCAIIAggCCAIIegAABAACCAIIAggCCAIIAhMCAwJkAh4AAtcCAgJ6AgQCBQIGAgcCCAIJAkkCCwIMAg0CCAIIAggCCAIIAggCCAIIAggCCAIIAggCCAIIAggCCAIIAhMCAwKHAh4AAtcCAgIpAgQCBQIGAgcCCAIJAkkCCwIMAg0CCAIIAggCCAIIAggCCAIIAggCCAIIAggCCAIIAggCCAIIAhMCAwKJAh4AAtcCAgIvAgQCBQIGAgcCCAIJAgoCCwIMAg0CCAIIAggCCAIIAggCCAIIAggCCAIIAggCCAIIAggCCAIIAhMCAwIwAh4AAtcCAgIxAgQCBQIGAgcCCAIJAgoCCwIMAg0CCAIIAggCCAIIAggCCAIIAggCCAIIAggCCAIIAggCCAIIAhMCAwIyAh4AAtcCAgJaAgQCBQIGAgcCCAIJAgoCCwIMAg0CCAIIAggCCAIIAggCCAIIAggCCAIIAggCCAIIAggCCAIIAhMCAwKLAh4AAtcCAgInAgQCBQIGAgcCCAIJAgoCCwIMAg0CCAIIAggCCAIIAggCCAIIAggCCAIIAggCCAIIAggCCAIIAhMCAwIoAh4AAtcCAgJhAgQCBQIGAgcCCAIJAkkCCwIMAg0CCAIIAggCCAIIAggCCAIIAggCCAIIAggCCAIIAggCCAIIAhMCAwKOAh4AAtcCAgJQAgQCBQIGAgcCCAIJAkkCCwIMAg0CCAIIAggCCAIIAggCCAIIAggCCAIIAggCCAIIAggCCAIIAhMCAwJUAh4AAtcCAgIpAgQCBQIGAgcCCAIJAgoCCwIMAg0CCAIIAggCCAIIAggCCAIIAggCCAIIAggCCAIIAggCCAIIAhMCAwIqAh4AAtcCAgIlAgQCBQIGAgcCCAIJAksCCwIMAg0CCAIIAggCCAIIAggCCAIIAggCCAIIAggCCAIIAggCCAIIAhMCAwJxAh4AAtcCAgJhAgQCBQIGAgcCCAIJAksCCwIMAg0CCAIIAggCCAIIAggCCAIIAggCCAIIAggCCAIIAggCCAIIAhMCAwKNAh4AAtcCAgIlAgQCBQIGAgcCCAIJAkkCCwIMAg0CCAIIAggCCAIIAggCCAIIAggCCAIIAggCCAIIAggCCAIIAhMCAwKMAh4AAtcCAgIdAgQCBQIGAgcCCAIJAgoCCwIMAg0CCAIIAggCCAIIAggCCAIIAggCCAIIAggCCAIIAggCCAIIAhMCAwIeAh4AAtcCAgJeAgQCBQIGAgcCCAIJAksCCwIMAg0CCAIIAggCCAIIAggCCAIIAggCCAIIAggCCAIIAggCCAIIAhMCAwJ8Ah4AAtcCAgJVAgQCBQIGAgcCCAIJAgoCCwIMAg0CCAIIAggCCAIIAggCegAABAAIAggCCAIIAggCCAIIAggCCAIIAggCEwIDAooCHgAC1wICAnICBAIFAgYCBwIIAgkCSQILAgwCDQIIAggCCAIIAggCCAIIAggCCAIIAggCCAIIAggCCAIIAggCEwIDAoQCHgAC1wICAiMCBAIFAgYCBwIIAgkCSwILAgwCDQIIAggCCAIIAggCCAIIAggCCAIIAggCCAIIAggCCAIIAggCEwIDAlgCHgAC1wICAiMCBAIFAgYCBwIIAgkCSQILAgwCDQIIAggCCAIIAggCCAIIAggCCAIIAggCCAIIAggCCAIIAggCEwIDAlkCHgAC1wICAnICBAIFAgYCBwIIAgkCSwILAgwCDQIIAggCCAIIAggCCAIIAggCCAIIAggCCAIIAggCCAIIAggCEwIDAoUCHgAC1wICAnoCBAIFAgYCBwIIAgkCCgILAgwCDQIIAggCCAIIAggCCAIIAggCCAIIAggCCAIIAggCCAIIAggCEwIDAnsCHgAC1wICAlACBAIFAgYCBwIIAgkCSwILAgwCDQIIAggCCAIIAggCCAIIAggCCAIIAggCCAIIAggCCAIIAggCEwIDAlECHgAC1wICAisCBAIFAgYCBwIIAgkCSwILAgwCDQIIAggCCAIIAggCCAIIAggCCAIIAggCCAIIAggCCAIIAggCEwIDAkwCHgAC1wICAhsCBAIFAgYCBwIIAgkCSwILAgwCDQIIAggCCAIIAggCCAIIAggCCAIIAggCCAIIAggCCAIIAggCEwIDAnYCHgAC1wICAisCBAIFAgYCBwIIAgkCSQILAgwCDQIIAggCCAIIAggCCAIIAggCCAIIAggCCAIIAggCCAIIAggCEwIDAk8CHgAC1wICAhsCBAIFAgYCBwIIAgkCSQILAgwCDQIIAggCCAIIAggCCAIIAggCCAIIAggCCAIIAggCCAIIAggCEwIDAlkCHgAC2AAJNDE3NzE1NzUyAgICHQIEAgUCBgIHAggCCQJJAgsCDAINAggCCAIIAggCCAIIAggCCAIIAggCCAIIAggCCAIIAggCCAIVAgMCXQIeAALYAgICVQIEAgUCBgIHAggCCQJJAgsCDAINAggCCAIIAggCCAIIAggCCAIIAggCCAIIAggCCAIIAggCCAIVAgMCXAIeAALYAgICMwIEAgUCBgIHAggCCQIKAgsCDAINAggCCAIIAggCCAIIAggCCAIIAggCCAIIAggCCAIIAggCCAIVAgMCNAIeAALYAgICTQIEAgUCBgIHAggCCQJLAgsCDAINAggCCAIIAggCCAIIAggCCAIIAggCCAIIAggCCAIIAggCCAIVAgMCZQIeAALYAgICIwIEAgUCBgIHAggCegAABAAJAksCCwIMAg0CCAIIAggCCAIIAggCCAIIAggCCAIIAggCCAIIAggCCAIIAhUCAwJYAh4AAtgCAgIrAgQCBQIGAgcCCAIJAkkCCwIMAg0CCAIIAggCCAIIAggCCAIIAggCCAIIAggCCAIIAggCCAIIAhUCAwJPAh4AAtgCAgIjAgQCBQIGAgcCCAIJAkkCCwIMAg0CCAIIAggCCAIIAggCCAIIAggCCAIIAggCCAIIAggCCAIIAhUCAwJZAh4AAtgCAgIxAgQCBQIGAgcCCAIJAkkCCwIMAg0CCAIIAggCCAIIAggCCAIIAggCCAIIAggCCAIIAggCCAIIAhUCAwJZAh4AAtgCAgIvAgQCBQIGAgcCCAIJAkkCCwIMAg0CCAIIAggCCAIIAggCCAIIAggCCAIIAggCCAIIAggCCAIIAhUCAwJ+Ah4AAtgCAgItAgQCBQIGAgcCCAIJAgoCCwIMAg0CCAIIAggCCAIIAggCCAIIAggCCAIIAggCCAIIAggCCAIIAhUCAwIuAh4AAtgCAgJNAgQCBQIGAgcCCAIJAkkCCwIMAg0CCAIIAggCCAIIAggCCAIIAggCCAIIAggCCAIIAggCCAIIAhUCAwJmAh4AAtgCAgIdAgQCBQIGAgcCCAIJAksCCwIMAg0CCAIIAggCCAIIAggCCAIIAggCCAIIAggCCAIIAggCCAIIAhUCAwJXAh4AAtgCAgJVAgQCBQIGAgcCCAIJAksCCwIMAg0CCAIIAggCCAIIAggCCAIIAggCCAIIAggCCAIIAggCCAIIAhUCAwJWAh4AAtgCAgIxAgQCBQIGAgcCCAIJAksCCwIMAg0CCAIIAggCCAIIAggCCAIIAggCCAIIAggCCAIIAggCCAIIAhUCAwLUAh4AAtgCAgIlAgQCBQIGAgcCCAIJAgoCCwIMAg0CCAIIAggCCAIIAggCCAIIAggCCAIIAggCCAIIAggCCAIIAhUCAwImAh4AAtgCAgJhAgQCBQIGAgcCCAIJAgoCCwIMAg0CCAIIAggCCAIIAggCCAIIAggCCAIIAggCCAIIAggCCAIIAhUCAwJiAh4AAtgCAgIvAgQCBQIGAgcCCAIJAksCCwIMAg0CCAIIAggCCAIIAggCCAIIAggCCAIIAggCCAIIAggCCAIIAhUCAwKBAh4AAtgCAgIdAgQCBQIGAgcCCAIJAgoCCwIMAg0CCAIIAggCCAIIAggCCAIIAggCCAIIAggCCAIIAggCCAIIAhUCAwIeAh4AAtgCAgJhAgQCBQIGAgcCCAIJAksCCwIMAg0CCAIIAggCCAIIAggCCAIIAggCCAIIAggCCAIIAggCCAIIAhUCAwKNAh4AAtgCAgIpegAABAACBAIFAgYCBwIIAgkCSQILAgwCDQIIAggCCAIIAggCCAIIAggCCAIIAggCCAIIAggCCAIIAggCFQIDAokCHgAC2AICAlACBAIFAgYCBwIIAgkCSwILAgwCDQIIAggCCAIIAggCCAIIAggCCAIIAggCCAIIAggCCAIIAggCFQIDAlECHgAC2AICAjUCBAIFAgYCBwIIAgkCCgILAgwCDQIIAggCCAIIAggCCAIIAggCCAIIAggCCAIIAggCCAIIAggCFQIDAjYCHgAC2AICAisCBAIFAgYCBwIIAgkCSwILAgwCDQIIAggCCAIIAggCCAIIAggCCAIIAggCCAIIAggCCAIIAggCFQIDAkwCHgAC2AICAmcCBAIFAgYCBwIIAgkCCgILAgwCDQIIAggCCAIIAggCCAIIAggCCAIIAggCCAIIAggCCAIIAggCFQIDAogCHgAC2AICAjECBAIFAgYCBwIIAgkCCgILAgwCDQIIAggCCAIIAggCCAIIAggCCAIIAggCCAIIAggCCAIIAggCFQIDAjICHgAC2AICAicCBAIFAgYCBwIIAgkCCgILAgwCDQIIAggCCAIIAggCCAIIAggCCAIIAggCCAIIAggCCAIIAggCFQIDAigCHgAC2AICAi8CBAIFAgYCBwIIAgkCCgILAgwCDQIIAggCCAIIAggCCAIIAggCCAIIAggCCAIIAggCCAIIAggCFQIDAjACHgAC2AICAmECBAIFAgYCBwIIAgkCSQILAgwCDQIIAggCCAIIAggCCAIIAggCCAIIAggCCAIIAggCCAIIAggCFQIDAo4CHgAC2AICAlACBAIFAgYCBwIIAgkCSQILAgwCDQIIAggCCAIIAggCCAIIAggCCAIIAggCCAIIAggCCAIIAggCFQIDAlQCHgAC2AICAiUCBAIFAgYCBwIIAgkCSwILAgwCDQIIAggCCAIIAggCCAIIAggCCAIIAggCCAIIAggCCAIIAggCFQIDAnECHgAC2AICAiUCBAIFAgYCBwIIAgkCSQILAgwCDQIIAggCCAIIAggCCAIIAggCCAIIAggCCAIIAggCCAIIAggCFQIDAowCHgAC2AICAloCBAIFAgYCBwIIAgkCCgILAgwCDQIIAggCCAIIAggCCAIIAggCCAIIAggCCAIIAggCCAIIAggCFQIDAosCHgAC2AICAlUCBAIFAgYCBwIIAgkCCgILAgwCDQIIAggCCAIIAggCCAIIAggCCAIIAggCCAIIAggCCAIIAggCFQIDAooCHgAC2AICAh8CBAIFAgYCBwIIAgkCSwILAgwCDQIIAggCCAIIAggCCAIIAggCCAIIAggCCAIIAggCCAIIAggCFQIDegAABAACfQIeAALYAgICXgIEAgUCBgIHAggCCQJLAgsCDAINAggCCAIIAggCCAIIAggCCAIIAggCCAIIAggCCAIIAggCCAIVAgMCfAIeAALYAgICGwIEAgUCBgIHAggCCQJJAgsCDAINAggCCAIIAggCCAIIAggCCAIIAggCCAIIAggCCAIIAggCCAIVAgMCWQIeAALYAgICAwIEAgUCBgIHAggCCQIKAgsCDAINAggCCAIIAggCCAIIAggCCAIIAggCCAIIAggCCAIIAggCCAIVAgMCDgIeAALYAgICcgIEAgUCBgIHAggCCQJJAgsCDAINAggCCAIIAggCCAIIAggCCAIIAggCCAIIAggCCAIIAggCCAIVAgMChAIeAALYAgICZwIEAgUCBgIHAggCCQJJAgsCDAINAggCCAIIAggCCAIIAggCCAIIAggCCAIIAggCCAIIAggCCAIVAgMCaAIeAALYAgICcgIEAgUCBgIHAggCCQJLAgsCDAINAggCCAIIAggCCAIIAggCCAIIAggCCAIIAggCCAIIAggCCAIVAgMChQIeAALYAgICKQIEAgUCBgIHAggCCQIKAgsCDAINAggCCAIIAggCCAIIAggCCAIIAggCCAIIAggCCAIIAggCCAIVAgMCKgIeAALYAgICUgIEAgUCBgIHAggCCQIKAgsCDAINAggCCAIIAggCCAIIAggCCAIIAggCCAIIAggCCAIIAggCCAIVAgMCeAIeAALYAgICNQIEAgUCBgIHAggCCQJJAgsCDAINAggCCAIIAggCCAIIAggCCAIIAggCCAIIAggCCAIIAggCCAIVAgMCdwIeAALYAgICGwIEAgUCBgIHAggCCQJLAgsCDAINAggCCAIIAggCCAIIAggCCAIIAggCCAIIAggCCAIIAggCCAIVAgMCdgIeAALYAgICKQIEAgUCBgIHAggCCQJLAgsCDAINAggCCAIIAggCCAIIAggCCAIIAggCCAIIAggCCAIIAggCCAIVAgMCgwIeAALYAgICNQIEAgUCBgIHAggCCQJLAgsCDAINAggCCAIIAggCCAIIAggCCAIIAggCCAIIAggCCAIIAggCCAIVAgMCeQIeAALYAgICegIEAgUCBgIHAggCCQIKAgsCDAINAggCCAIIAggCCAIIAggCCAIIAggCCAIIAggCCAIIAggCCAIVAgMCewIeAALYAgICJwIEAgUCBgIHAggCCQJJAgsCDAINAggCCAIIAggCCAIIAggCCAIIAggCCAIIAggCCAIIAggCCAIVAgMCWQIeAALYAgICWgIEAgUCBgIHAggCCQJJAgsCDAINAggCCAIIAggCCAIIAggCCAIIAggCCAIIAggCegAABAAIAggCCAIIAhUCAwJbAh4AAtgCAgJ6AgQCBQIGAgcCCAIJAksCCwIMAg0CCAIIAggCCAIIAggCCAIIAggCCAIIAggCCAIIAggCCAIIAhUCAwKGAh4AAtgCAgJSAgQCBQIGAgcCCAIJAksCCwIMAg0CCAIIAggCCAIIAggCCAIIAggCCAIIAggCCAIIAggCCAIIAhUCAwJkAh4AAtgCAgJ6AgQCBQIGAgcCCAIJAkkCCwIMAg0CCAIIAggCCAIIAggCCAIIAggCCAIIAggCCAIIAggCCAIIAhUCAwKHAh4AAtgCAgInAgQCBQIGAgcCCAIJAksCCwIMAg0CCAIIAggCCAIIAggCCAIIAggCCAIIAggCCAIIAggCCAIIAhUCAwKAAh4AAtgCAgJeAgQCBQIGAgcCCAIJAkkCCwIMAg0CCAIIAggCCAIIAggCCAIIAggCCAIIAggCCAIIAggCCAIIAhUCAwJfAh4AAtgCAgJaAgQCBQIGAgcCCAIJAksCCwIMAg0CCAIIAggCCAIIAggCCAIIAggCCAIIAggCCAIIAggCCAIIAhUCAwJ/Ah4AAtgCAgIfAgQCBQIGAgcCCAIJAkkCCwIMAg0CCAIIAggCCAIIAggCCAIIAggCCAIIAggCCAIIAggCCAIIAhUCAwJgAh4AAtgCAgJsAgQCBQIGAgcCCAIJAgoCCwIMAg0CCAIIAggCCAIIAggCCAIIAggCCAIIAggCCAIIAggCCAIIAhUCAwKCAh4AAtgCAgJyAgQCBQIGAgcCCAIJAgoCCwIMAg0CCAIIAggCCAIIAggCCAIIAggCCAIIAggCCAIIAggCCAIIAhUCAwJzAh4AAtgCAgIbAgQCBQIGAgcCCAIJAgoCCwIMAg0CCAIIAggCCAIIAggCCAIIAggCCAIIAggCCAIIAggCCAIIAhUCAwIcAh4AAtgCAgIzAgQCBQIGAgcCCAIJAkkCCwIMAg0CCAIIAggCCAIIAggCCAIIAggCCAIIAggCCAIIAggCCAIIAhUCAwJ0Ah4AAtgCAgJsAgQCBQIGAgcCCAIJAkkCCwIMAg0CCAIIAggCCAIIAggCCAIIAggCCAIIAggCCAIIAggCCAIIAhUCAwJuAh4AAtgCAgJsAgQCBQIGAgcCCAIJAksCCwIMAg0CCAIIAggCCAIIAggCCAIIAggCCAIIAggCCAIIAggCCAIIAhUCAwJtAh4AAtgCAgIjAgQCBQIGAgcCCAIJAgoCCwIMAg0CCAIIAggCCAIIAggCCAIIAggCCAIIAggCCAIIAggCCAIIAhUCAwIkAh4AAtgCAgJSAgQCBQIGAgcCCAIJAkkCCwIMAg0CCAIIAggCCAIIAggCCAIIegAABAACCAIIAggCCAIIAggCCAIIAggCFQIDAlMCHgAC2AICAjMCBAIFAgYCBwIIAgkCSwILAgwCDQIIAggCCAIIAggCCAIIAggCCAIIAggCCAIIAggCCAIIAggCFQIDAmkCHgAC2AICAlACBAIFAgYCBwIIAgkCCgILAgwCDQIIAggCCAIIAggCCAIIAggCCAIIAggCCAIIAggCCAIIAggCFQIDAmMCHgAC2AICAk0CBAIFAgYCBwIIAgkCCgILAgwCDQIIAggCCAIIAggCCAIIAggCCAIIAggCCAIIAggCCAIIAggCFQIDAk4CHgAC2AICAmcCBAIFAgYCBwIIAgkCSwILAgwCDQIIAggCCAIIAggCCAIIAggCCAIIAggCCAIIAggCCAIIAggCFQIDAnUCHgAC2AICAisCBAIFAgYCBwIIAgkCCgILAgwCDQIIAggCCAIIAggCCAIIAggCCAIIAggCCAIIAggCCAIIAggCFQIDAiwCHgAC2AICAh8CBAIFAgYCBwIIAgkCCgILAgwCDQIIAggCCAIIAggCCAIIAggCCAIIAggCCAIIAggCCAIIAggCFQIDAiACHgAC2AICAgMCBAIFAgYCBwIIAgkCSwILAgwCDQIIAggCCAIIAggCCAIIAggCCAIIAggCCAIIAggCCAIIAggCFQIDAmoCHgAC2AICAi0CBAIFAgYCBwIIAgkCSwILAgwCDQIIAggCCAIIAggCCAIIAggCCAIIAggCCAIIAggCCAIIAggCFQIDAnACHgAC2AICAi0CBAIFAgYCBwIIAgkCSQILAgwCDQIIAggCCAIIAggCCAIIAggCCAIIAggCCAIIAggCCAIIAggCFQIDAmsCHgAC2AICAgMCBAIFAgYCBwIIAgkCSQILAgwCDQIIAggCCAIIAggCCAIIAggCCAIIAggCCAIIAggCCAIIAggCFQIDAkoCHgAC2AICAl4CBAIFAgYCBwIIAgkCCgILAgwCDQIIAggCCAIIAggCCAIIAggCCAIIAggCCAIIAggCCAIIAggCFQIDAm8CHgAC2QAJMzI5ODAzOTM2AgICLQIEAgUCBgIHAggCCQIKAgsCOAINAggCCAIIAggCCAIIAggCCAIIAggCCAIIAggCCAIIAggCCAIWAgMCQQIeAALZAgICHQIEAgUCBgIHAggCCQKgAgsCOAINAggCCAIIAggCCAIIAggCCAIIAggCCAIIAggCCAIIAggCCAIWAgMCwAIeAALZAgICKwIEAgUCBgIHAggCCQKgAgsCOAINAggCCAIIAggCCAIIAggCCAIIAggCCAIIAggCCAIIAggCCAIWAgMCsAIeAALZAgICIwIEAgUCBgIHAggCCQKgegAABAACCwI4Ag0CCAIIAggCCAIIAggCCAIIAggCCAIIAggCCAIIAggCCAIIAhYCAwJZAh4AAtkCAgI1AgQCBQIGAgcCCAIJAgoCCwI4Ag0CCAIIAggCCAIIAggCCAIIAggCCAIIAggCCAIIAggCCAIIAhYCAwI6Ah4AAtkCAgJVAgQCBQIGAgcCCAIJAqACCwI4Ag0CCAIIAggCCAIIAggCCAIIAggCCAIIAggCCAIIAggCCAIIAhYCAwK+Ah4AAtkCAgIzAgQCBQIGAgcCCAIJAksCCwI4Ag0CCAIIAggCCAIIAggCCAIIAggCCAIIAggCCAIIAggCCAIIAhYCAwKWAh4AAtkCAgJyAgQCBQIGAgcCCAIJAgoCCwI4Ag0CCAIIAggCCAIIAggCCAIIAggCCAIIAggCCAIIAggCCAIIAhYCAwK8Ah4AAtkCAgJnAgQCBQIGAgcCCAIJAgoCCwI4Ag0CCAIIAggCCAIIAggCCAIIAggCCAIIAggCCAIIAggCCAIIAhYCAwK7Ah4AAtkCAgJhAgQCBQIGAgcCCAIJAksCCwI4Ag0CCAIIAggCCAIIAggCCAIIAggCCAIIAggCCAIIAggCCAIIAhYCAwK3Ah4AAtkCAgIbAgQCBQIGAgcCCAIJAgoCCwI4Ag0CCAIIAggCCAIIAggCCAIIAggCCAIIAggCCAIIAggCCAIIAhYCAwJFAh4AAtkCAgIvAgQCBQIGAgcCCAIJAqACCwI4Ag0CCAIIAggCCAIIAggCCAIIAggCCAIIAggCCAIIAggCCAIIAhYCAwLBAh4AAtkCAgItAgQCBQIGAgcCCAIJAksCCwI4Ag0CCAIIAggCCAIIAggCCAIIAggCCAIIAggCCAIIAggCCAIIAhYCAwKeAh4AAtkCAgIfAgQCBQIGAgcCCAIJAgoCCwI4Ag0CCAIIAggCCAIIAggCCAIIAggCCAIIAggCCAIIAggCCAIIAhYCAwJCAh4AAtkCAgJNAgQCBQIGAgcCCAIJAqACCwI4Ag0CCAIIAggCCAIIAggCCAIIAggCCAIIAggCCAIIAggCCAIIAhYCAwK6Ah4AAtkCAgJaAgQCBQIGAgcCCAIJAgoCCwI4Ag0CCAIIAggCCAIIAggCCAIIAggCCAIIAggCCAIIAggCCAIIAhYCAwK/Ah4AAtkCAgInAgQCBQIGAgcCCAIJAgoCCwI4Ag0CCAIIAggCCAIIAggCCAIIAggCCAIIAggCCAIIAggCCAIIAhYCAwI9Ah4AAtkCAgJSAgQCBQIGAgcCCAIJAqACCwI4Ag0CCAIIAggCCAIIAggCCAIIAggCCAIIAggCCAIIAggCCAIIAhYCAwKpAh4AAtkCAgJeAgQCegAABAAFAgYCBwIIAgkCCgILAjgCDQIIAggCCAIIAggCCAIIAggCCAIIAggCCAIIAggCCAIIAggCFgIDArgCHgAC2QICAiUCBAIFAgYCBwIIAgkCSwILAjgCDQIIAggCCAIIAggCCAIIAggCCAIIAggCCAIIAggCCAIIAggCFgIDApACHgAC2QICAmcCBAIFAgYCBwIIAgkCSwILAjgCDQIIAggCCAIIAggCCAIIAggCCAIIAggCCAIIAggCCAIIAggCFgIDAr0CHgAC2QICAjUCBAIFAgYCBwIIAgkCSwILAjgCDQIIAggCCAIIAggCCAIIAggCCAIIAggCCAIIAggCCAIIAggCFgIDApUCHgAC2QICAnoCBAIFAgYCBwIIAgkCoAILAjgCDQIIAggCCAIIAggCCAIIAggCCAIIAggCCAIIAggCCAIIAggCFgIDAqgCHgAC2QICAikCBAIFAgYCBwIIAgkCoAILAjgCDQIIAggCCAIIAggCCAIIAggCCAIIAggCCAIIAggCCAIIAggCFgIDAqUCHgAC2QICAjMCBAIFAgYCBwIIAgkCCgILAjgCDQIIAggCCAIIAggCCAIIAggCCAIIAggCCAIIAggCCAIIAggCFgIDAkYCHgAC2QICAlICBAIFAgYCBwIIAgkCCgILAjgCDQIIAggCCAIIAggCCAIIAggCCAIIAggCCAIIAggCCAIIAggCFgIDArECHgAC2QICAk0CBAIFAgYCBwIIAgkCCgILAjgCDQIIAggCCAIIAggCCAIIAggCCAIIAggCCAIIAggCCAIIAggCFgIDAqQCHgAC2QICAmwCBAIFAgYCBwIIAgkCCgILAjgCDQIIAggCCAIIAggCCAIIAggCCAIIAggCCAIIAggCCAIIAggCFgIDAq0CHgAC2QICAmECBAIFAgYCBwIIAgkCoAILAjgCDQIIAggCCAIIAggCCAIIAggCCAIIAggCCAIIAggCCAIIAggCFgIDAq4CHgAC2QICAgMCBAIFAgYCBwIIAgkCCgILAjgCDQIIAggCCAIIAggCCAIIAggCCAIIAggCCAIIAggCCAIIAggCFgIDAkMCHgAC2QICAiUCBAIFAgYCBwIIAgkCoAILAjgCDQIIAggCCAIIAggCCAIIAggCCAIIAggCCAIIAggCCAIIAggCFgIDAqwCHgAC2QICAloCBAIFAgYCBwIIAgkCSwILAjgCDQIIAggCCAIIAggCCAIIAggCCAIIAggCCAIIAggCCAIIAggCFgIDArUCHgAC2QICAhsCBAIFAgYCBwIIAgkCoAILAjgCDQIIAggCCAIIAggCCAIIAggCCAIIAggCCAIIAggCCAIIAggCFgIDAlkCegAABAAeAALZAgICcgIEAgUCBgIHAggCCQKgAgsCOAINAggCCAIIAggCCAIIAggCCAIIAggCCAIIAggCCAIIAggCCAIWAgMCswIeAALZAgICVQIEAgUCBgIHAggCCQJLAgsCOAINAggCCAIIAggCCAIIAggCCAIIAggCCAIIAggCCAIIAggCCAIWAgMCtAIeAALZAgICUAIEAgUCBgIHAggCCQKgAgsCOAINAggCCAIIAggCCAIIAggCCAIIAggCCAIIAggCCAIIAggCCAIWAgMCrwIeAALZAgICJwIEAgUCBgIHAggCCQJLAgsCOAINAggCCAIIAggCCAIIAggCCAIIAggCCAIIAggCCAIIAggCCAIWAgMCnQIeAALZAgICHQIEAgUCBgIHAggCCQJLAgsCOAINAggCCAIIAggCCAIIAggCCAIIAggCCAIIAggCCAIIAggCCAIWAgMCmgIeAALZAgICLwIEAgUCBgIHAggCCQJLAgsCOAINAggCCAIIAggCCAIIAggCCAIIAggCCAIIAggCCAIIAggCCAIWAgMCnAIeAALZAgICZwIEAgUCBgIHAggCCQKgAgsCOAINAggCCAIIAggCCAIIAggCCAIIAggCCAIIAggCCAIIAggCCAIWAgMCxwIeAALZAgICKwIEAgUCBgIHAggCCQIKAgsCOAINAggCCAIIAggCCAIIAggCCAIIAggCCAIIAggCCAIIAggCCAIWAgMCRwIeAALZAgICegIEAgUCBgIHAggCCQJLAgsCOAINAggCCAIIAggCCAIIAggCCAIIAggCCAIIAggCCAIIAggCCAIWAgMCsgIeAALZAgICUgIEAgUCBgIHAggCCQJLAgsCOAINAggCCAIIAggCCAIIAggCCAIIAggCCAIIAggCCAIIAggCCAIWAgMCyQIeAALZAgICNQIEAgUCBgIHAggCCQKgAgsCOAINAggCCAIIAggCCAIIAggCCAIIAggCCAIIAggCCAIIAggCCAIWAgMCyAIeAALZAgICLQIEAgUCBgIHAggCCQKgAgsCOAINAggCCAIIAggCCAIIAggCCAIIAggCCAIIAggCCAIIAggCCAIWAgMCzQIeAALZAgICKQIEAgUCBgIHAggCCQJLAgsCOAINAggCCAIIAggCCAIIAggCCAIIAggCCAIIAggCCAIIAggCCAIWAgMCkgIeAALZAgICUAIEAgUCBgIHAggCCQIKAgsCOAINAggCCAIIAggCCAIIAggCCAIIAggCCAIIAggCCAIIAggCCAIWAgMCpwIeAALZAgICHwIEAgUCBgIHAggCCQKgAgsCOAINAggCCAIIAggCCAIIAggCCAIIAggCCAIIAggCCAIIegAABAACCAIIAhYCAwKhAh4AAtkCAgIdAgQCBQIGAgcCCAIJAgoCCwI4Ag0CCAIIAggCCAIIAggCCAIIAggCCAIIAggCCAIIAggCCAIIAhYCAwI+Ah4AAtkCAgJeAgQCBQIGAgcCCAIJAqACCwI4Ag0CCAIIAggCCAIIAggCCAIIAggCCAIIAggCCAIIAggCCAIIAhYCAwKiAh4AAtkCAgIjAgQCBQIGAgcCCAIJAgoCCwI4Ag0CCAIIAggCCAIIAggCCAIIAggCCAIIAggCCAIIAggCCAIIAhYCAwJEAh4AAtkCAgInAgQCBQIGAgcCCAIJAqACCwI4Ag0CCAIIAggCCAIIAggCCAIIAggCCAIIAggCCAIIAggCCAIIAhYCAwJZAh4AAtkCAgJsAgQCBQIGAgcCCAIJAksCCwI4Ag0CCAIIAggCCAIIAggCCAIIAggCCAIIAggCCAIIAggCCAIIAhYCAwKqAh4AAtkCAgJVAgQCBQIGAgcCCAIJAgoCCwI4Ag0CCAIIAggCCAIIAggCCAIIAggCCAIIAggCCAIIAggCCAIIAhYCAwKrAh4AAtkCAgIDAgQCBQIGAgcCCAIJAksCCwI4Ag0CCAIIAggCCAIIAggCCAIIAggCCAIIAggCCAIIAggCCAIIAhYCAwKZAh4AAtkCAgIpAgQCBQIGAgcCCAIJAgoCCwI4Ag0CCAIIAggCCAIIAggCCAIIAggCCAIIAggCCAIIAggCCAIIAhYCAwI5Ah4AAtkCAgIvAgQCBQIGAgcCCAIJAgoCCwI4Ag0CCAIIAggCCAIIAggCCAIIAggCCAIIAggCCAIIAggCCAIIAhYCAwI/Ah4AAtkCAgIzAgQCBQIGAgcCCAIJAqACCwI4Ag0CCAIIAggCCAIIAggCCAIIAggCCAIIAggCCAIIAggCCAIIAhYCAwLEAh4AAtkCAgJQAgQCBQIGAgcCCAIJAksCCwI4Ag0CCAIIAggCCAIIAggCCAIIAggCCAIIAggCCAIIAggCCAIIAhYCAwKmAh4AAtkCAgIjAgQCBQIGAgcCCAIJAksCCwI4Ag0CCAIIAggCCAIIAggCCAIIAggCCAIIAggCCAIIAggCCAIIAhYCAwKYAh4AAtkCAgIrAgQCBQIGAgcCCAIJAksCCwI4Ag0CCAIIAggCCAIIAggCCAIIAggCCAIIAggCCAIIAggCCAIIAhYCAwKUAh4AAtkCAgJyAgQCBQIGAgcCCAIJAksCCwI4Ag0CCAIIAggCCAIIAggCCAIIAggCCAIIAggCCAIIAggCCAIIAhYCAwLFAh4AAtkCAgIbAgQCBQIGAgcCCAIJAksCCwI4Ag0CCAIIAggCCAIIAggCCAIIAggCegAAAtoIAggCCAIIAggCCAIIAggCFgIDApMCHgAC2QICAloCBAIFAgYCBwIIAgkCoAILAjgCDQIIAggCCAIIAggCCAIIAggCCAIIAggCCAIIAggCCAIIAggCFgIDAqMCHgAC2QICAmwCBAIFAgYCBwIIAgkCoAILAjgCDQIIAggCCAIIAggCCAIIAggCCAIIAggCCAIIAggCCAIIAggCFgIDAsICHgAC2QICAnoCBAIFAgYCBwIIAgkCCgILAjgCDQIIAggCCAIIAggCCAIIAggCCAIIAggCCAIIAggCCAIIAggCFgIDAsoCHgAC2QICAl4CBAIFAgYCBwIIAgkCSwILAjgCDQIIAggCCAIIAggCCAIIAggCCAIIAggCCAIIAggCCAIIAggCFgIDAs4CHgAC2QICAk0CBAIFAgYCBwIIAgkCSwILAjgCDQIIAggCCAIIAggCCAIIAggCCAIIAggCCAIIAggCCAIIAggCFgIDAsYCHgAC2QICAgMCBAIFAgYCBwIIAgkCoAILAjgCDQIIAggCCAIIAggCCAIIAggCCAIIAggCCAIIAggCCAIIAggCFgIDAssCHgAC2QICAiUCBAIFAgYCBwIIAgkCCgILAjgCDQIIAggCCAIIAggCCAIIAggCCAIIAggCCAIIAggCCAIIAggCFgIDAkACHgAC2QICAh8CBAIFAgYCBwIIAgkCSwILAjgCDQIIAggCCAIIAggCCAIIAggCCAIIAggCCAIIAggCCAIIAggCFgIDApsCHgAC2QICAmECBAIFAgYCBwIIAgkCCgILAjgCDQIIAggCCAIIAggCCAIIAggCCAIIAggCCAIIAggCCAIIAggCFgIDAswCHgAC2gAJMzIyMzgzOTYwAgIC2wAGMjAxMzEyAgQCBQIGAgcCCAIJAqACCwI4Ag0CCAIIAggCCAIIAggCCAIIAggCCAIIAggCCAIIAggCCAIIAh4CAwLcc3EAfgAAAAAAAnNxAH4ABP///////////////v////7/////dXEAfgAHAAAAAxTl5Hh4egAABAACHgAC3QAJNDE3NzE0NTkyAgICLQIEAgUCBgIHAggCCQIKAgsCOAINAggCCAIIAggCCAIIAggCCAIIAggCCAIIAggCCAIIAggCCAIUAgMCQQIeAALdAgICMwIEAgUCBgIHAggCCQJLAgsCOAINAggCCAIIAggCCAIIAggCCAIIAggCCAIIAggCCAIIAggCCAIUAgMClgIeAALdAgICZwIEAgUCBgIHAggCCQIKAgsCOAINAggCCAIIAggCCAIIAggCCAIIAggCCAIIAggCCAIIAggCCAIUAgMCuwIeAALdAgICMQIEAgUCBgIHAggCCQJLAgsCOAINAggCCAIIAggCCAIIAggCCAIIAggCCAIIAggCCAIIAggCCAIUAgMCkQIeAALdAgICUAIEAgUCBgIHAggCCQKgAgsCOAINAggCCAIIAggCCAIIAggCCAIIAggCCAIIAggCCAIIAggCCAIUAgMCrwIeAALdAgICJQIEAgUCBgIHAggCCQIKAgsCOAINAggCCAIIAggCCAIIAggCCAIIAggCCAIIAggCCAIIAggCCAIUAgMCQAIeAALdAgICIwIEAgUCBgIHAggCCQKgAgsCOAINAggCCAIIAggCCAIIAggCCAIIAggCCAIIAggCCAIIAggCCAIUAgMCWQIeAALdAgICTQIEAgUCBgIHAggCCQJLAgsCOAINAggCCAIIAggCCAIIAggCCAIIAggCCAIIAggCCAIIAggCCAIUAgMCxgIeAALdAgICKwIEAgUCBgIHAggCCQKgAgsCOAINAggCCAIIAggCCAIIAggCCAIIAggCCAIIAggCCAIIAggCCAIUAgMCsAIeAALdAgICMwIEAgUCBgIHAggCCQIKAgsCOAINAggCCAIIAggCCAIIAggCCAIIAggCCAIIAggCCAIIAggCCAIUAgMCRgIeAALdAgICbAIEAgUCBgIHAggCCQKgAgsCOAINAggCCAIIAggCCAIIAggCCAIIAggCCAIIAggCCAIIAggCCAIUAgMCwgIeAALdAgICYQIEAgUCBgIHAggCCQIKAgsCOAINAggCCAIIAggCCAIIAggCCAIIAggCCAIIAggCCAIIAggCCAIUAgMCzAIeAALdAgICIwIEAgUCBgIHAggCCQJLAgsCOAINAggCCAIIAggCCAIIAggCCAIIAggCCAIIAggCCAIIAggCCAIUAgMCmAIeAALdAgICHQIEAgUCBgIHAggCCQJLAgsCOAINAggCCAIIAggCCAIIAggCCAIIAggCCAIIAggCCAIIAggCCAIUAgMCmgIeAALdAgICLwIEAgUCBgIHAggCCQJLAgsCOAINAggCCAIIAggCCAIIAggCCAIIegAABAACCAIIAggCCAIIAggCCAIIAhQCAwKcAh4AAt0CAgJVAgQCBQIGAgcCCAIJAksCCwI4Ag0CCAIIAggCCAIIAggCCAIIAggCCAIIAggCCAIIAggCCAIIAhQCAwK0Ah4AAt0CAgIDAgQCBQIGAgcCCAIJAqACCwI4Ag0CCAIIAggCCAIIAggCCAIIAggCCAIIAggCCAIIAggCCAIIAhQCAwLLAh4AAt0CAgIvAgQCBQIGAgcCCAIJAgoCCwI4Ag0CCAIIAggCCAIIAggCCAIIAggCCAIIAggCCAIIAggCCAIIAhQCAwI/Ah4AAt0CAgIpAgQCBQIGAgcCCAIJAgoCCwI4Ag0CCAIIAggCCAIIAggCCAIIAggCCAIIAggCCAIIAggCCAIIAhQCAwI5Ah4AAt0CAgJaAgQCBQIGAgcCCAIJAgoCCwI4Ag0CCAIIAggCCAIIAggCCAIIAggCCAIIAggCCAIIAggCCAIIAhQCAwK/Ah4AAt0CAgJ6AgQCBQIGAgcCCAIJAgoCCwI4Ag0CCAIIAggCCAIIAggCCAIIAggCCAIIAggCCAIIAggCCAIIAhQCAwLKAh4AAt0CAgInAgQCBQIGAgcCCAIJAgoCCwI4Ag0CCAIIAggCCAIIAggCCAIIAggCCAIIAggCCAIIAggCCAIIAhQCAwI9Ah4AAt0CAgJSAgQCBQIGAgcCCAIJAqACCwI4Ag0CCAIIAggCCAIIAggCCAIIAggCCAIIAggCCAIIAggCCAIIAhQCAwKpAh4AAt0CAgJyAgQCBQIGAgcCCAIJAksCCwI4Ag0CCAIIAggCCAIIAggCCAIIAggCCAIIAggCCAIIAggCCAIIAhQCAwLFAh4AAt0CAgIbAgQCBQIGAgcCCAIJAksCCwI4Ag0CCAIIAggCCAIIAggCCAIIAggCCAIIAggCCAIIAggCCAIIAhQCAwKTAh4AAt0CAgJQAgQCBQIGAgcCCAIJAksCCwI4Ag0CCAIIAggCCAIIAggCCAIIAggCCAIIAggCCAIIAggCCAIIAhQCAwKmAh4AAt0CAgIrAgQCBQIGAgcCCAIJAksCCwI4Ag0CCAIIAggCCAIIAggCCAIIAggCCAIIAggCCAIIAggCCAIIAhQCAwKUAh4AAt0CAgJNAgQCBQIGAgcCCAIJAqACCwI4Ag0CCAIIAggCCAIIAggCCAIIAggCCAIIAggCCAIIAggCCAIIAhQCAwK6Ah4AAt0CAgIxAgQCBQIGAgcCCAIJAgoCCwI4Ag0CCAIIAggCCAIIAggCCAIIAggCCAIIAggCCAIIAggCCAIIAhQCAwI7Ah4AAt0CAgIzAgQCBQIGAgcCCAIJAqACCwI4Ag0CCAIIAggCegAABAAIAggCCAIIAggCCAIIAggCCAIIAggCCAIIAggCFAIDAsQCHgAC3QICAl4CBAIFAgYCBwIIAgkCoAILAjgCDQIIAggCCAIIAggCCAIIAggCCAIIAggCCAIIAggCCAIIAggCFAIDAqICHgAC3QICAh8CBAIFAgYCBwIIAgkCoAILAjgCDQIIAggCCAIIAggCCAIIAggCCAIIAggCCAIIAggCCAIIAggCFAIDAqECHgAC3QICAh0CBAIFAgYCBwIIAgkCCgILAjgCDQIIAggCCAIIAggCCAIIAggCCAIIAggCCAIIAggCCAIIAggCFAIDAj4CHgAC3QICAiUCBAIFAgYCBwIIAgkCSwILAjgCDQIIAggCCAIIAggCCAIIAggCCAIIAggCCAIIAggCCAIIAggCFAIDApACHgAC3QICAlUCBAIFAgYCBwIIAgkCCgILAjgCDQIIAggCCAIIAggCCAIIAggCCAIIAggCCAIIAggCCAIIAggCFAIDAqsCHgAC3QICAjUCBAIFAgYCBwIIAgkCCgILAjgCDQIIAggCCAIIAggCCAIIAggCCAIIAggCCAIIAggCCAIIAggCFAIDAjoCHgAC3QICAmECBAIFAgYCBwIIAgkCSwILAjgCDQIIAggCCAIIAggCCAIIAggCCAIIAggCCAIIAggCCAIIAggCFAIDArcCHgAC3QICAisCBAIFAgYCBwIIAgkCCgILAjgCDQIIAggCCAIIAggCCAIIAggCCAIIAggCCAIIAggCCAIIAggCFAIDAkcCHgAC3QICAlACBAIFAgYCBwIIAgkCCgILAjgCDQIIAggCCAIIAggCCAIIAggCCAIIAggCCAIIAggCCAIIAggCFAIDAqcCHgAC3QICAmcCBAIFAgYCBwIIAgkCoAILAjgCDQIIAggCCAIIAggCCAIIAggCCAIIAggCCAIIAggCCAIIAggCFAIDAscCHgAC3QICAikCBAIFAgYCBwIIAgkCSwILAjgCDQIIAggCCAIIAggCCAIIAggCCAIIAggCCAIIAggCCAIIAggCFAIDApICHgAC3QICAnICBAIFAgYCBwIIAgkCoAILAjgCDQIIAggCCAIIAggCCAIIAggCCAIIAggCCAIIAggCCAIIAggCFAIDArMCHgAC3QICAlICBAIFAgYCBwIIAgkCSwILAjgCDQIIAggCCAIIAggCCAIIAggCCAIIAggCCAIIAggCCAIIAggCFAIDAskCHgAC3QICAnoCBAIFAgYCBwIIAgkCSwILAjgCDQIIAggCCAIIAggCCAIIAggCCAIIAggCCAIIAggCCAIIAggCFAIDArICHgAC3QICAhsCBAIFAgYCBwIIAgkCoAILegAABAACOAINAggCCAIIAggCCAIIAggCCAIIAggCCAIIAggCCAIIAggCCAIUAgMCWQIeAALdAgICNQIEAgUCBgIHAggCCQKgAgsCOAINAggCCAIIAggCCAIIAggCCAIIAggCCAIIAggCCAIIAggCCAIUAgMCyAIeAALdAgICbAIEAgUCBgIHAggCCQIKAgsCOAINAggCCAIIAggCCAIIAggCCAIIAggCCAIIAggCCAIIAggCCAIUAgMCrQIeAALdAgICHwIEAgUCBgIHAggCCQJLAgsCOAINAggCCAIIAggCCAIIAggCCAIIAggCCAIIAggCCAIIAggCCAIUAgMCmwIeAALdAgICXgIEAgUCBgIHAggCCQJLAgsCOAINAggCCAIIAggCCAIIAggCCAIIAggCCAIIAggCCAIIAggCCAIUAgMCzgIeAALdAgICAwIEAgUCBgIHAggCCQIKAgsCOAINAggCCAIIAggCCAIIAggCCAIIAggCCAIIAggCCAIIAggCCAIUAgMCQwIeAALdAgICYQIEAgUCBgIHAggCCQKgAgsCOAINAggCCAIIAggCCAIIAggCCAIIAggCCAIIAggCCAIIAggCCAIUAgMCrgIeAALdAgICUgIEAgUCBgIHAggCCQIKAgsCOAINAggCCAIIAggCCAIIAggCCAIIAggCCAIIAggCCAIIAggCCAIUAgMCsQIeAALdAgICJwIEAgUCBgIHAggCCQJLAgsCOAINAggCCAIIAggCCAIIAggCCAIIAggCCAIIAggCCAIIAggCCAIUAgMCnQIeAALdAgICJQIEAgUCBgIHAggCCQKgAgsCOAINAggCCAIIAggCCAIIAggCCAIIAggCCAIIAggCCAIIAggCCAIUAgMCrAIeAALdAgICLQIEAgUCBgIHAggCCQKgAgsCOAINAggCCAIIAggCCAIIAggCCAIIAggCCAIIAggCCAIIAggCCAIUAgMCzQIeAALdAgICWgIEAgUCBgIHAggCCQJLAgsCOAINAggCCAIIAggCCAIIAggCCAIIAggCCAIIAggCCAIIAggCCAIUAgMCtQIeAALdAgICZwIEAgUCBgIHAggCCQJLAgsCOAINAggCCAIIAggCCAIIAggCCAIIAggCCAIIAggCCAIIAggCCAIUAgMCvQIeAALdAgICNQIEAgUCBgIHAggCCQJLAgsCOAINAggCCAIIAggCCAIIAggCCAIIAggCCAIIAggCCAIIAggCCAIUAgMClQIeAALdAgICegIEAgUCBgIHAggCCQKgAgsCOAINAggCCAIIAggCCAIIAggCCAIIAggCCAIIAggCCAIIAggCCAIUAgMCqAIeAALdAgICTQIEAgUCegAABAAGAgcCCAIJAgoCCwI4Ag0CCAIIAggCCAIIAggCCAIIAggCCAIIAggCCAIIAggCCAIIAhQCAwKkAh4AAt0CAgIfAgQCBQIGAgcCCAIJAgoCCwI4Ag0CCAIIAggCCAIIAggCCAIIAggCCAIIAggCCAIIAggCCAIIAhQCAwJCAh4AAt0CAgIpAgQCBQIGAgcCCAIJAqACCwI4Ag0CCAIIAggCCAIIAggCCAIIAggCCAIIAggCCAIIAggCCAIIAhQCAwKlAh4AAt0CAgIjAgQCBQIGAgcCCAIJAgoCCwI4Ag0CCAIIAggCCAIIAggCCAIIAggCCAIIAggCCAIIAggCCAIIAhQCAwJEAh4AAt0CAgJyAgQCBQIGAgcCCAIJAgoCCwI4Ag0CCAIIAggCCAIIAggCCAIIAggCCAIIAggCCAIIAggCCAIIAhQCAwK8Ah4AAt0CAgIbAgQCBQIGAgcCCAIJAgoCCwI4Ag0CCAIIAggCCAIIAggCCAIIAggCCAIIAggCCAIIAggCCAIIAhQCAwJFAh4AAt0CAgJeAgQCBQIGAgcCCAIJAgoCCwI4Ag0CCAIIAggCCAIIAggCCAIIAggCCAIIAggCCAIIAggCCAIIAhQCAwK4Ah4AAt0CAgIDAgQCBQIGAgcCCAIJAksCCwI4Ag0CCAIIAggCCAIIAggCCAIIAggCCAIIAggCCAIIAggCCAIIAhQCAwKZAh4AAt0CAgIdAgQCBQIGAgcCCAIJAqACCwI4Ag0CCAIIAggCCAIIAggCCAIIAggCCAIIAggCCAIIAggCCAIIAhQCAwLAAh4AAt0CAgInAgQCBQIGAgcCCAIJAqACCwI4Ag0CCAIIAggCCAIIAggCCAIIAggCCAIIAggCCAIIAggCCAIIAhQCAwJZAh4AAt0CAgJVAgQCBQIGAgcCCAIJAqACCwI4Ag0CCAIIAggCCAIIAggCCAIIAggCCAIIAggCCAIIAggCCAIIAhQCAwK+Ah4AAt0CAgJaAgQCBQIGAgcCCAIJAqACCwI4Ag0CCAIIAggCCAIIAggCCAIIAggCCAIIAggCCAIIAggCCAIIAhQCAwKjAh4AAt0CAgItAgQCBQIGAgcCCAIJAksCCwI4Ag0CCAIIAggCCAIIAggCCAIIAggCCAIIAggCCAIIAggCCAIIAhQCAwKeAh4AAt0CAgIxAgQCBQIGAgcCCAIJAqACCwI4Ag0CCAIIAggCCAIIAggCCAIIAggCCAIIAggCCAIIAggCCAIIAhQCAwJZAh4AAt0CAgJsAgQCBQIGAgcCCAIJAksCCwI4Ag0CCAIIAggCCAIIAggCCAIIAggCCAIIAggCCAIIAggCCAIIAhQCAwKqAh4AegAABAAC3QICAi8CBAIFAgYCBwIIAgkCoAILAjgCDQIIAggCCAIIAggCCAIIAggCCAIIAggCCAIIAggCCAIIAggCFAIDAsECHgAC3gAJMzY0NTI3NTkyAgICUgIEAgUCBgIHAggCCQJLAgsCOAINAggCCAIIAggCCAIIAggCCAIIAggCCAIIAggCCAIIAggCCAISAgMCyQIeAALeAgICZwIEAgUCBgIHAggCCQKgAgsCOAINAggCCAIIAggCCAIIAggCCAIIAggCCAIIAggCCAIIAggCCAISAgMCxwIeAALeAgICNQIEAgUCBgIHAggCCQKgAgsCOAINAggCCAIIAggCCAIIAggCCAIIAggCCAIIAggCCAIIAggCCAISAgMCyAIeAALeAgICKwIEAgUCBgIHAggCCQIKAgsCOAINAggCCAIIAggCCAIIAggCCAIIAggCCAIIAggCCAIIAggCCAISAgMCRwIeAALeAgICGwIEAgUCBgIHAggCCQKgAgsCOAINAggCCAIIAggCCAIIAggCCAIIAggCCAIIAggCCAIIAggCCAISAgMCWQIeAALeAgICLQIEAgUCBgIHAggCCQKgAgsCOAINAggCCAIIAggCCAIIAggCCAIIAggCCAIIAggCCAIIAggCCAISAgMCzQIeAALeAgICAwIEAgUCBgIHAggCCQJLAgsCOAINAggCCAIIAggCCAIIAggCCAIIAggCCAIIAggCCAIIAggCCAISAgMCmQIeAALeAgICcgIEAgUCBgIHAggCCQKgAgsCOAINAggCCAIIAggCCAIIAggCCAIIAggCCAIIAggCCAIIAggCCAISAgMCswIeAALeAgICHQIEAgUCBgIHAggCCQIKAgsCOAINAggCCAIIAggCCAIIAggCCAIIAggCCAIIAggCCAIIAggCCAISAgMCPgIeAALeAgICbAIEAgUCBgIHAggCCQJLAgsCOAINAggCCAIIAggCCAIIAggCCAIIAggCCAIIAggCCAIIAggCCAISAgMCqgIeAALeAgICVQIEAgUCBgIHAggCCQIKAgsCOAINAggCCAIIAggCCAIIAggCCAIIAggCCAIIAggCCAIIAggCCAISAgMCqwIeAALeAgICJwIEAgUCBgIHAggCCQJLAgsCOAINAggCCAIIAggCCAIIAggCCAIIAggCCAIIAggCCAIIAggCCAISAgMCnQIeAALeAgICAwIEAgUCBgIHAggCCQIKAgsCOAINAggCCAIIAggCCAIIAggCCAIIAggCCAIIAggCCAIIAggCCAISAgMCQwIeAALeAgICWgIEAgUCBgIHAggCCQKgAgsCOAINAggCCAIIAggCCAIIAggCCAIIAggCegAABAAIAggCCAIIAggCCAIIAhICAwKjAh4AAt4CAgInAgQCBQIGAgcCCAIJAqACCwI4Ag0CCAIIAggCCAIIAggCCAIIAggCCAIIAggCCAIIAggCCAIIAhICAwJZAh4AAt4CAgIjAgQCBQIGAgcCCAIJAgoCCwI4Ag0CCAIIAggCCAIIAggCCAIIAggCCAIIAggCCAIIAggCCAIIAhICAwJEAh4AAt4CAgJeAgQCBQIGAgcCCAIJAqACCwI4Ag0CCAIIAggCCAIIAggCCAIIAggCCAIIAggCCAIIAggCCAIIAhICAwKiAh4AAt4CAgIfAgQCBQIGAgcCCAIJAqACCwI4Ag0CCAIIAggCCAIIAggCCAIIAggCCAIIAggCCAIIAggCCAIIAhICAwKhAh4AAt4CAgJ6AgQCBQIGAgcCCAIJAksCCwI4Ag0CCAIIAggCCAIIAggCCAIIAggCCAIIAggCCAIIAggCCAIIAhICAwKyAh4AAt4CAgJQAgQCBQIGAgcCCAIJAgoCCwI4Ag0CCAIIAggCCAIIAggCCAIIAggCCAIIAggCCAIIAggCCAIIAhICAwKnAh4AAt4CAgIpAgQCBQIGAgcCCAIJAksCCwI4Ag0CCAIIAggCCAIIAggCCAIIAggCCAIIAggCCAIIAggCCAIIAhICAwKSAh4AAt4CAgIpAgQCBQIGAgcCCAIJAgoCCwI4Ag0CCAIIAggCCAIIAggCCAIIAggCCAIIAggCCAIIAggCCAIIAhICAwI5Ah4AAt4CAgJ6AgQCBQIGAgcCCAIJAgoCCwI4Ag0CCAIIAggCCAIIAggCCAIIAggCCAIIAggCCAIIAggCCAIIAhICAwLKAh4AAt4CAgJSAgQCBQIGAgcCCAIJAqACCwI4Ag0CCAIIAggCCAIIAggCCAIIAggCCAIIAggCCAIIAggCCAIIAhICAwKpAh4AAt4CAgIxAgQCBQIGAgcCCAIJAgoCCwI4Ag0CCAIIAggCCAIIAggCCAIIAggCCAIIAggCCAIIAggCCAIIAhICAwI7Ah4AAt4CAgIzAgQCBQIGAgcCCAIJAqACCwI4Ag0CCAIIAggCCAIIAggCCAIIAggCCAIIAggCCAIIAggCCAIIAhICAwLEAh4AAt4CAgIDAgQCBQIGAgcCCAIJAqACCwI4Ag0CCAIIAggCCAIIAggCCAIIAggCCAIIAggCCAIIAggCCAIIAhICAwLLAh4AAt4CAgIvAgQCBQIGAgcCCAIJAgoCCwI4Ag0CCAIIAggCCAIIAggCCAIIAggCCAIIAggCCAIIAggCCAIIAhICAwI/Ah4AAt4CAgInAgQCBQIGAgcCCAIJAgoCCwI4Ag0CCAIIAggCCAIIegAABAACCAIIAggCCAIIAggCCAIIAggCCAIIAggCEgIDAj0CHgAC3gICAl4CBAIFAgYCBwIIAgkCSwILAjgCDQIIAggCCAIIAggCCAIIAggCCAIIAggCCAIIAggCCAIIAggCEgIDAs4CHgAC3gICAh8CBAIFAgYCBwIIAgkCSwILAjgCDQIIAggCCAIIAggCCAIIAggCCAIIAggCCAIIAggCCAIIAggCEgIDApsCHgAC3gICAloCBAIFAgYCBwIIAgkCCgILAjgCDQIIAggCCAIIAggCCAIIAggCCAIIAggCCAIIAggCCAIIAggCEgIDAr8CHgAC3gICAiUCBAIFAgYCBwIIAgkCSwILAjgCDQIIAggCCAIIAggCCAIIAggCCAIIAggCCAIIAggCCAIIAggCEgIDApACHgAC3gICAk0CBAIFAgYCBwIIAgkCoAILAjgCDQIIAggCCAIIAggCCAIIAggCCAIIAggCCAIIAggCCAIIAggCEgIDAroCHgAC3gICAmwCBAIFAgYCBwIIAgkCoAILAjgCDQIIAggCCAIIAggCCAIIAggCCAIIAggCCAIIAggCCAIIAggCEgIDAsICHgAC3gICAiMCBAIFAgYCBwIIAgkCSwILAjgCDQIIAggCCAIIAggCCAIIAggCCAIIAggCCAIIAggCCAIIAggCEgIDApgCHgAC3gICAlACBAIFAgYCBwIIAgkCSwILAjgCDQIIAggCCAIIAggCCAIIAggCCAIIAggCCAIIAggCCAIIAggCEgIDAqYCHgAC3gICAnICBAIFAgYCBwIIAgkCSwILAjgCDQIIAggCCAIIAggCCAIIAggCCAIIAggCCAIIAggCCAIIAggCEgIDAsUCHgAC3gICAiECBAIFAgYCBwIIAgkCoAILAjgCDQIIAggCCAIIAggCCAIIAggCCAIIAggCCAIIAggCCAIIAggCEgIDAlkCHgAC3gICAisCBAIFAgYCBwIIAgkCSwILAjgCDQIIAggCCAIIAggCCAIIAggCCAIIAggCCAIIAggCCAIIAggCEgIDApQCHgAC3gICAhsCBAIFAgYCBwIIAgkCSwILAjgCDQIIAggCCAIIAggCCAIIAggCCAIIAggCCAIIAggCCAIIAggCEgIDApMCHgAC3gICAi0CBAIFAgYCBwIIAgkCCgILAjgCDQIIAggCCAIIAggCCAIIAggCCAIIAggCCAIIAggCCAIIAggCEgIDAkECHgAC3gICAiECBAIFAgYCBwIIAgkCSwILAjgCDQIIAggCCAIIAggCCAIIAggCCAIIAggCCAIIAggCCAIIAggCEgIDApcCHgAC3gICAjUCBAIFAgYCBwIIAgkCCgILAjgCegAABAANAggCCAIIAggCCAIIAggCCAIIAggCCAIIAggCCAIIAggCCAISAgMCOgIeAALeAgICHQIEAgUCBgIHAggCCQKgAgsCOAINAggCCAIIAggCCAIIAggCCAIIAggCCAIIAggCCAIIAggCCAISAgMCwAIeAALeAgICVQIEAgUCBgIHAggCCQKgAgsCOAINAggCCAIIAggCCAIIAggCCAIIAggCCAIIAggCCAIIAggCCAISAgMCvgIeAALeAgICUAIEAgUCBgIHAggCCQKgAgsCOAINAggCCAIIAggCCAIIAggCCAIIAggCCAIIAggCCAIIAggCCAISAgMCrwIeAALeAgICJQIEAgUCBgIHAggCCQIKAgsCOAINAggCCAIIAggCCAIIAggCCAIIAggCCAIIAggCCAIIAggCCAISAgMCQAIeAALeAgICLwIEAgUCBgIHAggCCQJLAgsCOAINAggCCAIIAggCCAIIAggCCAIIAggCCAIIAggCCAIIAggCCAISAgMCnAIeAALeAgICYQIEAgUCBgIHAggCCQIKAgsCOAINAggCCAIIAggCCAIIAggCCAIIAggCCAIIAggCCAIIAggCCAISAgMCzAIeAALeAgICYQIEAgUCBgIHAggCCQJLAgsCOAINAggCCAIIAggCCAIIAggCCAIIAggCCAIIAggCCAIIAggCCAISAgMCtwIeAALeAgICTQIEAgUCBgIHAggCCQJLAgsCOAINAggCCAIIAggCCAIIAggCCAIIAggCCAIIAggCCAIIAggCCAISAgMCxgIeAALeAgICMQIEAgUCBgIHAggCCQJLAgsCOAINAggCCAIIAggCCAIIAggCCAIIAggCCAIIAggCCAIIAggCCAISAgMCkQIeAALeAgICGwIEAgUCBgIHAggCCQIKAgsCOAINAggCCAIIAggCCAIIAggCCAIIAggCCAIIAggCCAIIAggCCAISAgMCRQIeAALeAgICLwIEAgUCBgIHAggCCQKgAgsCOAINAggCCAIIAggCCAIIAggCCAIIAggCCAIIAggCCAIIAggCCAISAgMCwQIeAALeAgICIwIEAgUCBgIHAggCCQKgAgsCOAINAggCCAIIAggCCAIIAggCCAIIAggCCAIIAggCCAIIAggCCAISAgMCWQIeAALeAgICKwIEAgUCBgIHAggCCQKgAgsCOAINAggCCAIIAggCCAIIAggCCAIIAggCCAIIAggCCAIIAggCCAISAgMCsAIeAALeAgICZwIEAgUCBgIHAggCCQIKAgsCOAINAggCCAIIAggCCAIIAggCCAIIAggCCAIIAggCCAIIAggCCAISAgMCuwIeAALeAgICMwIEAgUCBgIHegAABAACCAIJAksCCwI4Ag0CCAIIAggCCAIIAggCCAIIAggCCAIIAggCCAIIAggCCAIIAhICAwKWAh4AAt4CAgJyAgQCBQIGAgcCCAIJAgoCCwI4Ag0CCAIIAggCCAIIAggCCAIIAggCCAIIAggCCAIIAggCCAIIAhICAwK8Ah4AAt4CAgJnAgQCBQIGAgcCCAIJAksCCwI4Ag0CCAIIAggCCAIIAggCCAIIAggCCAIIAggCCAIIAggCCAIIAhICAwK9Ah4AAt4CAgJVAgQCBQIGAgcCCAIJAksCCwI4Ag0CCAIIAggCCAIIAggCCAIIAggCCAIIAggCCAIIAggCCAIIAhICAwK0Ah4AAt4CAgIpAgQCBQIGAgcCCAIJAqACCwI4Ag0CCAIIAggCCAIIAggCCAIIAggCCAIIAggCCAIIAggCCAIIAhICAwKlAh4AAt4CAgJ6AgQCBQIGAgcCCAIJAqACCwI4Ag0CCAIIAggCCAIIAggCCAIIAggCCAIIAggCCAIIAggCCAIIAhICAwKoAh4AAt4CAgIhAgQCBQIGAgcCCAIJAgoCCwI4Ag0CCAIIAggCCAIIAggCCAIIAggCCAIIAggCCAIIAggCCAIIAhICAwI8Ah4AAt4CAgIxAgQCBQIGAgcCCAIJAqACCwI4Ag0CCAIIAggCCAIIAggCCAIIAggCCAIIAggCCAIIAggCCAIIAhICAwJZAh4AAt4CAgJsAgQCBQIGAgcCCAIJAgoCCwI4Ag0CCAIIAggCCAIIAggCCAIIAggCCAIIAggCCAIIAggCCAIIAhICAwKtAh4AAt4CAgJeAgQCBQIGAgcCCAIJAgoCCwI4Ag0CCAIIAggCCAIIAggCCAIIAggCCAIIAggCCAIIAggCCAIIAhICAwK4Ah4AAt4CAgIdAgQCBQIGAgcCCAIJAksCCwI4Ag0CCAIIAggCCAIIAggCCAIIAggCCAIIAggCCAIIAggCCAIIAhICAwKaAh4AAt4CAgItAgQCBQIGAgcCCAIJAksCCwI4Ag0CCAIIAggCCAIIAggCCAIIAggCCAIIAggCCAIIAggCCAIIAhICAwKeAh4AAt4CAgIlAgQCBQIGAgcCCAIJAqACCwI4Ag0CCAIIAggCCAIIAggCCAIIAggCCAIIAggCCAIIAggCCAIIAhICAwKsAh4AAt4CAgJhAgQCBQIGAgcCCAIJAqACCwI4Ag0CCAIIAggCCAIIAggCCAIIAggCCAIIAggCCAIIAggCCAIIAhICAwKuAh4AAt4CAgJaAgQCBQIGAgcCCAIJAksCCwI4Ag0CCAIIAggCCAIIAggCCAIIAggCCAIIAggCCAIIAggCCAIIAhICAwK1Ah4AAt4CegAABAACAh8CBAIFAgYCBwIIAgkCCgILAjgCDQIIAggCCAIIAggCCAIIAggCCAIIAggCCAIIAggCCAIIAggCEgIDAkICHgAC3gICAjMCBAIFAgYCBwIIAgkCCgILAjgCDQIIAggCCAIIAggCCAIIAggCCAIIAggCCAIIAggCCAIIAggCEgIDAkYCHgAC3gICAk0CBAIFAgYCBwIIAgkCCgILAjgCDQIIAggCCAIIAggCCAIIAggCCAIIAggCCAIIAggCCAIIAggCEgIDAqQCHgAC3gICAjUCBAIFAgYCBwIIAgkCSwILAjgCDQIIAggCCAIIAggCCAIIAggCCAIIAggCCAIIAggCCAIIAggCEgIDApUCHgAC3gICAlICBAIFAgYCBwIIAgkCCgILAjgCDQIIAggCCAIIAggCCAIIAggCCAIIAggCCAIIAggCCAIIAggCEgIDArECHgAC3wAJMzY0NTI2NDMyAgICUAIEAgUCBgIHAggCCQIKAgsCDAINAggCCAIIAggCCAIIAggCCAIIAggCCAIIAggCCAIIAggCCAACAwJjAh4AAt8CAgIpAgQCBQIGAgcCCAIJAkkCCwIMAg0CCAIIAggCCAIIAggCCAIIAggCCAIIAggCCAIIAggCCAIIAAIDAokCHgAC3wICAnoCBAIFAgYCBwIIAgkCSwILAgwCDQIIAggCCAIIAggCCAIIAggCCAIIAggCCAIIAggCCAIIAggAAgMChgIeAALfAgICegIEAgUCBgIHAggCCQJJAgsCDAINAggCCAIIAggCCAIIAggCCAIIAggCCAIIAggCCAIIAggCCAACAwKHAh4AAt8CAgInAgQCBQIGAgcCCAIJAkkCCwIMAg0CCAIIAggCCAIIAggCCAIIAggCCAIIAggCCAIIAggCCAIIAAIDAlkCHgAC3wICAloCBAIFAgYCBwIIAgkCSQILAgwCDQIIAggCCAIIAggCCAIIAggCCAIIAggCCAIIAggCCAIIAggAAgMCWwIeAALfAgICUgIEAgUCBgIHAggCCQJLAgsCDAINAggCCAIIAggCCAIIAggCCAIIAggCCAIIAggCCAIIAggCCAACAwJkAh4AAt8CAgIpAgQCBQIGAgcCCAIJAksCCwIMAg0CCAIIAggCCAIIAggCCAIIAggCCAIIAggCCAIIAggCCAIIAAIDAoMCHgAC3wICAisCBAIFAgYCBwIIAgkCCgILAgwCDQIIAggCCAIIAggCCAIIAggCCAIIAggCCAIIAggCCAIIAggAAgMCLAIeAALfAgICcgIEAgUCBgIHAggCCQJJAgsCDAINAggCCAIIAggCCAIIAggCCAIIAggCCAIIAggCCAIIAggCegAABAAIAAIDAoQCHgAC3wICAhsCBAIFAgYCBwIIAgkCSQILAgwCDQIIAggCCAIIAggCCAIIAggCCAIIAggCCAIIAggCCAIIAggAAgMCWQIeAALfAgICIwIEAgUCBgIHAggCCQIKAgsCDAINAggCCAIIAggCCAIIAggCCAIIAggCCAIIAggCCAIIAggCCAACAwIkAh4AAt8CAgIDAgQCBQIGAgcCCAIJAkkCCwIMAg0CCAIIAggCCAIIAggCCAIIAggCCAIIAggCCAIIAggCCAIIAAIDAkoCHgAC3wICAmwCBAIFAgYCBwIIAgkCSQILAgwCDQIIAggCCAIIAggCCAIIAggCCAIIAggCCAIIAggCCAIIAggAAgMCbgIeAALfAgICUAIEAgUCBgIHAggCCQJLAgsCDAINAggCCAIIAggCCAIIAggCCAIIAggCCAIIAggCCAIIAggCCAACAwJRAh4AAt8CAgJsAgQCBQIGAgcCCAIJAksCCwIMAg0CCAIIAggCCAIIAggCCAIIAggCCAIIAggCCAIIAggCCAIIAAIDAm0CHgAC3wICAmcCBAIFAgYCBwIIAgkCSQILAgwCDQIIAggCCAIIAggCCAIIAggCCAIIAggCCAIIAggCCAIIAggAAgMCaAIeAALfAgICAwIEAgUCBgIHAggCCQJLAgsCDAINAggCCAIIAggCCAIIAggCCAIIAggCCAIIAggCCAIIAggCCAACAwJqAh4AAt8CAgJVAgQCBQIGAgcCCAIJAgoCCwIMAg0CCAIIAggCCAIIAggCCAIIAggCCAIIAggCCAIIAggCCAIIAAIDAooCHgAC3wICAh0CBAIFAgYCBwIIAgkCCgILAgwCDQIIAggCCAIIAggCCAIIAggCCAIIAggCCAIIAggCCAIIAggAAgMCHgIeAALfAgICLwIEAgUCBgIHAggCCQIKAgsCDAINAggCCAIIAggCCAIIAggCCAIIAggCCAIIAggCCAIIAggCCAACAwIwAh4AAt8CAgJnAgQCBQIGAgcCCAIJAksCCwIMAg0CCAIIAggCCAIIAggCCAIIAggCCAIIAggCCAIIAggCCAIIAAIDAnUCHgAC3wICAjUCBAIFAgYCBwIIAgkCSwILAgwCDQIIAggCCAIIAggCCAIIAggCCAIIAggCCAIIAggCCAIIAggAAgMCeQIeAALfAgICYQIEAgUCBgIHAggCCQJJAgsCDAINAggCCAIIAggCCAIIAggCCAIIAggCCAIIAggCCAIIAggCCAACAwKOAh4AAt8CAgJVAgQCBQIGAgcCCAIJAksCCwIMAg0CCAIIAggCCAIIAggCCAIIAggCCAIIAggCCAIIAggCCAIIAAIDegAABAACVgIeAALfAgICNQIEAgUCBgIHAggCCQJJAgsCDAINAggCCAIIAggCCAIIAggCCAIIAggCCAIIAggCCAIIAggCCAACAwJ3Ah4AAt8CAgJNAgQCBQIGAgcCCAIJAgoCCwIMAg0CCAIIAggCCAIIAggCCAIIAggCCAIIAggCCAIIAggCCAIIAAIDAk4CHgAC3wICAlICBAIFAgYCBwIIAgkCCgILAgwCDQIIAggCCAIIAggCCAIIAggCCAIIAggCCAIIAggCCAIIAggAAgMCeAIeAALfAgICMwIEAgUCBgIHAggCCQIKAgsCDAINAggCCAIIAggCCAIIAggCCAIIAggCCAIIAggCCAIIAggCCAACAwI0Ah4AAt8CAgJsAgQCBQIGAgcCCAIJAgoCCwIMAg0CCAIIAggCCAIIAggCCAIIAggCCAIIAggCCAIIAggCCAIIAAIDAoICHgAC3wICAgMCBAIFAgYCBwIIAgkCCgILAgwCDQIIAggCCAIIAggCCAIIAggCCAIIAggCCAIIAggCCAIIAggAAgMCDgIeAALfAgICHQIEAgUCBgIHAggCCQJJAgsCDAINAggCCAIIAggCCAIIAggCCAIIAggCCAIIAggCCAIIAggCCAACAwJdAh4AAt8CAgIhAgQCBQIGAgcCCAIJAgoCCwIMAg0CCAIIAggCCAIIAggCCAIIAggCCAIIAggCCAIIAggCCAIIAAIDAiICHgAC3wICAlUCBAIFAgYCBwIIAgkCSQILAgwCDQIIAggCCAIIAggCCAIIAggCCAIIAggCCAIIAggCCAIIAggAAgMCXAIeAALfAgICWgIEAgUCBgIHAggCCQJLAgsCDAINAggCCAIIAggCCAIIAggCCAIIAggCCAIIAggCCAIIAggCCAACAwJ/Ah4AAt8CAgIdAgQCBQIGAgcCCAIJAksCCwIMAg0CCAIIAggCCAIIAggCCAIIAggCCAIIAggCCAIIAggCCAIIAAIDAlcCHgAC3wICAi8CBAIFAgYCBwIIAgkCSwILAgwCDQIIAggCCAIIAggCCAIIAggCCAIIAggCCAIIAggCCAIIAggAAgMCgQIeAALfAgICJwIEAgUCBgIHAggCCQJLAgsCDAINAggCCAIIAggCCAIIAggCCAIIAggCCAIIAggCCAIIAggCCAACAwKAAh4AAt8CAgIxAgQCBQIGAgcCCAIJAkkCCwIMAg0CCAIIAggCCAIIAggCCAIIAggCCAIIAggCCAIIAggCCAIIAAIDAlkCHgAC3wICAjECBAIFAgYCBwIIAgkCSwILAgwCDQIIAggCCAIIAggCCAIIAggCCAIIAggCCAIIAggCCAIIAggAAgMC1AIeegAABAAAAt8CAgItAgQCBQIGAgcCCAIJAgoCCwIMAg0CCAIIAggCCAIIAggCCAIIAggCCAIIAggCCAIIAggCCAIIAAIDAi4CHgAC3wICAi8CBAIFAgYCBwIIAgkCSQILAgwCDQIIAggCCAIIAggCCAIIAggCCAIIAggCCAIIAggCCAIIAggAAgMCfgIeAALfAgICTQIEAgUCBgIHAggCCQJJAgsCDAINAggCCAIIAggCCAIIAggCCAIIAggCCAIIAggCCAIIAggCCAACAwJmAh4AAt8CAgI1AgQCBQIGAgcCCAIJAgoCCwIMAg0CCAIIAggCCAIIAggCCAIIAggCCAIIAggCCAIIAggCCAIIAAIDAjYCHgAC3wICAmcCBAIFAgYCBwIIAgkCCgILAgwCDQIIAggCCAIIAggCCAIIAggCCAIIAggCCAIIAggCCAIIAggAAgMCiAIeAALfAgICIQIEAgUCBgIHAggCCQJLAgsCDAINAggCCAIIAggCCAIIAggCCAIIAggCCAIIAggCCAIIAggCCAACAwLQAh4AAt8CAgIzAgQCBQIGAgcCCAIJAksCCwIMAg0CCAIIAggCCAIIAggCCAIIAggCCAIIAggCCAIIAggCCAIIAAIDAmkCHgAC3wICAiECBAIFAgYCBwIIAgkCSQILAgwCDQIIAggCCAIIAggCCAIIAggCCAIIAggCCAIIAggCCAIIAggAAgMCWQIeAALfAgICGwIEAgUCBgIHAggCCQIKAgsCDAINAggCCAIIAggCCAIIAggCCAIIAggCCAIIAggCCAIIAggCCAACAwIcAh4AAt8CAgIjAgQCBQIGAgcCCAIJAkkCCwIMAg0CCAIIAggCCAIIAggCCAIIAggCCAIIAggCCAIIAggCCAIIAAIDAlkCHgAC3wICAiUCBAIFAgYCBwIIAgkCSwILAgwCDQIIAggCCAIIAggCCAIIAggCCAIIAggCCAIIAggCCAIIAggAAgMCcQIeAALfAgICYQIEAgUCBgIHAggCCQJLAgsCDAINAggCCAIIAggCCAIIAggCCAIIAggCCAIIAggCCAIIAggCCAACAwKNAh4AAt8CAgIlAgQCBQIGAgcCCAIJAkkCCwIMAg0CCAIIAggCCAIIAggCCAIIAggCCAIIAggCCAIIAggCCAIIAAIDAowCHgAC3wICAi0CBAIFAgYCBwIIAgkCSwILAgwCDQIIAggCCAIIAggCCAIIAggCCAIIAggCCAIIAggCCAIIAggAAgMCcAIeAALfAgICWgIEAgUCBgIHAggCCQIKAgsCDAINAggCCAIIAggCCAIIAggCCAIIAggCCAIIAggCCAIIAggCCAACAwKLAh4AAt8CegAABAACAl4CBAIFAgYCBwIIAgkCCgILAgwCDQIIAggCCAIIAggCCAIIAggCCAIIAggCCAIIAggCCAIIAggAAgMCbwIeAALfAgICJwIEAgUCBgIHAggCCQIKAgsCDAINAggCCAIIAggCCAIIAggCCAIIAggCCAIIAggCCAIIAggCCAACAwIoAh4AAt8CAgIfAgQCBQIGAgcCCAIJAgoCCwIMAg0CCAIIAggCCAIIAggCCAIIAggCCAIIAggCCAIIAggCCAIIAAIDAiACHgAC3wICArYCBAIFAgYCBwIIAgkCSwILAgwCDQIIAggCCAIIAggCCAIIAggCCAIIAggCCAIIAggCCAIIAggAAgMC0wIeAALfAgICtgIEAgUCBgIHAggCCQJJAgsCDAINAggCCAIIAggCCAIIAggCCAIIAggCCAIIAggCCAIIAggCCAACAwJZAh4AAt8CAgIrAgQCBQIGAgcCCAIJAkkCCwIMAg0CCAIIAggCCAIIAggCCAIIAggCCAIIAggCCAIIAggCCAIIAAIDAk8CHgAC3wICAlACBAIFAgYCBwIIAgkCSQILAgwCDQIIAggCCAIIAggCCAIIAggCCAIIAggCCAIIAggCCAIIAggAAgMCVAIeAALfAgICLQIEAgUCBgIHAggCCQJJAgsCDAINAggCCAIIAggCCAIIAggCCAIIAggCCAIIAggCCAIIAggCCAACAwJrAh4AAt8CAgJ6AgQCBQIGAgcCCAIJAgoCCwIMAg0CCAIIAggCCAIIAggCCAIIAggCCAIIAggCCAIIAggCCAIIAAIDAnsCHgAC3wICAjECBAIFAgYCBwIIAgkCCgILAgwCDQIIAggCCAIIAggCCAIIAggCCAIIAggCCAIIAggCCAIIAggAAgMCMgIeAALfAgICcgIEAgUCBgIHAggCCQJLAgsCDAINAggCCAIIAggCCAIIAggCCAIIAggCCAIIAggCCAIIAggCCAACAwKFAh4AAt8CAgIjAgQCBQIGAgcCCAIJAksCCwIMAg0CCAIIAggCCAIIAggCCAIIAggCCAIIAggCCAIIAggCCAIIAAIDAlgCHgAC3wICAisCBAIFAgYCBwIIAgkCSwILAgwCDQIIAggCCAIIAggCCAIIAggCCAIIAggCCAIIAggCCAIIAggAAgMCTAIeAALfAgICGwIEAgUCBgIHAggCCQJLAgsCDAINAggCCAIIAggCCAIIAggCCAIIAggCCAIIAggCCAIIAggCCAACAwJ2Ah4AAt8CAgIpAgQCBQIGAgcCCAIJAgoCCwIMAg0CCAIIAggCCAIIAggCCAIIAggCCAIIAggCCAIIAggCCAIIAAIDAioCHgAC3wICAnICegAAAuIEAgUCBgIHAggCCQIKAgsCDAINAggCCAIIAggCCAIIAggCCAIIAggCCAIIAggCCAIIAggCCAACAwJzAh4AAt8CAgIfAgQCBQIGAgcCCAIJAksCCwIMAg0CCAIIAggCCAIIAggCCAIIAggCCAIIAggCCAIIAggCCAIIAAIDAn0CHgAC3wICAjMCBAIFAgYCBwIIAgkCSQILAgwCDQIIAggCCAIIAggCCAIIAggCCAIIAggCCAIIAggCCAIIAggAAgMCdAIeAALfAgICUgIEAgUCBgIHAggCCQJJAgsCDAINAggCCAIIAggCCAIIAggCCAIIAggCCAIIAggCCAIIAggCCAACAwJTAh4AAt8CAgJeAgQCBQIGAgcCCAIJAksCCwIMAg0CCAIIAggCCAIIAggCCAIIAggCCAIIAggCCAIIAggCCAIIAAIDAnwCHgAC3wICAl4CBAIFAgYCBwIIAgkCSQILAgwCDQIIAggCCAIIAggCCAIIAggCCAIIAggCCAIIAggCCAIIAggAAgMCXwIeAALfAgICTQIEAgUCBgIHAggCCQJLAgsCDAINAggCCAIIAggCCAIIAggCCAIIAggCCAIIAggCCAIIAggCCAACAwJlAh4AAt8CAgJhAgQCBQIGAgcCCAIJAgoCCwIMAg0CCAIIAggCCAIIAggCCAIIAggCCAIIAggCCAIIAggCCAIIAAIDAmICHgAC3wICArYCBAIFAgYCBwIIAgkCCgILAgwCDQIIAggCCAIIAggCCAIIAggCCAIIAggCCAIIAggCCAIIAggAAgMC0QIeAALfAgICJQIEAgUCBgIHAggCCQIKAgsCDAINAggCCAIIAggCCAIIAggCCAIIAggCCAIIAggCCAIIAggCCAACAwImAh4AAt8CAgIfAgQCBQIGAgcCCAIJAkkCCwIMAg0CCAIIAggCCAIIAggCCAIIAggCCAIIAggCCAIIAggCCAIIAAIDAmA=]]></xxe4awand>
</file>

<file path=customXml/item14.xml><?xml version="1.0" encoding="utf-8"?>
<xxe4awand xmlns="http://www.excel4apps.com"><![CDATA[rO0ABXfZCMCtii8ABEM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iUCBAIFAgYCBwIIAgkCOAILAjkCDQIIAggCCAIIAggCCAIIAggCCAIIAggCCAIIAggCCAIIAggCEAIDAn4CHgAC3QICAkMCBAIFAgYCBwIIAgkCCgILAjkCDQIIAggCCAIIAggCCAIIAggCCAIIAggCCAIIAggCCAIIAggCEAIDAn8CHgAC3QICAisCBAIFAgYCBwIIAgkCPQILAjkCDQIIAggCCAIIAggCCAIIAggCCAIIAggCCAIIAggCCAIIAggCEAIDAnYCHgAC3QICAkECBAIFAgYCBwIIAgkCOAILAjkCDQIIAggCCAIIAggCCAIIAggCCAIIAggCCAIIAggCCAIIAggCEAIDAowCHgAC3QICAlMCBAIFAgYCBwIIAgkCOAILAjkCDQIIAggCCAIIAggCCAIIAggCCAIIAggCCAIIAggCCAIIAggCEAIDAnACHgAC3QICAjUCBAIFAgYCBwIIAgkCOAILAjkCDQIIAggCCAIIAggCCAIIAggCCAIIAggCCAIIAggCCAIIAggCEAIDAlACHgAC3QICAjwCBAIFAgYCBwIIAgkCCgILAjkCDQIIAggCCAIIAggCCAIIAggCCAIIAggCCAIIAggCCAIIAggCEAIDAmACHgAC3QICAh8CBAIFAgYCBwIIAgkCCgILAjkCDQIIAggCCAIIAggCCAIIAggCCAIIAggCCAIIAggCCAIIAggCEAIDAlgCHgAC3QICAh0CBAIFAgYCBwIIAgkCPQILAjkCDQIIAggCegAABAAIAggCCAIIAggCCAIIAggCCAIIAggCCAIIAggCCAIQAgMCggIeAALdAgICTAIEAgUCBgIHAggCCQI4AgsCOQINAggCCAIIAggCCAIIAggCCAIIAggCCAIIAggCCAIIAggCCAIQAgMCWQIeAALdAgICAwIEAgUCBgIHAggCCQI4AgsCOQINAggCCAIIAggCCAIIAggCCAIIAggCCAIIAggCCAIIAggCCAIQAgMCVwIeAALdAgICIwIEAgUCBgIHAggCCQI9AgsCOQINAggCCAIIAggCCAIIAggCCAIIAggCCAIIAggCCAIIAggCCAIQAgMChQIeAALdAgICYwIEAgUCBgIHAggCCQI9AgsCOQINAggCCAIIAggCCAIIAggCCAIIAggCCAIIAggCCAIIAggCCAIQAgMChAIeAALdAgICagIEAgUCBgIHAggCCQIKAgsCOQINAggCCAIIAggCCAIIAggCCAIIAggCCAIIAggCCAIIAggCCAIQAgMCawIeAALdAgICKwIEAgUCBgIHAggCCQIKAgsCOQINAggCCAIIAggCCAIIAggCCAIIAggCCAIIAggCCAIIAggCCAIQAgMCaQIeAALdAgICQwIEAgUCBgIHAggCCQI9AgsCOQINAggCCAIIAggCCAIIAggCCAIIAggCCAIIAggCCAIIAggCCAIQAgMCRAIeAALdAgICQQIEAgUCBgIHAggCCQIKAgsCOQINAggCCAIIAggCCAIIAggCCAIIAggCCAIIAggCCAIIAggCCAIQAgMCQgIeAALdAgICYQIEAgUCBgIHAggCCQI9AgsCOQINAggCCAIIAggCCAIIAggCCAIIAggCCAIIAggCCAIIAggCCAIQAgMCYgIeAALdAgICLwIEAgUCBgIHAggCCQI9AgsCOQINAggCCAIIAggCCAIIAggCCAIIAggCCAIIAggCCAIIAggCCAIQAgMCZQIeAALdAgICHwIEAgUCBgIHAggCCQI4AgsCOQINAggCCAIIAggCCAIIAggCCAIIAggCCAIIAggCCAIIAggCCAIQAgMCdQIeAALdAgICPAIEAgUCBgIHAggCCQI4AgsCOQINAggCCAIIAggCCAIIAggCCAIIAggCCAIIAggCCAIIAggCCAIQAgMCeAIeAALdAgICYwIEAgUCBgIHAggCCQI4AgsCOQINAggCCAIIAggCCAIIAggCCAIIAggCCAIIAggCCAIIAggCCAIQAgMCZAIeAALdAgICKQIEAgUCBgIHAggCCQIKAgsCOQINAggCCAIIAggCCAIIAggCCAIIAggCCAIIAggCCAIIAggCCAIQAgMCaAIeAALdAgICUwIEAgUCBgIHAggCCQIKegAABAACCwI5Ag0CCAIIAggCCAIIAggCCAIIAggCCAIIAggCCAIIAggCCAIIAhACAwJbAh4AAt0CAgKSAgQCBQIGAgcCCAIJAjgCCwI5Ag0CCAIIAggCCAIIAggCCAIIAggCCAIIAggCCAIIAggCCAIIAhACAwJQAh4AAt0CAgJKAgQCBQIGAgcCCAIJAj0CCwI5Ag0CCAIIAggCCAIIAggCCAIIAggCCAIIAggCCAIIAggCCAIIAhACAwJtAh4AAt0CAgItAgQCBQIGAgcCCAIJAgoCCwI5Ag0CCAIIAggCCAIIAggCCAIIAggCCAIIAggCCAIIAggCCAIIAhACAwJeAh4AAt0CAgI1AgQCBQIGAgcCCAIJAgoCCwI5Ag0CCAIIAggCCAIIAggCCAIIAggCCAIIAggCCAIIAggCCAIIAhACAwJcAh4AAt0CAgIlAgQCBQIGAgcCCAIJAgoCCwI5Ag0CCAIIAggCCAIIAggCCAIIAggCCAIIAggCCAIIAggCCAIIAhACAwJFAh4AAt0CAgIxAgQCBQIGAgcCCAIJAjgCCwI5Ag0CCAIIAggCCAIIAggCCAIIAggCCAIIAggCCAIIAggCCAIIAhACAwJdAh4AAt0CAgJHAgQCBQIGAgcCCAIJAjgCCwI5Ag0CCAIIAggCCAIIAggCCAIIAggCCAIIAggCCAIIAggCCAIIAhACAwJIAh4AAt0CAgIbAgQCBQIGAgcCCAIJAj0CCwI5Ag0CCAIIAggCCAIIAggCCAIIAggCCAIIAggCCAIIAggCCAIIAhACAwKTAh4AAt0CAgIhAgQCBQIGAgcCCAIJAj0CCwI5Ag0CCAIIAggCCAIIAggCCAIIAggCCAIIAggCCAIIAggCCAIIAhACAwJuAh4AAt0CAgIrAgQCBQIGAgcCCAIJAjgCCwI5Ag0CCAIIAggCCAIIAggCCAIIAggCCAIIAggCCAIIAggCCAIIAhACAwJ8Ah4AAt0CAgJBAgQCBQIGAgcCCAIJAj0CCwI5Ag0CCAIIAggCCAIIAggCCAIIAggCCAIIAggCCAIIAggCCAIIAhACAwJWAh4AAt0CAgIlAgQCBQIGAgcCCAIJAj0CCwI5Ag0CCAIIAggCCAIIAggCCAIIAggCCAIIAggCCAIIAggCCAIIAhACAwJaAh4AAt0CAgJqAgQCBQIGAgcCCAIJAjgCCwI5Ag0CCAIIAggCCAIIAggCCAIIAggCCAIIAggCCAIIAggCCAIIAhACAwKGAh4AAt0CAgIhAgQCBQIGAgcCCAIJAgoCCwI5Ag0CCAIIAggCCAIIAggCCAIIAggCCAIIAggCCAIIAggCCAIIAhACAwJ9Ah4AAt0CAgI/AgQCegAABAAFAgYCBwIIAgkCPQILAjkCDQIIAggCCAIIAggCCAIIAggCCAIIAggCCAIIAggCCAIIAggCEAIDAoMCHgAC3QICAh0CBAIFAgYCBwIIAgkCOAILAjkCDQIIAggCCAIIAggCCAIIAggCCAIIAggCCAIIAggCCAIIAggCEAIDAlACHgAC3QICAjMCBAIFAgYCBwIIAgkCPQILAjkCDQIIAggCCAIIAggCCAIIAggCCAIIAggCCAIIAggCCAIIAggCEAIDAmYCHgAC3QICAgMCBAIFAgYCBwIIAgkCPQILAjkCDQIIAggCCAIIAggCCAIIAggCCAIIAggCCAIIAggCCAIIAggCEAIDAkkCHgAC3QICApICBAIFAgYCBwIIAgkCCgILAjkCDQIIAggCCAIIAggCCAIIAggCCAIIAggCCAIIAggCCAIIAggCEAIDApQCHgAC3QICAkoCBAIFAgYCBwIIAgkCOAILAjkCDQIIAggCCAIIAggCCAIIAggCCAIIAggCCAIIAggCCAIIAggCEAIDAksCHgAC3QICAikCBAIFAgYCBwIIAgkCOAILAjkCDQIIAggCCAIIAggCCAIIAggCCAIIAggCCAIIAggCCAIIAggCEAIDAlACHgAC3QICAi0CBAIFAgYCBwIIAgkCOAILAjkCDQIIAggCCAIIAggCCAIIAggCCAIIAggCCAIIAggCCAIIAggCEAIDAlECHgAC3QICApICBAIFAgYCBwIIAgkCPQILAjkCDQIIAggCCAIIAggCCAIIAggCCAIIAggCCAIIAggCCAIIAggCEAIDApYCHgAC3QICAiMCBAIFAgYCBwIIAgkCOAILAjkCDQIIAggCCAIIAggCCAIIAggCCAIIAggCCAIIAggCCAIIAggCEAIDAl8CHgAC3QICAlMCBAIFAgYCBwIIAgkCPQILAjkCDQIIAggCCAIIAggCCAIIAggCCAIIAggCCAIIAggCCAIIAggCEAIDAlQCHgAC3QICAkoCBAIFAgYCBwIIAgkCCgILAjkCDQIIAggCCAIIAggCCAIIAggCCAIIAggCCAIIAggCCAIIAggCEAIDAokCHgAC3QICAkwCBAIFAgYCBwIIAgkCPQILAjkCDQIIAggCCAIIAggCCAIIAggCCAIIAggCCAIIAggCCAIIAggCEAIDAk0CHgAC3QICAjECBAIFAgYCBwIIAgkCCgILAjkCDQIIAggCCAIIAggCCAIIAggCCAIIAggCCAIIAggCCAIIAggCEAIDAk4CHgAC3QICAjMCBAIFAgYCBwIIAgkCCgILAjkCDQIIAggCCAIIAggCCAIIAggCCAIIAggCCAIIAggCCAIIAggCEAIDAk8CegAABAAeAALdAgICRwIEAgUCBgIHAggCCQIKAgsCOQINAggCCAIIAggCCAIIAggCCAIIAggCCAIIAggCCAIIAggCCAIQAgMCUgIeAALdAgICJwIEAgUCBgIHAggCCQI9AgsCOQINAggCCAIIAggCCAIIAggCCAIIAggCCAIIAggCCAIIAggCCAIQAgMChwIeAALdAgICGwIEAgUCBgIHAggCCQIKAgsCOQINAggCCAIIAggCCAIIAggCCAIIAggCCAIIAggCCAIIAggCCAIQAgMClQIeAALdAgICJwIEAgUCBgIHAggCCQIKAgsCOQINAggCCAIIAggCCAIIAggCCAIIAggCCAIIAggCCAIIAggCCAIQAgMCOwIeAALdAgICHQIEAgUCBgIHAggCCQIKAgsCOQINAggCCAIIAggCCAIIAggCCAIIAggCCAIIAggCCAIIAggCCAIQAgMCcQIeAALdAgICIQIEAgUCBgIHAggCCQI4AgsCOQINAggCCAIIAggCCAIIAggCCAIIAggCCAIIAggCCAIIAggCCAIQAgMCOgIeAALdAgICPwIEAgUCBgIHAggCCQIKAgsCOQINAggCCAIIAggCCAIIAggCCAIIAggCCAIIAggCCAIIAggCCAIQAgMCQAIeAALdAgICPAIEAgUCBgIHAggCCQI9AgsCOQINAggCCAIIAggCCAIIAggCCAIIAggCCAIIAggCCAIIAggCCAIQAgMCPgIeAALdAgICGwIEAgUCBgIHAggCCQI4AgsCOQINAggCCAIIAggCCAIIAggCCAIIAggCCAIIAggCCAIIAggCCAIQAgMCUAIeAALdAgICAwIEAgUCBgIHAggCCQIKAgsCOQINAggCCAIIAggCCAIIAggCCAIIAggCCAIIAggCCAIIAggCCAIQAgMCiwIeAALdAgICKQIEAgUCBgIHAggCCQI9AgsCOQINAggCCAIIAggCCAIIAggCCAIIAggCCAIIAggCCAIIAggCCAIQAgMCdAIeAALdAgICNQIEAgUCBgIHAggCCQI9AgsCOQINAggCCAIIAggCCAIIAggCCAIIAggCCAIIAggCCAIIAggCCAIQAgMCVQIeAALdAgICLQIEAgUCBgIHAggCCQI9AgsCOQINAggCCAIIAggCCAIIAggCCAIIAggCCAIIAggCCAIIAggCCAIQAgMCdwIeAALdAgICQwIEAgUCBgIHAggCCQI4AgsCOQINAggCCAIIAggCCAIIAggCCAIIAggCCAIIAggCCAIIAggCCAIQAgMCewIeAALdAgICYwIEAgUCBgIHAggCCQIKAgsCOQINAggCCAIIAggCCAIIAggCCAIIAggCCAIIAggCCAIIegAABAACCAIIAhACAwJzAh4AAt0CAgIjAgQCBQIGAgcCCAIJAgoCCwI5Ag0CCAIIAggCCAIIAggCCAIIAggCCAIIAggCCAIIAggCCAIIAhACAwJyAh4AAt0CAgJHAgQCBQIGAgcCCAIJAj0CCwI5Ag0CCAIIAggCCAIIAggCCAIIAggCCAIIAggCCAIIAggCCAIIAhACAwKIAh4AAt0CAgIxAgQCBQIGAgcCCAIJAj0CCwI5Ag0CCAIIAggCCAIIAggCCAIIAggCCAIIAggCCAIIAggCCAIIAhACAwKNAh4AAt0CAgJMAgQCBQIGAgcCCAIJAgoCCwI5Ag0CCAIIAggCCAIIAggCCAIIAggCCAIIAggCCAIIAggCCAIIAhACAwKKAh4AAt0CAgIvAgQCBQIGAgcCCAIJAjgCCwI5Ag0CCAIIAggCCAIIAggCCAIIAggCCAIIAggCCAIIAggCCAIIAhACAwJsAh4AAt0CAgIfAgQCBQIGAgcCCAIJAj0CCwI5Ag0CCAIIAggCCAIIAggCCAIIAggCCAIIAggCCAIIAggCCAIIAhACAwJGAh4AAt0CAgIzAgQCBQIGAgcCCAIJAjgCCwI5Ag0CCAIIAggCCAIIAggCCAIIAggCCAIIAggCCAIIAggCCAIIAhACAwKBAh4AAt0CAgJhAgQCBQIGAgcCCAIJAjgCCwI5Ag0CCAIIAggCCAIIAggCCAIIAggCCAIIAggCCAIIAggCCAIIAhACAwJvAh4AAt4ACTMzMDU2MDUyMAICAi8CBAIFAgYCBwIIAgkCqgILAgwCDQIIAggCCAIIAggCCAIIAggCCAIIAggCCAIIAggCCAIIAggCEQIDAr0CHgAC3gICAmECBAIFAgYCBwIIAgkCqgILAgwCDQIIAggCCAIIAggCCAIIAggCCAIIAggCCAIIAggCCAIIAggCEQIDAq4CHgAC3gICAmMCBAIFAgYCBwIIAgkCCgILAgwCDQIIAggCCAIIAggCCAIIAggCCAIIAggCCAIIAggCCAIIAggCEQIDAtQCHgAC3gICAh0CBAIFAgYCBwIIAgkCPQILAgwCDQIIAggCCAIIAggCCAIIAggCCAIIAggCCAIIAggCCAIIAggCEQIDAp8CHgAC3gICAiMCBAIFAgYCBwIIAgkCCgILAgwCDQIIAggCCAIIAggCCAIIAggCCAIIAggCCAIIAggCCAIIAggCEQIDAiQCHgAC3gICAkoCBAIFAgYCBwIIAgkCPQILAgwCDQIIAggCCAIIAggCCAIIAggCCAIIAggCCAIIAggCCAIIAggCEQIDAq0CHgAC3gICAmMCBAIFAgYCBwIIAgkCqgILAgwCDQIIAggCCAIIegAABAACCAIIAggCCAIIAggCCAIIAggCCAIIAggCCAIRAgMCqwIeAALeAgICIwIEAgUCBgIHAggCCQKqAgsCDAINAggCCAIIAggCCAIIAggCCAIIAggCCAIIAggCCAIIAggCCAIRAgMCrAIeAALeAgICYQIEAgUCBgIHAggCCQIKAgsCDAINAggCCAIIAggCCAIIAggCCAIIAggCCAIIAggCCAIIAggCCAIRAgMCuwIeAALeAgICLwIEAgUCBgIHAggCCQIKAgsCDAINAggCCAIIAggCCAIIAggCCAIIAggCCAIIAggCCAIIAggCCAIRAgMCMAIeAALeAgICKQIEAgUCBgIHAggCCQI9AgsCDAINAggCCAIIAggCCAIIAggCCAIIAggCCAIIAggCCAIIAggCCAIRAgMCmwIeAALeAgICagIEAgUCBgIHAggCCQI9AgsCDAINAggCCAIIAggCCAIIAggCCAIIAggCCAIIAggCCAIIAggCCAIRAgMC0wIeAALeAgICKwIEAgUCBgIHAggCCQI9AgsCDAINAggCCAIIAggCCAIIAggCCAIIAggCCAIIAggCCAIIAggCCAIRAgMCogIeAALeAgICLQIEAgUCBgIHAggCCQI9AgsCDAINAggCCAIIAggCCAIIAggCCAIIAggCCAIIAggCCAIIAggCCAIRAgMCmgIeAALeAgICSgIEAgUCBgIHAggCCQIKAgsCDAINAggCCAIIAggCCAIIAggCCAIIAggCCAIIAggCCAIIAggCCAIRAgMCtAIeAALeAgICTAIEAgUCBgIHAggCCQKqAgsCDAINAggCCAIIAggCCAIIAggCCAIIAggCCAIIAggCCAIIAggCCAIRAgMC0QIeAALeAgICPwIEAgUCBgIHAggCCQKqAgsCDAINAggCCAIIAggCCAIIAggCCAIIAggCCAIIAggCCAIIAggCCAIRAgMC0gIeAALeAgICJwIEAgUCBgIHAggCCQKqAgsCDAINAggCCAIIAggCCAIIAggCCAIIAggCCAIIAggCCAIIAggCCAIRAgMCUAIeAALeAgICAwIEAgUCBgIHAggCCQKqAgsCDAINAggCCAIIAggCCAIIAggCCAIIAggCCAIIAggCCAIIAggCCAIRAgMC0AIeAALeAgICTAIEAgUCBgIHAggCCQIKAgsCDAINAggCCAIIAggCCAIIAggCCAIIAggCCAIIAggCCAIIAggCCAIRAgMCyAIeAALeAgICYwIEAgUCBgIHAggCCQI9AgsCDAINAggCCAIIAggCCAIIAggCCAIIAggCCAIIAggCCAIIAggCCAIRAgMCuAIeAALeAgICHQIEAgUCBgIHAggCCQKqAgsCegAABAAMAg0CCAIIAggCCAIIAggCCAIIAggCCAIIAggCCAIIAggCCAIIAhECAwJQAh4AAt4CAgIdAgQCBQIGAgcCCAIJAgoCCwIMAg0CCAIIAggCCAIIAggCCAIIAggCCAIIAggCCAIIAggCCAIIAhECAwIeAh4AAt4CAgIjAgQCBQIGAgcCCAIJAj0CCwIMAg0CCAIIAggCCAIIAggCCAIIAggCCAIIAggCCAIIAggCCAIIAhECAwKYAh4AAt4CAgJDAgQCBQIGAgcCCAIJAgoCCwIMAg0CCAIIAggCCAIIAggCCAIIAggCCAIIAggCCAIIAggCCAIIAhECAwK2Ah4AAt4CAgIhAgQCBQIGAgcCCAIJAgoCCwIMAg0CCAIIAggCCAIIAggCCAIIAggCCAIIAggCCAIIAggCCAIIAhECAwIiAh4AAt4CAgJKAgQCBQIGAgcCCAIJAqoCCwIMAg0CCAIIAggCCAIIAggCCAIIAggCCAIIAggCCAIIAggCCAIIAhECAwK1Ah4AAt4CAgIDAgQCBQIGAgcCCAIJAgoCCwIMAg0CCAIIAggCCAIIAggCCAIIAggCCAIIAggCCAIIAggCCAIIAhECAwIOAh4AAt4CAgKSAgQCBQIGAgcCCAIJAj0CCwIMAg0CCAIIAggCCAIIAggCCAIIAggCCAIIAggCCAIIAggCCAIIAhECAwLaAh4AAt4CAgJDAgQCBQIGAgcCCAIJAqoCCwIMAg0CCAIIAggCCAIIAggCCAIIAggCCAIIAggCCAIIAggCCAIIAhECAwKzAh4AAt4CAgJHAgQCBQIGAgcCCAIJAj0CCwIMAg0CCAIIAggCCAIIAggCCAIIAggCCAIIAggCCAIIAggCCAIIAhECAwLPAh4AAt4CAgIxAgQCBQIGAgcCCAIJAj0CCwIMAg0CCAIIAggCCAIIAggCCAIIAggCCAIIAggCCAIIAggCCAIIAhECAwKcAh4AAt4CAgIxAgQCBQIGAgcCCAIJAgoCCwIMAg0CCAIIAggCCAIIAggCCAIIAggCCAIIAggCCAIIAggCCAIIAhECAwIyAh4AAt4CAgJMAgQCBQIGAgcCCAIJAj0CCwIMAg0CCAIIAggCCAIIAggCCAIIAggCCAIIAggCCAIIAggCCAIIAhECAwK+Ah4AAt4CAgJHAgQCBQIGAgcCCAIJAgoCCwIMAg0CCAIIAggCCAIIAggCCAIIAggCCAIIAggCCAIIAggCCAIIAhECAwLHAh4AAt4CAgIbAgQCBQIGAgcCCAIJAqoCCwIMAg0CCAIIAggCCAIIAggCCAIIAggCCAIIAggCCAIIAggCCAIIAhECAwJQAh4AAt4CAgIhAgQCBQIGegAABAACBwIIAgkCqgILAgwCDQIIAggCCAIIAggCCAIIAggCCAIIAggCCAIIAggCCAIIAggCEQIDAswCHgAC3gICAkcCBAIFAgYCBwIIAgkCqgILAgwCDQIIAggCCAIIAggCCAIIAggCCAIIAggCCAIIAggCCAIIAggCEQIDAskCHgAC3gICAj8CBAIFAgYCBwIIAgkCPQILAgwCDQIIAggCCAIIAggCCAIIAggCCAIIAggCCAIIAggCCAIIAggCEQIDAssCHgAC3gICAicCBAIFAgYCBwIIAgkCPQILAgwCDQIIAggCCAIIAggCCAIIAggCCAIIAggCCAIIAggCCAIIAggCEQIDAqACHgAC3gICAhsCBAIFAgYCBwIIAgkCCgILAgwCDQIIAggCCAIIAggCCAIIAggCCAIIAggCCAIIAggCCAIIAggCEQIDAhwCHgAC3gICAiUCBAIFAgYCBwIIAgkCPQILAgwCDQIIAggCCAIIAggCCAIIAggCCAIIAggCCAIIAggCCAIIAggCEQIDAqQCHgAC3gICAh8CBAIFAgYCBwIIAgkCPQILAgwCDQIIAggCCAIIAggCCAIIAggCCAIIAggCCAIIAggCCAIIAggCEQIDAqYCHgAC3gICAjwCBAIFAgYCBwIIAgkCPQILAgwCDQIIAggCCAIIAggCCAIIAggCCAIIAggCCAIIAggCCAIIAggCEQIDAsUCHgAC3gICAicCBAIFAgYCBwIIAgkCCgILAgwCDQIIAggCCAIIAggCCAIIAggCCAIIAggCCAIIAggCCAIIAggCEQIDAigCHgAC3gICAkECBAIFAgYCBwIIAgkCCgILAgwCDQIIAggCCAIIAggCCAIIAggCCAIIAggCCAIIAggCCAIIAggCEQIDAsICHgAC3gICAkECBAIFAgYCBwIIAgkCqgILAgwCDQIIAggCCAIIAggCCAIIAggCCAIIAggCCAIIAggCCAIIAggCEQIDAsECHgAC3gICAiUCBAIFAgYCBwIIAgkCCgILAgwCDQIIAggCCAIIAggCCAIIAggCCAIIAggCCAIIAggCCAIIAggCEQIDAiYCHgAC3gICAj8CBAIFAgYCBwIIAgkCCgILAgwCDQIIAggCCAIIAggCCAIIAggCCAIIAggCCAIIAggCCAIIAggCEQIDAtUCHgAC3gICAiUCBAIFAgYCBwIIAgkCqgILAgwCDQIIAggCCAIIAggCCAIIAggCCAIIAggCCAIIAggCCAIIAggCEQIDAsACHgAC3gICAjMCBAIFAgYCBwIIAgkCqgILAgwCDQIIAggCCAIIAggCCAIIAggCCAIIAggCCAIIAggCCAIIAggCEQIDAsMCHgACegAABADeAgICUwIEAgUCBgIHAggCCQI9AgsCDAINAggCCAIIAggCCAIIAggCCAIIAggCCAIIAggCCAIIAggCCAIRAgMCxAIeAALeAgICNQIEAgUCBgIHAggCCQI9AgsCDAINAggCCAIIAggCCAIIAggCCAIIAggCCAIIAggCCAIIAggCCAIRAgMCngIeAALeAgICMQIEAgUCBgIHAggCCQKqAgsCDAINAggCCAIIAggCCAIIAggCCAIIAggCCAIIAggCCAIIAggCCAIRAgMCxgIeAALeAgICkgIEAgUCBgIHAggCCQKqAgsCDAINAggCCAIIAggCCAIIAggCCAIIAggCCAIIAggCCAIIAggCCAIRAgMCUAIeAALeAgICMwIEAgUCBgIHAggCCQIKAgsCDAINAggCCAIIAggCCAIIAggCCAIIAggCCAIIAggCCAIIAggCCAIRAgMCNAIeAALeAgICAwIEAgUCBgIHAggCCQI9AgsCDAINAggCCAIIAggCCAIIAggCCAIIAggCCAIIAggCCAIIAggCCAIRAgMCnQIeAALeAgICkgIEAgUCBgIHAggCCQIKAgsCDAINAggCCAIIAggCCAIIAggCCAIIAggCCAIIAggCCAIIAggCCAIRAgMC2wIeAALeAgICUwIEAgUCBgIHAggCCQIKAgsCDAINAggCCAIIAggCCAIIAggCCAIIAggCCAIIAggCCAIIAggCCAIRAgMCugIeAALeAgICNQIEAgUCBgIHAggCCQIKAgsCDAINAggCCAIIAggCCAIIAggCCAIIAggCCAIIAggCCAIIAggCCAIRAgMCNgIeAALeAgICYQIEAgUCBgIHAggCCQI9AgsCDAINAggCCAIIAggCCAIIAggCCAIIAggCCAIIAggCCAIIAggCCAIRAgMCygIeAALeAgICLQIEAgUCBgIHAggCCQIKAgsCDAINAggCCAIIAggCCAIIAggCCAIIAggCCAIIAggCCAIIAggCCAIRAgMCLgIeAALeAgICKwIEAgUCBgIHAggCCQKqAgsCDAINAggCCAIIAggCCAIIAggCCAIIAggCCAIIAggCCAIIAggCCAIRAgMCsQIeAALeAgICGwIEAgUCBgIHAggCCQI9AgsCDAINAggCCAIIAggCCAIIAggCCAIIAggCCAIIAggCCAIIAggCCAIRAgMCowIeAALeAgICHwIEAgUCBgIHAggCCQIKAgsCDAINAggCCAIIAggCCAIIAggCCAIIAggCCAIIAggCCAIIAggCCAIRAgMCIAIeAALeAgICQwIEAgUCBgIHAggCCQI9AgsCDAINAggCCAIIAggCCAIIAggCCAIIAggCCAIIAggCCAIIAggCegAABAAIAhECAwK/Ah4AAt4CAgJTAgQCBQIGAgcCCAIJAqoCCwIMAg0CCAIIAggCCAIIAggCCAIIAggCCAIIAggCCAIIAggCCAIIAhECAwK8Ah4AAt4CAgJqAgQCBQIGAgcCCAIJAqoCCwIMAg0CCAIIAggCCAIIAggCCAIIAggCCAIIAggCCAIIAggCCAIIAhECAwKwAh4AAt4CAgIhAgQCBQIGAgcCCAIJAj0CCwIMAg0CCAIIAggCCAIIAggCCAIIAggCCAIIAggCCAIIAggCCAIIAhECAwKlAh4AAt4CAgI8AgQCBQIGAgcCCAIJAqoCCwIMAg0CCAIIAggCCAIIAggCCAIIAggCCAIIAggCCAIIAggCCAIIAhECAwK3Ah4AAt4CAgIfAgQCBQIGAgcCCAIJAqoCCwIMAg0CCAIIAggCCAIIAggCCAIIAggCCAIIAggCCAIIAggCCAIIAhECAwKyAh4AAt4CAgIrAgQCBQIGAgcCCAIJAgoCCwIMAg0CCAIIAggCCAIIAggCCAIIAggCCAIIAggCCAIIAggCCAIIAhECAwIsAh4AAt4CAgJBAgQCBQIGAgcCCAIJAj0CCwIMAg0CCAIIAggCCAIIAggCCAIIAggCCAIIAggCCAIIAggCCAIIAhECAwLNAh4AAt4CAgItAgQCBQIGAgcCCAIJAqoCCwIMAg0CCAIIAggCCAIIAggCCAIIAggCCAIIAggCCAIIAggCCAIIAhECAwK5Ah4AAt4CAgJqAgQCBQIGAgcCCAIJAgoCCwIMAg0CCAIIAggCCAIIAggCCAIIAggCCAIIAggCCAIIAggCCAIIAhECAwKvAh4AAt4CAgI1AgQCBQIGAgcCCAIJAqoCCwIMAg0CCAIIAggCCAIIAggCCAIIAggCCAIIAggCCAIIAggCCAIIAhECAwJQAh4AAt4CAgI8AgQCBQIGAgcCCAIJAgoCCwIMAg0CCAIIAggCCAIIAggCCAIIAggCCAIIAggCCAIIAggCCAIIAhECAwLOAh4AAt4CAgIzAgQCBQIGAgcCCAIJAj0CCwIMAg0CCAIIAggCCAIIAggCCAIIAggCCAIIAggCCAIIAggCCAIIAhECAwKZAh4AAt4CAgIpAgQCBQIGAgcCCAIJAqoCCwIMAg0CCAIIAggCCAIIAggCCAIIAggCCAIIAggCCAIIAggCCAIIAhECAwJQAh4AAt4CAgIpAgQCBQIGAgcCCAIJAgoCCwIMAg0CCAIIAggCCAIIAggCCAIIAggCCAIIAggCCAIIAggCCAIIAhECAwIqAh4AAt4CAgIvAgQCBQIGAgcCCAIJAj0CCwIMAg0CCAIIAggCCAIIAggCCAIIAggCCAIIdxICCAIIAggCCAIIAggCEQIDAqE=]]></xxe4awand>
</file>

<file path=customXml/item1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2BCD095027324CAE9E5703D430B589" ma:contentTypeVersion="104" ma:contentTypeDescription="" ma:contentTypeScope="" ma:versionID="9f0d0700f2f050768a889fad1b856c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SignificantOrder xmlns="dc463f71-b30c-4ab2-9473-d307f9d35888">false</SignificantOrder>
    <Date1 xmlns="dc463f71-b30c-4ab2-9473-d307f9d35888">2018-07-17T07:00:00+00:00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170932</DocketNumber>
    <DelegatedOrder xmlns="dc463f71-b30c-4ab2-9473-d307f9d35888">false</DelegatedOrder>
  </documentManagement>
</p:properties>
</file>

<file path=customXml/item18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xxe4awand xmlns="http://www.excel4apps.com"><![CDATA[rO0ABXfZCMCtii8CJgKZAh4AAERjb20uZXhjZWw0YXBwcy53YW5kLm9yYWNsZS5n
bHdhbmQuY2FsY3VsYXRpb25zLmdldGJhbGFuY2UuR2V0QmFsYW5jZQIBAAk1MjE3
OTc5MjgCAgABMAIDAAYyMDE2MTACBAADWVREAgUAA1VTRAIGAAVUb3RhbAIHAAFB
AggAAAIJAAMwMDECCgAGMTkxMDEwAgsAAkdEAgwAAklEAg0AAkRMAggCCAIIAggC
CAIIAggCCAIIAggCCAIIAggCCAIIAggCCAIT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NJhHI3h4d00CHgACAQICAhsABjIwMTcxMQIEAgUCBgIHAggCCQIKAgsCDAIN
AggCCAIIAggCCAIIAggCCAIIAggCCAIIAggCCAIIAggCCAITAgMCHHNxAH4AAAAA
AAJzcQB+AAT///////////////7////+/////3VxAH4ABwAAAAQcI3yQeHh3VQIeAAIBAgICHQAGMjAxNjAzAgQCBQIGAgcCCAIJAh4ABjE5MTAxNQILAgwCDQIIAggCCAIIAggCCAIIAggCCAIIAggCCAIIAggCCAIIAggCEwIDAh9zcQB+AAAAAAACc3EAfgAE///////////////+/////v////91cQB+AAcAAAADElupeHh3VQIeAAIBAgICIAAGMjAxNjA1AgQCBQIGAgcCCAIJAiEABjE5MTAwMAILAgwCDQIIAggCCAIIAggCCAIIAggCCAIIAggCCAIIAggCCAIIAggCEwIDAiJzcQB+AAAAAAACc3EAfgAE///////////////+/////v////91cQB+AAcAAAAEAc1Kd3h4d00CHgACAQICAiMABjIwMTgwNQIEAgUCBgIHAggCCQIeAgsCDAINAggCCAIIAggCCAIIAggCCAIIAggCCAIIAggCCAIIAggCCAITAgMCJHNxAH4AAAAAAAJzcQB+AAT///////////////7////+AAAAAHVxAH4ABwAAAAB4eHdFAh4AAgECAgIjAgQCBQIGAgcCCAIJAgoCCwIMAg0CCAIIAggCCAIIAggCCAIIAggCCAIIAggCCAIIAggCCAIIAhMCAwIlc3EAfgAAAAAAAnNxAH4ABP///////////////v////7/////dXEAfgAHAAAABC/+xlx4eHdNAh4AAgECAgImAAYyMDE3MDYCBAIFAgYCBwIIAgkCIQILAgwCDQIIAggCCAIIAggCCAIIAggCCAIIAggCCAIIAggCCAIIAggCEwIDAidzcQB+AAAAAAACc3EAfgAE///////////////+/////v////91cQB+AAcAAAAEAW1K0nh4d00CHgACAQICAigABjIwMTYwNAIEAgUCBgIHAggCCQIKAgsCDAINAggCCAIIAggCCAIIAggCCAIIAggCCAIIAggCCAIIAggCCAITAgMCKXNxAH4AAAAAAAJzcQB+AAT///////////////7////+/////3VxAH4ABwAAAAQjxnj9eHh3TQIeAAIBAgICKgAGMjAxNzA1AgQCBQIGAgcCCAIJAgoCCwIMAg0CCAIIAggCCAIIAggCCAIIAggCCAIIAggCCAIIAggCCAIIAhMCAwIrc3EAfgAAAAAAAnNxAH4ABP///////////////v////7/////dXEAfgAHAAAABComTwt4eHdNAh4AAgECAgIsAAYyMDE2MTECBAIFAgYCBwIIAgkCIQILAgwCDQIIAggCCAIIAggCCAIIAggCCAIIAggCCAIIAggCCAIIAggCEwIDAi1zcQB+AAAAAAACc3EAfgAE///////////////+/////v////91cQB+AAcAAAAEJZDR+3h4d00CHgACAQICAi4ABjIwMTYwNgIEAgUCBgIHAggCCQIhAgsCDAINAggCCAIIAggCCAIIAggCCAIIAggCCAIIAggCCAIIAggCCAITAgMCL3NxAH4AAAAAAAJzcQB+AAT///////////////7////+/////3VxAH4ABwAAAAQBZMryeHh3TQIeAAIBAgICMAAGMjAxNzEwAgQCBQIGAgcCCAIJAgoCCwIMAg0CCAIIAggCCAIIAggCCAIIAggCCAIIAggCCAIIAggCCAIIAhMCAwIxc3EAfgAAAAAAAnNxAH4ABP///////////////v////7/////dXEAfgAHAAAABENETeB4eHdFAh4AAgECAgIwAgQCBQIGAgcCCAIJAh4CCwIMAg0CCAIIAggCCAIIAggCCAIIAggCCAIIAggCCAIIAggCCAIIAhMCAwIyc3EAfgAAAAAAAnNxAH4ABP///////////////v////7/////dXEAfgAHAAAAAxKmonh4d00CHgACAQICAjMABjIwMTcwMwIEAgUCBgIHAggCCQIeAgsCDAINAggCCAIIAggCCAIIAggCCAIIAggCCAIIAggCCAIIAggCCAITAgMCNHNxAH4AAAAAAAJzcQB+AAT///////////////7////+/////3VxAH4ABwAAAAMSit94eHdNAh4AAgECAgI1AAYyMDE3MTICBAIFAgYCBwIIAgkCCgILAgwCDQIIAggCCAIIAggCCAIIAggCCAIIAggCCAIIAggCCAIIAggCEwIDAjZzcQB+AAAAAAACc3EAfgAE///////////////+/////v////91cQB+AAcAAAAEJDRt9Hh4d0UCHgACAQICAioCBAIFAgYCBwIIAgkCHgILAgwCDQIIAggCCAIIAggCCAIIAggCCAIIAggCCAIIAggCCAIIAggCEwIDAjdzcQB+AAAAAAACc3EAfgAE///////////////+/////v////91cQB+AAcAAAADEpLKeHh3mgIeAAIBAgICOAAGMjAxODA2AgQCBQIGAgcCCAIJAh4CCwIMAg0CCAIIAggCCAIIAggCCAIIAggCCAIIAggCCAIIAggCCAIIAhMCAwIkAh4AAgECAgI5AAYyMDE3MDcCBAIFAgYCBwIIAgkCIQILAgwCDQIIAggCCAIIAggCCAIIAggCCAIIAggCCAIIAggCCAIIAggCEwIDAjpzcQB+AAAAAAACc3EAfgAE///////////////+/////v////91cQB+AAcAAAADTrgKeHh3igIeAAIBAgICOAIEAgUCBgIHAggCCQIKAgsCDAINAggCCAIIAggCCAIIAggCCAIIAggCCAIIAggCCAIIAggCCAITAgMCJQIeAAIBAgICGwIEAgUCBgIHAggCCQIhAgsCDAINAggCCAIIAggCCAIIAggCCAIIAggCCAIIAggCCAIIAggCCAITAgMCO3NxAH4AAAAAAAJzcQB+AAT///////////////7////+/////3VxAH4ABwAAAAQewHRseHh3RQIeAAIBAgICAwIEAgUCBgIHAggCCQIhAgsCDAINAggCCAIIAggCCAIIAggCCAIIAggCCAIIAggCCAIIAggCCAITAgMCPHNxAH4AAAAAAAJzcQB+AAT///////////////7////+AAAAAXVxAH4ABwAAAAO5cnx4eHdFAh4AAgECAgImAgQCBQIGAgcCCAIJAgoCCwIMAg0CCAIIAggCCAIIAggCCAIIAggCCAIIAggCCAIIAggCCAIIAhMCAwI9c3EAfgAAAAAAAnNxAH4ABP///////////////v////7/////dXEAfgAHAAAABCoLRiF4eHdNAh4AAgECAgI+AAYyMDE2MDcCBAIFAgYCBwIIAgkCIQILAgwCDQIIAggCCAIIAggCCAIIAggCCAIIAggCCAIIAggCCAIIAggCEwIDAj9zcQB+AAAAAAACc3EAfgAE///////////////+/////v////91cQB+AAcAAAAEAQaUYHh4d00CHgACAQICAkAABjIwMTYxMgIEAgUCBgIHAggCCQIKAgsCDAINAggCCAIIAggCCAIIAggCCAIIAggCCAIIAggCCAIIAggCCAITAgMCQXNxAH4AAAAAAAJzcQB+AAT///////////////7////+/////3VxAH4ABwAAAAQVrLWfeHh3RQIeAAIBAgICIAIEAgUCBgIHAggCCQIKAgsCDAINAggCCAIIAggCCAIIAggCCAIIAggCCAIIAggCCAIIAggCCAITAgMCQnNxAH4AAAAAAAJzcQB+AAT///////////////7////+/////3VxAH4ABwAAAAQmLzLCeHh3RQIeAAIBAgICJgIEAgUCBgIHAggCCQIeAgsCDAINAggCCAIIAggCCAIIAggCCAIIAggCCAIIAggCCAIIAggCCAITAgMCQ3NxAH4AAAAAAAJzcQB+AAT///////////////7////+/////3VxAH4ABwAAAAMSlsB4eHdFAh4AAgECAgIjAgQCBQIGAgcCCAIJAiECCwIMAg0CCAIIAggCCAIIAggCCAIIAggCCAIIAggCCAIIAggCCAIIAhMCAwJEc3EAfgAAAAAAAnNxAH4ABP///////////////v////4AAAABdXEAfgAHAAAAAzaltnh4d0UCHgACAQICAh0CBAIFAgYCBwIIAgkCIQILAgwCDQIIAggCCAIIAggCCAIIAggCCAIIAggCCAIIAggCCAIIAggCEwIDAkVzcQB+AAAAAAACc3EAfgAE///////////////+/////v////91cQB+AAcAAAAEAvtLi3h4d00CHgACAQICAkYABjIwMTcwOQIEAgUCBgIHAggCCQIhAgsCDAINAggCCAIIAggCCAIIAggCCAIIAggCCAIIAggCCAIIAggCCAITAgMCR3NxAH4AAAAAAAJzcQB+AAT///////////////7////+AAAAAXVxAH4ABwAAAAQCWhLSeHh3TQIeAAIBAgICSAAGMjAxNzA0AgQCBQIGAgcCCAIJAiECCwIMAg0CCAIIAggCCAIIAggCCAIIAggCCAIIAggCCAIIAggCCAIIAhMCAwJJc3EAfgAAAAAAAnNxAH4ABP///////////////v////7/////dXEAfgAHAAAABAUEo0F4eHdNAh4AAgECAgJKAAYyMDE2MDgCBAIFAgYCBwIIAgkCIQILAgwCDQIIAggCCAIIAggCCAIIAggCCAIIAggCCAIIAggCCAIIAggCEwIDAktzcQB+AAAAAAACc3EAfgAE///////////////+/////v////91cQB+AAcAAAADnrKqeHh3RQIeAAIBAgICMwIEAgUCBgIHAggCCQIKAgsCDAINAggCCAIIAggCCAIIAggCCAIIAggCCAIIAggCCAIIAggCCAITAgMCTHNxAH4AAAAAAAJzcQB+AAT///////////////7////+/////3VxAH4ABwAAAAQmeB9xeHh3RQIeAAIBAgICKAIEAgUCBgIHAggCCQIeAgsCDAINAggCCAIIAggCCAIIAggCCAIIAggCCAIIAggCCAIIAggCCAITAgMCTXNxAH4AAAAAAAJzcQB+AAT///////////////7////+/////3VxAH4ABwAAAAMSX5R4eHdNAh4AAgECAgJOAAYyMDE3MDgCBAIFAgYCBwIIAgkCCgILAgwCDQIIAggCCAIIAggCCAIIAggCCAIIAggCCAIIAggCCAIIAggCEwIDAk9zcQB+AAAAAAACc3EAfgAE///////////////+/////v////91cQB+AAcAAAAENDlU6Hh4d0UCHgACAQICAjUCBAIFAgYCBwIIAgkCIQILAgwCDQIIAggCCAIIAggCCAIIAggCCAIIAggCCAIIAggCCAIIAggCEwIDAlBzcQB+AAAAAAACc3EAfgAE///////////////+/////v////91cQB+AAcAAAAEFreoonh4d0UCHgACAQICAj4CBAIFAgYCBwIIAgkCHgILAgwCDQIIAggCCAIIAggCCAIIAggCCAIIAggCCAIIAggCCAIIAggCEwIDAlFzcQB+AAAAAAACc3EAfgAE///////////////+/////v////91cQB+AAcAAAADEmtYeHh3RQIeAAIBAgICAwIEAgUCBgIHAggCCQIeAgsCDAINAggCCAIIAggCCAIIAggCCAIIAggCCAIIAggCCAIIAggCCAITAgMCUnNxAH4AAAAAAAJzcQB+AAT///////////////7////+/////3VxAH4ABwAAAAMSdyV4eHdFAh4AAgECAgJOAgQCBQIGAgcCCAIJAh4CCwIMAg0CCAIIAggCCAIIAggCCAIIAggCCAIIAggCCAIIAggCCAIIAhMCAwJTc3EAfgAAAAAAAnNxAH4ABP///////////////v////7/////dXEAfgAHAAAAAxKer3h4d4oCHgACAQICAhsCBAIFAgYCBwIIAgkCHgILAgwCDQIIAggCCAIIAggCCAIIAggCCAIIAggCCAIIAggCCAIIAggCEwIDAiQCHgACAQICAj4CBAIFAgYCBwIIAgkCCgILAgwCDQIIAggCCAIIAggCCAIIAggCCAIIAggCCAIIAggCCAIIAggCEwIDAlRzcQB+AAAAAAACc3EAfgAE///////////////+/////v////91cQB+AAcAAAAELv3gknh4d0UCHgACAQICAkYCBAIFAgYCBwIIAgkCCgILAgwCDQIIAggCCAIIAggCCAIIAggCCAIIAggCCAIIAggCCAIIAggCEwIDAlVzcQB+AAAAAAACc3EAfgAE///////////////+/////v////91cQB+AAcAAAAEOUUu/nh4d0UCHgACAQICAkoCBAIFAgYCBwIIAgkCCgILAgwCDQIIAggCCAIIAggCCAIIAggCCAIIAggCCAIIAggCCAIIAggCEwIDAlZzcQB+AAAAAAACc3EAfgAE///////////////+/////v////91cQB+AAcAAAAEMe+1GXh4d0UCHgACAQICAkoCBAIFAgYCBwIIAgkCHgILAgwCDQIIAggCCAIIAggCCAIIAggCCAIIAggCCAIIAggCCAIIAggCEwIDAldzcQB+AAAAAAACc3EAfgAE///////////////+/////v////91cQB+AAcAAAADEm9GeHh3RQIeAAIBAgICRgIEAgUCBgIHAggCCQIeAgsCDAINAggCCAIIAggCCAIIAggCCAIIAggCCAIIAggCCAIIAggCCAITAgMCWHNxAH4AAAAAAAJzcQB+AAT///////////////7////+/////3VxAH4ABwAAAAMSoqh4eHdFAh4AAgECAgIzAgQCBQIGAgcCCAIJAiECCwIMAg0CCAIIAggCCAIIAggCCAIIAggCCAIIAggCCAIIAggCCAIIAhMCAwJZc3EAfgAAAAAAAnNxAH4ABP///////////////v////7/////dXEAfgAHAAAABAi9SCF4eHdNAh4AAgECAgJaAAYyMDE2MDkCBAIFAgYCBwIIAgkCHgILAgwCDQIIAggCCAIIAggCCAIIAggCCAIIAggCCAIIAggCCAIIAggCEwIDAltzcQB+AAAAAAACc3EAfgAE///////////////+/////v////91cQB+AAcAAAADEnM1eHh3RQIeAAIBAgICQAIEAgUCBgIHAggCCQIeAgsCDAINAggCCAIIAggCCAIIAggCCAIIAggCCAIIAggCCAIIAggCCAITAgMCXHNxAH4AAAAAAAJzcQB+AAT///////////////7////+/////3VxAH4ABwAAAAMSfwZ4eHdFAh4AAgECAgJaAgQCBQIGAgcCCAIJAgoCCwIMAg0CCAIIAggCCAIIAggCCAIIAggCCAIIAggCCAIIAggCCAIIAhMCAwJdc3EAfgAAAAAAAnNxAH4ABP///////////////v////7/////dXEAfgAHAAAABDO8lpJ4eHdFAh4AAgECAgIgAgQCBQIGAgcCCAIJAh4CCwIMAg0CCAIIAggCCAIIAggCCAIIAggCCAIIAggCCAIIAggCCAIIAhMCAwJec3EAfgAAAAAAAnNxAH4ABP///////////////v////7/////dXEAfgAHAAAAAxJjf3h4d0UCHgACAQICAjACBAIFAgYCBwIIAgkCIQILAgwCDQIIAggCCAIIAggCCAIIAggCCAIIAggCCAIIAggCCAIIAggCEwIDAl9zcQB+AAAAAAACc3EAfgAE///////////////+/////gAAAAF1cQB+AAcAAAAEBhtaanh4d0UCHgACAQICAk4CBAIFAgYCBwIIAgkCIQILAgwCDQIIAggCCAIIAggCCAIIAggCCAIIAggCCAIIAggCCAIIAggCEwIDAmBzcQB+AAAAAAACc3EAfgAE///////////////+/////gAAAAF1cQB+AAcAAAAD/4leeHh3igIeAAIBAgICNQIEAgUCBgIHAggCCQIeAgsCDAINAggCCAIIAggCCAIIAggCCAIIAggCCAIIAggCCAIIAggCCAITAgMCJAIeAAIBAgICLAIEAgUCBgIHAggCCQIeAgsCDAINAggCCAIIAggCCAIIAggCCAIIAggCCAIIAggCCAIIAggCCAITAgMCYXNxAH4AAAAAAAJzcQB+AAT///////////////7////+/////3VxAH4ABwAAAAMSexV4eHdFAh4AAgECAgIuAgQCBQIGAgcCCAIJAh4CCwIMAg0CCAIIAggCCAIIAggCCAIIAggCCAIIAggCCAIIAggCCAIIAhMCAwJic3EAfgAAAAAAAnNxAH4ABP///////////////v////7/////dXEAfgAHAAAAAxJna3h4d0UCHgACAQICAjkCBAIFAgYCBwIIAgkCCgILAgwCDQIIAggCCAIIAggCCAIIAggCCAIIAggCCAIIAggCCAIIAggCEwIDAmNzcQB+AAAAAAACc3EAfgAE///////////////+/////v////91cQB+AAcAAAAELpGFK3h4d0UCHgACAQICAi4CBAIFAgYCBwIIAgkCCgILAgwCDQIIAggCCAIIAggCCAIIAggCCAIIAggCCAIIAggCCAIIAggCEwIDAmRzcQB+AAAAAAACc3EAfgAE///////////////+/////v////91cQB+AAcAAAAEKxALUXh4d0UCHgACAQICAjkCBAIFAgYCBwIIAgkCHgILAgwCDQIIAggCCAIIAggCCAIIAggCCAIIAggCCAIIAggCCAIIAggCEwIDAmVzcQB+AAAAAAACc3EAfgAE///////////////+/////v////91cQB+AAcAAAADEpq3eHh3RQIeAAIBAgICLAIEAgUCBgIHAggCCQIKAgsCDAINAggCCAIIAggCCAIIAggCCAIIAggCCAIIAggCCAIIAggCCAITAgMCZnNxAH4AAAAAAAJzcQB+AAT///////////////7////+/////3VxAH4ABwAAAAQL0RJ0eHh3RQIeAAIBAgICKAIEAgUCBgIHAggCCQIhAgsCDAINAggCCAIIAggCCAIIAggCCAIIAggCCAIIAggCCAIIAggCCAITAgMCZ3NxAH4AAAAAAAJzcQB+AAT///////////////7////+/////3VxAH4ABwAAAAQCUB7peHh3igIeAAIBAgICOAIEAgUCBgIHAggCCQIhAgsCDAINAggCCAIIAggCCAIIAggCCAIIAggCCAIIAggCCAIIAggCCAITAgMCRAIeAAIBAgICKgIEAgUCBgIHAggCCQIhAgsCDAINAggCCAIIAggCCAIIAggCCAIIAggCCAIIAggCCAIIAggCCAITAgMCaHNxAH4AAAAAAAJzcQB+AAT///////////////7////+/////3VxAH4ABwAAAAQC12dUeHh3RQIeAAIBAgICSAIEAgUCBgIHAggCCQIKAgsCDAINAggCCAIIAggCCAIIAggCCAIIAggCCAIIAggCCAIIAggCCAITAgMCaXNxAH4AAAAAAAJzcQB+AAT///////////////7////+/////3VxAH4ABwAAAAQp4OUTeHh3RQIeAAIBAgICWgIEAgUCBgIHAggCCQIhAgsCDAINAggCCAIIAggCCAIIAggCCAIIAggCCAIIAggCCAIIAggCCAITAgMCanNxAH4AAAAAAAJzcQB+AAT///////////////7////+/////3VxAH4ABwAAAAMy9xF4eHdFAh4AAgECAgJAAgQCBQIGAgcCCAIJAiECCwIMAg0CCAIIAggCCAIIAggCCAIIAggCCAIIAggCCAIIAggCCAIIAhMCAwJrc3EAfgAAAAAAAnNxAH4ABP///////////////v////7/////dXEAfgAHAAAABB0QqXR4eHdFAh4AAgECAgJIAgQCBQIGAgcCCAIJAh4CCwIMAg0CCAIIAggCCAIIAggCCAIIAggCCAIIAggCCAIIAggCCAIIAhMCAwJsc3EAfgAAAAAAAnNxAH4ABP///////////////v////7/////dXEAfgAHAAAAAxKO1Hh4d0UCHgACAQICAh0CBAIFAgYCBwIIAgkCCgILAgwCDQIIAggCCAIIAggCCAIIAggCCAIIAggCCAIIAggCCAIIAggCEwIDAm1zcQB+AAAAAAACc3EAfgAE///////////////+/////v////91cQB+AAcAAAAEHq4JT3h4d1QCHgACbgAJNTIxNzk2NzY4AgICLAIEAgUCBgIHAggCCQIKAgsCbwACV0ECDQIIAggCCAIIAggCCAIIAggCCAIIAggCCAIIAggCCAIIAggCEgIDAnBzcQB+AAAAAAACc3EAfgAE///////////////+/////v////91cQB+AAcAAAAEElQVqnh4d0UCHgACbgICAiACBAIFAgYCBwIIAgkCCgILAm8CDQIIAggCCAIIAggCCAIIAggCCAIIAggCCAIIAggCCAIIAggCEgIDAnFzcQB+AAAAAAACc3EAfgAE///////////////+/////v////91cQB+AAcAAAAETCsLgHh4d0UCHgACbgICAiYCBAIFAgYCBwIIAgkCCgILAm8CDQIIAggCCAIIAggCCAIIAggCCAIIAggCCAIIAggCCAIIAggCEgIDAnJzcQB+AAAAAAACc3EAfgAE///////////////+/////v////91cQB+AAcAAAAEWAsHLHh4d0UCHgACbgICAjUCBAIFAgYCBwIIAgkCCgILAm8CDQIIAggCCAIIAggCCAIIAggCCAIIAggCCAIIAggCCAIIAggCEgIDAnNzcQB+AAAAAAACc3EAfgAE///////////////+/////v////91cQB+AAcAAAAEQjS8fHh4d5oCHgACbgICAnQABjIwMTgwNAIEAgUCBgIHAggCCQJ1AAYxOTEwMjUCCwJvAg0CCAIIAggCCAIIAggCCAIIAggCCAIIAggCCAIIAggCCAIIAhICAwIkAh4AAm4CAgJOAgQCBQIGAgcCCAIJAiECCwJvAg0CCAIIAggCCAIIAggCCAIIAggCCAIIAggCCAIIAggCCAIIAhICAwJ2c3EAfgAAAAAAAnNxAH4ABP///////////////v////7/////dXEAfgAHAAAAAzKU1nh4d0UCHgACbgICAigCBAIFAgYCBwIIAgkCCgILAm8CDQIIAggCCAIIAggCCAIIAggCCAIIAggCCAIIAggCCAIIAggCEgIDAndzcQB+AAAAAAACc3EAfgAE///////////////+/////v////91cQB+AAcAAAAESHB4r3h4d0UCHgACbgICAj4CBAIFAgYCBwIIAgkCIQILAm8CDQIIAggCCAIIAggCCAIIAggCCAIIAggCCAIIAggCCAIIAggCEgIDAnhzcQB+AAAAAAACc3EAfgAE///////////////+/////v////91cQB+AAcAAAAEAzaSmXh4d00CHgACbgICAnkABjIwMTYwMgIEAgUCBgIHAggCCQJ1AgsCbwINAggCCAIIAggCCAIIAggCCAIIAggCCAIIAggCCAIIAggCCAISAgMCenNxAH4AAAAAAAJzcQB+AAT///////////////7////+/////3VxAH4ABwAAAAMSFct4eHdFAh4AAm4CAgIzAgQCBQIGAgcCCAIJAnUCCwJvAg0CCAIIAggCCAIIAggCCAIIAggCCAIIAggCCAIIAggCCAIIAhICAwJ7c3EAfgAAAAAAAnNxAH4ABP///////////////v////7/////dXEAfgAHAAAAAwSrl3h4d0UCHgACbgICAjACBAIFAgYCBwIIAgkCdQILAm8CDQIIAggCCAIIAggCCAIIAggCCAIIAggCCAIIAggCCAIIAggCEgIDAnxzcQB+AAAAAAACc3EAfgAE///////////////+/////v////91cQB+AAcAAAADA9yreHh3RQIeAAJuAgICAwIEAgUCBgIHAggCCQJ1AgsCbwINAggCCAIIAggCCAIIAggCCAIIAggCCAIIAggCCAIIAggCCAISAgMCfXNxAH4AAAAAAAJzcQB+AAT///////////////7////+/////3VxAH4ABwAAAAMFP694eHeKAh4AAm4CAgIbAgQCBQIGAgcCCAIJAnUCCwJvAg0CCAIIAggCCAIIAggCCAIIAggCCAIIAggCCAIIAggCCAIIAhICAwIkAh4AAm4CAgJAAgQCBQIGAgcCCAIJAgoCCwJvAg0CCAIIAggCCAIIAggCCAIIAggCCAIIAggCCAIIAggCCAIIAhICAwJ+c3EAfgAAAAAAAnNxAH4ABP///////////////v////7/////dXEAfgAHAAAABCij2ll4eHeKAh4AAm4CAgIjAgQCBQIGAgcCCAIJAnUCCwJvAg0CCAIIAggCCAIIAggCCAIIAggCCAIIAggCCAIIAggCCAIIAhICAwIkAh4AAm4CAgI4AgQCBQIGAgcCCAIJAgoCCwJvAg0CCAIIAggCCAIIAggCCAIIAggCCAIIAggCCAIIAggCCAIIAhICAwJ/c3EAfgAAAAAAAnNxAH4ABP///////////////v////7/////dXEAfgAHAAAABFzlwLB4eHdFAh4AAm4CAgIuAgQCBQIGAgcCCAIJAiECCwJvAg0CCAIIAggCCAIIAggCCAIIAggCCAIIAggCCAIIAggCCAIIAhICAwKAc3EAfgAAAAAAAnNxAH4ABP///////////////v////7/////dXEAfgAHAAAABAOri614eHdFAh4AAm4CAgIqAgQCBQIGAgcCCAIJAgoCCwJvAg0CCAIIAggCCAIIAggCCAIIAggCCAIIAggCCAIIAggCCAIIAhICAwKBc3EAfgAAAAAAAnNxAH4ABP///////////////v////7/////dXEAfgAHAAAABFn95fJ4eHdFAh4AAm4CAgJIAgQCBQIGAgcCCAIJAnUCCwJvAg0CCAIIAggCCAIIAggCCAIIAggCCAIIAggCCAIIAggCCAIIAhICAwKCc3EAfgAAAAAAAnNxAH4ABP///////////////v////7/////dXEAfgAHAAAAAwR0jXh4d0UCHgACbgICAh0CBAIFAgYCBwIIAgkCdQILAm8CDQIIAggCCAIIAggCCAIIAggCCAIIAggCCAIIAggCCAIIAggCEgIDAoNzcQB+AAAAAAACc3EAfgAE///////////////+/////v////91cQB+AAcAAAADDoPdeHh3RQIeAAJuAgICOQIEAgUCBgIHAggCCQIhAgsCbwINAggCCAIIAggCCAIIAggCCAIIAggCCAIIAggCCAIIAggCCAISAgMChHNxAH4AAAAAAAJzcQB+AAT///////////////7////+/////3VxAH4ABwAAAAQCCvb0eHh3RQIeAAJuAgICPgIEAgUCBgIHAggCCQIKAgsCbwINAggCCAIIAggCCAIIAggCCAIIAggCCAIIAggCCAIIAggCCAISAgMChXNxAH4AAAAAAAJzcQB+AAT///////////////7////+/////3VxAH4ABwAAAARaL7WteHh3RQIeAAJuAgICTgIEAgUCBgIHAggCCQIKAgsCbwINAggCCAIIAggCCAIIAggCCAIIAggCCAIIAggCCAIIAggCCAISAgMChnNxAH4AAAAAAAJzcQB+AAT///////////////7////+/////3VxAH4ABwAAAARlMUGreHh3RQIeAAJuAgICeQIEAgUCBgIHAggCCQIKAgsCbwINAggCCAIIAggCCAIIAggCCAIIAggCCAIIAggCCAIIAggCCAISAgMCh3NxAH4AAAAAAAJzcQB+AAT///////////////7////+/////3VxAH4ABwAAAAQ3OPVPeHh3RQIeAAJuAgICLAIEAgUCBgIHAggCCQIhAgsCbwINAggCCAIIAggCCAIIAggCCAIIAggCCAIIAggCCAIIAggCCAISAgMCiHNxAH4AAAAAAAJzcQB+AAT///////////////7////+/////3VxAH4ABwAAAARMQw4VeHh3RQIeAAJuAgICMwIEAgUCBgIHAggCCQIKAgsCbwINAggCCAIIAggCCAIIAggCCAIIAggCCAIIAggCCAIIAggCCAISAgMCiXNxAH4AAAAAAAJzcQB+AAT///////////////7////+/////3VxAH4ABwAAAARTY5smeHh3igIeAAJuAgICOAIEAgUCBgIHAggCCQJ1AgsCbwINAggCCAIIAggCCAIIAggCCAIIAggCCAIIAggCCAIIAggCCAISAgMCJAIeAAJuAgICKAIEAgUCBgIHAggCCQJ1AgsCbwINAggCCAIIAggCCAIIAggCCAIIAggCCAIIAggCCAIIAggCCAISAgMCinNxAH4AAAAAAAJzcQB+AAT///////////////7////+/////3VxAH4ABwAAAAMMxv54eHdFAh4AAm4CAgIqAgQCBQIGAgcCCAIJAnUCCwJvAg0CCAIIAggCCAIIAggCCAIIAggCCAIIAggCCAIIAggCCAIIAhICAwKLc3EAfgAAAAAAAnNxAH4ABP///////////////v////7/////dXEAfgAHAAAAAwRWK3h4d0UCHgACbgICAiYCBAIFAgYCBwIIAgkCIQILAm8CDQIIAggCCAIIAggCCAIIAggCCAIIAggCCAIIAggCCAIIAggCEgIDAoxzcQB+AAAAAAACc3EAfgAE///////////////+/////v////91cQB+AAcAAAAEA91NIHh4d0UCHgACbgICAiMCBAIFAgYCBwIIAgkCIQILAm8CDQIIAggCCAIIAggCCAIIAggCCAIIAggCCAIIAggCCAIIAggCEgIDAo1zcQB+AAAAAAACc3EAfgAE///////////////+/////v////91cQB+AAcAAAAEBEpBlXh4d0UCHgACbgICAgMCBAIFAgYCBwIIAgkCCgILAm8CDQIIAggCCAIIAggCCAIIAggCCAIIAggCCAIIAggCCAIIAggCEgIDAo5zcQB+AAAAAAACc3EAfgAE///////////////+/////v////91cQB+AAcAAAAEYo3LFnh4d0UCHgACbgICAhsCBAIFAgYCBwIIAgkCCgILAm8CDQIIAggCCAIIAggCCAIIAggCCAIIAggCCAIIAggCCAIIAggCEgIDAo9zcQB+AAAAAAACc3EAfgAE///////////////+/////v////91cQB+AAcAAAAEMNCqs3h4d00CHgACbgICApAABjIwMTgwMQIEAgUCBgIHAggCCQIKAgsCbwINAggCCAIIAggCCAIIAggCCAIIAggCCAIIAggCCAIIAggCCAISAgMCkXNxAH4AAAAAAAJzcQB+AAT///////////////7////+/////3VxAH4ABwAAAARO7ujaeHh3TQIeAAJuAgICkgAGMjAxNzAyAgQCBQIGAgcCCAIJAnUCCwJvAg0CCAIIAggCCAIIAggCCAIIAggCCAIIAggCCAIIAggCCAIIAhICAwKTc3EAfgAAAAAAAnNxAH4ABP///////////////v////7/////dXEAfgAHAAAAAwT7aHh4d0UCHgACbgICAiACBAIFAgYCBwIIAgkCIQILAm8CDQIIAggCCAIIAggCCAIIAggCCAIIAggCCAIIAggCCAIIAggCEgIDApRzcQB+AAAAAAACc3EAfgAE///////////////+/////v////91cQB+AAcAAAAEBDaJ43h4d0UCHgACbgICAkoCBAIFAgYCBwIIAgkCIQILAm8CDQIIAggCCAIIAggCCAIIAggCCAIIAggCCAIIAggCCAIIAggCEgIDApVzcQB+AAAAAAACc3EAfgAE///////////////+/////v////91cQB+AAcAAAAEAr0/pHh4d5oCHgACbgICApYABjIwMTgwMwIEAgUCBgIHAggCCQJ1AgsCbwINAggCCAIIAggCCAIIAggCCAIIAggCCAIIAggCCAIIAggCCAISAgMCJAIeAAJuAgIClwAGMjAxODAyAgQCBQIGAgcCCAIJAiECCwJvAg0CCAIIAggCCAIIAggCCAIIAggCCAIIAggCCAIIAggCCAIIAhICAwKYc3EAfgAAAAAAAnNxAH4ABP///////////////v////7/////dXEAfgAHAAAABBli52V4eHdFAh4AAm4CAgJ0AgQCBQIGAgcCCAIJAgoCCwJvAg0CCAIIAggCCAIIAggCCAIIAggCCAIIAggCCAIIAggCCAIIAhICAwKZc3EAfgAAAAAAAnNxAH4ABP///////////////v////7/////dXEAfgAHAAAABFqpyF94eHdFAh4AAm4CAgJAAgQCBQIGAgcCCAIJAnUCCwJvAg0CCAIIAggCCAIIAggCCAIIAggCCAIIAggCCAIIAggCCAIIAhICAwKac3EAfgAAAAAAAnNxAH4ABP///////////////v////7/////dXEAfgAHAAAAAwbck3h4d0UCHgACbgICAkYCBAIFAgYCBwIIAgkCIQILAm8CDQIIAggCCAIIAggCCAIIAggCCAIIAggCCAIIAggCCAIIAggCEgIDAptzcQB+AAAAAAACc3EAfgAE///////////////+/////gAAAAF1cQB+AAcAAAAEAo6woHh4d0UCHgACbgICAjUCBAIFAgYCBwIIAgkCIQILAm8CDQIIAggCCAIIAggCCAIIAggCCAIIAggCCAIIAggCCAIIAggCEgIDApxzcQB+AAAAAAACc3EAfgAE///////////////+/////v////91cQB+AAcAAAAENEm+I3h4d00CHgACbgICAp0ABjIwMTcwMQIEAgUCBgIHAggCCQIhAgsCbwINAggCCAIIAggCCAIIAggCCAIIAggCCAIIAggCCAIIAggCCAISAgMCnnNxAH4AAAAAAAJzcQB+AAT///////////////7////+/////3VxAH4ABwAAAAQo6Ya2eHh3RQIeAAJuAgICWgIEAgUCBgIHAggCCQJ1AgsCbwINAggCCAIIAggCCAIIAggCCAIIAggCCAIIAggCCAIIAggCCAISAgMCn3NxAH4AAAAAAAJzcQB+AAT///////////////7////+/////3VxAH4ABwAAAAMHjdR4eHdFAh4AAm4CAgKXAgQCBQIGAgcCCAIJAgoCCwJvAg0CCAIIAggCCAIIAggCCAIIAggCCAIIAggCCAIIAggCCAIIAhICAwKgc3EAfgAAAAAAAnNxAH4ABP///////////////v////7/////dXEAfgAHAAAABE8qcfl4eHdFAh4AAm4CAgKdAgQCBQIGAgcCCAIJAgoCCwJvAg0CCAIIAggCCAIIAggCCAIIAggCCAIIAggCCAIIAggCCAIIAhICAwKhc3EAfgAAAAAAAnNxAH4ABP///////////////v////7/////dXEAfgAHAAAABD0VO3Z4eHdFAh4AAm4CAgJ5AgQCBQIGAgcCCAIJAiECCwJvAg0CCAIIAggCCAIIAggCCAIIAggCCAIIAggCCAIIAggCCAIIAhICAwKic3EAfgAAAAAAAnNxAH4ABP///////////////v////7/////dXEAfgAHAAAABAgl/7F4eHdFAh4AAm4CAgJ0AgQCBQIGAgcCCAIJAiECCwJvAg0CCAIIAggCCAIIAggCCAIIAggCCAIIAggCCAIIAggCCAIIAhICAwKjc3EAfgAAAAAAAnNxAH4ABP///////////////v////7/////dXEAfgAHAAAABAcZP5l4eHdFAh4AAm4CAgJOAgQCBQIGAgcCCAIJAnUCCwJvAg0CCAIIAggCCAIIAggCCAIIAggCCAIIAggCCAIIAggCCAIIAhICAwKkc3EAfgAAAAAAAnNxAH4ABP///////////////v////7/////dXEAfgAHAAAAAwQlCXh4d0UCHgACbgICAloCBAIFAgYCBwIIAgkCCgILAm8CDQIIAggCCAIIAggCCAIIAggCCAIIAggCCAIIAggCCAIIAggCEgIDAqVzcQB+AAAAAAACc3EAfgAE///////////////+/////v////91cQB+AAcAAAAEYTEIFHh4d0UCHgACbgICApYCBAIFAgYCBwIIAgkCIQILAm8CDQIIAggCCAIIAggCCAIIAggCCAIIAggCCAIIAggCCAIIAggCEgIDAqZzcQB+AAAAAAACc3EAfgAE///////////////+/////v////91cQB+AAcAAAAEDlPJjHh4d0UCHgACbgICAi4CBAIFAgYCBwIIAgkCdQILAm8CDQIIAggCCAIIAggCCAIIAggCCAIIAggCCAIIAggCCAIIAggCEgIDAqdzcQB+AAAAAAACc3EAfgAE///////////////+/////v////91cQB+AAcAAAADCoBUeHh3RQIeAAJuAgICkgIEAgUCBgIHAggCCQIhAgsCbwINAggCCAIIAggCCAIIAggCCAIIAggCCAIIAggCCAIIAggCCAISAgMCqHNxAH4AAAAAAAJzcQB+AAT///////////////7////+/////3VxAH4ABwAAAAQbRzHTeHh3RQIeAAJuAgICOQIEAgUCBgIHAggCCQJ1AgsCbwINAggCCAIIAggCCAIIAggCCAIIAggCCAIIAggCCAIIAggCCAISAgMCqXNxAH4AAAAAAAJzcQB+AAT///////////////7////+/////3VxAH4ABwAAAAMENDh4eHdFAh4AAm4CAgKWAgQCBQIGAgcCCAIJAgoCCwJvAg0CCAIIAggCCAIIAggCCAIIAggCCAIIAggCCAIIAggCCAIIAhICAwKqc3EAfgAAAAAAAnNxAH4ABP///////////////v////7/////dXEAfgAHAAAABFJ+oxp4eHdFAh4AAm4CAgJKAgQCBQIGAgcCCAIJAnUCCwJvAg0CCAIIAggCCAIIAggCCAIIAggCCAIIAggCCAIIAggCCAIIAhICAwKrc3EAfgAAAAAAAnNxAH4ABP///////////////v////7/////dXEAfgAHAAAAAwi2nHh4d0UCHgACbgICAkgCBAIFAgYCBwIIAgkCIQILAm8CDQIIAggCCAIIAggCCAIIAggCCAIIAggCCAIIAggCCAIIAggCEgIDAqxzcQB+AAAAAAACc3EAfgAE///////////////+/////v////91cQB+AAcAAAAECfBqRnh4d0UCHgACbgICAh0CBAIFAgYCBwIIAgkCIQILAm8CDQIIAggCCAIIAggCCAIIAggCCAIIAggCCAIIAggCCAIIAggCEgIDAq1zcQB+AAAAAAACc3EAfgAE///////////////+/////v////91cQB+AAcAAAAEBeiObnh4d0UCHgACbgICAkYCBAIFAgYCBwIIAgkCCgILAm8CDQIIAggCCAIIAggCCAIIAggCCAIIAggCCAIIAggCCAIIAggCEgIDAq5zcQB+AAAAAAACc3EAfgAE///////////////+/////v////91cQB+AAcAAAAEcQZZSXh4d0UCHgACbgICAkoCBAIFAgYCBwIIAgkCCgILAm8CDQIIAggCCAIIAggCCAIIAggCCAIIAggCCAIIAggCCAIIAggCEgIDAq9zcQB+AAAAAAACc3EAfgAE///////////////+/////v////91cQB+AAcAAAAEXVdQyXh4d0UCHgACbgICApICBAIFAgYCBwIIAgkCCgILAm8CDQIIAggCCAIIAggCCAIIAggCCAIIAggCCAIIAggCCAIIAggCEgIDArBzcQB+AAAAAAACc3EAfgAE///////////////+/////v////91cQB+AAcAAAAESYtTyXh4d4oCHgACbgICApACBAIFAgYCBwIIAgkCdQILAm8CDQIIAggCCAIIAggCCAIIAggCCAIIAggCCAIIAggCCAIIAggCEgIDAiQCHgACbgICAjACBAIFAgYCBwIIAgkCIQILAm8CDQIIAggCCAIIAggCCAIIAggCCAIIAggCCAIIAggCCAIIAggCEgIDArFzcQB+AAAAAAACc3EAfgAE///////////////+/////gAAAAF1cQB+AAcAAAAECQ0V/Xh4d0UCHgACbgICAj4CBAIFAgYCBwIIAgkCdQILAm8CDQIIAggCCAIIAggCCAIIAggCCAIIAggCCAIIAggCCAIIAggCEgIDArJzcQB+AAAAAAACc3EAfgAE///////////////+/////v////91cQB+AAcAAAADCZ5/eHh3RQIeAAJuAgICMwIEAgUCBgIHAggCCQIhAgsCbwINAggCCAIIAggCCAIIAggCCAIIAggCCAIIAggCCAIIAggCCAISAgMCs3NxAH4AAAAAAAJzcQB+AAT///////////////7////+/////3VxAH4ABwAAAAQQ/fIjeHh3RQIeAAJuAgICnQIEAgUCBgIHAggCCQJ1AgsCbwINAggCCAIIAggCCAIIAggCCAIIAggCCAIIAggCCAIIAggCCAISAgMCtHNxAH4AAAAAAAJzcQB+AAT///////////////7////+/////3VxAH4ABwAAAAMFZP94eHeKAh4AAm4CAgI1AgQCBQIGAgcCCAIJAnUCCwJvAg0CCAIIAggCCAIIAggCCAIIAggCCAIIAggCCAIIAggCCAIIAhICAwIkAh4AAm4CAgIsAgQCBQIGAgcCCAIJAnUCCwJvAg0CCAIIAggCCAIIAggCCAIIAggCCAIIAggCCAIIAggCCAIIAhICAwK1c3EAfgAAAAAAAnNxAH4ABP///////////////v////7/////dXEAfgAHAAAAAwZoK3h4d4oCHgACbgICAjgCBAIFAgYCBwIIAgkCIQILAm8CDQIIAggCCAIIAggCCAIIAggCCAIIAggCCAIIAggCCAIIAggCEgIDAo0CHgACbgICAigCBAIFAgYCBwIIAgkCIQILAm8CDQIIAggCCAIIAggCCAIIAggCCAIIAggCCAIIAggCCAIIAggCEgIDArZzcQB+AAAAAAACc3EAfgAE///////////////+/////v////91cQB+AAcAAAAEBOQwD3h4d0UCHgACbgICAloCBAIFAgYCBwIIAgkCIQILAm8CDQIIAggCCAIIAggCCAIIAggCCAIIAggCCAIIAggCCAIIAggCEgIDArdzcQB+AAAAAAACc3EAfgAE///////////////+/////v////91cQB+AAcAAAAEAhunbnh4d0UCHgACbgICAjACBAIFAgYCBwIIAgkCCgILAm8CDQIIAggCCAIIAggCCAIIAggCCAIIAggCCAIIAggCCAIIAggCEgIDArhzcQB+AAAAAAACc3EAfgAE///////////////+/////v////91cQB+AAcAAAAEgtyI8Xh4d4oCHgACbgICApcCBAIFAgYCBwIIAgkCdQILAm8CDQIIAggCCAIIAggCCAIIAggCCAIIAggCCAIIAggCCAIIAggCEgIDAiQCHgACbgICApACBAIFAgYCBwIIAgkCIQILAm8CDQIIAggCCAIIAggCCAIIAggCCAIIAggCCAIIAggCCAIIAggCEgIDArlzcQB+AAAAAAACc3EAfgAE///////////////+/////v////91cQB+AAcAAAAEJnGjV3h4d4oCHgACbgICAiMCBAIFAgYCBwIIAgkCCgILAm8CDQIIAggCCAIIAggCCAIIAggCCAIIAggCCAIIAggCCAIIAggCEgIDAn8CHgACbgICAgMCBAIFAgYCBwIIAgkCIQILAm8CDQIIAggCCAIIAggCCAIIAggCCAIIAggCCAIIAggCCAIIAggCEgIDArpzcQB+AAAAAAACc3EAfgAE///////////////+/////v////91cQB+AAcAAAADvFyyeHh3RQIeAAJuAgICSAIEAgUCBgIHAggCCQIKAgsCbwINAggCCAIIAggCCAIIAggCCAIIAggCCAIIAggCCAIIAggCCAISAgMCu3NxAH4AAAAAAAJzcQB+AAT///////////////7////+/////3VxAH4ABwAAAARacNl3eHh3RQIeAAJuAgICGwIEAgUCBgIHAggCCQIhAgsCbwINAggCCAIIAggCCAIIAggCCAIIAggCCAIIAggCCAIIAggCCAISAgMCvHNxAH4AAAAAAAJzcQB+AAT///////////////7////+/////3VxAH4ABwAAAAREule8eHh3RQIeAAJuAgICRgIEAgUCBgIHAggCCQJ1AgsCbwINAggCCAIIAggCCAIIAggCCAIIAggCCAIIAggCCAIIAggCCAISAgMCvXNxAH4AAAAAAAJzcQB+AAT///////////////7////+/////3VxAH4ABwAAAAMEDq54eHdFAh4AAm4CAgIuAgQCBQIGAgcCCAIJAgoCCwJvAg0CCAIIAggCCAIIAggCCAIIAggCCAIIAggCCAIIAggCCAIIAhICAwK+c3EAfgAAAAAAAnNxAH4ABP///////////////v////7/////dXEAfgAHAAAABFSIS5t4eHdFAh4AAm4CAgI5AgQCBQIGAgcCCAIJAgoCCwJvAg0CCAIIAggCCAIIAggCCAIIAggCCAIIAggCCAIIAggCCAIIAhICAwK/c3EAfgAAAAAAAnNxAH4ABP///////////////v////7/////dXEAfgAHAAAABF7UYvh4eHdFAh4AAm4CAgJAAgQCBQIGAgcCCAIJAiECCwJvAg0CCAIIAggCCAIIAggCCAIIAggCCAIIAggCCAIIAggCCAIIAhICAwLAc3EAfgAAAAAAAnNxAH4ABP///////////////v////7/////dXEAfgAHAAAABDuLiL14eHdFAh4AAm4CAgIdAgQCBQIGAgcCCAIJAgoCCwJvAg0CCAIIAggCCAIIAggCCAIIAggCCAIIAggCCAIIAggCCAIIAhICAwLBc3EAfgAAAAAAAnNxAH4ABP///////////////v////7/////dXEAfgAHAAAABD37VuJ4eHdFAh4AAm4CAgImAgQCBQIGAgcCCAIJAnUCCwJvAg0CCAIIAggCCAIIAggCCAIIAggCCAIIAggCCAIIAggCCAIIAhICAwLCc3EAfgAAAAAAAnNxAH4ABP///////////////v////7/////dXEAfgAHAAAAAwRDenh4d0UCHgACbgICAiACBAIFAgYCBwIIAgkCdQILAm8CDQIIAggCCAIIAggCCAIIAggCCAIIAggCCAIIAggCCAIIAggCEgIDAsNzcQB+AAAAAAACc3EAfgAE///////////////+/////v////91cQB+AAcAAAADC4KteHh3RQIeAAJuAgICKgIEAgUCBgIHAggCCQIhAgsCbwINAggCCAIIAggCCAIIAggCCAIIAggCCAIIAggCCAIIAggCCAISAgMCxHNxAH4AAAAAAAJzcQB+AAT///////////////7////+/////3VxAH4ABwAAAAQGIRiFeHg=]]></xxe4awand>
</file>

<file path=customXml/item3.xml><?xml version="1.0" encoding="utf-8"?>
<xxe4awand xmlns="http://www.excel4apps.com"><![CDATA[rO0ABXfZCMCtii8CJAJUAh4AAERjb20uZXhjZWw0YXBwcy53YW5kLm9yYWNsZS5n
bHdhbmQuY2FsY3VsYXRpb25zLmdldGJhbGFuY2UuR2V0QmFsYW5jZQIBAAkxNjIz
OTUyMDACAgABMAIDAAYyMDE2MDQCBAADWVREAgUAA1VTRAIGAAVUb3RhbAIHAAFB
AggAAAIJAAMwMDECCgAGMTkxMDAwAgsAAkdEAgwAAldBAg0AAkRMAggCCAIIAggC
CAIIAggCCAIIAggCCAIIAggCCAIIAggCCAIS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BOQwD3h4d00CHgACAQICAhsABjIwMTcwNQIEAgUCBgIHAggCCQIKAgsCDAIN
AggCCAIIAggCCAIIAggCCAIIAggCCAIIAggCCAIIAggCCAISAgMCHHNxAH4AAAAA
AAJzcQB+AAT///////////////7////+/////3VxAH4ABwAAAAQGIRiFeHh3VQIeAAIBAgICHQAGMjAxNjA5AgQCBQIGAgcCCAIJAh4ABjE5MTAyNQILAgwCDQIIAggCCAIIAggCCAIIAggCCAIIAggCCAIIAggCCAIIAggCEgIDAh9zcQB+AAAAAAACc3EAfgAE///////////////+/////v////91cQB+AAcAAAADB43UeHh3VQIeAAIBAgICIAAGMjAxODA0AgQCBQIGAgcCCAIJAiEABjE5MTAxMAILAgwCDQIIAggCCAIIAggCCAIIAggCCAIIAggCCAIIAggCCAIIAggCEgIDAiJzcQB+AAAAAAACc3EAfgAE///////////////+/////v////91cQB+AAcAAAAEWqnIX3h4d00CHgACAQICAiMABjIwMTYwMgIEAgUCBgIHAggCCQIhAgsCDAINAggCCAIIAggCCAIIAggCCAIIAggCCAIIAggCCAIIAggCCAISAgMCJHNxAH4AAAAAAAJzcQB+AAT///////////////7////+/////3VxAH4ABwAAAAQ3OPVPeHh3TQIeAAIBAgICJQAGMjAxNzAxAgQCBQIGAgcCCAIJAh4CCwIMAg0CCAIIAggCCAIIAggCCAIIAggCCAIIAggCCAIIAggCCAIIAhICAwImc3EAfgAAAAAAAnNxAH4ABP///////////////v////7/////dXEAfgAHAAAAAwVk/3h4d00CHgACAQICAicABjIwMTYwMwIEAgUCBgIHAggCCQIhAgsCDAINAggCCAIIAggCCAIIAggCCAIIAggCCAIIAggCCAIIAggCCAISAgMCKHNxAH4AAAAAAAJzcQB+AAT///////////////7////+/////3VxAH4ABwAAAAQ9+1bieHh3TQIeAAIBAgICKQAGMjAxNzExAgQCBQIGAgcCCAIJAgoCCwIMAg0CCAIIAggCCAIIAggCCAIIAggCCAIIAggCCAIIAggCCAIIAhICAwIqc3EAfgAAAAAAAnNxAH4ABP///////////////v////7/////dXEAfgAHAAAABES6V7x4eHdNAh4AAgECAgIrAAYyMDE3MDQCBAIFAgYCBwIIAgkCIQILAgwCDQIIAggCCAIIAggCCAIIAggCCAIIAggCCAIIAggCCAIIAggCEgIDAixzcQB+AAAAAAACc3EAfgAE///////////////+/////v////91cQB+AAcAAAAEWnDZd3h4d00CHgACAQICAi0ABjIwMTgwMQIEAgUCBgIHAggCCQIeAgsCDAINAggCCAIIAggCCAIIAggCCAIIAggCCAIIAggCCAIIAggCCAISAgMCLnNxAH4AAAAAAAJzcQB+AAT///////////////7////+AAAAAHVxAH4ABwAAAAB4eHdFAh4AAgECAgInAgQCBQIGAgcCCAIJAgoCCwIMAg0CCAIIAggCCAIIAggCCAIIAggCCAIIAggCCAIIAggCCAIIAhICAwIvc3EAfgAAAAAAAnNxAH4ABP///////////////v////7/////dXEAfgAHAAAABAXojm54eHdNAh4AAgECAgIwAAYyMDE2MDUCBAIFAgYCBwIIAgkCCgILAgwCDQIIAggCCAIIAggCCAIIAggCCAIIAggCCAIIAggCCAIIAggCEgIDAjFzcQB+AAAAAAACc3EAfgAE///////////////+/////v////91cQB+AAcAAAAEBDaJ43h4d00CHgACAQICAjIABjIwMTYxMAIEAgUCBgIHAggCCQIKAgsCDAINAggCCAIIAggCCAIIAggCCAIIAggCCAIIAggCCAIIAggCCAISAgMCM3NxAH4AAAAAAAJzcQB+AAT///////////////7////+/////3VxAH4ABwAAAAO8XLJ4eHdNAh4AAgECAgI0AAYyMDE4MDMCBAIFAgYCBwIIAgkCIQILAgwCDQIIAggCCAIIAggCCAIIAggCCAIIAggCCAIIAggCCAIIAggCEgIDAjVzcQB+AAAAAAACc3EAfgAE///////////////+/////v////91cQB+AAcAAAAEUn6jGnh4d00CHgACAQICAjYABjIwMTcwMgIEAgUCBgIHAggCCQIhAgsCDAINAggCCAIIAggCCAIIAggCCAIIAggCCAIIAggCCAIIAggCCAISAgMCN3NxAH4AAAAAAAJzcQB+AAT///////////////7////+/////3VxAH4ABwAAAARJi1PJeHh3igIeAAIBAgICNAIEAgUCBgIHAggCCQIeAgsCDAINAggCCAIIAggCCAIIAggCCAIIAggCCAIIAggCCAIIAggCCAISAgMCLgIeAAIBAgICNgIEAgUCBgIHAggCCQIeAgsCDAINAggCCAIIAggCCAIIAggCCAIIAggCCAIIAggCCAIIAggCCAISAgMCOHNxAH4AAAAAAAJzcQB+AAT///////////////7////+/////3VxAH4ABwAAAAME+2h4eHdFAh4AAgECAgIyAgQCBQIGAgcCCAIJAiECCwIMAg0CCAIIAggCCAIIAggCCAIIAggCCAIIAggCCAIIAggCCAIIAhICAwI5c3EAfgAAAAAAAnNxAH4ABP///////////////v////7/////dXEAfgAHAAAABGKNyxZ4eHdFAh4AAgECAgIrAgQCBQIGAgcCCAIJAgoCCwIMAg0CCAIIAggCCAIIAggCCAIIAggCCAIIAggCCAIIAggCCAIIAhICAwI6c3EAfgAAAAAAAnNxAH4ABP///////////////v////7/////dXEAfgAHAAAABAnwakZ4eHdNAh4AAgECAgI7AAYyMDE4MDUCBAIFAgYCBwIIAgkCCgILAgwCDQIIAggCCAIIAggCCAIIAggCCAIIAggCCAIIAggCCAIIAggCEgIDAjxzcQB+AAAAAAACc3EAfgAE///////////////+/////v////91cQB+AAcAAAAEBEpBlXh4d00CHgACAQICAj0ABjIwMTYwOAIEAgUCBgIHAggCCQIeAgsCDAINAggCCAIIAggCCAIIAggCCAIIAggCCAIIAggCCAIIAggCCAISAgMCPnNxAH4AAAAAAAJzcQB+AAT///////////////7////+/////3VxAH4ABwAAAAMItpx4eHdNAh4AAgECAgI/AAYyMDE3MDkCBAIFAgYCBwIIAgkCHgILAgwCDQIIAggCCAIIAggCCAIIAggCCAIIAggCCAIIAggCCAIIAggCEgIDAkBzcQB+AAAAAAACc3EAfgAE///////////////+/////v////91cQB+AAcAAAADBA6ueHh3TQIeAAIBAgICQQAGMjAxNzEyAgQCBQIGAgcCCAIJAgoCCwIMAg0CCAIIAggCCAIIAggCCAIIAggCCAIIAggCCAIIAggCCAIIAhICAwJCc3EAfgAAAAAAAnNxAH4ABP///////////////v////7/////dXEAfgAHAAAABDRJviN4eHeaAh4AAgECAgJDAAYyMDE4MDICBAIFAgYCBwIIAgkCHgILAgwCDQIIAggCCAIIAggCCAIIAggCCAIIAggCCAIIAggCCAIIAggCEgIDAi4CHgACAQICAkQABjIwMTcwMwIEAgUCBgIHAggCCQIhAgsCDAINAggCCAIIAggCCAIIAggCCAIIAggCCAIIAggCCAIIAggCCAISAgMCRXNxAH4AAAAAAAJzcQB+AAT///////////////7////+/////3VxAH4ABwAAAARTY5smeHh3TQIeAAIBAgICRgAGMjAxNjExAgQCBQIGAgcCCAIJAgoCCwIMAg0CCAIIAggCCAIIAggCCAIIAggCCAIIAggCCAIIAggCCAIIAhICAwJHc3EAfgAAAAAAAnNxAH4ABP///////////////v////7/////dXEAfgAHAAAABExDDhV4eHdNAh4AAgECAgJIAAYyMDE3MTACBAIFAgYCBwIIAgkCIQILAgwCDQIIAggCCAIIAggCCAIIAggCCAIIAggCCAIIAggCCAIIAggCEgIDAklzcQB+AAAAAAACc3EAfgAE///////////////+/////v////91cQB+AAcAAAAEgtyI8Xh4d0UCHgACAQICAh0CBAIFAgYCBwIIAgkCIQILAgwCDQIIAggCCAIIAggCCAIIAggCCAIIAggCCAIIAggCCAIIAggCEgIDAkpzcQB+AAAAAAACc3EAfgAE///////////////+/////v////91cQB+AAcAAAAEYTEIFHh4d0UCHgACAQICAkQCBAIFAgYCBwIIAgkCCgILAgwCDQIIAggCCAIIAggCCAIIAggCCAIIAggCCAIIAggCCAIIAggCEgIDAktzcQB+AAAAAAACc3EAfgAE///////////////+/////v////91cQB+AAcAAAAEEP3yI3h4d0UCHgACAQICAiACBAIFAgYCBwIIAgkCCgILAgwCDQIIAggCCAIIAggCCAIIAggCCAIIAggCCAIIAggCCAIIAggCEgIDAkxzcQB+AAAAAAACc3EAfgAE///////////////+/////v////91cQB+AAcAAAAEBxk/mXh4d0UCHgACAQICAkgCBAIFAgYCBwIIAgkCHgILAgwCDQIIAggCCAIIAggCCAIIAggCCAIIAggCCAIIAggCCAIIAggCEgIDAk1zcQB+AAAAAAACc3EAfgAE///////////////+/////v////91cQB+AAcAAAADA9yreHh3TQIeAAIBAgICTgAGMjAxNjA2AgQCBQIGAgcCCAIJAh4CCwIMAg0CCAIIAggCCAIIAggCCAIIAggCCAIIAggCCAIIAggCCAIIAhICAwJPc3EAfgAAAAAAAnNxAH4ABP///////////////v////7/////dXEAfgAHAAAAAwqAVHh4d00CHgACAQICAlAABjIwMTcwOAIEAgUCBgIHAggCCQIKAgsCDAINAggCCAIIAggCCAIIAggCCAIIAggCCAIIAggCCAIIAggCCAISAgMCUXNxAH4AAAAAAAJzcQB+AAT///////////////7////+/////3VxAH4ABwAAAAMylNZ4eHeSAh4AAgECAgI7AgQCBQIGAgcCCAIJAh4CCwIMAg0CCAIIAggCCAIIAggCCAIIAggCCAIIAggCCAIIAggCCAIIAhICAwIuAh4AAgECAgJSAAYyMDE2MDcCBAIFAgYCBwIIAgkCCgILAgwCDQIIAggCCAIIAggCCAIIAggCCAIIAggCCAIIAggCCAIIAggCEgIDAlNzcQB+AAAAAAACc3EAfgAE///////////////+/////v////91cQB+AAcAAAAEAzaSmXh4d0UCHgACAQICAikCBAIFAgYCBwIIAgkCIQILAgwCDQIIAggCCAIIAggCCAIIAggCCAIIAggCCAIIAggCCAIIAggCEgIDAlRzcQB+AAAAAAACc3EAfgAE///////////////+/////v////91cQB+AAcAAAAEMNCqs3h4d00CHgACAQICAlUABjIwMTYxMgIEAgUCBgIHAggCCQIhAgsCDAINAggCCAIIAggCCAIIAggCCAIIAggCCAIIAggCCAIIAggCCAISAgMCVnNxAH4AAAAAAAJzcQB+AAT///////////////7////+/////3VxAH4ABwAAAAQoo9pZeHh3TQIeAAIBAgICVwAGMjAxNzA2AgQCBQIGAgcCCAIJAgoCCwIMAg0CCAIIAggCCAIIAggCCAIIAggCCAIIAggCCAIIAggCCAIIAhICAwJYc3EAfgAAAAAAAnNxAH4ABP///////////////v////7/////dXEAfgAHAAAABAPdTSB4eHdFAh4AAgECAgItAgQCBQIGAgcCCAIJAiECCwIMAg0CCAIIAggCCAIIAggCCAIIAggCCAIIAggCCAIIAggCCAIIAhICAwJZc3EAfgAAAAAAAnNxAH4ABP///////////////v////7/////dXEAfgAHAAAABE7u6Np4eHdFAh4AAgECAgInAgQCBQIGAgcCCAIJAh4CCwIMAg0CCAIIAggCCAIIAggCCAIIAggCCAIIAggCCAIIAggCCAIIAhICAwJac3EAfgAAAAAAAnNxAH4ABP///////////////v////7/////dXEAfgAHAAAAAw6D3Xh4d0UCHgACAQICAisCBAIFAgYCBwIIAgkCHgILAgwCDQIIAggCCAIIAggCCAIIAggCCAIIAggCCAIIAggCCAIIAggCEgIDAltzcQB+AAAAAAACc3EAfgAE///////////////+/////v////91cQB+AAcAAAADBHSNeHh3TQIeAAIBAgICXAAGMjAxNzA3AgQCBQIGAgcCCAIJAh4CCwIMAg0CCAIIAggCCAIIAggCCAIIAggCCAIIAggCCAIIAggCCAIIAhICAwJdc3EAfgAAAAAAAnNxAH4ABP///////////////v////7/////dXEAfgAHAAAAAwQ0OHh4d0UCHgACAQICAgMCBAIFAgYCBwIIAgkCIQILAgwCDQIIAggCCAIIAggCCAIIAggCCAIIAggCCAIIAggCCAIIAggCEgIDAl5zcQB+AAAAAAACc3EAfgAE///////////////+/////v////91cQB+AAcAAAAESHB4r3h4d0UCHgACAQICAiMCBAIFAgYCBwIIAgkCCgILAgwCDQIIAggCCAIIAggCCAIIAggCCAIIAggCCAIIAggCCAIIAggCEgIDAl9zcQB+AAAAAAACc3EAfgAE///////////////+/////v////91cQB+AAcAAAAECCX/sXh4d0UCHgACAQICAhsCBAIFAgYCBwIIAgkCIQILAgwCDQIIAggCCAIIAggCCAIIAggCCAIIAggCCAIIAggCCAIIAggCEgIDAmBzcQB+AAAAAAACc3EAfgAE///////////////+/////v////91cQB+AAcAAAAEWf3l8nh4d0UCHgACAQICAkYCBAIFAgYCBwIIAgkCHgILAgwCDQIIAggCCAIIAggCCAIIAggCCAIIAggCCAIIAggCCAIIAggCEgIDAmFzcQB+AAAAAAACc3EAfgAE///////////////+/////v////91cQB+AAcAAAADBmgreHh3RQIeAAIBAgICUgIEAgUCBgIHAggCCQIhAgsCDAINAggCCAIIAggCCAIIAggCCAIIAggCCAIIAggCCAIIAggCCAISAgMCYnNxAH4AAAAAAAJzcQB+AAT///////////////7////+/////3VxAH4ABwAAAARaL7WteHh3RQIeAAIBAgICLQIEAgUCBgIHAggCCQIKAgsCDAINAggCCAIIAggCCAIIAggCCAIIAggCCAIIAggCCAIIAggCCAISAgMCY3NxAH4AAAAAAAJzcQB+AAT///////////////7////+/////3VxAH4ABwAAAAQmcaNXeHh3RQIeAAIBAgICAwIEAgUCBgIHAggCCQIeAgsCDAINAggCCAIIAggCCAIIAggCCAIIAggCCAIIAggCCAIIAggCCAISAgMCZHNxAH4AAAAAAAJzcQB+AAT///////////////7////+/////3VxAH4ABwAAAAMMxv54eHdFAh4AAgECAgIbAgQCBQIGAgcCCAIJAh4CCwIMAg0CCAIIAggCCAIIAggCCAIIAggCCAIIAggCCAIIAggCCAIIAhICAwJlc3EAfgAAAAAAAnNxAH4ABP///////////////v////7/////dXEAfgAHAAAAAwRWK3h4d4oCHgACAQICAkECBAIFAgYCBwIIAgkCHgILAgwCDQIIAggCCAIIAggCCAIIAggCCAIIAggCCAIIAggCCAIIAggCEgIDAi4CHgACAQICAkMCBAIFAgYCBwIIAgkCCgILAgwCDQIIAggCCAIIAggCCAIIAggCCAIIAggCCAIIAggCCAIIAggCEgIDAmZzcQB+AAAAAAACc3EAfgAE///////////////+/////v////91cQB+AAcAAAAEGWLnZXh4d0UCHgACAQICAlcCBAIFAgYCBwIIAgkCHgILAgwCDQIIAggCCAIIAggCCAIIAggCCAIIAggCCAIIAggCCAIIAggCEgIDAmdzcQB+AAAAAAACc3EAfgAE///////////////+/////v////91cQB+AAcAAAADBEN6eHh3RQIeAAIBAgICHQIEAgUCBgIHAggCCQIKAgsCDAINAggCCAIIAggCCAIIAggCCAIIAggCCAIIAggCCAIIAggCCAISAgMCaHNxAH4AAAAAAAJzcQB+AAT///////////////7////+/////3VxAH4ABwAAAAQCG6dueHh3RQIeAAIBAgICUAIEAgUCBgIHAggCCQIhAgsCDAINAggCCAIIAggCCAIIAggCCAIIAggCCAIIAggCCAIIAggCCAISAgMCaXNxAH4AAAAAAAJzcQB+AAT///////////////7////+/////3VxAH4ABwAAAARlMUGreHh3RQIeAAIBAgICVQIEAgUCBgIHAggCCQIeAgsCDAINAggCCAIIAggCCAIIAggCCAIIAggCCAIIAggCCAIIAggCCAISAgMCanNxAH4AAAAAAAJzcQB+AAT///////////////7////+/////3VxAH4ABwAAAAMG3JN4eHdFAh4AAgECAgIlAgQCBQIGAgcCCAIJAgoCCwIMAg0CCAIIAggCCAIIAggCCAIIAggCCAIIAggCCAIIAggCCAIIAhICAwJrc3EAfgAAAAAAAnNxAH4ABP///////////////v////7/////dXEAfgAHAAAABCjphrZ4eHdFAh4AAgECAgI9AgQCBQIGAgcCCAIJAgoCCwIMAg0CCAIIAggCCAIIAggCCAIIAggCCAIIAggCCAIIAggCCAIIAhICAwJsc3EAfgAAAAAAAnNxAH4ABP///////////////v////7/////dXEAfgAHAAAABAK9P6R4eHdFAh4AAgECAgI/AgQCBQIGAgcCCAIJAgoCCwIMAg0CCAIIAggCCAIIAggCCAIIAggCCAIIAggCCAIIAggCCAIIAhICAwJtc3EAfgAAAAAAAnNxAH4ABP///////////////v////4AAAABdXEAfgAHAAAABAKOsKB4eHdFAh4AAgECAgIwAgQCBQIGAgcCCAIJAh4CCwIMAg0CCAIIAggCCAIIAggCCAIIAggCCAIIAggCCAIIAggCCAIIAhICAwJuc3EAfgAAAAAAAnNxAH4ABP///////////////v////7/////dXEAfgAHAAAAAwuCrXh4d0UCHgACAQICAk4CBAIFAgYCBwIIAgkCIQILAgwCDQIIAggCCAIIAggCCAIIAggCCAIIAggCCAIIAggCCAIIAggCEgIDAm9zcQB+AAAAAAACc3EAfgAE///////////////+/////v////91cQB+AAcAAAAEVIhLm3h4d0UCHgACAQICAlwCBAIFAgYCBwIIAgkCIQILAgwCDQIIAggCCAIIAggCCAIIAggCCAIIAggCCAIIAggCCAIIAggCEgIDAnBzcQB+AAAAAAACc3EAfgAE///////////////+/////v////91cQB+AAcAAAAEXtRi+Hh4d0UCHgACAQICAkYCBAIFAgYCBwIIAgkCIQILAgwCDQIIAggCCAIIAggCCAIIAggCCAIIAggCCAIIAggCCAIIAggCEgIDAnFzcQB+AAAAAAACc3EAfgAE///////////////+/////v////91cQB+AAcAAAAEElQVqnh4d4oCHgACAQICAiACBAIFAgYCBwIIAgkCHgILAgwCDQIIAggCCAIIAggCCAIIAggCCAIIAggCCAIIAggCCAIIAggCEgIDAi4CHgACAQICAiMCBAIFAgYCBwIIAgkCHgILAgwCDQIIAggCCAIIAggCCAIIAggCCAIIAggCCAIIAggCCAIIAggCEgIDAnJzcQB+AAAAAAACc3EAfgAE///////////////+/////v////91cQB+AAcAAAADEhXLeHh3RQIeAAIBAgICRAIEAgUCBgIHAggCCQIeAgsCDAINAggCCAIIAggCCAIIAggCCAIIAggCCAIIAggCCAIIAggCCAISAgMCc3NxAH4AAAAAAAJzcQB+AAT///////////////7////+/////3VxAH4ABwAAAAMEq5d4eHdFAh4AAgECAgJDAgQCBQIGAgcCCAIJAiECCwIMAg0CCAIIAggCCAIIAggCCAIIAggCCAIIAggCCAIIAggCCAIIAhICAwJ0c3EAfgAAAAAAAnNxAH4ABP///////////////v////7/////dXEAfgAHAAAABE8qcfl4eHdFAh4AAgECAgJcAgQCBQIGAgcCCAIJAgoCCwIMAg0CCAIIAggCCAIIAggCCAIIAggCCAIIAggCCAIIAggCCAIIAhICAwJ1c3EAfgAAAAAAAnNxAH4ABP///////////////v////7/////dXEAfgAHAAAABAIK9vR4eHdFAh4AAgECAgJSAgQCBQIGAgcCCAIJAh4CCwIMAg0CCAIIAggCCAIIAggCCAIIAggCCAIIAggCCAIIAggCCAIIAhICAwJ2c3EAfgAAAAAAAnNxAH4ABP///////////////v////7/////dXEAfgAHAAAAAwmef3h4d0UCHgACAQICAlACBAIFAgYCBwIIAgkCHgILAgwCDQIIAggCCAIIAggCCAIIAggCCAIIAggCCAIIAggCCAIIAggCEgIDAndzcQB+AAAAAAACc3EAfgAE///////////////+/////v////91cQB+AAcAAAADBCUJeHh3RQIeAAIBAgICNgIEAgUCBgIHAggCCQIKAgsCDAINAggCCAIIAggCCAIIAggCCAIIAggCCAIIAggCCAIIAggCCAISAgMCeHNxAH4AAAAAAAJzcQB+AAT///////////////7////+/////3VxAH4ABwAAAAQbRzHTeHh3RQIeAAIBAgICMAIEAgUCBgIHAggCCQIhAgsCDAINAggCCAIIAggCCAIIAggCCAIIAggCCAIIAggCCAIIAggCCAISAgMCeXNxAH4AAAAAAAJzcQB+AAT///////////////7////+/////3VxAH4ABwAAAARMKwuAeHh3RQIeAAIBAgICVQIEAgUCBgIHAggCCQIKAgsCDAINAggCCAIIAggCCAIIAggCCAIIAggCCAIIAggCCAIIAggCCAISAgMCenNxAH4AAAAAAAJzcQB+AAT///////////////7////+/////3VxAH4ABwAAAAQ7i4i9eHh3RQIeAAIBAgICVwIEAgUCBgIHAggCCQIhAgsCDAINAggCCAIIAggCCAIIAggCCAIIAggCCAIIAggCCAIIAggCCAISAgMCe3NxAH4AAAAAAAJzcQB+AAT///////////////7////+/////3VxAH4ABwAAAARYCwcseHh3RQIeAAIBAgICPQIEAgUCBgIHAggCCQIhAgsCDAINAggCCAIIAggCCAIIAggCCAIIAggCCAIIAggCCAIIAggCCAISAgMCfHNxAH4AAAAAAAJzcQB+AAT///////////////7////+/////3VxAH4ABwAAAARdV1DJeHh3RQIeAAIBAgICOwIEAgUCBgIHAggCCQIhAgsCDAINAggCCAIIAggCCAIIAggCCAIIAggCCAIIAggCCAIIAggCCAISAgMCfXNxAH4AAAAAAAJzcQB+AAT///////////////7////+/////3VxAH4ABwAAAARc5cCweHh3RQIeAAIBAgICMgIEAgUCBgIHAggCCQIeAgsCDAINAggCCAIIAggCCAIIAggCCAIIAggCCAIIAggCCAIIAggCCAISAgMCfnNxAH4AAAAAAAJzcQB+AAT///////////////7////+/////3VxAH4ABwAAAAMFP694eHeKAh4AAgECAgIpAgQCBQIGAgcCCAIJAh4CCwIMAg0CCAIIAggCCAIIAggCCAIIAggCCAIIAggCCAIIAggCCAIIAhICAwIuAh4AAgECAgI0AgQCBQIGAgcCCAIJAgoCCwIMAg0CCAIIAggCCAIIAggCCAIIAggCCAIIAggCCAIIAggCCAIIAhICAwJ/c3EAfgAAAAAAAnNxAH4ABP///////////////v////7/////dXEAfgAHAAAABA5TyYx4eHdFAh4AAgECAgJIAgQCBQIGAgcCCAIJAgoCCwIMAg0CCAIIAggCCAIIAggCCAIIAggCCAIIAggCCAIIAggCCAIIAhICAwKAc3EAfgAAAAAAAnNxAH4ABP///////////////v////4AAAABdXEAfgAHAAAABAkNFf14eHdFAh4AAgECAgJOAgQCBQIGAgcCCAIJAgoCCwIMAg0CCAIIAggCCAIIAggCCAIIAggCCAIIAggCCAIIAggCCAIIAhICAwKBc3EAfgAAAAAAAnNxAH4ABP///////////////v////7/////dXEAfgAHAAAABAOri614eHdFAh4AAgECAgIlAgQCBQIGAgcCCAIJAiECCwIMAg0CCAIIAggCCAIIAggCCAIIAggCCAIIAggCCAIIAggCCAIIAhICAwKCc3EAfgAAAAAAAnNxAH4ABP///////////////v////7/////dXEAfgAHAAAABD0VO3Z4eHdFAh4AAgECAgI/AgQCBQIGAgcCCAIJAiECCwIMAg0CCAIIAggCCAIIAggCCAIIAggCCAIIAggCCAIIAggCCAIIAhICAwKDc3EAfgAAAAAAAnNxAH4ABP///////////////v////7/////dXEAfgAHAAAABHEGWUl4eHdFAh4AAgECAgJBAgQCBQIGAgcCCAIJAiECCwIMAg0CCAIIAggCCAIIAggCCAIIAggCCAIIAggCCAIIAggCCAIIAhICAwKEc3EAfgAAAAAAAnNxAH4ABP///////////////v////7/////dXEAfgAHAAAABEI0vHx4eA==]]></xxe4awand>
</file>

<file path=customXml/item4.xml><?xml version="1.0" encoding="utf-8"?>
<xxe4awand xmlns="http://www.excel4apps.com"><![CDATA[rO0ABXfZCMCtii8ABEkDAh4AAERjb20uZXhjZWw0YXBwcy53YW5kLm9yYWNsZS5n
bHdhbmQuY2FsY3VsYXRpb25zLmdldGJhbGFuY2UuR2V0QmFsYW5jZQIBAAkzNzcw
NzgwODACAgABMAIDAAYyMDE4MDICBAADWVREAgUAA1VTRAIGAAVUb3RhbAIHAAFB
AggAAAIJAAMwMDECCgAGMTkxMDEwAgsAAkdEAgwAAldBAg0AAkRMAggCCAIIAggC
CAIIAggCCAIIAggCCAIIAggCCAIIAggCCAIO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Typx+Xh4d00CHgACAQICAhsABjIwMTcwOAIEAgUCBgIHAggCCQIKAgsCDAIN
AggCCAIIAggCCAIIAggCCAIIAggCCAIIAggCCAIIAggCCAIOAgMCHHNxAH4AAAAA
AAJzcQB+AAT///////////////7////+/////3VxAH4ABwAAAARlMUGreHh3TQIeAAIBAgICHQAGMjAxNzA1AgQCBQIGAgcCCAIJAgoCCwIMAg0CCAIIAggCCAIIAggCCAIIAggCCAIIAggCCAIIAggCCAIIAg4CAwIec3EAfgAAAAAAAnNxAH4ABP///////////////v////7/////dXEAfgAHAAAABFn95fJ4eHdNAh4AAgECAgIfAAYyMDE3MDECBAIFAgYCBwIIAgkCCgILAgwCDQIIAggCCAIIAggCCAIIAggCCAIIAggCCAIIAggCCAIIAggCDgIDAiBzcQB+AAAAAAACc3EAfgAE///////////////+/////v////91cQB+AAcAAAAEPRU7dnh4d00CHgACAQICAiEABjIwMTcwMwIEAgUCBgIHAggCCQIKAgsCDAINAggCCAIIAggCCAIIAggCCAIIAggCCAIIAggCCAIIAggCCAIOAgMCInNxAH4AAAAAAAJzcQB+AAT///////////////7////+/////3VxAH4ABwAAAARTY5smeHh3TQIeAAIBAgICIwAGMjAxNzEyAgQCBQIGAgcCCAIJAgoCCwIMAg0CCAIIAggCCAIIAggCCAIIAggCCAIIAggCCAIIAggCCAIIAg4CAwIkc3EAfgAAAAAAAnNxAH4ABP///////////////v////7/////dXEAfgAHAAAABEI0vHx4eHdNAh4AAgECAgIlAAYyMDE3MTACBAIFAgYCBwIIAgkCCgILAgwCDQIIAggCCAIIAggCCAIIAggCCAIIAggCCAIIAggCCAIIAggCDgIDAiZzcQB+AAAAAAACc3EAfgAE///////////////+/////v////91cQB+AAcAAAAEgtyI8Xh4d00CHgACAQICAicABjIwMTcwMgIEAgUCBgIHAggCCQIKAgsCDAINAggCCAIIAggCCAIIAggCCAIIAggCCAIIAggCCAIIAggCCAIOAgMCKHNxAH4AAAAAAAJzcQB+AAT///////////////7////+/////3VxAH4ABwAAAARJi1PJeHh3TQIeAAIBAgICKQAGMjAxODAzAgQCBQIGAgcCCAIJAgoCCwIMAg0CCAIIAggCCAIIAggCCAIIAggCCAIIAggCCAIIAggCCAIIAg4CAwIqc3EAfgAAAAAAAnNxAH4ABP///////////////v////7/////dXEAfgAHAAAABFJ+oxp4eHdNAh4AAgECAgIrAAYyMDE3MDQCBAIFAgYCBwIIAgkCCgILAgwCDQIIAggCCAIIAggCCAIIAggCCAIIAggCCAIIAggCCAIIAggCDgIDAixzcQB+AAAAAAACc3EAfgAE///////////////+/////v////91cQB+AAcAAAAEWnDZd3h4d00CHgACAQICAi0ABjIwMTcwOQIEAgUCBgIHAggCCQIKAgsCDAINAggCCAIIAggCCAIIAggCCAIIAggCCAIIAggCCAIIAggCCAIOAgMCLnNxAH4AAAAAAAJzcQB+AAT///////////////7////+/////3VxAH4ABwAAAARxBllJeHh3TQIeAAIBAgICLwAGMjAxNzA3AgQCBQIGAgcCCAIJAgoCCwIMAg0CCAIIAggCCAIIAggCCAIIAggCCAIIAggCCAIIAggCCAIIAg4CAwIwc3EAfgAAAAAAAnNxAH4ABP///////////////v////7/////dXEAfgAHAAAABF7UYvh4eHdNAh4AAgECAgIxAAYyMDE3MTECBAIFAgYCBwIIAgkCCgILAgwCDQIIAggCCAIIAggCCAIIAggCCAIIAggCCAIIAggCCAIIAggCDgIDAjJzcQB+AAAAAAACc3EAfgAE///////////////+/////v////91cQB+AAcAAAAEMNCqs3h4d00CHgACAQICAjMABjIwMTcwNgIEAgUCBgIHAggCCQIKAgsCDAINAggCCAIIAggCCAIIAggCCAIIAggCCAIIAggCCAIIAggCCAIOAgMCNHNxAH4AAAAAAAJzcQB+AAT///////////////7////+/////3VxAH4ABwAAAARYCwcseHh3TQIeAAIBAgICNQAGMjAxODAxAgQCBQIGAgcCCAIJAgoCCwIMAg0CCAIIAggCCAIIAggCCAIIAggCCAIIAggCCAIIAggCCAIIAg4CAwI2c3EAfgAAAAAAAnNxAH4ABP///////////////v////7/////dXEAfgAHAAAABE7u6Np4eHdgAh4AAjcACTQyMjQ5NDk4NAICAjgABjIwMTMxMgIEAgUCBgIHAggCCQI5AAYxOTEwMjUCCwIMAg0CCAIIAggCCAIIAggCCAIIAggCCAIIAggCCAIIAggCCAIIAh4CAwI6c3EAfgAAAAAAAnNxAH4ABP///////////////v////7/////dXEAfgAHAAAAAxTl5Hh4d1QCHgACOwAJMzc3MDc5MjQwAgICJwIEAgUCBgIHAggCCQIKAgsCPAACSUQCDQIIAggCCAIIAggCCAIIAggCCAIIAggCCAIIAggCCAIIAggCIQIDAj1zcQB+AAAAAAACc3EAfgAE///////////////+/////v////91cQB+AAcAAAAEIgqsMXh4d0UCHgACOwICAikCBAIFAgYCBwIIAgkCCgILAjwCDQIIAggCCAIIAggCCAIIAggCCAIIAggCCAIIAggCCAIIAggCIQIDAj5zcQB+AAAAAAACc3EAfgAE///////////////+/////v////91cQB+AAcAAAAEKsKx+Hh4d0UCHgACOwICAjUCBAIFAgYCBwIIAgkCCgILAjwCDQIIAggCCAIIAggCCAIIAggCCAIIAggCCAIIAggCCAIIAggCIQIDAj9zcQB+AAAAAAACc3EAfgAE///////////////+/////v////91cQB+AAcAAAAEKSCPhXh4d0UCHgACOwICAjMCBAIFAgYCBwIIAgkCCgILAjwCDQIIAggCCAIIAggCCAIIAggCCAIIAggCCAIIAggCCAIIAggCIQIDAkBzcQB+AAAAAAACc3EAfgAE///////////////+/////v////91cQB+AAcAAAAEKgtGIXh4d0UCHgACOwICAjECBAIFAgYCBwIIAgkCCgILAjwCDQIIAggCCAIIAggCCAIIAggCCAIIAggCCAIIAggCCAIIAggCIQIDAkFzcQB+AAAAAAACc3EAfgAE///////////////+/////v////91cQB+AAcAAAAEHCN8kHh4d0UCHgACOwICAhsCBAIFAgYCBwIIAgkCCgILAjwCDQIIAggCCAIIAggCCAIIAggCCAIIAggCCAIIAggCCAIIAggCIQIDAkJzcQB+AAAAAAACc3EAfgAE///////////////+/////v////91cQB+AAcAAAAENDlU6Hh4d0UCHgACOwICAisCBAIFAgYCBwIIAgkCCgILAjwCDQIIAggCCAIIAggCCAIIAggCCAIIAggCCAIIAggCCAIIAggCIQIDAkNzcQB+AAAAAAACc3EAfgAE///////////////+/////v////91cQB+AAcAAAAEKeDlE3h4d0UCHgACOwICAiECBAIFAgYCBwIIAgkCCgILAjwCDQIIAggCCAIIAggCCAIIAggCCAIIAggCCAIIAggCCAIIAggCIQIDAkRzcQB+AAAAAAACc3EAfgAE///////////////+/////v////91cQB+AAcAAAAEJngfcXh4d0UCHgACOwICAgMCBAIFAgYCBwIIAgkCCgILAjwCDQIIAggCCAIIAggCCAIIAggCCAIIAggCCAIIAggCCAIIAggCIQIDAkVzcQB+AAAAAAACc3EAfgAE///////////////+/////v////91cQB+AAcAAAAEKUaEtnh4d0UCHgACOwICAi8CBAIFAgYCBwIIAgkCCgILAjwCDQIIAggCCAIIAggCCAIIAggCCAIIAggCCAIIAggCCAIIAggCIQIDAkZzcQB+AAAAAAACc3EAfgAE///////////////+/////v////91cQB+AAcAAAAELpGFK3h4d0UCHgACOwICAi0CBAIFAgYCBwIIAgkCCgILAjwCDQIIAggCCAIIAggCCAIIAggCCAIIAggCCAIIAggCCAIIAggCIQIDAkdzcQB+AAAAAAACc3EAfgAE///////////////+/////v////91cQB+AAcAAAAEOUUu/nh4d0UCHgACOwICAh0CBAIFAgYCBwIIAgkCCgILAjwCDQIIAggCCAIIAggCCAIIAggCCAIIAggCCAIIAggCCAIIAggCIQIDAkhzcQB+AAAAAAACc3EAfgAE///////////////+/////v////91cQB+AAcAAAAEKiZPC3h4d0UCHgACOwICAh8CBAIFAgYCBwIIAgkCCgILAjwCDQIIAggCCAIIAggCCAIIAggCCAIIAggCCAIIAggCCAIIAggCIQIDAklzcQB+AAAAAAACc3EAfgAE///////////////+/////v////91cQB+AAcAAAAEHbH6THh4d0UCHgACOwICAiUCBAIFAgYCBwIIAgkCCgILAjwCDQIIAggCCAIIAggCCAIIAggCCAIIAggCCAIIAggCCAIIAggCIQIDAkpzcQB+AAAAAAACc3EAfgAE///////////////+/////v////91cQB+AAcAAAAEQ0RN4Hh4d0UCHgACOwICAiMCBAIFAgYCBwIIAgkCCgILAjwCDQIIAggCCAIIAggCCAIIAggCCAIIAggCCAIIAggCCAIIAggCIQIDAktzcQB+AAAAAAACc3EAfgAE///////////////+/////v////91cQB+AAcAAAAEJDRt9Hh4d1gCHgACTAAJNjY2NzA4NzYwAgICTQAGMjAxODA0AgQCBQIGAgcCCAIJAjkCCwIMAg0CCAIIAggCCAIIAggCCAIIAggCCAIIAggCCAIIAggCCAIIAgECAwJOc3EAfgAAAAAAAnNxAH4ABP///////////////v////4AAAAAdXEAfgAHAAAAAHh4d00CHgACTAICAi8CBAIFAgYCBwIIAgkCTwAGMTkxMDAwAgsCDAINAggCCAIIAggCCAIIAggCCAIIAggCCAIIAggCCAIIAggCCAIBAgMCUHNxAH4AAAAAAAJzcQB+AAT///////////////7////+/////3VxAH4ABwAAAAQCCvb0eHh3TQIeAAJMAgICUQAGMjAxNjAyAgQCBQIGAgcCCAIJAjkCCwIMAg0CCAIIAggCCAIIAggCCAIIAggCCAIIAggCCAIIAggCCAIIAgECAwJSc3EAfgAAAAAAAnNxAH4ABP///////////////v////7/////dXEAfgAHAAAAAxIVy3h4d9cCHgACTAICAh0CBAIFAgYCBwIIAgkCCgILAgwCDQIIAggCCAIIAggCCAIIAggCCAIIAggCCAIIAggCCAIIAggCAQIDAh4CHgACTAICAiMCBAIFAgYCBwIIAgkCCgILAgwCDQIIAggCCAIIAggCCAIIAggCCAIIAggCCAIIAggCCAIIAggCAQIDAiQCHgACTAICAlMABjIwMTYwNgIEAgUCBgIHAggCCQJPAgsCDAINAggCCAIIAggCCAIIAggCCAIIAggCCAIIAggCCAIIAggCCAIBAgMCVHNxAH4AAAAAAAJzcQB+AAT///////////////7////+/////3VxAH4ABwAAAAQDq4uteHh3TQIeAAJMAgICVQAGMjAxNjA1AgQCBQIGAgcCCAIJAgoCCwIMAg0CCAIIAggCCAIIAggCCAIIAggCCAIIAggCCAIIAggCCAIIAgECAwJWc3EAfgAAAAAAAnNxAH4ABP///////////////v////7/////dXEAfgAHAAAABEwrC4B4eHdNAh4AAkwCAgJXAAYyMDE2MTICBAIFAgYCBwIIAgkCTwILAgwCDQIIAggCCAIIAggCCAIIAggCCAIIAggCCAIIAggCCAIIAggCAQIDAlhzcQB+AAAAAAACc3EAfgAE///////////////+/////v////91cQB+AAcAAAAEO4uIvXh4d00CHgACTAICAlkABjIwMTYxMAIEAgUCBgIHAggCCQIKAgsCDAINAggCCAIIAggCCAIIAggCCAIIAggCCAIIAggCCAIIAggCCAIBAgMCWnNxAH4AAAAAAAJzcQB+AAT///////////////7////+/////3VxAH4ABwAAAARijcsWeHh3RQIeAAJMAgICJwIEAgUCBgIHAggCCQI5AgsCDAINAggCCAIIAggCCAIIAggCCAIIAggCCAIIAggCCAIIAggCCAIBAgMCW3NxAH4AAAAAAAJzcQB+AAT///////////////7////+/////3VxAH4ABwAAAAME+2h4eHdFAh4AAkwCAgIrAgQCBQIGAgcCCAIJAjkCCwIMAg0CCAIIAggCCAIIAggCCAIIAggCCAIIAggCCAIIAggCCAIIAgECAwJcc3EAfgAAAAAAAnNxAH4ABP///////////////v////7/////dXEAfgAHAAAAAwR0jXh4d0UCHgACTAICAlUCBAIFAgYCBwIIAgkCTwILAgwCDQIIAggCCAIIAggCCAIIAggCCAIIAggCCAIIAggCCAIIAggCAQIDAl1zcQB+AAAAAAACc3EAfgAE///////////////+/////v////91cQB+AAcAAAAEBDaJ43h4d00CHgACTAICAl4ABjIwMTYwMwIEAgUCBgIHAggCCQIKAgsCDAINAggCCAIIAggCCAIIAggCCAIIAggCCAIIAggCCAIIAggCCAIBAgMCX3NxAH4AAAAAAAJzcQB+AAT///////////////7////+/////3VxAH4ABwAAAAQ9+1bieHh3RQIeAAJMAgICXgIEAgUCBgIHAggCCQI5AgsCDAINAggCCAIIAggCCAIIAggCCAIIAggCCAIIAggCCAIIAggCCAIBAgMCYHNxAH4AAAAAAAJzcQB+AAT///////////////7////+/////3VxAH4ABwAAAAMOg914eHdFAh4AAkwCAgIzAgQCBQIGAgcCCAIJAk8CCwIMAg0CCAIIAggCCAIIAggCCAIIAggCCAIIAggCCAIIAggCCAIIAgECAwJhc3EAfgAAAAAAAnNxAH4ABP///////////////v////7/////dXEAfgAHAAAABAPdTSB4eHoAAAEcAh4AAkwCAgIpAgQCBQIGAgcCCAIJAjkCCwIMAg0CCAIIAggCCAIIAggCCAIIAggCCAIIAggCCAIIAggCCAIIAgECAwJOAh4AAkwCAgIxAgQCBQIGAgcCCAIJAgoCCwIMAg0CCAIIAggCCAIIAggCCAIIAggCCAIIAggCCAIIAggCCAIIAgECAwIyAh4AAkwCAgIrAgQCBQIGAgcCCAIJAgoCCwIMAg0CCAIIAggCCAIIAggCCAIIAggCCAIIAggCCAIIAggCCAIIAgECAwIsAh4AAkwCAgJiAAYyMDE2MDQCBAIFAgYCBwIIAgkCCgILAgwCDQIIAggCCAIIAggCCAIIAggCCAIIAggCCAIIAggCCAIIAggCAQIDAmNzcQB+AAAAAAACc3EAfgAE///////////////+/////v////91cQB+AAcAAAAESHB4r3h4d00CHgACTAICAmQABjIwMTYxMQIEAgUCBgIHAggCCQIKAgsCDAINAggCCAIIAggCCAIIAggCCAIIAggCCAIIAggCCAIIAggCCAIBAgMCZXNxAH4AAAAAAAJzcQB+AAT///////////////7////+/////3VxAH4ABwAAAAQSVBWqeHh3RQIeAAJMAgICIQIEAgUCBgIHAggCCQI5AgsCDAINAggCCAIIAggCCAIIAggCCAIIAggCCAIIAggCCAIIAggCCAIBAgMCZnNxAH4AAAAAAAJzcQB+AAT///////////////7////+/////3VxAH4ABwAAAAMEq5d4eHdFAh4AAkwCAgIlAgQCBQIGAgcCCAIJAjkCCwIMAg0CCAIIAggCCAIIAggCCAIIAggCCAIIAggCCAIIAggCCAIIAgECAwJnc3EAfgAAAAAAAnNxAH4ABP///////////////v////7/////dXEAfgAHAAAAAwPcq3h4d0UCHgACTAICAh0CBAIFAgYCBwIIAgkCTwILAgwCDQIIAggCCAIIAggCCAIIAggCCAIIAggCCAIIAggCCAIIAggCAQIDAmhzcQB+AAAAAAACc3EAfgAE///////////////+/////v////91cQB+AAcAAAAEBiEYhXh4d0UCHgACTAICAmQCBAIFAgYCBwIIAgkCOQILAgwCDQIIAggCCAIIAggCCAIIAggCCAIIAggCCAIIAggCCAIIAggCAQIDAmlzcQB+AAAAAAACc3EAfgAE///////////////+/////v////91cQB+AAcAAAADBmgreHh3RQIeAAJMAgICMQIEAgUCBgIHAggCCQJPAgsCDAINAggCCAIIAggCCAIIAggCCAIIAggCCAIIAggCCAIIAggCCAIBAgMCanNxAH4AAAAAAAJzcQB+AAT///////////////7////+/////3VxAH4ABwAAAAREule8eHh3RQIeAAJMAgICWQIEAgUCBgIHAggCCQJPAgsCDAINAggCCAIIAggCCAIIAggCCAIIAggCCAIIAggCCAIIAggCCAIBAgMCa3NxAH4AAAAAAAJzcQB+AAT///////////////7////+/////3VxAH4ABwAAAAO8XLJ4eHdFAh4AAkwCAgJiAgQCBQIGAgcCCAIJAk8CCwIMAg0CCAIIAggCCAIIAggCCAIIAggCCAIIAggCCAIIAggCCAIIAgECAwJsc3EAfgAAAAAAAnNxAH4ABP///////////////v////7/////dXEAfgAHAAAABATkMA94eHdNAh4AAkwCAgJtAAYyMDE2MDkCBAIFAgYCBwIIAgkCTwILAgwCDQIIAggCCAIIAggCCAIIAggCCAIIAggCCAIIAggCCAIIAggCAQIDAm5zcQB+AAAAAAACc3EAfgAE///////////////+/////v////91cQB+AAcAAAAEAhunbnh4d0UCHgACTAICAlUCBAIFAgYCBwIIAgkCOQILAgwCDQIIAggCCAIIAggCCAIIAggCCAIIAggCCAIIAggCCAIIAggCAQIDAm9zcQB+AAAAAAACc3EAfgAE///////////////+/////v////91cQB+AAcAAAADC4KteHh3RQIeAAJMAgICMwIEAgUCBgIHAggCCQI5AgsCDAINAggCCAIIAggCCAIIAggCCAIIAggCCAIIAggCCAIIAggCCAIBAgMCcHNxAH4AAAAAAAJzcQB+AAT///////////////7////+/////3VxAH4ABwAAAAMEQ3p4eHdFAh4AAkwCAgJXAgQCBQIGAgcCCAIJAgoCCwIMAg0CCAIIAggCCAIIAggCCAIIAggCCAIIAggCCAIIAggCCAIIAgECAwJxc3EAfgAAAAAAAnNxAH4ABP///////////////v////7/////dXEAfgAHAAAABCij2ll4eHeKAh4AAkwCAgIpAgQCBQIGAgcCCAIJAgoCCwIMAg0CCAIIAggCCAIIAggCCAIIAggCCAIIAggCCAIIAggCCAIIAgECAwIqAh4AAkwCAgIbAgQCBQIGAgcCCAIJAk8CCwIMAg0CCAIIAggCCAIIAggCCAIIAggCCAIIAggCCAIIAggCCAIIAgECAwJyc3EAfgAAAAAAAnNxAH4ABP///////////////v////7/////dXEAfgAHAAAAAzKU1nh4d00CHgACTAICAnMABjIwMTYwNwIEAgUCBgIHAggCCQJPAgsCDAINAggCCAIIAggCCAIIAggCCAIIAggCCAIIAggCCAIIAggCCAIBAgMCdHNxAH4AAAAAAAJzcQB+AAT///////////////7////+/////3VxAH4ABwAAAAQDNpKZeHh3zwIeAAJMAgICJwIEAgUCBgIHAggCCQIKAgsCDAINAggCCAIIAggCCAIIAggCCAIIAggCCAIIAggCCAIIAggCCAIBAgMCKAIeAAJMAgICLwIEAgUCBgIHAggCCQIKAgsCDAINAggCCAIIAggCCAIIAggCCAIIAggCCAIIAggCCAIIAggCCAIBAgMCMAIeAAJMAgICUwIEAgUCBgIHAggCCQIKAgsCDAINAggCCAIIAggCCAIIAggCCAIIAggCCAIIAggCCAIIAggCCAIBAgMCdXNxAH4AAAAAAAJzcQB+AAT///////////////7////+/////3VxAH4ABwAAAARUiEubeHh31wIeAAJMAgICJQIEAgUCBgIHAggCCQIKAgsCDAINAggCCAIIAggCCAIIAggCCAIIAggCCAIIAggCCAIIAggCCAIBAgMCJgIeAAJMAgICAwIEAgUCBgIHAggCCQI5AgsCDAINAggCCAIIAggCCAIIAggCCAIIAggCCAIIAggCCAIIAggCCAIBAgMCTgIeAAJMAgICdgAGMjAxNjA4AgQCBQIGAgcCCAIJAjkCCwIMAg0CCAIIAggCCAIIAggCCAIIAggCCAIIAggCCAIIAggCCAIIAgECAwJ3c3EAfgAAAAAAAnNxAH4ABP///////////////v////7/////dXEAfgAHAAAAAwi2nHh4d4oCHgACTAICAiMCBAIFAgYCBwIIAgkCOQILAgwCDQIIAggCCAIIAggCCAIIAggCCAIIAggCCAIIAggCCAIIAggCAQIDAk4CHgACTAICAjUCBAIFAgYCBwIIAgkCTwILAgwCDQIIAggCCAIIAggCCAIIAggCCAIIAggCCAIIAggCCAIIAggCAQIDAnhzcQB+AAAAAAACc3EAfgAE///////////////+/////v////91cQB+AAcAAAAEJnGjV3h4d0UCHgACTAICAi0CBAIFAgYCBwIIAgkCOQILAgwCDQIIAggCCAIIAggCCAIIAggCCAIIAggCCAIIAggCCAIIAggCAQIDAnlzcQB+AAAAAAACc3EAfgAE///////////////+/////v////91cQB+AAcAAAADBA6ueHh3RQIeAAJMAgICHwIEAgUCBgIHAggCCQI5AgsCDAINAggCCAIIAggCCAIIAggCCAIIAggCCAIIAggCCAIIAggCCAIBAgMCenNxAH4AAAAAAAJzcQB+AAT///////////////7////+/////3VxAH4ABwAAAAMFZP94eHdFAh4AAkwCAgJtAgQCBQIGAgcCCAIJAgoCCwIMAg0CCAIIAggCCAIIAggCCAIIAggCCAIIAggCCAIIAggCCAIIAgECAwJ7c3EAfgAAAAAAAnNxAH4ABP///////////////v////7/////dXEAfgAHAAAABGExCBR4eHfPAh4AAkwCAgIfAgQCBQIGAgcCCAIJAgoCCwIMAg0CCAIIAggCCAIIAggCCAIIAggCCAIIAggCCAIIAggCCAIIAgECAwIgAh4AAkwCAgIDAgQCBQIGAgcCCAIJAgoCCwIMAg0CCAIIAggCCAIIAggCCAIIAggCCAIIAggCCAIIAggCCAIIAgECAwIOAh4AAkwCAgJRAgQCBQIGAgcCCAIJAk8CCwIMAg0CCAIIAggCCAIIAggCCAIIAggCCAIIAggCCAIIAggCCAIIAgECAwJ8c3EAfgAAAAAAAnNxAH4ABP///////////////v////7/////dXEAfgAHAAAABAgl/7F4eHdFAh4AAkwCAgJzAgQCBQIGAgcCCAIJAjkCCwIMAg0CCAIIAggCCAIIAggCCAIIAggCCAIIAggCCAIIAggCCAIIAgECAwJ9c3EAfgAAAAAAAnNxAH4ABP///////////////v////7/////dXEAfgAHAAAAAwmef3h4d0UCHgACTAICAiECBAIFAgYCBwIIAgkCTwILAgwCDQIIAggCCAIIAggCCAIIAggCCAIIAggCCAIIAggCCAIIAggCAQIDAn5zcQB+AAAAAAACc3EAfgAE///////////////+/////v////91cQB+AAcAAAAEEP3yI3h4d0UCHgACTAICAk0CBAIFAgYCBwIIAgkCTwILAgwCDQIIAggCCAIIAggCCAIIAggCCAIIAggCCAIIAggCCAIIAggCAQIDAn9zcQB+AAAAAAACc3EAfgAE///////////////+/////v////91cQB+AAcAAAAEBxk/mXh4d0UCHgACTAICAhsCBAIFAgYCBwIIAgkCOQILAgwCDQIIAggCCAIIAggCCAIIAggCCAIIAggCCAIIAggCCAIIAggCAQIDAoBzcQB+AAAAAAACc3EAfgAE///////////////+/////v////91cQB+AAcAAAADBCUJeHh3RQIeAAJMAgICJQIEAgUCBgIHAggCCQJPAgsCDAINAggCCAIIAggCCAIIAggCCAIIAggCCAIIAggCCAIIAggCCAIBAgMCgXNxAH4AAAAAAAJzcQB+AAT///////////////7////+AAAAAXVxAH4ABwAAAAQJDRX9eHh3zwIeAAJMAgICLQIEAgUCBgIHAggCCQIKAgsCDAINAggCCAIIAggCCAIIAggCCAIIAggCCAIIAggCCAIIAggCCAIBAgMCLgIeAAJMAgICNQIEAgUCBgIHAggCCQIKAgsCDAINAggCCAIIAggCCAIIAggCCAIIAggCCAIIAggCCAIIAggCCAIBAgMCNgIeAAJMAgICJwIEAgUCBgIHAggCCQJPAgsCDAINAggCCAIIAggCCAIIAggCCAIIAggCCAIIAggCCAIIAggCCAIBAgMCgnNxAH4AAAAAAAJzcQB+AAT///////////////7////+/////3VxAH4ABwAAAAQbRzHTeHh3RQIeAAJMAgICUwIEAgUCBgIHAggCCQI5AgsCDAINAggCCAIIAggCCAIIAggCCAIIAggCCAIIAggCCAIIAggCCAIBAgMCg3NxAH4AAAAAAAJzcQB+AAT///////////////7////+/////3VxAH4ABwAAAAMKgFR4eHdFAh4AAkwCAgJ2AgQCBQIGAgcCCAIJAgoCCwIMAg0CCAIIAggCCAIIAggCCAIIAggCCAIIAggCCAIIAggCCAIIAgECAwKEc3EAfgAAAAAAAnNxAH4ABP///////////////v////7/////dXEAfgAHAAAABF1XUMl4eHdFAh4AAkwCAgIvAgQCBQIGAgcCCAIJAjkCCwIMAg0CCAIIAggCCAIIAggCCAIIAggCCAIIAggCCAIIAggCCAIIAgECAwKFc3EAfgAAAAAAAnNxAH4ABP///////////////v////7/////dXEAfgAHAAAAAwQ0OHh4d0UCHgACTAICAikCBAIFAgYCBwIIAgkCTwILAgwCDQIIAggCCAIIAggCCAIIAggCCAIIAggCCAIIAggCCAIIAggCAQIDAoZzcQB+AAAAAAACc3EAfgAE///////////////+/////v////91cQB+AAcAAAAEDlPJjHh4d0UCHgACTAICAk0CBAIFAgYCBwIIAgkCCgILAgwCDQIIAggCCAIIAggCCAIIAggCCAIIAggCCAIIAggCCAIIAggCAQIDAodzcQB+AAAAAAACc3EAfgAE///////////////+/////v////91cQB+AAcAAAAEWqnIX3h4d4oCHgACTAICAiECBAIFAgYCBwIIAgkCCgILAgwCDQIIAggCCAIIAggCCAIIAggCCAIIAggCCAIIAggCCAIIAggCAQIDAiICHgACTAICAlECBAIFAgYCBwIIAgkCCgILAgwCDQIIAggCCAIIAggCCAIIAggCCAIIAggCCAIIAggCCAIIAggCAQIDAohzcQB+AAAAAAACc3EAfgAE///////////////+/////v////91cQB+AAcAAAAENzj1T3h4d0UCHgACTAICAmICBAIFAgYCBwIIAgkCOQILAgwCDQIIAggCCAIIAggCCAIIAggCCAIIAggCCAIIAggCCAIIAggCAQIDAolzcQB+AAAAAAACc3EAfgAE///////////////+/////v////91cQB+AAcAAAADDMb+eHh3RQIeAAJMAgICbQIEAgUCBgIHAggCCQI5AgsCDAINAggCCAIIAggCCAIIAggCCAIIAggCCAIIAggCCAIIAggCCAIBAgMCinNxAH4AAAAAAAJzcQB+AAT///////////////7////+/////3VxAH4ABwAAAAMHjdR4eHeKAh4AAkwCAgIbAgQCBQIGAgcCCAIJAgoCCwIMAg0CCAIIAggCCAIIAggCCAIIAggCCAIIAggCCAIIAggCCAIIAgECAwIcAh4AAkwCAgJ2AgQCBQIGAgcCCAIJAk8CCwIMAg0CCAIIAggCCAIIAggCCAIIAggCCAIIAggCCAIIAggCCAIIAgECAwKLc3EAfgAAAAAAAnNxAH4ABP///////////////v////7/////dXEAfgAHAAAABAK9P6R4eHeKAh4AAkwCAgI1AgQCBQIGAgcCCAIJAjkCCwIMAg0CCAIIAggCCAIIAggCCAIIAggCCAIIAggCCAIIAggCCAIIAgECAwJOAh4AAkwCAgJZAgQCBQIGAgcCCAIJAjkCCwIMAg0CCAIIAggCCAIIAggCCAIIAggCCAIIAggCCAIIAggCCAIIAgECAwKMc3EAfgAAAAAAAnNxAH4ABP///////////////v////7/////dXEAfgAHAAAAAwU/r3h4d0UCHgACTAICAi0CBAIFAgYCBwIIAgkCTwILAgwCDQIIAggCCAIIAggCCAIIAggCCAIIAggCCAIIAggCCAIIAggCAQIDAo1zcQB+AAAAAAACc3EAfgAE///////////////+/////gAAAAF1cQB+AAcAAAAEAo6woHh4d0UCHgACTAICAiMCBAIFAgYCBwIIAgkCTwILAgwCDQIIAggCCAIIAggCCAIIAggCCAIIAggCCAIIAggCCAIIAggCAQIDAo5zcQB+AAAAAAACc3EAfgAE///////////////+/////v////91cQB+AAcAAAAENEm+I3h4d0UCHgACTAICAh8CBAIFAgYCBwIIAgkCTwILAgwCDQIIAggCCAIIAggCCAIIAggCCAIIAggCCAIIAggCCAIIAggCAQIDAo9zcQB+AAAAAAACc3EAfgAE///////////////+/////v////91cQB+AAcAAAAEKOmGtnh4d0UCHgACTAICAnMCBAIFAgYCBwIIAgkCCgILAgwCDQIIAggCCAIIAggCCAIIAggCCAIIAggCCAIIAggCCAIIAggCAQIDApBzcQB+AAAAAAACc3EAfgAE///////////////+/////v////91cQB+AAcAAAAEWi+1rXh4d4oCHgACTAICAjECBAIFAgYCBwIIAgkCOQILAgwCDQIIAggCCAIIAggCCAIIAggCCAIIAggCCAIIAggCCAIIAggCAQIDAk4CHgACTAICAgMCBAIFAgYCBwIIAgkCTwILAgwCDQIIAggCCAIIAggCCAIIAggCCAIIAggCCAIIAggCCAIIAggCAQIDApFzcQB+AAAAAAACc3EAfgAE///////////////+/////v////91cQB+AAcAAAAEGWLnZXh4d0UCHgACTAICAlcCBAIFAgYCBwIIAgkCOQILAgwCDQIIAggCCAIIAggCCAIIAggCCAIIAggCCAIIAggCCAIIAggCAQIDApJzcQB+AAAAAAACc3EAfgAE///////////////+/////v////91cQB+AAcAAAADBtyTeHh3RQIeAAJMAgICXgIEAgUCBgIHAggCCQJPAgsCDAINAggCCAIIAggCCAIIAggCCAIIAggCCAIIAggCCAIIAggCCAIBAgMCk3NxAH4AAAAAAAJzcQB+AAT///////////////7////+/////3VxAH4ABwAAAAQF6I5ueHh3igIeAAJMAgICMwIEAgUCBgIHAggCCQIKAgsCDAINAggCCAIIAggCCAIIAggCCAIIAggCCAIIAggCCAIIAggCCAIBAgMCNAIeAAJMAgICZAIEAgUCBgIHAggCCQJPAgsCDAINAggCCAIIAggCCAIIAggCCAIIAggCCAIIAggCCAIIAggCCAIBAgMClHNxAH4AAAAAAAJzcQB+AAT///////////////7////+/////3VxAH4ABwAAAARMQw4VeHh3RQIeAAJMAgICKwIEAgUCBgIHAggCCQJPAgsCDAINAggCCAIIAggCCAIIAggCCAIIAggCCAIIAggCCAIIAggCCAIBAgMClXNxAH4AAAAAAAJzcQB+AAT///////////////7////+/////3VxAH4ABwAAAAQJ8GpGeHh3RQIeAAJMAgICHQIEAgUCBgIHAggCCQI5AgsCDAINAggCCAIIAggCCAIIAggCCAIIAggCCAIIAggCCAIIAggCCAIBAgMClnNxAH4AAAAAAAJzcQB+AAT///////////////7////+/////3VxAH4ABwAAAAMEVit4eHdQAh4AApcACTM3MTI1MTUwNAICAlcCBAIFAgYCBwIIAgkCCgILAjwCDQIIAggCCAIIAggCCAIIAggCCAIIAggCCAIIAggCCAIIAggCFQIDAphzcQB+AAAAAAACc3EAfgAE///////////////+/////v////91cQB+AAcAAAAEFay1n3h4d00CHgAClwICAlUCBAIFAgYCBwIIAgkCmQAGMTkxMDE1AgsCPAINAggCCAIIAggCCAIIAggCCAIIAggCCAIIAggCCAIIAggCCAIVAgMCmnNxAH4AAAAAAAJzcQB+AAT///////////////7////+/////3VxAH4ABwAAAAMSY394eHdFAh4AApcCAgIbAgQCBQIGAgcCCAIJAk8CCwI8Ag0CCAIIAggCCAIIAggCCAIIAggCCAIIAggCCAIIAggCCAIIAhUCAwKbc3EAfgAAAAAAAnNxAH4ABP///////////////v////4AAAABdXEAfgAHAAAAA/+JXnh4d4oCHgAClwICAiMCBAIFAgYCBwIIAgkCmQILAjwCDQIIAggCCAIIAggCCAIIAggCCAIIAggCCAIIAggCCAIIAggCFQIDAk4CHgAClwICAmQCBAIFAgYCBwIIAgkCmQILAjwCDQIIAggCCAIIAggCCAIIAggCCAIIAggCCAIIAggCCAIIAggCFQIDApxzcQB+AAAAAAACc3EAfgAE///////////////+/////v////91cQB+AAcAAAADEnsVeHh3RQIeAAKXAgICLQIEAgUCBgIHAggCCQJPAgsCPAINAggCCAIIAggCCAIIAggCCAIIAggCCAIIAggCCAIIAggCCAIVAgMCnXNxAH4AAAAAAAJzcQB+AAT///////////////7////+AAAAAXVxAH4ABwAAAAQCWhLSeHh3RQIeAAKXAgICdgIEAgUCBgIHAggCCQJPAgsCPAINAggCCAIIAggCCAIIAggCCAIIAggCCAIIAggCCAIIAggCCAIVAgMCnnNxAH4AAAAAAAJzcQB+AAT///////////////7////+/////3VxAH4ABwAAAAOesqp4eHdFAh4AApcCAgI1AgQCBQIGAgcCCAIJAk8CCwI8Ag0CCAIIAggCCAIIAggCCAIIAggCCAIIAggCCAIIAggCCAIIAhUCAwKfc3EAfgAAAAAAAnNxAH4ABP///////////////v////7/////dXEAfgAHAAAABBCmiyR4eHeKAh4AApcCAgIvAgQCBQIGAgcCCAIJAgoCCwI8Ag0CCAIIAggCCAIIAggCCAIIAggCCAIIAggCCAIIAggCCAIIAhUCAwJGAh4AApcCAgJTAgQCBQIGAgcCCAIJAgoCCwI8Ag0CCAIIAggCCAIIAggCCAIIAggCCAIIAggCCAIIAggCCAIIAhUCAwKgc3EAfgAAAAAAAnNxAH4ABP///////////////v////7/////dXEAfgAHAAAABCsQC1F4eHdFAh4AApcCAgIdAgQCBQIGAgcCCAIJApkCCwI8Ag0CCAIIAggCCAIIAggCCAIIAggCCAIIAggCCAIIAggCCAIIAhUCAwKhc3EAfgAAAAAAAnNxAH4ABP///////////////v////7/////dXEAfgAHAAAAAxKSynh4d0UCHgAClwICAi8CBAIFAgYCBwIIAgkCmQILAjwCDQIIAggCCAIIAggCCAIIAggCCAIIAggCCAIIAggCCAIIAggCFQIDAqJzcQB+AAAAAAACc3EAfgAE///////////////+/////v////91cQB+AAcAAAADEpq3eHh3igIeAAKXAgICIwIEAgUCBgIHAggCCQIKAgsCPAINAggCCAIIAggCCAIIAggCCAIIAggCCAIIAggCCAIIAggCCAIVAgMCSwIeAAKXAgICUwIEAgUCBgIHAggCCQKZAgsCPAINAggCCAIIAggCCAIIAggCCAIIAggCCAIIAggCCAIIAggCCAIVAgMCo3NxAH4AAAAAAAJzcQB+AAT///////////////7////+/////3VxAH4ABwAAAAMSZ2t4eHdFAh4AApcCAgIvAgQCBQIGAgcCCAIJAk8CCwI8Ag0CCAIIAggCCAIIAggCCAIIAggCCAIIAggCCAIIAggCCAIIAhUCAwKkc3EAfgAAAAAAAnNxAH4ABP///////////////v////7/////dXEAfgAHAAAAA064Cnh4d4oCHgAClwICAjMCBAIFAgYCBwIIAgkCCgILAjwCDQIIAggCCAIIAggCCAIIAggCCAIIAggCCAIIAggCCAIIAggCFQIDAkACHgAClwICAlUCBAIFAgYCBwIIAgkCCgILAjwCDQIIAggCCAIIAggCCAIIAggCCAIIAggCCAIIAggCCAIIAggCFQIDAqVzcQB+AAAAAAACc3EAfgAE///////////////+/////v////91cQB+AAcAAAAEJi8ywnh4d0UCHgAClwICAnMCBAIFAgYCBwIIAgkCTwILAjwCDQIIAggCCAIIAggCCAIIAggCCAIIAggCCAIIAggCCAIIAggCFQIDAqZzcQB+AAAAAAACc3EAfgAE///////////////+/////v////91cQB+AAcAAAAEAQaUYHh4d0UCHgAClwICAlcCBAIFAgYCBwIIAgkCmQILAjwCDQIIAggCCAIIAggCCAIIAggCCAIIAggCCAIIAggCCAIIAggCFQIDAqdzcQB+AAAAAAACc3EAfgAE///////////////+/////v////91cQB+AAcAAAADEn8GeHh3RQIeAAKXAgICMwIEAgUCBgIHAggCCQKZAgsCPAINAggCCAIIAggCCAIIAggCCAIIAggCCAIIAggCCAIIAggCCAIVAgMCqHNxAH4AAAAAAAJzcQB+AAT///////////////7////+/////3VxAH4ABwAAAAMSlsB4eHdFAh4AApcCAgJZAgQCBQIGAgcCCAIJAgoCCwI8Ag0CCAIIAggCCAIIAggCCAIIAggCCAIIAggCCAIIAggCCAIIAhUCAwKpc3EAfgAAAAAAAnNxAH4ABP///////////////v////7/////dXEAfgAHAAAABDSYRyN4eHeKAh4AApcCAgI1AgQCBQIGAgcCCAIJAgoCCwI8Ag0CCAIIAggCCAIIAggCCAIIAggCCAIIAggCCAIIAggCCAIIAhUCAwI/Ah4AApcCAgIzAgQCBQIGAgcCCAIJAk8CCwI8Ag0CCAIIAggCCAIIAggCCAIIAggCCAIIAggCCAIIAggCCAIIAhUCAwKqc3EAfgAAAAAAAnNxAH4ABP///////////////v////7/////dXEAfgAHAAAABAFtStJ4eHdFAh4AApcCAgIfAgQCBQIGAgcCCAIJAk8CCwI8Ag0CCAIIAggCCAIIAggCCAIIAggCCAIIAggCCAIIAggCCAIIAhUCAwKrc3EAfgAAAAAAAnNxAH4ABP///////////////v////7/////dXEAfgAHAAAABBQ694N4eHeKAh4AApcCAgIdAgQCBQIGAgcCCAIJAgoCCwI8Ag0CCAIIAggCCAIIAggCCAIIAggCCAIIAggCCAIIAggCCAIIAhUCAwJIAh4AApcCAgJiAgQCBQIGAgcCCAIJAgoCCwI8Ag0CCAIIAggCCAIIAggCCAIIAggCCAIIAggCCAIIAggCCAIIAhUCAwKsc3EAfgAAAAAAAnNxAH4ABP///////////////v////7/////dXEAfgAHAAAABCPGeP14eHdFAh4AApcCAgJkAgQCBQIGAgcCCAIJAk8CCwI8Ag0CCAIIAggCCAIIAggCCAIIAggCCAIIAggCCAIIAggCCAIIAhUCAwKtc3EAfgAAAAAAAnNxAH4ABP///////////////v////7/////dXEAfgAHAAAABCWQ0ft4eHdFAh4AApcCAgIjAgQCBQIGAgcCCAIJAk8CCwI8Ag0CCAIIAggCCAIIAggCCAIIAggCCAIIAggCCAIIAggCCAIIAhUCAwKuc3EAfgAAAAAAAnNxAH4ABP///////////////v////7/////dXEAfgAHAAAABBa3qKJ4eHdFAh4AApcCAgJRAgQCBQIGAgcCCAIJApkCCwI8Ag0CCAIIAggCCAIIAggCCAIIAggCCAIIAggCCAIIAggCCAIIAhUCAwKvc3EAfgAAAAAAAnNxAH4ABP///////////////v////7/////dXEAfgAHAAAAAxJXv3h4d0UCHgAClwICAiECBAIFAgYCBwIIAgkCmQILAjwCDQIIAggCCAIIAggCCAIIAggCCAIIAggCCAIIAggCCAIIAggCFQIDArBzcQB+AAAAAAACc3EAfgAE///////////////+/////v////91cQB+AAcAAAADEorfeHh3RQIeAAKXAgICYgIEAgUCBgIHAggCCQKZAgsCPAINAggCCAIIAggCCAIIAggCCAIIAggCCAIIAggCCAIIAggCCAIVAgMCsXNxAH4AAAAAAAJzcQB+AAT///////////////7////+/////3VxAH4ABwAAAAMSX5R4eHeKAh4AApcCAgI1AgQCBQIGAgcCCAIJApkCCwI8Ag0CCAIIAggCCAIIAggCCAIIAggCCAIIAggCCAIIAggCCAIIAhUCAwJOAh4AApcCAgIDAgQCBQIGAgcCCAIJAk8CCwI8Ag0CCAIIAggCCAIIAggCCAIIAggCCAIIAggCCAIIAggCCAIIAhUCAwKyc3EAfgAAAAAAAnNxAH4ABP///////////////v////7/////dXEAfgAHAAAABAor0+d4eHdFAh4AApcCAgJZAgQCBQIGAgcCCAIJApkCCwI8Ag0CCAIIAggCCAIIAggCCAIIAggCCAIIAggCCAIIAggCCAIIAhUCAwKzc3EAfgAAAAAAAnNxAH4ABP///////////////v////7/////dXEAfgAHAAAAAxJ3JXh4d0UCHgAClwICAnMCBAIFAgYCBwIIAgkCmQILAjwCDQIIAggCCAIIAggCCAIIAggCCAIIAggCCAIIAggCCAIIAggCFQIDArRzcQB+AAAAAAACc3EAfgAE///////////////+/////v////91cQB+AAcAAAADEmtYeHh3RQIeAAKXAgICcwIEAgUCBgIHAggCCQIKAgsCPAINAggCCAIIAggCCAIIAggCCAIIAggCCAIIAggCCAIIAggCCAIVAgMCtXNxAH4AAAAAAAJzcQB+AAT///////////////7////+/////3VxAH4ABwAAAAQu/eCSeHh3igIeAAKXAgICGwIEAgUCBgIHAggCCQIKAgsCPAINAggCCAIIAggCCAIIAggCCAIIAggCCAIIAggCCAIIAggCCAIVAgMCQgIeAAKXAgICVQIEAgUCBgIHAggCCQJPAgsCPAINAggCCAIIAggCCAIIAggCCAIIAggCCAIIAggCCAIIAggCCAIVAgMCtnNxAH4AAAAAAAJzcQB+AAT///////////////7////+/////3VxAH4ABwAAAAQBzUp3eHh3zwIeAAKXAgICMQIEAgUCBgIHAggCCQIKAgsCPAINAggCCAIIAggCCAIIAggCCAIIAggCCAIIAggCCAIIAggCCAIVAgMCQQIeAAKXAgICMQIEAgUCBgIHAggCCQKZAgsCPAINAggCCAIIAggCCAIIAggCCAIIAggCCAIIAggCCAIIAggCCAIVAgMCTgIeAAKXAgICGwIEAgUCBgIHAggCCQKZAgsCPAINAggCCAIIAggCCAIIAggCCAIIAggCCAIIAggCCAIIAggCCAIVAgMCt3NxAH4AAAAAAAJzcQB+AAT///////////////7////+/////3VxAH4ABwAAAAMSnq94eHeKAh4AApcCAgInAgQCBQIGAgcCCAIJAgoCCwI8Ag0CCAIIAggCCAIIAggCCAIIAggCCAIIAggCCAIIAggCCAIIAhUCAwI9Ah4AApcCAgJeAgQCBQIGAgcCCAIJAk8CCwI8Ag0CCAIIAggCCAIIAggCCAIIAggCCAIIAggCCAIIAggCCAIIAhUCAwK4c3EAfgAAAAAAAnNxAH4ABP///////////////v////7/////dXEAfgAHAAAABAL7S4t4eHdFAh4AApcCAgIlAgQCBQIGAgcCCAIJAk8CCwI8Ag0CCAIIAggCCAIIAggCCAIIAggCCAIIAggCCAIIAggCCAIIAhUCAwK5c3EAfgAAAAAAAnNxAH4ABP///////////////v////4AAAABdXEAfgAHAAAABAYbWmp4eHdFAh4AApcCAgIrAgQCBQIGAgcCCAIJAk8CCwI8Ag0CCAIIAggCCAIIAggCCAIIAggCCAIIAggCCAIIAggCCAIIAhUCAwK6c3EAfgAAAAAAAnNxAH4ABP///////////////v////7/////dXEAfgAHAAAABAUEo0F4eHeKAh4AApcCAgIDAgQCBQIGAgcCCAIJApkCCwI8Ag0CCAIIAggCCAIIAggCCAIIAggCCAIIAggCCAIIAggCCAIIAhUCAwJOAh4AApcCAgJRAgQCBQIGAgcCCAIJAk8CCwI8Ag0CCAIIAggCCAIIAggCCAIIAggCCAIIAggCCAIIAggCCAIIAhUCAwK7c3EAfgAAAAAAAnNxAH4ABP///////////////v////7/////dXEAfgAHAAAABARbkhB4eHeKAh4AApcCAgIhAgQCBQIGAgcCCAIJAgoCCwI8Ag0CCAIIAggCCAIIAggCCAIIAggCCAIIAggCCAIIAggCCAIIAhUCAwJEAh4AApcCAgJRAgQCBQIGAgcCCAIJAgoCCwI8Ag0CCAIIAggCCAIIAggCCAIIAggCCAIIAggCCAIIAggCCAIIAhUCAwK8c3EAfgAAAAAAAnNxAH4ABP///////////////v////7/////dXEAfgAHAAAABBuzHlx4eHdFAh4AApcCAgIfAgQCBQIGAgcCCAIJApkCCwI8Ag0CCAIIAggCCAIIAggCCAIIAggCCAIIAggCCAIIAggCCAIIAhUCAwK9c3EAfgAAAAAAAnNxAH4ABP///////////////v////7/////dXEAfgAHAAAAAxKC+Hh4d88CHgAClwICAgMCBAIFAgYCBwIIAgkCCgILAjwCDQIIAggCCAIIAggCCAIIAggCCAIIAggCCAIIAggCCAIIAggCFQIDAkUCHgAClwICAh8CBAIFAgYCBwIIAgkCCgILAjwCDQIIAggCCAIIAggCCAIIAggCCAIIAggCCAIIAggCCAIIAggCFQIDAkkCHgAClwICAm0CBAIFAgYCBwIIAgkCCgILAjwCDQIIAggCCAIIAggCCAIIAggCCAIIAggCCAIIAggCCAIIAggCFQIDAr5zcQB+AAAAAAACc3EAfgAE///////////////+/////v////91cQB+AAcAAAAEM7yWknh4d0UCHgAClwICAiECBAIFAgYCBwIIAgkCTwILAjwCDQIIAggCCAIIAggCCAIIAggCCAIIAggCCAIIAggCCAIIAggCFQIDAr9zcQB+AAAAAAACc3EAfgAE///////////////+/////v////91cQB+AAcAAAAECL1IIXh4d0UCHgAClwICAlkCBAIFAgYCBwIIAgkCTwILAjwCDQIIAggCCAIIAggCCAIIAggCCAIIAggCCAIIAggCCAIIAggCFQIDAsBzcQB+AAAAAAACc3EAfgAE///////////////+/////gAAAAF1cQB+AAcAAAADuXJ8eHh3RQIeAAKXAgICMQIEAgUCBgIHAggCCQJPAgsCPAINAggCCAIIAggCCAIIAggCCAIIAggCCAIIAggCCAIIAggCCAIVAgMCwXNxAH4AAAAAAAJzcQB+AAT///////////////7////+/////3VxAH4ABwAAAAQewHRseHh3RQIeAAKXAgICbQIEAgUCBgIHAggCCQKZAgsCPAINAggCCAIIAggCCAIIAggCCAIIAggCCAIIAggCCAIIAggCCAIVAgMCwnNxAH4AAAAAAAJzcQB+AAT///////////////7////+/////3VxAH4ABwAAAAMSczV4eHdFAh4AApcCAgInAgQCBQIGAgcCCAIJApkCCwI8Ag0CCAIIAggCCAIIAggCCAIIAggCCAIIAggCCAIIAggCCAIIAhUCAwLDc3EAfgAAAAAAAnNxAH4ABP///////////////v////7/////dXEAfgAHAAAAAxKG63h4d4oCHgAClwICAi0CBAIFAgYCBwIIAgkCCgILAjwCDQIIAggCCAIIAggCCAIIAggCCAIIAggCCAIIAggCCAIIAggCFQIDAkcCHgAClwICAnYCBAIFAgYCBwIIAgkCCgILAjwCDQIIAggCCAIIAggCCAIIAggCCAIIAggCCAIIAggCCAIIAggCFQIDAsRzcQB+AAAAAAACc3EAfgAE///////////////+/////v////91cQB+AAcAAAAEMe+1GXh4d0UCHgAClwICAl4CBAIFAgYCBwIIAgkCmQILAjwCDQIIAggCCAIIAggCCAIIAggCCAIIAggCCAIIAggCCAIIAggCFQIDAsVzcQB+AAAAAAACc3EAfgAE///////////////+/////v////91cQB+AAcAAAADElupeHh3RQIeAAKXAgICJwIEAgUCBgIHAggCCQJPAgsCPAINAggCCAIIAggCCAIIAggCCAIIAggCCAIIAggCCAIIAggCCAIVAgMCxnNxAH4AAAAAAAJzcQB+AAT///////////////7////+/////3VxAH4ABwAAAAQOCxxKeHh3RQIeAAKXAgICdgIEAgUCBgIHAggCCQKZAgsCPAINAggCCAIIAggCCAIIAggCCAIIAggCCAIIAggCCAIIAggCCAIVAgMCx3NxAH4AAAAAAAJzcQB+AAT///////////////7////+/////3VxAH4ABwAAAAMSb0Z4eHeKAh4AApcCAgIlAgQCBQIGAgcCCAIJAgoCCwI8Ag0CCAIIAggCCAIIAggCCAIIAggCCAIIAggCCAIIAggCCAIIAhUCAwJKAh4AApcCAgJTAgQCBQIGAgcCCAIJAk8CCwI8Ag0CCAIIAggCCAIIAggCCAIIAggCCAIIAggCCAIIAggCCAIIAhUCAwLIc3EAfgAAAAAAAnNxAH4ABP///////////////v////7/////dXEAfgAHAAAABAFkyvJ4eHdFAh4AApcCAgIlAgQCBQIGAgcCCAIJApkCCwI8Ag0CCAIIAggCCAIIAggCCAIIAggCCAIIAggCCAIIAggCCAIIAhUCAwLJc3EAfgAAAAAAAnNxAH4ABP///////////////v////7/////dXEAfgAHAAAAAxKmonh4d0UCHgAClwICAi0CBAIFAgYCBwIIAgkCmQILAjwCDQIIAggCCAIIAggCCAIIAggCCAIIAggCCAIIAggCCAIIAggCFQIDAspzcQB+AAAAAAACc3EAfgAE///////////////+/////v////91cQB+AAcAAAADEqKoeHh3RQIeAAKXAgICZAIEAgUCBgIHAggCCQIKAgsCPAINAggCCAIIAggCCAIIAggCCAIIAggCCAIIAggCCAIIAggCCAIVAgMCy3NxAH4AAAAAAAJzcQB+AAT///////////////7////+/////3VxAH4ABwAAAAQL0RJ0eHh3RQIeAAKXAgICHQIEAgUCBgIHAggCCQJPAgsCPAINAggCCAIIAggCCAIIAggCCAIIAggCCAIIAggCCAIIAggCCAIVAgMCzHNxAH4AAAAAAAJzcQB+AAT///////////////7////+/////3VxAH4ABwAAAAQC12dUeHh3RQIeAAKXAgICYgIEAgUCBgIHAggCCQJPAgsCPAINAggCCAIIAggCCAIIAggCCAIIAggCCAIIAggCCAIIAggCCAIVAgMCzXNxAH4AAAAAAAJzcQB+AAT///////////////7////+/////3VxAH4ABwAAAAQCUB7peHh3RQIeAAKXAgICXgIEAgUCBgIHAggCCQIKAgsCPAINAggCCAIIAggCCAIIAggCCAIIAggCCAIIAggCCAIIAggCCAIVAgMCznNxAH4AAAAAAAJzcQB+AAT///////////////7////+/////3VxAH4ABwAAAAQerglPeHh3RQIeAAKXAgICVwIEAgUCBgIHAggCCQJPAgsCPAINAggCCAIIAggCCAIIAggCCAIIAggCCAIIAggCCAIIAggCCAIVAgMCz3NxAH4AAAAAAAJzcQB+AAT///////////////7////+/////3VxAH4ABwAAAAQdEKl0eHh3igIeAAKXAgICKwIEAgUCBgIHAggCCQIKAgsCPAINAggCCAIIAggCCAIIAggCCAIIAggCCAIIAggCCAIIAggCCAIVAgMCQwIeAAKXAgICbQIEAgUCBgIHAggCCQJPAgsCPAINAggCCAIIAggCCAIIAggCCAIIAggCCAIIAggCCAIIAggCCAIVAgMC0HNxAH4AAAAAAAJzcQB+AAT///////////////7////+/////3VxAH4ABwAAAAMy9xF4eHdFAh4AApcCAgIrAgQCBQIGAgcCCAIJApkCCwI8Ag0CCAIIAggCCAIIAggCCAIIAggCCAIIAggCCAIIAggCCAIIAhUCAwLRc3EAfgAAAAAAAnNxAH4ABP///////////////v////7/////dXEAfgAHAAAAAxKO1Hh4egAABAACHgAC0gAJMzc3MDgwNDAwAgICKwIEAgUCBgIHAggCCQJPAgsCDAINAggCCAIIAggCCAIIAggCCAIIAggCCAIIAggCCAIIAggCCAIgAgMClQIeAALSAgICMwIEAgUCBgIHAggCCQJPAgsCDAINAggCCAIIAggCCAIIAggCCAIIAggCCAIIAggCCAIIAggCCAIgAgMCYQIeAALSAgICJwIEAgUCBgIHAggCCQJPAgsCDAINAggCCAIIAggCCAIIAggCCAIIAggCCAIIAggCCAIIAggCCAIgAgMCggIeAALSAgICKQIEAgUCBgIHAggCCQJPAgsCDAINAggCCAIIAggCCAIIAggCCAIIAggCCAIIAggCCAIIAggCCAIgAgMChgIeAALSAgICMQIEAgUCBgIHAggCCQJPAgsCDAINAggCCAIIAggCCAIIAggCCAIIAggCCAIIAggCCAIIAggCCAIgAgMCagIeAALSAgICAwIEAgUCBgIHAggCCQJPAgsCDAINAggCCAIIAggCCAIIAggCCAIIAggCCAIIAggCCAIIAggCCAIgAgMCkQIeAALSAgICGwIEAgUCBgIHAggCCQJPAgsCDAINAggCCAIIAggCCAIIAggCCAIIAggCCAIIAggCCAIIAggCCAIgAgMCcgIeAALSAgICHQIEAgUCBgIHAggCCQJPAgsCDAINAggCCAIIAggCCAIIAggCCAIIAggCCAIIAggCCAIIAggCCAIgAgMCaAIeAALSAgICLwIEAgUCBgIHAggCCQJPAgsCDAINAggCCAIIAggCCAIIAggCCAIIAggCCAIIAggCCAIIAggCCAIgAgMCUAIeAALSAgICIQIEAgUCBgIHAggCCQJPAgsCDAINAggCCAIIAggCCAIIAggCCAIIAggCCAIIAggCCAIIAggCCAIgAgMCfgIeAALSAgICNQIEAgUCBgIHAggCCQJPAgsCDAINAggCCAIIAggCCAIIAggCCAIIAggCCAIIAggCCAIIAggCCAIgAgMCeAIeAALSAgICLQIEAgUCBgIHAggCCQJPAgsCDAINAggCCAIIAggCCAIIAggCCAIIAggCCAIIAggCCAIIAggCCAIgAgMCjQIeAALSAgICHwIEAgUCBgIHAggCCQJPAgsCDAINAggCCAIIAggCCAIIAggCCAIIAggCCAIIAggCCAIIAggCCAIgAgMCjwIeAALSAgICJQIEAgUCBgIHAggCCQJPAgsCDAINAggCCAIIAggCCAIIAggCCAIIAggCCAIIAggCCAIIAggCCAIgAgMCgQIeAALSAgICIwIEAgUCBgIHAggCCQJPAgsCDAINAggCCAIIAggCCAIIAggCCAIIegAAA5UCCAIIAggCCAIIAggCCAIIAiACAwKOAh4AAtMACTM3MTI0Njg2NAICAhsCBAIFAgYCBwIIAgkCCgILAjwCDQIIAggCCAIIAggCCAIIAggCCAIIAggCCAIIAggCCAIIAggAAgMCQgIeAALTAgICbQIEAgUCBgIHAggCCQJPAgsCPAINAggCCAIIAggCCAIIAggCCAIIAggCCAIIAggCCAIIAggCCAACAwLQAh4AAtMCAgIDAgQCBQIGAgcCCAIJAk8CCwI8Ag0CCAIIAggCCAIIAggCCAIIAggCCAIIAggCCAIIAggCCAIIAAIDArICHgAC0wICAlMCBAIFAgYCBwIIAgkCmQILAjwCDQIIAggCCAIIAggCCAIIAggCCAIIAggCCAIIAggCCAIIAggAAgMCowIeAALTAgICcwIEAgUCBgIHAggCCQIKAgsCPAINAggCCAIIAggCCAIIAggCCAIIAggCCAIIAggCCAIIAggCCAACAwK1Ah4AAtMCAgJzAgQCBQIGAgcCCAIJApkCCwI8Ag0CCAIIAggCCAIIAggCCAIIAggCCAIIAggCCAIIAggCCAIIAAIDArQCHgAC0wICAi8CBAIFAgYCBwIIAgkCmQILAjwCDQIIAggCCAIIAggCCAIIAggCCAIIAggCCAIIAggCCAIIAggAAgMCogIeAALTAgICdgIEAgUCBgIHAggCCQJPAgsCPAINAggCCAIIAggCCAIIAggCCAIIAggCCAIIAggCCAIIAggCCAACAwKeAh4AAtMCAgItAgQCBQIGAgcCCAIJAk8CCwI8Ag0CCAIIAggCCAIIAggCCAIIAggCCAIIAggCCAIIAggCCAIIAAIDAp0CHgAC0wICAh8CBAIFAgYCBwIIAgkCTwILAjwCDQIIAggCCAIIAggCCAIIAggCCAIIAggCCAIIAggCCAIIAggAAgMCqwIeAALTAgICNQIEAgUCBgIHAggCCQIKAgsCPAINAggCCAIIAggCCAIIAggCCAIIAggCCAIIAggCCAIIAggCCAACAwI/Ah4AAtMCAgItAgQCBQIGAgcCCAIJAgoCCwI8Ag0CCAIIAggCCAIIAggCCAIIAggCCAIIAggCCAIIAggCCAIIAAIDAkcCHgAC0wICAikCBAIFAgYCBwIIAgkCTwILAjwCDQIIAggCCAIIAggCCAIIAggCCAIIAggCCAIIAggCCAIIAggAAgMC1HNxAH4AAAAAAAJzcQB+AAT///////////////7////+/////3VxAH4ABwAAAAQE4d6ZeHh6AAAB3AIeAALTAgICdgIEAgUCBgIHAggCCQKZAgsCPAINAggCCAIIAggCCAIIAggCCAIIAggCCAIIAggCCAIIAggCCAACAwLHAh4AAtMCAgJ2AgQCBQIGAgcCCAIJAgoCCwI8Ag0CCAIIAggCCAIIAggCCAIIAggCCAIIAggCCAIIAggCCAIIAAIDAsQCHgAC0wICAhsCBAIFAgYCBwIIAgkCmQILAjwCDQIIAggCCAIIAggCCAIIAggCCAIIAggCCAIIAggCCAIIAggAAgMCtwIeAALTAgICNQIEAgUCBgIHAggCCQKZAgsCPAINAggCCAIIAggCCAIIAggCCAIIAggCCAIIAggCCAIIAggCCAACAwJOAh4AAtMCAgInAgQCBQIGAgcCCAIJAk8CCwI8Ag0CCAIIAggCCAIIAggCCAIIAggCCAIIAggCCAIIAggCCAIIAAIDAsYCHgAC0wICAlECBAIFAgYCBwIIAgkCTwILAjwCDQIIAggCCAIIAggCCAIIAggCCAIIAggCCAIIAggCCAIIAggAAgMCuwIeAALTAgICTQIEAgUCBgIHAggCCQJPAgsCPAINAggCCAIIAggCCAIIAggCCAIIAggCCAIIAggCCAIIAggCCAACAwLVc3EAfgAAAAAAAnNxAH4ABP///////////////v////7/////dXEAfgAHAAAABAEya894eHoAAAQAAh4AAtMCAgIhAgQCBQIGAgcCCAIJAk8CCwI8Ag0CCAIIAggCCAIIAggCCAIIAggCCAIIAggCCAIIAggCCAIIAAIDAr8CHgAC0wICAh0CBAIFAgYCBwIIAgkCmQILAjwCDQIIAggCCAIIAggCCAIIAggCCAIIAggCCAIIAggCCAIIAggAAgMCoQIeAALTAgICbQIEAgUCBgIHAggCCQKZAgsCPAINAggCCAIIAggCCAIIAggCCAIIAggCCAIIAggCCAIIAggCCAACAwLCAh4AAtMCAgJiAgQCBQIGAgcCCAIJApkCCwI8Ag0CCAIIAggCCAIIAggCCAIIAggCCAIIAggCCAIIAggCCAIIAAIDArECHgAC0wICAm0CBAIFAgYCBwIIAgkCCgILAjwCDQIIAggCCAIIAggCCAIIAggCCAIIAggCCAIIAggCCAIIAggAAgMCvgIeAALTAgICHQIEAgUCBgIHAggCCQIKAgsCPAINAggCCAIIAggCCAIIAggCCAIIAggCCAIIAggCCAIIAggCCAACAwJIAh4AAtMCAgIvAgQCBQIGAgcCCAIJAgoCCwI8Ag0CCAIIAggCCAIIAggCCAIIAggCCAIIAggCCAIIAggCCAIIAAIDAkYCHgAC0wICAicCBAIFAgYCBwIIAgkCmQILAjwCDQIIAggCCAIIAggCCAIIAggCCAIIAggCCAIIAggCCAIIAggAAgMCwwIeAALTAgICVwIEAgUCBgIHAggCCQKZAgsCPAINAggCCAIIAggCCAIIAggCCAIIAggCCAIIAggCCAIIAggCCAACAwKnAh4AAtMCAgJTAgQCBQIGAgcCCAIJAgoCCwI8Ag0CCAIIAggCCAIIAggCCAIIAggCCAIIAggCCAIIAggCCAIIAAIDAqACHgAC0wICAlcCBAIFAgYCBwIIAgkCCgILAjwCDQIIAggCCAIIAggCCAIIAggCCAIIAggCCAIIAggCCAIIAggAAgMCmAIeAALTAgICNQIEAgUCBgIHAggCCQJPAgsCPAINAggCCAIIAggCCAIIAggCCAIIAggCCAIIAggCCAIIAggCCAACAwKfAh4AAtMCAgJzAgQCBQIGAgcCCAIJAk8CCwI8Ag0CCAIIAggCCAIIAggCCAIIAggCCAIIAggCCAIIAggCCAIIAAIDAqYCHgAC0wICAlkCBAIFAgYCBwIIAgkCTwILAjwCDQIIAggCCAIIAggCCAIIAggCCAIIAggCCAIIAggCCAIIAggAAgMCwAIeAALTAgICKQIEAgUCBgIHAggCCQIKAgsCPAINAggCCAIIAggCCAIIAggCCAIIAggCCAIIAggCCAIIAggCCAACAwI+Ah4AAnoAAAQA0wICAicCBAIFAgYCBwIIAgkCCgILAjwCDQIIAggCCAIIAggCCAIIAggCCAIIAggCCAIIAggCCAIIAggAAgMCPQIeAALTAgICKQIEAgUCBgIHAggCCQKZAgsCPAINAggCCAIIAggCCAIIAggCCAIIAggCCAIIAggCCAIIAggCCAACAwJOAh4AAtMCAgIbAgQCBQIGAgcCCAIJAk8CCwI8Ag0CCAIIAggCCAIIAggCCAIIAggCCAIIAggCCAIIAggCCAIIAAIDApsCHgAC0wICAjECBAIFAgYCBwIIAgkCTwILAjwCDQIIAggCCAIIAggCCAIIAggCCAIIAggCCAIIAggCCAIIAggAAgMCwQIeAALTAgICIQIEAgUCBgIHAggCCQKZAgsCPAINAggCCAIIAggCCAIIAggCCAIIAggCCAIIAggCCAIIAggCCAACAwKwAh4AAtMCAgIlAgQCBQIGAgcCCAIJAgoCCwI8Ag0CCAIIAggCCAIIAggCCAIIAggCCAIIAggCCAIIAggCCAIIAAIDAkoCHgAC0wICAmQCBAIFAgYCBwIIAgkCTwILAjwCDQIIAggCCAIIAggCCAIIAggCCAIIAggCCAIIAggCCAIIAggAAgMCrQIeAALTAgICUQIEAgUCBgIHAggCCQKZAgsCPAINAggCCAIIAggCCAIIAggCCAIIAggCCAIIAggCCAIIAggCCAACAwKvAh4AAtMCAgJeAgQCBQIGAgcCCAIJAgoCCwI8Ag0CCAIIAggCCAIIAggCCAIIAggCCAIIAggCCAIIAggCCAIIAAIDAs4CHgAC0wICAlECBAIFAgYCBwIIAgkCCgILAjwCDQIIAggCCAIIAggCCAIIAggCCAIIAggCCAIIAggCCAIIAggAAgMCvAIeAALTAgICJQIEAgUCBgIHAggCCQKZAgsCPAINAggCCAIIAggCCAIIAggCCAIIAggCCAIIAggCCAIIAggCCAACAwLJAh4AAtMCAgIhAgQCBQIGAgcCCAIJAgoCCwI8Ag0CCAIIAggCCAIIAggCCAIIAggCCAIIAggCCAIIAggCCAIIAAIDAkQCHgAC0wICAmICBAIFAgYCBwIIAgkCTwILAjwCDQIIAggCCAIIAggCCAIIAggCCAIIAggCCAIIAggCCAIIAggAAgMCzQIeAALTAgICHQIEAgUCBgIHAggCCQJPAgsCPAINAggCCAIIAggCCAIIAggCCAIIAggCCAIIAggCCAIIAggCCAACAwLMAh4AAtMCAgIjAgQCBQIGAgcCCAIJAk8CCwI8Ag0CCAIIAggCCAIIAggCCAIIAggCCAIIAggCCAIIAggCCAIIAAIDAq4CHgAC0wICAnc8TQIEAgUCBgIHAggCCQIKAgsCPAINAggCCAIIAggCCAIIAggCCAIIAggCCAIIAggCCAIIAggCCAACAwLWc3EAfgAAAAAAAnNxAH4ABP///////////////v////7/////dXEAfgAHAAAABC70FP94eHoAAAQAAh4AAtMCAgJNAgQCBQIGAgcCCAIJApkCCwI8Ag0CCAIIAggCCAIIAggCCAIIAggCCAIIAggCCAIIAggCCAIIAAIDAk4CHgAC0wICAl4CBAIFAgYCBwIIAgkCmQILAjwCDQIIAggCCAIIAggCCAIIAggCCAIIAggCCAIIAggCCAIIAggAAgMCxQIeAALTAgICKwIEAgUCBgIHAggCCQKZAgsCPAINAggCCAIIAggCCAIIAggCCAIIAggCCAIIAggCCAIIAggCCAACAwLRAh4AAtMCAgIxAgQCBQIGAgcCCAIJAgoCCwI8Ag0CCAIIAggCCAIIAggCCAIIAggCCAIIAggCCAIIAggCCAIIAAIDAkECHgAC0wICAlcCBAIFAgYCBwIIAgkCTwILAjwCDQIIAggCCAIIAggCCAIIAggCCAIIAggCCAIIAggCCAIIAggAAgMCzwIeAALTAgICWQIEAgUCBgIHAggCCQIKAgsCPAINAggCCAIIAggCCAIIAggCCAIIAggCCAIIAggCCAIIAggCCAACAwKpAh4AAtMCAgJiAgQCBQIGAgcCCAIJAgoCCwI8Ag0CCAIIAggCCAIIAggCCAIIAggCCAIIAggCCAIIAggCCAIIAAIDAqwCHgAC0wICAisCBAIFAgYCBwIIAgkCCgILAjwCDQIIAggCCAIIAggCCAIIAggCCAIIAggCCAIIAggCCAIIAggAAgMCQwIeAALTAgICMQIEAgUCBgIHAggCCQKZAgsCPAINAggCCAIIAggCCAIIAggCCAIIAggCCAIIAggCCAIIAggCCAACAwJOAh4AAtMCAgJVAgQCBQIGAgcCCAIJAk8CCwI8Ag0CCAIIAggCCAIIAggCCAIIAggCCAIIAggCCAIIAggCCAIIAAIDArYCHgAC0wICAjMCBAIFAgYCBwIIAgkCTwILAjwCDQIIAggCCAIIAggCCAIIAggCCAIIAggCCAIIAggCCAIIAggAAgMCqgIeAALTAgICHwIEAgUCBgIHAggCCQIKAgsCPAINAggCCAIIAggCCAIIAggCCAIIAggCCAIIAggCCAIIAggCCAACAwJJAh4AAtMCAgIjAgQCBQIGAgcCCAIJAgoCCwI8Ag0CCAIIAggCCAIIAggCCAIIAggCCAIIAggCCAIIAggCCAIIAAIDAksCHgAC0wICAiMCBAIFAgYCBwIIAgkCmQILAjwCDQIIAggCCAIIAggCCAIIAggCCAIIAggCCAIIAggCCAIIAggAAgMCTgIeAALTAgICZAIEAgUCBgIHAggCCQKZAgsCPAINAggCCAIIAggCCAIIAggCCAIIAggCCAIIAggCCAIIAggCCAACAwKcAh4AAnoAAAQA0wICAmQCBAIFAgYCBwIIAgkCCgILAjwCDQIIAggCCAIIAggCCAIIAggCCAIIAggCCAIIAggCCAIIAggAAgMCywIeAALTAgICVQIEAgUCBgIHAggCCQIKAgsCPAINAggCCAIIAggCCAIIAggCCAIIAggCCAIIAggCCAIIAggCCAACAwKlAh4AAtMCAgIlAgQCBQIGAgcCCAIJAk8CCwI8Ag0CCAIIAggCCAIIAggCCAIIAggCCAIIAggCCAIIAggCCAIIAAIDArkCHgAC0wICAlMCBAIFAgYCBwIIAgkCTwILAjwCDQIIAggCCAIIAggCCAIIAggCCAIIAggCCAIIAggCCAIIAggAAgMCyAIeAALTAgICLwIEAgUCBgIHAggCCQJPAgsCPAINAggCCAIIAggCCAIIAggCCAIIAggCCAIIAggCCAIIAggCCAACAwKkAh4AAtMCAgJZAgQCBQIGAgcCCAIJApkCCwI8Ag0CCAIIAggCCAIIAggCCAIIAggCCAIIAggCCAIIAggCCAIIAAIDArMCHgAC0wICAi0CBAIFAgYCBwIIAgkCmQILAjwCDQIIAggCCAIIAggCCAIIAggCCAIIAggCCAIIAggCCAIIAggAAgMCygIeAALTAgICHwIEAgUCBgIHAggCCQKZAgsCPAINAggCCAIIAggCCAIIAggCCAIIAggCCAIIAggCCAIIAggCCAACAwK9Ah4AAtMCAgIDAgQCBQIGAgcCCAIJApkCCwI8Ag0CCAIIAggCCAIIAggCCAIIAggCCAIIAggCCAIIAggCCAIIAAIDAk4CHgAC0wICAgMCBAIFAgYCBwIIAgkCCgILAjwCDQIIAggCCAIIAggCCAIIAggCCAIIAggCCAIIAggCCAIIAggAAgMCRQIeAALTAgICXgIEAgUCBgIHAggCCQJPAgsCPAINAggCCAIIAggCCAIIAggCCAIIAggCCAIIAggCCAIIAggCCAACAwK4Ah4AAtMCAgIzAgQCBQIGAgcCCAIJApkCCwI8Ag0CCAIIAggCCAIIAggCCAIIAggCCAIIAggCCAIIAggCCAIIAAIDAqgCHgAC0wICAlUCBAIFAgYCBwIIAgkCmQILAjwCDQIIAggCCAIIAggCCAIIAggCCAIIAggCCAIIAggCCAIIAggAAgMCmgIeAALTAgICMwIEAgUCBgIHAggCCQIKAgsCPAINAggCCAIIAggCCAIIAggCCAIIAggCCAIIAggCCAIIAggCCAACAwJAAh4AAtMCAgIrAgQCBQIGAgcCCAIJAk8CCwI8Ag0CCAIIAggCCAIIAggCCAIIAggCCAIIAggCCAIIAggCCAIIAAIDAroCHgAC1wAJM3oAAAQANzEyNDgwMjQCAgIxAgQCBQIGAgcCCAIJAjkCCwIMAg0CCAIIAggCCAIIAggCCAIIAggCCAIIAggCCAIIAggCCAIIAhICAwJOAh4AAtcCAgJZAgQCBQIGAgcCCAIJAjkCCwIMAg0CCAIIAggCCAIIAggCCAIIAggCCAIIAggCCAIIAggCCAIIAhICAwKMAh4AAtcCAgJTAgQCBQIGAgcCCAIJAgoCCwIMAg0CCAIIAggCCAIIAggCCAIIAggCCAIIAggCCAIIAggCCAIIAhICAwJ1Ah4AAtcCAgIvAgQCBQIGAgcCCAIJAgoCCwIMAg0CCAIIAggCCAIIAggCCAIIAggCCAIIAggCCAIIAggCCAIIAhICAwIwAh4AAtcCAgItAgQCBQIGAgcCCAIJAk8CCwIMAg0CCAIIAggCCAIIAggCCAIIAggCCAIIAggCCAIIAggCCAIIAhICAwKNAh4AAtcCAgJeAgQCBQIGAgcCCAIJAjkCCwIMAg0CCAIIAggCCAIIAggCCAIIAggCCAIIAggCCAIIAggCCAIIAhICAwJgAh4AAtcCAgJiAgQCBQIGAgcCCAIJAjkCCwIMAg0CCAIIAggCCAIIAggCCAIIAggCCAIIAggCCAIIAggCCAIIAhICAwKJAh4AAtcCAgI1AgQCBQIGAgcCCAIJAk8CCwIMAg0CCAIIAggCCAIIAggCCAIIAggCCAIIAggCCAIIAggCCAIIAhICAwJ4Ah4AAtcCAgIdAgQCBQIGAgcCCAIJAjkCCwIMAg0CCAIIAggCCAIIAggCCAIIAggCCAIIAggCCAIIAggCCAIIAhICAwKWAh4AAtcCAgJ2AgQCBQIGAgcCCAIJAk8CCwIMAg0CCAIIAggCCAIIAggCCAIIAggCCAIIAggCCAIIAggCCAIIAhICAwKLAh4AAtcCAgIjAgQCBQIGAgcCCAIJAjkCCwIMAg0CCAIIAggCCAIIAggCCAIIAggCCAIIAggCCAIIAggCCAIIAhICAwJOAh4AAtcCAgJkAgQCBQIGAgcCCAIJAjkCCwIMAg0CCAIIAggCCAIIAggCCAIIAggCCAIIAggCCAIIAggCCAIIAhICAwJpAh4AAtcCAgIbAgQCBQIGAgcCCAIJAk8CCwIMAg0CCAIIAggCCAIIAggCCAIIAggCCAIIAggCCAIIAggCCAIIAhICAwJyAh4AAtcCAgJzAgQCBQIGAgcCCAIJAk8CCwIMAg0CCAIIAggCCAIIAggCCAIIAggCCAIIAggCCAIIAggCCAIIAhICAwJ0Ah4AAtcCAgIrAgQCBQIGAgcCCAIJAjkCCwIMAg0CCAIIAggCCAIIAggCCAIIAggCCAIIAggCCHoAAAQAAggCCAIIAggCEgIDAlwCHgAC1wICAjMCBAIFAgYCBwIIAgkCCgILAgwCDQIIAggCCAIIAggCCAIIAggCCAIIAggCCAIIAggCCAIIAggCEgIDAjQCHgAC1wICAlUCBAIFAgYCBwIIAgkCCgILAgwCDQIIAggCCAIIAggCCAIIAggCCAIIAggCCAIIAggCCAIIAggCEgIDAlYCHgAC1wICAlcCBAIFAgYCBwIIAgkCCgILAgwCDQIIAggCCAIIAggCCAIIAggCCAIIAggCCAIIAggCCAIIAggCEgIDAnECHgAC1wICAjUCBAIFAgYCBwIIAgkCCgILAgwCDQIIAggCCAIIAggCCAIIAggCCAIIAggCCAIIAggCCAIIAggCEgIDAjYCHgAC1wICAlkCBAIFAgYCBwIIAgkCCgILAgwCDQIIAggCCAIIAggCCAIIAggCCAIIAggCCAIIAggCCAIIAggCEgIDAloCHgAC1wICAjECBAIFAgYCBwIIAgkCCgILAgwCDQIIAggCCAIIAggCCAIIAggCCAIIAggCCAIIAggCCAIIAggCEgIDAjICHgAC1wICAi8CBAIFAgYCBwIIAgkCOQILAgwCDQIIAggCCAIIAggCCAIIAggCCAIIAggCCAIIAggCCAIIAggCEgIDAoUCHgAC1wICAicCBAIFAgYCBwIIAgkCOQILAgwCDQIIAggCCAIIAggCCAIIAggCCAIIAggCCAIIAggCCAIIAggCEgIDAlsCHgAC1wICAlcCBAIFAgYCBwIIAgkCOQILAgwCDQIIAggCCAIIAggCCAIIAggCCAIIAggCCAIIAggCCAIIAggCEgIDApICHgAC1wICAjMCBAIFAgYCBwIIAgkCTwILAgwCDQIIAggCCAIIAggCCAIIAggCCAIIAggCCAIIAggCCAIIAggCEgIDAmECHgAC1wICAlMCBAIFAgYCBwIIAgkCOQILAgwCDQIIAggCCAIIAggCCAIIAggCCAIIAggCCAIIAggCCAIIAggCEgIDAoMCHgAC1wICAh0CBAIFAgYCBwIIAgkCCgILAgwCDQIIAggCCAIIAggCCAIIAggCCAIIAggCCAIIAggCCAIIAggCEgIDAh4CHgAC1wICAmQCBAIFAgYCBwIIAgkCTwILAgwCDQIIAggCCAIIAggCCAIIAggCCAIIAggCCAIIAggCCAIIAggCEgIDApQCHgAC1wICAmICBAIFAgYCBwIIAgkCCgILAgwCDQIIAggCCAIIAggCCAIIAggCCAIIAggCCAIIAggCCAIIAggCEgIDAmMCHgAC1wICAhsCBAIFAgYCBwIIAgkCCgILAgwCDQIIAggCCAIIAggCCAIIAnoAAAQACAIIAggCCAIIAggCCAIIAggCCAISAgMCHAIeAALXAgICcwIEAgUCBgIHAggCCQIKAgsCDAINAggCCAIIAggCCAIIAggCCAIIAggCCAIIAggCCAIIAggCCAISAgMCkAIeAALXAgICJQIEAgUCBgIHAggCCQI5AgsCDAINAggCCAIIAggCCAIIAggCCAIIAggCCAIIAggCCAIIAggCCAISAgMCZwIeAALXAgICIwIEAgUCBgIHAggCCQJPAgsCDAINAggCCAIIAggCCAIIAggCCAIIAggCCAIIAggCCAIIAggCCAISAgMCjgIeAALXAgICHwIEAgUCBgIHAggCCQJPAgsCDAINAggCCAIIAggCCAIIAggCCAIIAggCCAIIAggCCAIIAggCCAISAgMCjwIeAALXAgICbQIEAgUCBgIHAggCCQI5AgsCDAINAggCCAIIAggCCAIIAggCCAIIAggCCAIIAggCCAIIAggCCAISAgMCigIeAALXAgICVQIEAgUCBgIHAggCCQJPAgsCDAINAggCCAIIAggCCAIIAggCCAIIAggCCAIIAggCCAIIAggCCAISAgMCXQIeAALXAgICAwIEAgUCBgIHAggCCQJPAgsCDAINAggCCAIIAggCCAIIAggCCAIIAggCCAIIAggCCAIIAggCCAISAgMCkQIeAALXAgICKQIEAgUCBgIHAggCCQI5AgsCDAINAggCCAIIAggCCAIIAggCCAIIAggCCAIIAggCCAIIAggCCAISAgMCTgIeAALXAgICXgIEAgUCBgIHAggCCQJPAgsCDAINAggCCAIIAggCCAIIAggCCAIIAggCCAIIAggCCAIIAggCCAISAgMCkwIeAALXAgICLQIEAgUCBgIHAggCCQI5AgsCDAINAggCCAIIAggCCAIIAggCCAIIAggCCAIIAggCCAIIAggCCAISAgMCeQIeAALXAgICKQIEAgUCBgIHAggCCQIKAgsCDAINAggCCAIIAggCCAIIAggCCAIIAggCCAIIAggCCAIIAggCCAISAgMCKgIeAALXAgICMQIEAgUCBgIHAggCCQJPAgsCDAINAggCCAIIAggCCAIIAggCCAIIAggCCAIIAggCCAIIAggCCAISAgMCagIeAALXAgICKwIEAgUCBgIHAggCCQJPAgsCDAINAggCCAIIAggCCAIIAggCCAIIAggCCAIIAggCCAIIAggCCAISAgMClQIeAALXAgICdgIEAgUCBgIHAggCCQI5AgsCDAINAggCCAIIAggCCAIIAggCCAIIAggCCAIIAggCCAIIAggCCAISAgMCdwIeAALXAgICJQIEAgUCBgIHAggCCQJPAgsCDAINAggCCHoAAAQAAggCCAIIAggCCAIIAggCCAIIAggCCAIIAggCCAIIAhICAwKBAh4AAtcCAgIhAgQCBQIGAgcCCAIJAgoCCwIMAg0CCAIIAggCCAIIAggCCAIIAggCCAIIAggCCAIIAggCCAIIAhICAwIiAh4AAtcCAgJiAgQCBQIGAgcCCAIJAk8CCwIMAg0CCAIIAggCCAIIAggCCAIIAggCCAIIAggCCAIIAggCCAIIAhICAwJsAh4AAtcCAgJRAgQCBQIGAgcCCAIJAgoCCwIMAg0CCAIIAggCCAIIAggCCAIIAggCCAIIAggCCAIIAggCCAIIAhICAwKIAh4AAtcCAgJRAgQCBQIGAgcCCAIJAk8CCwIMAg0CCAIIAggCCAIIAggCCAIIAggCCAIIAggCCAIIAggCCAIIAhICAwJ8Ah4AAtcCAgIfAgQCBQIGAgcCCAIJAgoCCwIMAg0CCAIIAggCCAIIAggCCAIIAggCCAIIAggCCAIIAggCCAIIAhICAwIgAh4AAtcCAgIfAgQCBQIGAgcCCAIJAjkCCwIMAg0CCAIIAggCCAIIAggCCAIIAggCCAIIAggCCAIIAggCCAIIAhICAwJ6Ah4AAtcCAgIbAgQCBQIGAgcCCAIJAjkCCwIMAg0CCAIIAggCCAIIAggCCAIIAggCCAIIAggCCAIIAggCCAIIAhICAwKAAh4AAtcCAgIDAgQCBQIGAgcCCAIJAgoCCwIMAg0CCAIIAggCCAIIAggCCAIIAggCCAIIAggCCAIIAggCCAIIAhICAwIOAh4AAtcCAgJzAgQCBQIGAgcCCAIJAjkCCwIMAg0CCAIIAggCCAIIAggCCAIIAggCCAIIAggCCAIIAggCCAIIAhICAwJ9Ah4AAtcCAgIhAgQCBQIGAgcCCAIJAk8CCwIMAg0CCAIIAggCCAIIAggCCAIIAggCCAIIAggCCAIIAggCCAIIAhICAwJ+Ah4AAtcCAgInAgQCBQIGAgcCCAIJAgoCCwIMAg0CCAIIAggCCAIIAggCCAIIAggCCAIIAggCCAIIAggCCAIIAhICAwIoAh4AAtcCAgJZAgQCBQIGAgcCCAIJAk8CCwIMAg0CCAIIAggCCAIIAggCCAIIAggCCAIIAggCCAIIAggCCAIIAhICAwJrAh4AAtcCAgJtAgQCBQIGAgcCCAIJAgoCCwIMAg0CCAIIAggCCAIIAggCCAIIAggCCAIIAggCCAIIAggCCAIIAhICAwJ7Ah4AAtcCAgI1AgQCBQIGAgcCCAIJAjkCCwIMAg0CCAIIAggCCAIIAggCCAIIAggCCAIIAggCCAIIAggCCAIIAhICAwJOAh4AAtcCAgJXAgQCBQIGAgcCCAIJAnoAAAQATwILAgwCDQIIAggCCAIIAggCCAIIAggCCAIIAggCCAIIAggCCAIIAggCEgIDAlgCHgAC1wICAi0CBAIFAgYCBwIIAgkCCgILAgwCDQIIAggCCAIIAggCCAIIAggCCAIIAggCCAIIAggCCAIIAggCEgIDAi4CHgAC1wICAikCBAIFAgYCBwIIAgkCTwILAgwCDQIIAggCCAIIAggCCAIIAggCCAIIAggCCAIIAggCCAIIAggCEgIDAoYCHgAC1wICAicCBAIFAgYCBwIIAgkCTwILAgwCDQIIAggCCAIIAggCCAIIAggCCAIIAggCCAIIAggCCAIIAggCEgIDAoICHgAC1wICAlMCBAIFAgYCBwIIAgkCTwILAgwCDQIIAggCCAIIAggCCAIIAggCCAIIAggCCAIIAggCCAIIAggCEgIDAlQCHgAC1wICAi8CBAIFAgYCBwIIAgkCTwILAgwCDQIIAggCCAIIAggCCAIIAggCCAIIAggCCAIIAggCCAIIAggCEgIDAlACHgAC1wICAiECBAIFAgYCBwIIAgkCOQILAgwCDQIIAggCCAIIAggCCAIIAggCCAIIAggCCAIIAggCCAIIAggCEgIDAmYCHgAC1wICAmQCBAIFAgYCBwIIAgkCCgILAgwCDQIIAggCCAIIAggCCAIIAggCCAIIAggCCAIIAggCCAIIAggCEgIDAmUCHgAC1wICAiMCBAIFAgYCBwIIAgkCCgILAgwCDQIIAggCCAIIAggCCAIIAggCCAIIAggCCAIIAggCCAIIAggCEgIDAiQCHgAC1wICAnYCBAIFAgYCBwIIAgkCCgILAgwCDQIIAggCCAIIAggCCAIIAggCCAIIAggCCAIIAggCCAIIAggCEgIDAoQCHgAC1wICAgMCBAIFAgYCBwIIAgkCOQILAgwCDQIIAggCCAIIAggCCAIIAggCCAIIAggCCAIIAggCCAIIAggCEgIDAk4CHgAC1wICAiUCBAIFAgYCBwIIAgkCCgILAgwCDQIIAggCCAIIAggCCAIIAggCCAIIAggCCAIIAggCCAIIAggCEgIDAiYCHgAC1wICAm0CBAIFAgYCBwIIAgkCTwILAgwCDQIIAggCCAIIAggCCAIIAggCCAIIAggCCAIIAggCCAIIAggCEgIDAm4CHgAC1wICAlECBAIFAgYCBwIIAgkCOQILAgwCDQIIAggCCAIIAggCCAIIAggCCAIIAggCCAIIAggCCAIIAggCEgIDAlICHgAC1wICAh0CBAIFAgYCBwIIAgkCTwILAgwCDQIIAggCCAIIAggCCAIIAggCCAIIAggCCAIIAggCCAIIAggCEgIDAmgCHgAC1wICAlUCBHoAAAQAAgUCBgIHAggCCQI5AgsCDAINAggCCAIIAggCCAIIAggCCAIIAggCCAIIAggCCAIIAggCCAISAgMCbwIeAALXAgICXgIEAgUCBgIHAggCCQIKAgsCDAINAggCCAIIAggCCAIIAggCCAIIAggCCAIIAggCCAIIAggCCAISAgMCXwIeAALXAgICKwIEAgUCBgIHAggCCQIKAgsCDAINAggCCAIIAggCCAIIAggCCAIIAggCCAIIAggCCAIIAggCCAISAgMCLAIeAALXAgICMwIEAgUCBgIHAggCCQI5AgsCDAINAggCCAIIAggCCAIIAggCCAIIAggCCAIIAggCCAIIAggCCAISAgMCcAIeAALYAAkzNzEyNTAzNDQCAgJkAgQCBQIGAgcCCAIJAjkCCwIMAg0CCAIIAggCCAIIAggCCAIIAggCCAIIAggCCAIIAggCCAIIAhQCAwJpAh4AAtgCAgIjAgQCBQIGAgcCCAIJAjkCCwIMAg0CCAIIAggCCAIIAggCCAIIAggCCAIIAggCCAIIAggCCAIIAhQCAwJOAh4AAtgCAgJzAgQCBQIGAgcCCAIJAgoCCwIMAg0CCAIIAggCCAIIAggCCAIIAggCCAIIAggCCAIIAggCCAIIAhQCAwKQAh4AAtgCAgJtAgQCBQIGAgcCCAIJAk8CCwIMAg0CCAIIAggCCAIIAggCCAIIAggCCAIIAggCCAIIAggCCAIIAhQCAwJuAh4AAtgCAgIbAgQCBQIGAgcCCAIJAgoCCwIMAg0CCAIIAggCCAIIAggCCAIIAggCCAIIAggCCAIIAggCCAIIAhQCAwIcAh4AAtgCAgI1AgQCBQIGAgcCCAIJAk8CCwIMAg0CCAIIAggCCAIIAggCCAIIAggCCAIIAggCCAIIAggCCAIIAhQCAwJ4Ah4AAtgCAgJiAgQCBQIGAgcCCAIJAjkCCwIMAg0CCAIIAggCCAIIAggCCAIIAggCCAIIAggCCAIIAggCCAIIAhQCAwKJAh4AAtgCAgIdAgQCBQIGAgcCCAIJAjkCCwIMAg0CCAIIAggCCAIIAggCCAIIAggCCAIIAggCCAIIAggCCAIIAhQCAwKWAh4AAtgCAgJZAgQCBQIGAgcCCAIJAjkCCwIMAg0CCAIIAggCCAIIAggCCAIIAggCCAIIAggCCAIIAggCCAIIAhQCAwKMAh4AAtgCAgJ2AgQCBQIGAgcCCAIJAgoCCwIMAg0CCAIIAggCCAIIAggCCAIIAggCCAIIAggCCAIIAggCCAIIAhQCAwKEAh4AAtgCAgItAgQCBQIGAgcCCAIJAgoCCwIMAg0CCAIIAggCCAIIAggCCAIIAggCCAIIAggCCAIIAnoAAAQACAIIAggCFAIDAi4CHgAC2AICAlUCBAIFAgYCBwIIAgkCCgILAgwCDQIIAggCCAIIAggCCAIIAggCCAIIAggCCAIIAggCCAIIAggCFAIDAlYCHgAC2AICAlcCBAIFAgYCBwIIAgkCCgILAgwCDQIIAggCCAIIAggCCAIIAggCCAIIAggCCAIIAggCCAIIAggCFAIDAnECHgAC2AICAl4CBAIFAgYCBwIIAgkCOQILAgwCDQIIAggCCAIIAggCCAIIAggCCAIIAggCCAIIAggCCAIIAggCFAIDAmACHgAC2AICAisCBAIFAgYCBwIIAgkCOQILAgwCDQIIAggCCAIIAggCCAIIAggCCAIIAggCCAIIAggCCAIIAggCFAIDAlwCHgAC2AICAjECBAIFAgYCBwIIAgkCOQILAgwCDQIIAggCCAIIAggCCAIIAggCCAIIAggCCAIIAggCCAIIAggCFAIDAk4CHgAC2AICAiECBAIFAgYCBwIIAgkCTwILAgwCDQIIAggCCAIIAggCCAIIAggCCAIIAggCCAIIAggCCAIIAggCFAIDAn4CHgAC2AICAlECBAIFAgYCBwIIAgkCTwILAgwCDQIIAggCCAIIAggCCAIIAggCCAIIAggCCAIIAggCCAIIAggCFAIDAnwCHgAC2AICAjMCBAIFAgYCBwIIAgkCCgILAgwCDQIIAggCCAIIAggCCAIIAggCCAIIAggCCAIIAggCCAIIAggCFAIDAjQCHgAC2AICAmICBAIFAgYCBwIIAgkCCgILAgwCDQIIAggCCAIIAggCCAIIAggCCAIIAggCCAIIAggCCAIIAggCFAIDAmMCHgAC2AICAiUCBAIFAgYCBwIIAgkCOQILAgwCDQIIAggCCAIIAggCCAIIAggCCAIIAggCCAIIAggCCAIIAggCFAIDAmcCHgAC2AICAi8CBAIFAgYCBwIIAgkCOQILAgwCDQIIAggCCAIIAggCCAIIAggCCAIIAggCCAIIAggCCAIIAggCFAIDAoUCHgAC2AICAlMCBAIFAgYCBwIIAgkCOQILAgwCDQIIAggCCAIIAggCCAIIAggCCAIIAggCCAIIAggCCAIIAggCFAIDAoMCHgAC2AICAicCBAIFAgYCBwIIAgkCOQILAgwCDQIIAggCCAIIAggCCAIIAggCCAIIAggCCAIIAggCCAIIAggCFAIDAlsCHgAC2AICAjUCBAIFAgYCBwIIAgkCCgILAgwCDQIIAggCCAIIAggCCAIIAggCCAIIAggCCAIIAggCCAIIAggCFAIDAjYCHgAC2AICAlcCBAIFAgYCBwIIAgkCOQILAgwCDQIIAggCCAIIAggCCAIIAggCCHoAAAQAAggCCAIIAggCCAIIAggCCAIUAgMCkgIeAALYAgICWQIEAgUCBgIHAggCCQIKAgsCDAINAggCCAIIAggCCAIIAggCCAIIAggCCAIIAggCCAIIAggCCAIUAgMCWgIeAALYAgICVQIEAgUCBgIHAggCCQJPAgsCDAINAggCCAIIAggCCAIIAggCCAIIAggCCAIIAggCCAIIAggCCAIUAgMCXQIeAALYAgICdgIEAgUCBgIHAggCCQJPAgsCDAINAggCCAIIAggCCAIIAggCCAIIAggCCAIIAggCCAIIAggCCAIUAgMCiwIeAALYAgICMQIEAgUCBgIHAggCCQIKAgsCDAINAggCCAIIAggCCAIIAggCCAIIAggCCAIIAggCCAIIAggCCAIUAgMCMgIeAALYAgICAwIEAgUCBgIHAggCCQJPAgsCDAINAggCCAIIAggCCAIIAggCCAIIAggCCAIIAggCCAIIAggCCAIUAgMCkQIeAALYAgICLQIEAgUCBgIHAggCCQJPAgsCDAINAggCCAIIAggCCAIIAggCCAIIAggCCAIIAggCCAIIAggCCAIUAgMCjQIeAALYAgICHwIEAgUCBgIHAggCCQJPAgsCDAINAggCCAIIAggCCAIIAggCCAIIAggCCAIIAggCCAIIAggCCAIUAgMCjwIeAALYAgICIwIEAgUCBgIHAggCCQJPAgsCDAINAggCCAIIAggCCAIIAggCCAIIAggCCAIIAggCCAIIAggCCAIUAgMCjgIeAALYAgICAwIEAgUCBgIHAggCCQI5AgsCDAINAggCCAIIAggCCAIIAggCCAIIAggCCAIIAggCCAIIAggCCAIUAgMCTgIeAALYAgICHwIEAgUCBgIHAggCCQI5AgsCDAINAggCCAIIAggCCAIIAggCCAIIAggCCAIIAggCCAIIAggCCAIUAgMCegIeAALYAgICbQIEAgUCBgIHAggCCQI5AgsCDAINAggCCAIIAggCCAIIAggCCAIIAggCCAIIAggCCAIIAggCCAIUAgMCigIeAALYAgICHQIEAgUCBgIHAggCCQJPAgsCDAINAggCCAIIAggCCAIIAggCCAIIAggCCAIIAggCCAIIAggCCAIUAgMCaAIeAALYAgICIQIEAgUCBgIHAggCCQIKAgsCDAINAggCCAIIAggCCAIIAggCCAIIAggCCAIIAggCCAIIAggCCAIUAgMCIgIeAALYAgICYgIEAgUCBgIHAggCCQJPAgsCDAINAggCCAIIAggCCAIIAggCCAIIAggCCAIIAggCCAIIAggCCAIUAgMCbAIeAALYAgICZAIEAgUCBgIHAggCCQJPAgsCDAINAggCCAIIAnoAAAQACAIIAggCCAIIAggCCAIIAggCCAIIAggCCAIIAhQCAwKUAh4AAtgCAgIlAgQCBQIGAgcCCAIJAgoCCwIMAg0CCAIIAggCCAIIAggCCAIIAggCCAIIAggCCAIIAggCCAIIAhQCAwImAh4AAtgCAgIxAgQCBQIGAgcCCAIJAk8CCwIMAg0CCAIIAggCCAIIAggCCAIIAggCCAIIAggCCAIIAggCCAIIAhQCAwJqAh4AAtgCAgJRAgQCBQIGAgcCCAIJAgoCCwIMAg0CCAIIAggCCAIIAggCCAIIAggCCAIIAggCCAIIAggCCAIIAhQCAwKIAh4AAtgCAgIzAgQCBQIGAgcCCAIJAk8CCwIMAg0CCAIIAggCCAIIAggCCAIIAggCCAIIAggCCAIIAggCCAIIAhQCAwJhAh4AAtgCAgJeAgQCBQIGAgcCCAIJAk8CCwIMAg0CCAIIAggCCAIIAggCCAIIAggCCAIIAggCCAIIAggCCAIIAhQCAwKTAh4AAtgCAgIrAgQCBQIGAgcCCAIJAk8CCwIMAg0CCAIIAggCCAIIAggCCAIIAggCCAIIAggCCAIIAggCCAIIAhQCAwKVAh4AAtgCAgJ2AgQCBQIGAgcCCAIJAjkCCwIMAg0CCAIIAggCCAIIAggCCAIIAggCCAIIAggCCAIIAggCCAIIAhQCAwJ3Ah4AAtgCAgI1AgQCBQIGAgcCCAIJAjkCCwIMAg0CCAIIAggCCAIIAggCCAIIAggCCAIIAggCCAIIAggCCAIIAhQCAwJOAh4AAtgCAgInAgQCBQIGAgcCCAIJAgoCCwIMAg0CCAIIAggCCAIIAggCCAIIAggCCAIIAggCCAIIAggCCAIIAhQCAwIoAh4AAtgCAgJZAgQCBQIGAgcCCAIJAk8CCwIMAg0CCAIIAggCCAIIAggCCAIIAggCCAIIAggCCAIIAggCCAIIAhQCAwJrAh4AAtgCAgIdAgQCBQIGAgcCCAIJAgoCCwIMAg0CCAIIAggCCAIIAggCCAIIAggCCAIIAggCCAIIAggCCAIIAhQCAwIeAh4AAtgCAgIlAgQCBQIGAgcCCAIJAk8CCwIMAg0CCAIIAggCCAIIAggCCAIIAggCCAIIAggCCAIIAggCCAIIAhQCAwKBAh4AAtgCAgIvAgQCBQIGAgcCCAIJAk8CCwIMAg0CCAIIAggCCAIIAggCCAIIAggCCAIIAggCCAIIAggCCAIIAhQCAwJQAh4AAtgCAgJzAgQCBQIGAgcCCAIJAjkCCwIMAg0CCAIIAggCCAIIAggCCAIIAggCCAIIAggCCAIIAggCCAIIAhQCAwJ9Ah4AAtgCAgIbAgQCBQIGAgcCCAIJAjkCC3oAAAQAAgwCDQIIAggCCAIIAggCCAIIAggCCAIIAggCCAIIAggCCAIIAggCFAIDAoACHgAC2AICAh8CBAIFAgYCBwIIAgkCCgILAgwCDQIIAggCCAIIAggCCAIIAggCCAIIAggCCAIIAggCCAIIAggCFAIDAiACHgAC2AICAgMCBAIFAgYCBwIIAgkCCgILAgwCDQIIAggCCAIIAggCCAIIAggCCAIIAggCCAIIAggCCAIIAggCFAIDAg4CHgAC2AICAmQCBAIFAgYCBwIIAgkCCgILAgwCDQIIAggCCAIIAggCCAIIAggCCAIIAggCCAIIAggCCAIIAggCFAIDAmUCHgAC2AICAm0CBAIFAgYCBwIIAgkCCgILAgwCDQIIAggCCAIIAggCCAIIAggCCAIIAggCCAIIAggCCAIIAggCFAIDAnsCHgAC2AICAlMCBAIFAgYCBwIIAgkCTwILAgwCDQIIAggCCAIIAggCCAIIAggCCAIIAggCCAIIAggCCAIIAggCFAIDAlQCHgAC2AICAiMCBAIFAgYCBwIIAgkCCgILAgwCDQIIAggCCAIIAggCCAIIAggCCAIIAggCCAIIAggCCAIIAggCFAIDAiQCHgAC2AICAhsCBAIFAgYCBwIIAgkCTwILAgwCDQIIAggCCAIIAggCCAIIAggCCAIIAggCCAIIAggCCAIIAggCFAIDAnICHgAC2AICAnMCBAIFAgYCBwIIAgkCTwILAgwCDQIIAggCCAIIAggCCAIIAggCCAIIAggCCAIIAggCCAIIAggCFAIDAnQCHgAC2AICAicCBAIFAgYCBwIIAgkCTwILAgwCDQIIAggCCAIIAggCCAIIAggCCAIIAggCCAIIAggCCAIIAggCFAIDAoICHgAC2AICAiECBAIFAgYCBwIIAgkCOQILAgwCDQIIAggCCAIIAggCCAIIAggCCAIIAggCCAIIAggCCAIIAggCFAIDAmYCHgAC2AICAlECBAIFAgYCBwIIAgkCOQILAgwCDQIIAggCCAIIAggCCAIIAggCCAIIAggCCAIIAggCCAIIAggCFAIDAlICHgAC2AICAi0CBAIFAgYCBwIIAgkCOQILAgwCDQIIAggCCAIIAggCCAIIAggCCAIIAggCCAIIAggCCAIIAggCFAIDAnkCHgAC2AICAlMCBAIFAgYCBwIIAgkCCgILAgwCDQIIAggCCAIIAggCCAIIAggCCAIIAggCCAIIAggCCAIIAggCFAIDAnUCHgAC2AICAi8CBAIFAgYCBwIIAgkCCgILAgwCDQIIAggCCAIIAggCCAIIAggCCAIIAggCCAIIAggCCAIIAggCFAIDAjACHgAC2AICAisCBAIFAnoAAAQABgIHAggCCQIKAgsCDAINAggCCAIIAggCCAIIAggCCAIIAggCCAIIAggCCAIIAggCCAIUAgMCLAIeAALYAgICVwIEAgUCBgIHAggCCQJPAgsCDAINAggCCAIIAggCCAIIAggCCAIIAggCCAIIAggCCAIIAggCCAIUAgMCWAIeAALYAgICMwIEAgUCBgIHAggCCQI5AgsCDAINAggCCAIIAggCCAIIAggCCAIIAggCCAIIAggCCAIIAggCCAIUAgMCcAIeAALYAgICVQIEAgUCBgIHAggCCQI5AgsCDAINAggCCAIIAggCCAIIAggCCAIIAggCCAIIAggCCAIIAggCCAIUAgMCbwIeAALYAgICXgIEAgUCBgIHAggCCQIKAgsCDAINAggCCAIIAggCCAIIAggCCAIIAggCCAIIAggCCAIIAggCCAIUAgMCXwIeAALZAAk2NjY3MDc2MDACAgJTAgQCBQIGAgcCCAIJAk8CCwI8Ag0CCAIIAggCCAIIAggCCAIIAggCCAIIAggCCAIIAggCCAIIAhECAwLIAh4AAtkCAgIdAgQCBQIGAgcCCAIJAgoCCwI8Ag0CCAIIAggCCAIIAggCCAIIAggCCAIIAggCCAIIAggCCAIIAhECAwJIAh4AAtkCAgJZAgQCBQIGAgcCCAIJApkCCwI8Ag0CCAIIAggCCAIIAggCCAIIAggCCAIIAggCCAIIAggCCAIIAhECAwKzAh4AAtkCAgIvAgQCBQIGAgcCCAIJAk8CCwI8Ag0CCAIIAggCCAIIAggCCAIIAggCCAIIAggCCAIIAggCCAIIAhECAwKkAh4AAtkCAgJiAgQCBQIGAgcCCAIJApkCCwI8Ag0CCAIIAggCCAIIAggCCAIIAggCCAIIAggCCAIIAggCCAIIAhECAwKxAh4AAtkCAgJkAgQCBQIGAgcCCAIJAgoCCwI8Ag0CCAIIAggCCAIIAggCCAIIAggCCAIIAggCCAIIAggCCAIIAhECAwLLAh4AAtkCAgIjAgQCBQIGAgcCCAIJAgoCCwI8Ag0CCAIIAggCCAIIAggCCAIIAggCCAIIAggCCAIIAggCCAIIAhECAwJLAh4AAtkCAgIlAgQCBQIGAgcCCAIJApkCCwI8Ag0CCAIIAggCCAIIAggCCAIIAggCCAIIAggCCAIIAggCCAIIAhECAwLJAh4AAtkCAgJiAgQCBQIGAgcCCAIJAgoCCwI8Ag0CCAIIAggCCAIIAggCCAIIAggCCAIIAggCCAIIAggCCAIIAhECAwKsAh4AAtkCAgIdAgQCBQIGAgcCCAIJApkCCwI8Ag0CCAIIAggCCAIIAggCCAIIAggCCAIIAggCCAIIAggCCHoAAAQAAggCEQIDAqECHgAC2QICAiMCBAIFAgYCBwIIAgkCmQILAjwCDQIIAggCCAIIAggCCAIIAggCCAIIAggCCAIIAggCCAIIAggCEQIDAk4CHgAC2QICAnMCBAIFAgYCBwIIAgkCTwILAjwCDQIIAggCCAIIAggCCAIIAggCCAIIAggCCAIIAggCCAIIAggCEQIDAqYCHgAC2QICAhsCBAIFAgYCBwIIAgkCTwILAjwCDQIIAggCCAIIAggCCAIIAggCCAIIAggCCAIIAggCCAIIAggCEQIDApsCHgAC2QICAlcCBAIFAgYCBwIIAgkCmQILAjwCDQIIAggCCAIIAggCCAIIAggCCAIIAggCCAIIAggCCAIIAggCEQIDAqcCHgAC2QICAjMCBAIFAgYCBwIIAgkCCgILAjwCDQIIAggCCAIIAggCCAIIAggCCAIIAggCCAIIAggCCAIIAggCEQIDAkACHgAC2QICAjMCBAIFAgYCBwIIAgkCmQILAjwCDQIIAggCCAIIAggCCAIIAggCCAIIAggCCAIIAggCCAIIAggCEQIDAqgCHgAC2QICAlUCBAIFAgYCBwIIAgkCCgILAjwCDQIIAggCCAIIAggCCAIIAggCCAIIAggCCAIIAggCCAIIAggCEQIDAqUCHgAC2QICAlUCBAIFAgYCBwIIAgkCmQILAjwCDQIIAggCCAIIAggCCAIIAggCCAIIAggCCAIIAggCCAIIAggCEQIDApoCHgAC2QICAlcCBAIFAgYCBwIIAgkCCgILAjwCDQIIAggCCAIIAggCCAIIAggCCAIIAggCCAIIAggCCAIIAggCEQIDApgCHgAC2QICAiECBAIFAgYCBwIIAgkCCgILAjwCDQIIAggCCAIIAggCCAIIAggCCAIIAggCCAIIAggCCAIIAggCEQIDAkQCHgAC2QICAk0CBAIFAgYCBwIIAgkCCgILAjwCDQIIAggCCAIIAggCCAIIAggCCAIIAggCCAIIAggCCAIIAggCEQIDAtYCHgAC2QICAi0CBAIFAgYCBwIIAgkCTwILAjwCDQIIAggCCAIIAggCCAIIAggCCAIIAggCCAIIAggCCAIIAggCEQIDAp0CHgAC2QICAlECBAIFAgYCBwIIAgkCmQILAjwCDQIIAggCCAIIAggCCAIIAggCCAIIAggCCAIIAggCCAIIAggCEQIDAq8CHgAC2QICAtoABjIwMTgwNQIEAgUCBgIHAggCCQJPAgsCPAINAggCCAIIAggCCAIIAggCCAIIAggCCAIIAggCCAIIAggCCAIRAgMC1QIeAALZAgICdgIEAgUCBgIHAggCCQJPAgsCPAINAggCCAIIAggCCAIIAnoAAAQACAIIAggCCAIIAggCCAIIAggCCAIIAhECAwKeAh4AAtkCAgJkAgQCBQIGAgcCCAIJAk8CCwI8Ag0CCAIIAggCCAIIAggCCAIIAggCCAIIAggCCAIIAggCCAIIAhECAwKtAh4AAtkCAgJRAgQCBQIGAgcCCAIJAgoCCwI8Ag0CCAIIAggCCAIIAggCCAIIAggCCAIIAggCCAIIAggCCAIIAhECAwK8Ah4AAtkCAgIhAgQCBQIGAgcCCAIJApkCCwI8Ag0CCAIIAggCCAIIAggCCAIIAggCCAIIAggCCAIIAggCCAIIAhECAwKwAh4AAtkCAgIbAgQCBQIGAgcCCAIJApkCCwI8Ag0CCAIIAggCCAIIAggCCAIIAggCCAIIAggCCAIIAggCCAIIAhECAwK3Ah4AAtkCAgJzAgQCBQIGAgcCCAIJApkCCwI8Ag0CCAIIAggCCAIIAggCCAIIAggCCAIIAggCCAIIAggCCAIIAhECAwK0Ah4AAtkCAgJVAgQCBQIGAgcCCAIJAk8CCwI8Ag0CCAIIAggCCAIIAggCCAIIAggCCAIIAggCCAIIAggCCAIIAhECAwK2Ah4AAtkCAgIDAgQCBQIGAgcCCAIJAk8CCwI8Ag0CCAIIAggCCAIIAggCCAIIAggCCAIIAggCCAIIAggCCAIIAhECAwKyAh4AAtkCAgIjAgQCBQIGAgcCCAIJAk8CCwI8Ag0CCAIIAggCCAIIAggCCAIIAggCCAIIAggCCAIIAggCCAIIAhECAwKuAh4AAtkCAgJNAgQCBQIGAgcCCAIJApkCCwI8Ag0CCAIIAggCCAIIAggCCAIIAggCCAIIAggCCAIIAggCCAIIAhECAwJOAh4AAtkCAgIzAgQCBQIGAgcCCAIJAk8CCwI8Ag0CCAIIAggCCAIIAggCCAIIAggCCAIIAggCCAIIAggCCAIIAhECAwKqAh4AAtkCAgIfAgQCBQIGAgcCCAIJAk8CCwI8Ag0CCAIIAggCCAIIAggCCAIIAggCCAIIAggCCAIIAggCCAIIAhECAwKrAh4AAtkCAgJzAgQCBQIGAgcCCAIJAgoCCwI8Ag0CCAIIAggCCAIIAggCCAIIAggCCAIIAggCCAIIAggCCAIIAhECAwK1Ah4AAtkCAgIbAgQCBQIGAgcCCAIJAgoCCwI8Ag0CCAIIAggCCAIIAggCCAIIAggCCAIIAggCCAIIAggCCAIIAhECAwJCAh4AAtkCAgIxAgQCBQIGAgcCCAIJAgoCCwI8Ag0CCAIIAggCCAIIAggCCAIIAggCCAIIAggCCAIIAggCCAIIAhECAwJBAh4AAtkCAgJZAgQCBQIGAgcCCAIJAgoCCwI8Ag0CCHoAAAQAAggCCAIIAggCCAIIAggCCAIIAggCCAIIAggCCAIIAggCEQIDAqkCHgAC2QICAjECBAIFAgYCBwIIAgkCmQILAjwCDQIIAggCCAIIAggCCAIIAggCCAIIAggCCAIIAggCCAIIAggCEQIDAk4CHgAC2QICAjUCBAIFAgYCBwIIAgkCmQILAjwCDQIIAggCCAIIAggCCAIIAggCCAIIAggCCAIIAggCCAIIAggCEQIDAk4CHgAC2QICAnYCBAIFAgYCBwIIAgkCmQILAjwCDQIIAggCCAIIAggCCAIIAggCCAIIAggCCAIIAggCCAIIAggCEQIDAscCHgAC2QICAgMCBAIFAgYCBwIIAgkCCgILAjwCDQIIAggCCAIIAggCCAIIAggCCAIIAggCCAIIAggCCAIIAggCEQIDAkUCHgAC2QICAicCBAIFAgYCBwIIAgkCTwILAjwCDQIIAggCCAIIAggCCAIIAggCCAIIAggCCAIIAggCCAIIAggCEQIDAsYCHgAC2QICAjUCBAIFAgYCBwIIAgkCCgILAjwCDQIIAggCCAIIAggCCAIIAggCCAIIAggCCAIIAggCCAIIAggCEQIDAj8CHgAC2QICAi0CBAIFAgYCBwIIAgkCCgILAjwCDQIIAggCCAIIAggCCAIIAggCCAIIAggCCAIIAggCCAIIAggCEQIDAkcCHgAC2QICAh8CBAIFAgYCBwIIAgkCCgILAjwCDQIIAggCCAIIAggCCAIIAggCCAIIAggCCAIIAggCCAIIAggCEQIDAkkCHgAC2QICAlECBAIFAgYCBwIIAgkCTwILAjwCDQIIAggCCAIIAggCCAIIAggCCAIIAggCCAIIAggCCAIIAggCEQIDArsCHgAC2QICAikCBAIFAgYCBwIIAgkCTwILAjwCDQIIAggCCAIIAggCCAIIAggCCAIIAggCCAIIAggCCAIIAggCEQIDAtQCHgAC2QICAnYCBAIFAgYCBwIIAgkCCgILAjwCDQIIAggCCAIIAggCCAIIAggCCAIIAggCCAIIAggCCAIIAggCEQIDAsQCHgAC2QICAi0CBAIFAgYCBwIIAgkCmQILAjwCDQIIAggCCAIIAggCCAIIAggCCAIIAggCCAIIAggCCAIIAggCEQIDAsoCHgAC2QICAh8CBAIFAgYCBwIIAgkCmQILAjwCDQIIAggCCAIIAggCCAIIAggCCAIIAggCCAIIAggCCAIIAggCEQIDAr0CHgAC2QICAiUCBAIFAgYCBwIIAgkCTwILAjwCDQIIAggCCAIIAggCCAIIAggCCAIIAggCCAIIAggCCAIIAggCEQIDArkCHgAC2QICAgMCBAIFAgYCBwIIAnoAAAQACQKZAgsCPAINAggCCAIIAggCCAIIAggCCAIIAggCCAIIAggCCAIIAggCCAIRAgMCTgIeAALZAgICKQIEAgUCBgIHAggCCQIKAgsCPAINAggCCAIIAggCCAIIAggCCAIIAggCCAIIAggCCAIIAggCCAIRAgMCPgIeAALZAgICKwIEAgUCBgIHAggCCQJPAgsCPAINAggCCAIIAggCCAIIAggCCAIIAggCCAIIAggCCAIIAggCCAIRAgMCugIeAALZAgICIQIEAgUCBgIHAggCCQJPAgsCPAINAggCCAIIAggCCAIIAggCCAIIAggCCAIIAggCCAIIAggCCAIRAgMCvwIeAALZAgICTQIEAgUCBgIHAggCCQJPAgsCPAINAggCCAIIAggCCAIIAggCCAIIAggCCAIIAggCCAIIAggCCAIRAgMC1QIeAALZAgICXgIEAgUCBgIHAggCCQJPAgsCPAINAggCCAIIAggCCAIIAggCCAIIAggCCAIIAggCCAIIAggCCAIRAgMCuAIeAALZAgICJwIEAgUCBgIHAggCCQIKAgsCPAINAggCCAIIAggCCAIIAggCCAIIAggCCAIIAggCCAIIAggCCAIRAgMCPQIeAALZAgICJwIEAgUCBgIHAggCCQKZAgsCPAINAggCCAIIAggCCAIIAggCCAIIAggCCAIIAggCCAIIAggCCAIRAgMCwwIeAALZAgICbQIEAgUCBgIHAggCCQIKAgsCPAINAggCCAIIAggCCAIIAggCCAIIAggCCAIIAggCCAIIAggCCAIRAgMCvgIeAALZAgICbQIEAgUCBgIHAggCCQKZAgsCPAINAggCCAIIAggCCAIIAggCCAIIAggCCAIIAggCCAIIAggCCAIRAgMCwgIeAALZAgICUwIEAgUCBgIHAggCCQKZAgsCPAINAggCCAIIAggCCAIIAggCCAIIAggCCAIIAggCCAIIAggCCAIRAgMCowIeAALZAgICWQIEAgUCBgIHAggCCQJPAgsCPAINAggCCAIIAggCCAIIAggCCAIIAggCCAIIAggCCAIIAggCCAIRAgMCwAIeAALZAgICNQIEAgUCBgIHAggCCQJPAgsCPAINAggCCAIIAggCCAIIAggCCAIIAggCCAIIAggCCAIIAggCCAIRAgMCnwIeAALZAgICKQIEAgUCBgIHAggCCQKZAgsCPAINAggCCAIIAggCCAIIAggCCAIIAggCCAIIAggCCAIIAggCCAIRAgMCTgIeAALZAgICMQIEAgUCBgIHAggCCQJPAgsCPAINAggCCAIIAggCCAIIAggCCAIIAggCCAIIAggCCAIIAggCCAIRAgMCwQIeAALZAgICHXoAAAQAAgQCBQIGAgcCCAIJAk8CCwI8Ag0CCAIIAggCCAIIAggCCAIIAggCCAIIAggCCAIIAggCCAIIAhECAwLMAh4AAtkCAgIlAgQCBQIGAgcCCAIJAgoCCwI8Ag0CCAIIAggCCAIIAggCCAIIAggCCAIIAggCCAIIAggCCAIIAhECAwJKAh4AAtkCAgIvAgQCBQIGAgcCCAIJAgoCCwI8Ag0CCAIIAggCCAIIAggCCAIIAggCCAIIAggCCAIIAggCCAIIAhECAwJGAh4AAtkCAgJiAgQCBQIGAgcCCAIJAk8CCwI8Ag0CCAIIAggCCAIIAggCCAIIAggCCAIIAggCCAIIAggCCAIIAhECAwLNAh4AAtkCAgJTAgQCBQIGAgcCCAIJAgoCCwI8Ag0CCAIIAggCCAIIAggCCAIIAggCCAIIAggCCAIIAggCCAIIAhECAwKgAh4AAtkCAgIvAgQCBQIGAgcCCAIJApkCCwI8Ag0CCAIIAggCCAIIAggCCAIIAggCCAIIAggCCAIIAggCCAIIAhECAwKiAh4AAtkCAgLaAgQCBQIGAgcCCAIJAgoCCwI8Ag0CCAIIAggCCAIIAggCCAIIAggCCAIIAggCCAIIAggCCAIIAhECAwLWAh4AAtkCAgJeAgQCBQIGAgcCCAIJAgoCCwI8Ag0CCAIIAggCCAIIAggCCAIIAggCCAIIAggCCAIIAggCCAIIAhECAwLOAh4AAtkCAgIrAgQCBQIGAgcCCAIJAgoCCwI8Ag0CCAIIAggCCAIIAggCCAIIAggCCAIIAggCCAIIAggCCAIIAhECAwJDAh4AAtkCAgJkAgQCBQIGAgcCCAIJApkCCwI8Ag0CCAIIAggCCAIIAggCCAIIAggCCAIIAggCCAIIAggCCAIIAhECAwKcAh4AAtkCAgJeAgQCBQIGAgcCCAIJApkCCwI8Ag0CCAIIAggCCAIIAggCCAIIAggCCAIIAggCCAIIAggCCAIIAhECAwLFAh4AAtkCAgIrAgQCBQIGAgcCCAIJApkCCwI8Ag0CCAIIAggCCAIIAggCCAIIAggCCAIIAggCCAIIAggCCAIIAhECAwLRAh4AAtkCAgLaAgQCBQIGAgcCCAIJApkCCwI8Ag0CCAIIAggCCAIIAggCCAIIAggCCAIIAggCCAIIAggCCAIIAhECAwJOAh4AAtkCAgJXAgQCBQIGAgcCCAIJAk8CCwI8Ag0CCAIIAggCCAIIAggCCAIIAggCCAIIAggCCAIIAggCCAIIAhECAwLPAh4AAtkCAgJtAgQCBQIGAgcCCAIJAk8CCwI8Ag0CCAIIAggCCAIIAggCCAIIAggCCAIIAggCCAIIAggCCAIIAhECA3oAAAQAAtACHgAC2wAJMzc3MDgxNTYwAgICLwIEAgUCBgIHAggCCQJPAgsCPAINAggCCAIIAggCCAIIAggCCAIIAggCCAIIAggCCAIIAggCCAIiAgMCpAIeAALbAgICMQIEAgUCBgIHAggCCQJPAgsCPAINAggCCAIIAggCCAIIAggCCAIIAggCCAIIAggCCAIIAggCCAIiAgMCwQIeAALbAgICIQIEAgUCBgIHAggCCQJPAgsCPAINAggCCAIIAggCCAIIAggCCAIIAggCCAIIAggCCAIIAggCCAIiAgMCvwIeAALbAgICIwIEAgUCBgIHAggCCQJPAgsCPAINAggCCAIIAggCCAIIAggCCAIIAggCCAIIAggCCAIIAggCCAIiAgMCrgIeAALbAgICLQIEAgUCBgIHAggCCQJPAgsCPAINAggCCAIIAggCCAIIAggCCAIIAggCCAIIAggCCAIIAggCCAIiAgMCnQIeAALbAgICHQIEAgUCBgIHAggCCQJPAgsCPAINAggCCAIIAggCCAIIAggCCAIIAggCCAIIAggCCAIIAggCCAIiAgMCzAIeAALbAgICHwIEAgUCBgIHAggCCQJPAgsCPAINAggCCAIIAggCCAIIAggCCAIIAggCCAIIAggCCAIIAggCCAIiAgMCqwIeAALbAgICAwIEAgUCBgIHAggCCQJPAgsCPAINAggCCAIIAggCCAIIAggCCAIIAggCCAIIAggCCAIIAggCCAIiAgMCsgIeAALbAgICMwIEAgUCBgIHAggCCQJPAgsCPAINAggCCAIIAggCCAIIAggCCAIIAggCCAIIAggCCAIIAggCCAIiAgMCqgIeAALbAgICGwIEAgUCBgIHAggCCQJPAgsCPAINAggCCAIIAggCCAIIAggCCAIIAggCCAIIAggCCAIIAggCCAIiAgMCmwIeAALbAgICJQIEAgUCBgIHAggCCQJPAgsCPAINAggCCAIIAggCCAIIAggCCAIIAggCCAIIAggCCAIIAggCCAIiAgMCuQIeAALbAgICJwIEAgUCBgIHAggCCQJPAgsCPAINAggCCAIIAggCCAIIAggCCAIIAggCCAIIAggCCAIIAggCCAIiAgMCxgIeAALbAgICKwIEAgUCBgIHAggCCQJPAgsCPAINAggCCAIIAggCCAIIAggCCAIIAggCCAIIAggCCAIIAggCCAIiAgMCugIeAALbAgICKQIEAgUCBgIHAggCCQJPAgsCPAINAggCCAIIAggCCAIIAggCCAIIAggCCAIIAggCCAIIAggCCAIiAgMC1AIeAALbAgICNQIEAgUCBgIHAggCCQJPAgsCPAINAggCCAIIAggCCAIIAggCCHoAAAQAAggCCAIIAggCCAIIAggCCAIIAiICAwKfAh4AAtwACTM3MTI1MjY2NAICAlkCBAIFAgYCBwIIAgkCOQILAgwCDQIIAggCCAIIAggCCAIIAggCCAIIAggCCAIIAggCCAIIAggCFgIDAowCHgAC3AICAi0CBAIFAgYCBwIIAgkCTwILAgwCDQIIAggCCAIIAggCCAIIAggCCAIIAggCCAIIAggCCAIIAggCFgIDAo0CHgAC3AICAi8CBAIFAgYCBwIIAgkCCgILAgwCDQIIAggCCAIIAggCCAIIAggCCAIIAggCCAIIAggCCAIIAggCFgIDAjACHgAC3AICAnYCBAIFAgYCBwIIAgkCTwILAgwCDQIIAggCCAIIAggCCAIIAggCCAIIAggCCAIIAggCCAIIAggCFgIDAosCHgAC3AICAnMCBAIFAgYCBwIIAgkCTwILAgwCDQIIAggCCAIIAggCCAIIAggCCAIIAggCCAIIAggCCAIIAggCFgIDAnQCHgAC3AICAl4CBAIFAgYCBwIIAgkCOQILAgwCDQIIAggCCAIIAggCCAIIAggCCAIIAggCCAIIAggCCAIIAggCFgIDAmACHgAC3AICAlUCBAIFAgYCBwIIAgkCCgILAgwCDQIIAggCCAIIAggCCAIIAggCCAIIAggCCAIIAggCCAIIAggCFgIDAlYCHgAC3AICAlcCBAIFAgYCBwIIAgkCCgILAgwCDQIIAggCCAIIAggCCAIIAggCCAIIAggCCAIIAggCCAIIAggCFgIDAnECHgAC3AICAjECBAIFAgYCBwIIAgkCOQILAgwCDQIIAggCCAIIAggCCAIIAggCCAIIAggCCAIIAggCCAIIAggCFgIDAk4CHgAC3AICAisCBAIFAgYCBwIIAgkCOQILAgwCDQIIAggCCAIIAggCCAIIAggCCAIIAggCCAIIAggCCAIIAggCFgIDAlwCHgAC3AICAnMCBAIFAgYCBwIIAgkCCgILAgwCDQIIAggCCAIIAggCCAIIAggCCAIIAggCCAIIAggCCAIIAggCFgIDApACHgAC3AICAhsCBAIFAgYCBwIIAgkCCgILAgwCDQIIAggCCAIIAggCCAIIAggCCAIIAggCCAIIAggCCAIIAggCFgIDAhwCHgAC3AICAiMCBAIFAgYCBwIIAgkCCgILAgwCDQIIAggCCAIIAggCCAIIAggCCAIIAggCCAIIAggCCAIIAggCFgIDAiQCHgAC3AICAlECBAIFAgYCBwIIAgkCOQILAgwCDQIIAggCCAIIAggCCAIIAggCCAIIAggCCAIIAggCCAIIAggCFgIDAlICHgAC3AICAm0CBAIFAgYCBwIIAgkCT3oAAAQAAgsCDAINAggCCAIIAggCCAIIAggCCAIIAggCCAIIAggCCAIIAggCCAIWAgMCbgIeAALcAgICUwIEAgUCBgIHAggCCQJPAgsCDAINAggCCAIIAggCCAIIAggCCAIIAggCCAIIAggCCAIIAggCCAIWAgMCVAIeAALcAgICHQIEAgUCBgIHAggCCQIKAgsCDAINAggCCAIIAggCCAIIAggCCAIIAggCCAIIAggCCAIIAggCCAIWAgMCHgIeAALcAgICYgIEAgUCBgIHAggCCQIKAgsCDAINAggCCAIIAggCCAIIAggCCAIIAggCCAIIAggCCAIIAggCCAIWAgMCYwIeAALcAgICIQIEAgUCBgIHAggCCQI5AgsCDAINAggCCAIIAggCCAIIAggCCAIIAggCCAIIAggCCAIIAggCCAIWAgMCZgIeAALcAgICJQIEAgUCBgIHAggCCQI5AgsCDAINAggCCAIIAggCCAIIAggCCAIIAggCCAIIAggCCAIIAggCCAIWAgMCZwIeAALcAgICZAIEAgUCBgIHAggCCQIKAgsCDAINAggCCAIIAggCCAIIAggCCAIIAggCCAIIAggCCAIIAggCCAIWAgMCZQIeAALcAgICdgIEAgUCBgIHAggCCQIKAgsCDAINAggCCAIIAggCCAIIAggCCAIIAggCCAIIAggCCAIIAggCCAIWAgMChAIeAALcAgICVwIEAgUCBgIHAggCCQJPAgsCDAINAggCCAIIAggCCAIIAggCCAIIAggCCAIIAggCCAIIAggCCAIWAgMCWAIeAALcAgICJwIEAgUCBgIHAggCCQJPAgsCDAINAggCCAIIAggCCAIIAggCCAIIAggCCAIIAggCCAIIAggCCAIWAgMCggIeAALcAgICXgIEAgUCBgIHAggCCQIKAgsCDAINAggCCAIIAggCCAIIAggCCAIIAggCCAIIAggCCAIIAggCCAIWAgMCXwIeAALcAgICKwIEAgUCBgIHAggCCQIKAgsCDAINAggCCAIIAggCCAIIAggCCAIIAggCCAIIAggCCAIIAggCCAIWAgMCLAIeAALcAgICVQIEAgUCBgIHAggCCQI5AgsCDAINAggCCAIIAggCCAIIAggCCAIIAggCCAIIAggCCAIIAggCCAIWAgMCbwIeAALcAgICbQIEAgUCBgIHAggCCQIKAgsCDAINAggCCAIIAggCCAIIAggCCAIIAggCCAIIAggCCAIIAggCCAIWAgMCewIeAALcAgICMwIEAgUCBgIHAggCCQI5AgsCDAINAggCCAIIAggCCAIIAggCCAIIAggCCAIIAggCCAIIAggCCAIWAgMCcAIeAALcAgICHwIEAnoAAAQABQIGAgcCCAIJAjkCCwIMAg0CCAIIAggCCAIIAggCCAIIAggCCAIIAggCCAIIAggCCAIIAhYCAwJ6Ah4AAtwCAgJkAgQCBQIGAgcCCAIJAjkCCwIMAg0CCAIIAggCCAIIAggCCAIIAggCCAIIAggCCAIIAggCCAIIAhYCAwJpAh4AAtwCAgIjAgQCBQIGAgcCCAIJAjkCCwIMAg0CCAIIAggCCAIIAggCCAIIAggCCAIIAggCCAIIAggCCAIIAhYCAwJOAh4AAtwCAgIdAgQCBQIGAgcCCAIJAk8CCwIMAg0CCAIIAggCCAIIAggCCAIIAggCCAIIAggCCAIIAggCCAIIAhYCAwJoAh4AAtwCAgIlAgQCBQIGAgcCCAIJAgoCCwIMAg0CCAIIAggCCAIIAggCCAIIAggCCAIIAggCCAIIAggCCAIIAhYCAwImAh4AAtwCAgJiAgQCBQIGAgcCCAIJAk8CCwIMAg0CCAIIAggCCAIIAggCCAIIAggCCAIIAggCCAIIAggCCAIIAhYCAwJsAh4AAtwCAgI1AgQCBQIGAgcCCAIJAk8CCwIMAg0CCAIIAggCCAIIAggCCAIIAggCCAIIAggCCAIIAggCCAIIAhYCAwJ4Ah4AAtwCAgIbAgQCBQIGAgcCCAIJAk8CCwIMAg0CCAIIAggCCAIIAggCCAIIAggCCAIIAggCCAIIAggCCAIIAhYCAwJyAh4AAtwCAgIxAgQCBQIGAgcCCAIJAk8CCwIMAg0CCAIIAggCCAIIAggCCAIIAggCCAIIAggCCAIIAggCCAIIAhYCAwJqAh4AAtwCAgJTAgQCBQIGAgcCCAIJAgoCCwIMAg0CCAIIAggCCAIIAggCCAIIAggCCAIIAggCCAIIAggCCAIIAhYCAwJ1Ah4AAtwCAgItAgQCBQIGAgcCCAIJAjkCCwIMAg0CCAIIAggCCAIIAggCCAIIAggCCAIIAggCCAIIAggCCAIIAhYCAwJ5Ah4AAtwCAgIrAgQCBQIGAgcCCAIJAk8CCwIMAg0CCAIIAggCCAIIAggCCAIIAggCCAIIAggCCAIIAggCCAIIAhYCAwKVAh4AAtwCAgJ2AgQCBQIGAgcCCAIJAjkCCwIMAg0CCAIIAggCCAIIAggCCAIIAggCCAIIAggCCAIIAggCCAIIAhYCAwJ3Ah4AAtwCAgJeAgQCBQIGAgcCCAIJAk8CCwIMAg0CCAIIAggCCAIIAggCCAIIAggCCAIIAggCCAIIAggCCAIIAhYCAwKTAh4AAtwCAgI1AgQCBQIGAgcCCAIJAjkCCwIMAg0CCAIIAggCCAIIAggCCAIIAggCCAIIAggCCAIIAggCCAIIAhYCAwJOAnoAAAQAHgAC3AICAicCBAIFAgYCBwIIAgkCCgILAgwCDQIIAggCCAIIAggCCAIIAggCCAIIAggCCAIIAggCCAIIAggCFgIDAigCHgAC3AICAiUCBAIFAgYCBwIIAgkCTwILAgwCDQIIAggCCAIIAggCCAIIAggCCAIIAggCCAIIAggCCAIIAggCFgIDAoECHgAC3AICAlkCBAIFAgYCBwIIAgkCTwILAgwCDQIIAggCCAIIAggCCAIIAggCCAIIAggCCAIIAggCCAIIAggCFgIDAmsCHgAC3AICAhsCBAIFAgYCBwIIAgkCOQILAgwCDQIIAggCCAIIAggCCAIIAggCCAIIAggCCAIIAggCCAIIAggCFgIDAoACHgAC3AICAlECBAIFAgYCBwIIAgkCTwILAgwCDQIIAggCCAIIAggCCAIIAggCCAIIAggCCAIIAggCCAIIAggCFgIDAnwCHgAC3AICAh8CBAIFAgYCBwIIAgkCCgILAgwCDQIIAggCCAIIAggCCAIIAggCCAIIAggCCAIIAggCCAIIAggCFgIDAiACHgAC3AICAnMCBAIFAgYCBwIIAgkCOQILAgwCDQIIAggCCAIIAggCCAIIAggCCAIIAggCCAIIAggCCAIIAggCFgIDAn0CHgAC3AICAiECBAIFAgYCBwIIAgkCTwILAgwCDQIIAggCCAIIAggCCAIIAggCCAIIAggCCAIIAggCCAIIAggCFgIDAn4CHgAC3AICAi8CBAIFAgYCBwIIAgkCOQILAgwCDQIIAggCCAIIAggCCAIIAggCCAIIAggCCAIIAggCCAIIAggCFgIDAoUCHgAC3AICAlkCBAIFAgYCBwIIAgkCCgILAgwCDQIIAggCCAIIAggCCAIIAggCCAIIAggCCAIIAggCCAIIAggCFgIDAloCHgAC3AICAjECBAIFAgYCBwIIAgkCCgILAgwCDQIIAggCCAIIAggCCAIIAggCCAIIAggCCAIIAggCCAIIAggCFgIDAjICHgAC3AICAjUCBAIFAgYCBwIIAgkCCgILAgwCDQIIAggCCAIIAggCCAIIAggCCAIIAggCCAIIAggCCAIIAggCFgIDAjYCHgAC3AICAi0CBAIFAgYCBwIIAgkCCgILAgwCDQIIAggCCAIIAggCCAIIAggCCAIIAggCCAIIAggCCAIIAggCFgIDAi4CHgAC3AICAjMCBAIFAgYCBwIIAgkCTwILAgwCDQIIAggCCAIIAggCCAIIAggCCAIIAggCCAIIAggCCAIIAggCFgIDAmECHgAC3AICAlMCBAIFAgYCBwIIAgkCOQILAgwCDQIIAggCCAIIAggCCAIIAggCCAIIAggCCAIIAggCCHoAAAQAAggCCAIWAgMCgwIeAALcAgICVQIEAgUCBgIHAggCCQJPAgsCDAINAggCCAIIAggCCAIIAggCCAIIAggCCAIIAggCCAIIAggCCAIWAgMCXQIeAALcAgICVwIEAgUCBgIHAggCCQI5AgsCDAINAggCCAIIAggCCAIIAggCCAIIAggCCAIIAggCCAIIAggCCAIWAgMCkgIeAALcAgICLwIEAgUCBgIHAggCCQJPAgsCDAINAggCCAIIAggCCAIIAggCCAIIAggCCAIIAggCCAIIAggCCAIWAgMCUAIeAALcAgICHwIEAgUCBgIHAggCCQJPAgsCDAINAggCCAIIAggCCAIIAggCCAIIAggCCAIIAggCCAIIAggCCAIWAgMCjwIeAALcAgICJwIEAgUCBgIHAggCCQI5AgsCDAINAggCCAIIAggCCAIIAggCCAIIAggCCAIIAggCCAIIAggCCAIWAgMCWwIeAALcAgICbQIEAgUCBgIHAggCCQI5AgsCDAINAggCCAIIAggCCAIIAggCCAIIAggCCAIIAggCCAIIAggCCAIWAgMCigIeAALcAgICZAIEAgUCBgIHAggCCQJPAgsCDAINAggCCAIIAggCCAIIAggCCAIIAggCCAIIAggCCAIIAggCCAIWAgMClAIeAALcAgICIwIEAgUCBgIHAggCCQJPAgsCDAINAggCCAIIAggCCAIIAggCCAIIAggCCAIIAggCCAIIAggCCAIWAgMCjgIeAALcAgICIQIEAgUCBgIHAggCCQIKAgsCDAINAggCCAIIAggCCAIIAggCCAIIAggCCAIIAggCCAIIAggCCAIWAgMCIgIeAALcAgICMwIEAgUCBgIHAggCCQIKAgsCDAINAggCCAIIAggCCAIIAggCCAIIAggCCAIIAggCCAIIAggCCAIWAgMCNAIeAALcAgICYgIEAgUCBgIHAggCCQI5AgsCDAINAggCCAIIAggCCAIIAggCCAIIAggCCAIIAggCCAIIAggCCAIWAgMCiQIeAALcAgICHQIEAgUCBgIHAggCCQI5AgsCDAINAggCCAIIAggCCAIIAggCCAIIAggCCAIIAggCCAIIAggCCAIWAgMClgIeAALcAgICUQIEAgUCBgIHAggCCQIKAgsCDAINAggCCAIIAggCCAIIAggCCAIIAggCCAIIAggCCAIIAggCCAIWAgMCiAIeAALdAAk2NjY3MDY0NDACAgLaAgQCBQIGAgcCCAIJAjkCCwIMAg0CCAIIAggCCAIIAggCCAIIAggCCAIIAggCCAIIAggCCAIIAhACAwJOAh4AAt0CAgJeAgQCBQIGAgcCCAIJAjkCCwIMAg0CCAIIAggCCHoAAAQAAggCCAIIAggCCAIIAggCCAIIAggCCAIIAggCEAIDAmACHgAC3QICAisCBAIFAgYCBwIIAgkCOQILAgwCDQIIAggCCAIIAggCCAIIAggCCAIIAggCCAIIAggCCAIIAggCEAIDAlwCHgAC3QICAlcCBAIFAgYCBwIIAgkCCgILAgwCDQIIAggCCAIIAggCCAIIAggCCAIIAggCCAIIAggCCAIIAggCEAIDAnECHgAC3QICAnMCBAIFAgYCBwIIAgkCTwILAgwCDQIIAggCCAIIAggCCAIIAggCCAIIAggCCAIIAggCCAIIAggCEAIDAnQCHgAC3QICAjMCBAIFAgYCBwIIAgkCCgILAgwCDQIIAggCCAIIAggCCAIIAggCCAIIAggCCAIIAggCCAIIAggCEAIDAjQCHgAC3QICAlMCBAIFAgYCBwIIAgkCCgILAgwCDQIIAggCCAIIAggCCAIIAggCCAIIAggCCAIIAggCCAIIAggCEAIDAnUCHgAC3QICAiUCBAIFAgYCBwIIAgkCOQILAgwCDQIIAggCCAIIAggCCAIIAggCCAIIAggCCAIIAggCCAIIAggCEAIDAmcCHgAC3QICAhsCBAIFAgYCBwIIAgkCTwILAgwCDQIIAggCCAIIAggCCAIIAggCCAIIAggCCAIIAggCCAIIAggCEAIDAnICHgAC3QICAlECBAIFAgYCBwIIAgkCOQILAgwCDQIIAggCCAIIAggCCAIIAggCCAIIAggCCAIIAggCCAIIAggCEAIDAlICHgAC3QICAmICBAIFAgYCBwIIAgkCOQILAgwCDQIIAggCCAIIAggCCAIIAggCCAIIAggCCAIIAggCCAIIAggCEAIDAokCHgAC3QICAlMCBAIFAgYCBwIIAgkCTwILAgwCDQIIAggCCAIIAggCCAIIAggCCAIIAggCCAIIAggCCAIIAggCEAIDAlQCHgAC3QICAi8CBAIFAgYCBwIIAgkCTwILAgwCDQIIAggCCAIIAggCCAIIAggCCAIIAggCCAIIAggCCAIIAggCEAIDAlACHgAC3QICAiECBAIFAgYCBwIIAgkCOQILAgwCDQIIAggCCAIIAggCCAIIAggCCAIIAggCCAIIAggCCAIIAggCEAIDAmYCHgAC3QICAmQCBAIFAgYCBwIIAgkCCgILAgwCDQIIAggCCAIIAggCCAIIAggCCAIIAggCCAIIAggCCAIIAggCEAIDAmUCHgAC3QICAiMCBAIFAgYCBwIIAgkCCgILAgwCDQIIAggCCAIIAggCCAIIAggCCAIIAggCCAIIAggCCAIIAggCEAIDAiQCHgAC3QICAmICBAIFAgYCBwIIAgkCCgILAnoAAAQADAINAggCCAIIAggCCAIIAggCCAIIAggCCAIIAggCCAIIAggCCAIQAgMCYwIeAALdAgICHQIEAgUCBgIHAggCCQIKAgsCDAINAggCCAIIAggCCAIIAggCCAIIAggCCAIIAggCCAIIAggCCAIQAgMCHgIeAALdAgICTQIEAgUCBgIHAggCCQI5AgsCDAINAggCCAIIAggCCAIIAggCCAIIAggCCAIIAggCCAIIAggCCAIQAgMCTgIeAALdAgICMQIEAgUCBgIHAggCCQI5AgsCDAINAggCCAIIAggCCAIIAggCCAIIAggCCAIIAggCCAIIAggCCAIQAgMCTgIeAALdAgICWQIEAgUCBgIHAggCCQI5AgsCDAINAggCCAIIAggCCAIIAggCCAIIAggCCAIIAggCCAIIAggCCAIQAgMCjAIeAALdAgICVQIEAgUCBgIHAggCCQIKAgsCDAINAggCCAIIAggCCAIIAggCCAIIAggCCAIIAggCCAIIAggCCAIQAgMCVgIeAALdAgICMwIEAgUCBgIHAggCCQJPAgsCDAINAggCCAIIAggCCAIIAggCCAIIAggCCAIIAggCCAIIAggCCAIQAgMCYQIeAALdAgICVQIEAgUCBgIHAggCCQJPAgsCDAINAggCCAIIAggCCAIIAggCCAIIAggCCAIIAggCCAIIAggCCAIQAgMCXQIeAALdAgICKQIEAgUCBgIHAggCCQI5AgsCDAINAggCCAIIAggCCAIIAggCCAIIAggCCAIIAggCCAIIAggCCAIQAgMCTgIeAALdAgICZAIEAgUCBgIHAggCCQJPAgsCDAINAggCCAIIAggCCAIIAggCCAIIAggCCAIIAggCCAIIAggCCAIQAgMClAIeAALdAgICMQIEAgUCBgIHAggCCQIKAgsCDAINAggCCAIIAggCCAIIAggCCAIIAggCCAIIAggCCAIIAggCCAIQAgMCMgIeAALdAgICNQIEAgUCBgIHAggCCQIKAgsCDAINAggCCAIIAggCCAIIAggCCAIIAggCCAIIAggCCAIIAggCCAIQAgMCNgIeAALdAgICGwIEAgUCBgIHAggCCQIKAgsCDAINAggCCAIIAggCCAIIAggCCAIIAggCCAIIAggCCAIIAggCCAIQAgMCHAIeAALdAgICLwIEAgUCBgIHAggCCQI5AgsCDAINAggCCAIIAggCCAIIAggCCAIIAggCCAIIAggCCAIIAggCCAIQAgMChQIeAALdAgICUwIEAgUCBgIHAggCCQI5AgsCDAINAggCCAIIAggCCAIIAggCCAIIAggCCAIIAggCCAIIAggCCAIQAgMCgwIeAALdAgICUQIEAgUCBnoAAAQAAgcCCAIJAgoCCwIMAg0CCAIIAggCCAIIAggCCAIIAggCCAIIAggCCAIIAggCCAIIAhACAwKIAh4AAt0CAgJNAgQCBQIGAgcCCAIJAgoCCwIMAg0CCAIIAggCCAIIAggCCAIIAggCCAIIAggCCAIIAggCCAIIAhACAwKHAh4AAt0CAgIhAgQCBQIGAgcCCAIJAgoCCwIMAg0CCAIIAggCCAIIAggCCAIIAggCCAIIAggCCAIIAggCCAIIAhACAwIiAh4AAt0CAgIdAgQCBQIGAgcCCAIJAjkCCwIMAg0CCAIIAggCCAIIAggCCAIIAggCCAIIAggCCAIIAggCCAIIAhACAwKWAh4AAt0CAgJ2AgQCBQIGAgcCCAIJAk8CCwIMAg0CCAIIAggCCAIIAggCCAIIAggCCAIIAggCCAIIAggCCAIIAhACAwKLAh4AAt0CAgJzAgQCBQIGAgcCCAIJAgoCCwIMAg0CCAIIAggCCAIIAggCCAIIAggCCAIIAggCCAIIAggCCAIIAhACAwKQAh4AAt0CAgJZAgQCBQIGAgcCCAIJAgoCCwIMAg0CCAIIAggCCAIIAggCCAIIAggCCAIIAggCCAIIAggCCAIIAhACAwJaAh4AAt0CAgIDAgQCBQIGAgcCCAIJAk8CCwIMAg0CCAIIAggCCAIIAggCCAIIAggCCAIIAggCCAIIAggCCAIIAhACAwKRAh4AAt0CAgInAgQCBQIGAgcCCAIJAjkCCwIMAg0CCAIIAggCCAIIAggCCAIIAggCCAIIAggCCAIIAggCCAIIAhACAwJbAh4AAt0CAgJtAgQCBQIGAgcCCAIJAjkCCwIMAg0CCAIIAggCCAIIAggCCAIIAggCCAIIAggCCAIIAggCCAIIAhACAwKKAh4AAt0CAgItAgQCBQIGAgcCCAIJAk8CCwIMAg0CCAIIAggCCAIIAggCCAIIAggCCAIIAggCCAIIAggCCAIIAhACAwKNAh4AAt0CAgIfAgQCBQIGAgcCCAIJAk8CCwIMAg0CCAIIAggCCAIIAggCCAIIAggCCAIIAggCCAIIAggCCAIIAhACAwKPAh4AAt0CAgIjAgQCBQIGAgcCCAIJAk8CCwIMAg0CCAIIAggCCAIIAggCCAIIAggCCAIIAggCCAIIAggCCAIIAhACAwKOAh4AAt0CAgJXAgQCBQIGAgcCCAIJAjkCCwIMAg0CCAIIAggCCAIIAggCCAIIAggCCAIIAggCCAIIAggCCAIIAhACAwKSAh4AAt0CAgIlAgQCBQIGAgcCCAIJAk8CCwIMAg0CCAIIAggCCAIIAggCCAIIAggCCAIIAggCCAIIAggCCAIIAhACAwKBAh4AAnoAAAQA3QICAl4CBAIFAgYCBwIIAgkCTwILAgwCDQIIAggCCAIIAggCCAIIAggCCAIIAggCCAIIAggCCAIIAggCEAIDApMCHgAC3QICAicCBAIFAgYCBwIIAgkCCgILAgwCDQIIAggCCAIIAggCCAIIAggCCAIIAggCCAIIAggCCAIIAggCEAIDAigCHgAC3QICAtoCBAIFAgYCBwIIAgkCTwILAgwCDQIIAggCCAIIAggCCAIIAggCCAIIAggCCAIIAggCCAIIAggCEAIDAn8CHgAC3QICAi0CBAIFAgYCBwIIAgkCOQILAgwCDQIIAggCCAIIAggCCAIIAggCCAIIAggCCAIIAggCCAIIAggCEAIDAnkCHgAC3QICAisCBAIFAgYCBwIIAgkCTwILAgwCDQIIAggCCAIIAggCCAIIAggCCAIIAggCCAIIAggCCAIIAggCEAIDApUCHgAC3QICAikCBAIFAgYCBwIIAgkCCgILAgwCDQIIAggCCAIIAggCCAIIAggCCAIIAggCCAIIAggCCAIIAggCEAIDAioCHgAC3QICAjECBAIFAgYCBwIIAgkCTwILAgwCDQIIAggCCAIIAggCCAIIAggCCAIIAggCCAIIAggCCAIIAggCEAIDAmoCHgAC3QICAnYCBAIFAgYCBwIIAgkCOQILAgwCDQIIAggCCAIIAggCCAIIAggCCAIIAggCCAIIAggCCAIIAggCEAIDAncCHgAC3QICAm0CBAIFAgYCBwIIAgkCCgILAgwCDQIIAggCCAIIAggCCAIIAggCCAIIAggCCAIIAggCCAIIAggCEAIDAnsCHgAC3QICAlkCBAIFAgYCBwIIAgkCTwILAgwCDQIIAggCCAIIAggCCAIIAggCCAIIAggCCAIIAggCCAIIAggCEAIDAmsCHgAC3QICAh8CBAIFAgYCBwIIAgkCCgILAgwCDQIIAggCCAIIAggCCAIIAggCCAIIAggCCAIIAggCCAIIAggCEAIDAiACHgAC3QICAjUCBAIFAgYCBwIIAgkCOQILAgwCDQIIAggCCAIIAggCCAIIAggCCAIIAggCCAIIAggCCAIIAggCEAIDAk4CHgAC3QICAk0CBAIFAgYCBwIIAgkCTwILAgwCDQIIAggCCAIIAggCCAIIAggCCAIIAggCCAIIAggCCAIIAggCEAIDAn8CHgAC3QICAnMCBAIFAgYCBwIIAgkCOQILAgwCDQIIAggCCAIIAggCCAIIAggCCAIIAggCCAIIAggCCAIIAggCEAIDAn0CHgAC3QICAhsCBAIFAgYCBwIIAgkCOQILAgwCDQIIAggCCAIIAggCCAIIAggCCAIIAggCCAIIAggCCAIIAnoAAAQACAIQAgMCgAIeAALdAgICUQIEAgUCBgIHAggCCQJPAgsCDAINAggCCAIIAggCCAIIAggCCAIIAggCCAIIAggCCAIIAggCCAIQAgMCfAIeAALdAgICIQIEAgUCBgIHAggCCQJPAgsCDAINAggCCAIIAggCCAIIAggCCAIIAggCCAIIAggCCAIIAggCCAIQAgMCfgIeAALdAgICAwIEAgUCBgIHAggCCQIKAgsCDAINAggCCAIIAggCCAIIAggCCAIIAggCCAIIAggCCAIIAggCCAIQAgMCDgIeAALdAgIC2gIEAgUCBgIHAggCCQIKAgsCDAINAggCCAIIAggCCAIIAggCCAIIAggCCAIIAggCCAIIAggCCAIQAgMChwIeAALdAgICKwIEAgUCBgIHAggCCQIKAgsCDAINAggCCAIIAggCCAIIAggCCAIIAggCCAIIAggCCAIIAggCCAIQAgMCLAIeAALdAgICXgIEAgUCBgIHAggCCQIKAgsCDAINAggCCAIIAggCCAIIAggCCAIIAggCCAIIAggCCAIIAggCCAIQAgMCXwIeAALdAgICLQIEAgUCBgIHAggCCQIKAgsCDAINAggCCAIIAggCCAIIAggCCAIIAggCCAIIAggCCAIIAggCCAIQAgMCLgIeAALdAgICdgIEAgUCBgIHAggCCQIKAgsCDAINAggCCAIIAggCCAIIAggCCAIIAggCCAIIAggCCAIIAggCCAIQAgMChAIeAALdAgICVwIEAgUCBgIHAggCCQJPAgsCDAINAggCCAIIAggCCAIIAggCCAIIAggCCAIIAggCCAIIAggCCAIQAgMCWAIeAALdAgICJwIEAgUCBgIHAggCCQJPAgsCDAINAggCCAIIAggCCAIIAggCCAIIAggCCAIIAggCCAIIAggCCAIQAgMCggIeAALdAgICbQIEAgUCBgIHAggCCQJPAgsCDAINAggCCAIIAggCCAIIAggCCAIIAggCCAIIAggCCAIIAggCCAIQAgMCbgIeAALdAgICHwIEAgUCBgIHAggCCQI5AgsCDAINAggCCAIIAggCCAIIAggCCAIIAggCCAIIAggCCAIIAggCCAIQAgMCegIeAALdAgICKQIEAgUCBgIHAggCCQJPAgsCDAINAggCCAIIAggCCAIIAggCCAIIAggCCAIIAggCCAIIAggCCAIQAgMChgIeAALdAgICZAIEAgUCBgIHAggCCQI5AgsCDAINAggCCAIIAggCCAIIAggCCAIIAggCCAIIAggCCAIIAggCCAIQAgMCaQIeAALdAgICIwIEAgUCBgIHAggCCQI5AgsCDAINAggCCAIIAggCCAIIAggCCAIIAggCCHoAAAQAAggCCAIIAggCCAIIAhACAwJOAh4AAt0CAgI1AgQCBQIGAgcCCAIJAk8CCwIMAg0CCAIIAggCCAIIAggCCAIIAggCCAIIAggCCAIIAggCCAIIAhACAwJ4Ah4AAt0CAgJiAgQCBQIGAgcCCAIJAk8CCwIMAg0CCAIIAggCCAIIAggCCAIIAggCCAIIAggCCAIIAggCCAIIAhACAwJsAh4AAt0CAgIDAgQCBQIGAgcCCAIJAjkCCwIMAg0CCAIIAggCCAIIAggCCAIIAggCCAIIAggCCAIIAggCCAIIAhACAwJOAh4AAt0CAgIlAgQCBQIGAgcCCAIJAgoCCwIMAg0CCAIIAggCCAIIAggCCAIIAggCCAIIAggCCAIIAggCCAIIAhACAwImAh4AAt0CAgIvAgQCBQIGAgcCCAIJAgoCCwIMAg0CCAIIAggCCAIIAggCCAIIAggCCAIIAggCCAIIAggCCAIIAhACAwIwAh4AAt0CAgIzAgQCBQIGAgcCCAIJAjkCCwIMAg0CCAIIAggCCAIIAggCCAIIAggCCAIIAggCCAIIAggCCAIIAhACAwJwAh4AAt0CAgJVAgQCBQIGAgcCCAIJAjkCCwIMAg0CCAIIAggCCAIIAggCCAIIAggCCAIIAggCCAIIAggCCAIIAhACAwJvAh4AAt0CAgIdAgQCBQIGAgcCCAIJAk8CCwIMAg0CCAIIAggCCAIIAggCCAIIAggCCAIIAggCCAIIAggCCAIIAhACAwJoAh4AAt4ACTM3MTI0OTE4NAICAm0CBAIFAgYCBwIIAgkCCgILAjwCDQIIAggCCAIIAggCCAIIAggCCAIIAggCCAIIAggCCAIIAggCEwIDAr4CHgAC3gICAjUCBAIFAgYCBwIIAgkCmQILAjwCDQIIAggCCAIIAggCCAIIAggCCAIIAggCCAIIAggCCAIIAggCEwIDAk4CHgAC3gICAlECBAIFAgYCBwIIAgkCTwILAjwCDQIIAggCCAIIAggCCAIIAggCCAIIAggCCAIIAggCCAIIAggCEwIDArsCHgAC3gICAh8CBAIFAgYCBwIIAgkCCgILAjwCDQIIAggCCAIIAggCCAIIAggCCAIIAggCCAIIAggCCAIIAggCEwIDAkkCHgAC3gICAi0CBAIFAgYCBwIIAgkCmQILAjwCDQIIAggCCAIIAggCCAIIAggCCAIIAggCCAIIAggCCAIIAggCEwIDAsoCHgAC3gICAicCBAIFAgYCBwIIAgkCTwILAjwCDQIIAggCCAIIAggCCAIIAggCCAIIAggCCAIIAggCCAIIAggCEwIDAsYCHgAC3gICAikCBAIFAgYCBwIIAgkCTwILAjwCDXoAAAQAAggCCAIIAggCCAIIAggCCAIIAggCCAIIAggCCAIIAggCCAITAgMC1AIeAALeAgICdgIEAgUCBgIHAggCCQKZAgsCPAINAggCCAIIAggCCAIIAggCCAIIAggCCAIIAggCCAIIAggCCAITAgMCxwIeAALeAgICNQIEAgUCBgIHAggCCQIKAgsCPAINAggCCAIIAggCCAIIAggCCAIIAggCCAIIAggCCAIIAggCCAITAgMCPwIeAALeAgICcwIEAgUCBgIHAggCCQKZAgsCPAINAggCCAIIAggCCAIIAggCCAIIAggCCAIIAggCCAIIAggCCAITAgMCtAIeAALeAgICGwIEAgUCBgIHAggCCQKZAgsCPAINAggCCAIIAggCCAIIAggCCAIIAggCCAIIAggCCAIIAggCCAITAgMCtwIeAALeAgICAwIEAgUCBgIHAggCCQJPAgsCPAINAggCCAIIAggCCAIIAggCCAIIAggCCAIIAggCCAIIAggCCAITAgMCsgIeAALeAgICHwIEAgUCBgIHAggCCQJPAgsCPAINAggCCAIIAggCCAIIAggCCAIIAggCCAIIAggCCAIIAggCCAITAgMCqwIeAALeAgICYgIEAgUCBgIHAggCCQJPAgsCPAINAggCCAIIAggCCAIIAggCCAIIAggCCAIIAggCCAIIAggCCAITAgMCzQIeAALeAgICHQIEAgUCBgIHAggCCQJPAgsCPAINAggCCAIIAggCCAIIAggCCAIIAggCCAIIAggCCAIIAggCCAITAgMCzAIeAALeAgICUwIEAgUCBgIHAggCCQKZAgsCPAINAggCCAIIAggCCAIIAggCCAIIAggCCAIIAggCCAIIAggCCAITAgMCowIeAALeAgICcwIEAgUCBgIHAggCCQIKAgsCPAINAggCCAIIAggCCAIIAggCCAIIAggCCAIIAggCCAIIAggCCAITAgMCtQIeAALeAgICGwIEAgUCBgIHAggCCQIKAgsCPAINAggCCAIIAggCCAIIAggCCAIIAggCCAIIAggCCAIIAggCCAITAgMCQgIeAALeAgICJQIEAgUCBgIHAggCCQIKAgsCPAINAggCCAIIAggCCAIIAggCCAIIAggCCAIIAggCCAIIAggCCAITAgMCSgIeAALeAgICWQIEAgUCBgIHAggCCQJPAgsCPAINAggCCAIIAggCCAIIAggCCAIIAggCCAIIAggCCAIIAggCCAITAgMCwAIeAALeAgICJwIEAgUCBgIHAggCCQKZAgsCPAINAggCCAIIAggCCAIIAggCCAIIAggCCAIIAggCCAIIAggCCAITAgMCwwIeAALeAgICLwIEAgUCBgIHAnoAAAQACAIJApkCCwI8Ag0CCAIIAggCCAIIAggCCAIIAggCCAIIAggCCAIIAggCCAIIAhMCAwKiAh4AAt4CAgJTAgQCBQIGAgcCCAIJAgoCCwI8Ag0CCAIIAggCCAIIAggCCAIIAggCCAIIAggCCAIIAggCCAIIAhMCAwKgAh4AAt4CAgIpAgQCBQIGAgcCCAIJApkCCwI8Ag0CCAIIAggCCAIIAggCCAIIAggCCAIIAggCCAIIAggCCAIIAhMCAwJOAh4AAt4CAgI1AgQCBQIGAgcCCAIJAk8CCwI8Ag0CCAIIAggCCAIIAggCCAIIAggCCAIIAggCCAIIAggCCAIIAhMCAwKfAh4AAt4CAgIxAgQCBQIGAgcCCAIJAk8CCwI8Ag0CCAIIAggCCAIIAggCCAIIAggCCAIIAggCCAIIAggCCAIIAhMCAwLBAh4AAt4CAgJXAgQCBQIGAgcCCAIJAgoCCwI8Ag0CCAIIAggCCAIIAggCCAIIAggCCAIIAggCCAIIAggCCAIIAhMCAwKYAh4AAt4CAgIpAgQCBQIGAgcCCAIJAgoCCwI8Ag0CCAIIAggCCAIIAggCCAIIAggCCAIIAggCCAIIAggCCAIIAhMCAwI+Ah4AAt4CAgInAgQCBQIGAgcCCAIJAgoCCwI8Ag0CCAIIAggCCAIIAggCCAIIAggCCAIIAggCCAIIAggCCAIIAhMCAwI9Ah4AAt4CAgJzAgQCBQIGAgcCCAIJAk8CCwI8Ag0CCAIIAggCCAIIAggCCAIIAggCCAIIAggCCAIIAggCCAIIAhMCAwKmAh4AAt4CAgJXAgQCBQIGAgcCCAIJApkCCwI8Ag0CCAIIAggCCAIIAggCCAIIAggCCAIIAggCCAIIAggCCAIIAhMCAwKnAh4AAt4CAgJtAgQCBQIGAgcCCAIJApkCCwI8Ag0CCAIIAggCCAIIAggCCAIIAggCCAIIAggCCAIIAggCCAIIAhMCAwLCAh4AAt4CAgIhAgQCBQIGAgcCCAIJAk8CCwI8Ag0CCAIIAggCCAIIAggCCAIIAggCCAIIAggCCAIIAggCCAIIAhMCAwK/Ah4AAt4CAgJkAgQCBQIGAgcCCAIJAgoCCwI8Ag0CCAIIAggCCAIIAggCCAIIAggCCAIIAggCCAIIAggCCAIIAhMCAwLLAh4AAt4CAgJiAgQCBQIGAgcCCAIJApkCCwI8Ag0CCAIIAggCCAIIAggCCAIIAggCCAIIAggCCAIIAggCCAIIAhMCAwKxAh4AAt4CAgIxAgQCBQIGAgcCCAIJApkCCwI8Ag0CCAIIAggCCAIIAggCCAIIAggCCAIIAggCCAIIAggCCAIIAhMCAwJOAh4AAt4CAnoAAAQAAlMCBAIFAgYCBwIIAgkCTwILAjwCDQIIAggCCAIIAggCCAIIAggCCAIIAggCCAIIAggCCAIIAggCEwIDAsgCHgAC3gICAh0CBAIFAgYCBwIIAgkCCgILAjwCDQIIAggCCAIIAggCCAIIAggCCAIIAggCCAIIAggCCAIIAggCEwIDAkgCHgAC3gICAiMCBAIFAgYCBwIIAgkCCgILAjwCDQIIAggCCAIIAggCCAIIAggCCAIIAggCCAIIAggCCAIIAggCEwIDAksCHgAC3gICAh0CBAIFAgYCBwIIAgkCmQILAjwCDQIIAggCCAIIAggCCAIIAggCCAIIAggCCAIIAggCCAIIAggCEwIDAqECHgAC3gICAjMCBAIFAgYCBwIIAgkCCgILAjwCDQIIAggCCAIIAggCCAIIAggCCAIIAggCCAIIAggCCAIIAggCEwIDAkACHgAC3gICAmICBAIFAgYCBwIIAgkCCgILAjwCDQIIAggCCAIIAggCCAIIAggCCAIIAggCCAIIAggCCAIIAggCEwIDAqwCHgAC3gICAmQCBAIFAgYCBwIIAgkCmQILAjwCDQIIAggCCAIIAggCCAIIAggCCAIIAggCCAIIAggCCAIIAggCEwIDApwCHgAC3gICAhsCBAIFAgYCBwIIAgkCTwILAjwCDQIIAggCCAIIAggCCAIIAggCCAIIAggCCAIIAggCCAIIAggCEwIDApsCHgAC3gICAjMCBAIFAgYCBwIIAgkCTwILAjwCDQIIAggCCAIIAggCCAIIAggCCAIIAggCCAIIAggCCAIIAggCEwIDAqoCHgAC3gICAlUCBAIFAgYCBwIIAgkCTwILAjwCDQIIAggCCAIIAggCCAIIAggCCAIIAggCCAIIAggCCAIIAggCEwIDArYCHgAC3gICAjECBAIFAgYCBwIIAgkCCgILAjwCDQIIAggCCAIIAggCCAIIAggCCAIIAggCCAIIAggCCAIIAggCEwIDAkECHgAC3gICAl4CBAIFAgYCBwIIAgkCCgILAjwCDQIIAggCCAIIAggCCAIIAggCCAIIAggCCAIIAggCCAIIAggCEwIDAs4CHgAC3gICAlkCBAIFAgYCBwIIAgkCCgILAjwCDQIIAggCCAIIAggCCAIIAggCCAIIAggCCAIIAggCCAIIAggCEwIDAqkCHgAC3gICAisCBAIFAgYCBwIIAgkCCgILAjwCDQIIAggCCAIIAggCCAIIAggCCAIIAggCCAIIAggCCAIIAggCEwIDAkMCHgAC3gICAiUCBAIFAgYCBwIIAgkCmQILAjwCDQIIAggCCAIIAggCCAIIAggCCAIIAggCCAIIAggCCAIIAggCE3oAAAQAAgMCyQIeAALeAgICVwIEAgUCBgIHAggCCQJPAgsCPAINAggCCAIIAggCCAIIAggCCAIIAggCCAIIAggCCAIIAggCCAITAgMCzwIeAALeAgICKwIEAgUCBgIHAggCCQKZAgsCPAINAggCCAIIAggCCAIIAggCCAIIAggCCAIIAggCCAIIAggCCAITAgMC0QIeAALeAgICZAIEAgUCBgIHAggCCQJPAgsCPAINAggCCAIIAggCCAIIAggCCAIIAggCCAIIAggCCAIIAggCCAITAgMCrQIeAALeAgICLwIEAgUCBgIHAggCCQIKAgsCPAINAggCCAIIAggCCAIIAggCCAIIAggCCAIIAggCCAIIAggCCAITAgMCRgIeAALeAgICdgIEAgUCBgIHAggCCQJPAgsCPAINAggCCAIIAggCCAIIAggCCAIIAggCCAIIAggCCAIIAggCCAITAgMCngIeAALeAgICLQIEAgUCBgIHAggCCQJPAgsCPAINAggCCAIIAggCCAIIAggCCAIIAggCCAIIAggCCAIIAggCCAITAgMCnQIeAALeAgICIwIEAgUCBgIHAggCCQJPAgsCPAINAggCCAIIAggCCAIIAggCCAIIAggCCAIIAggCCAIIAggCCAITAgMCrgIeAALeAgICXgIEAgUCBgIHAggCCQKZAgsCPAINAggCCAIIAggCCAIIAggCCAIIAggCCAIIAggCCAIIAggCCAITAgMCxQIeAALeAgICWQIEAgUCBgIHAggCCQKZAgsCPAINAggCCAIIAggCCAIIAggCCAIIAggCCAIIAggCCAIIAggCCAITAgMCswIeAALeAgICIQIEAgUCBgIHAggCCQIKAgsCPAINAggCCAIIAggCCAIIAggCCAIIAggCCAIIAggCCAIIAggCCAITAgMCRAIeAALeAgICUQIEAgUCBgIHAggCCQIKAgsCPAINAggCCAIIAggCCAIIAggCCAIIAggCCAIIAggCCAIIAggCCAITAgMCvAIeAALeAgICIQIEAgUCBgIHAggCCQKZAgsCPAINAggCCAIIAggCCAIIAggCCAIIAggCCAIIAggCCAIIAggCCAITAgMCsAIeAALeAgICbQIEAgUCBgIHAggCCQJPAgsCPAINAggCCAIIAggCCAIIAggCCAIIAggCCAIIAggCCAIIAggCCAITAgMC0AIeAALeAgICUQIEAgUCBgIHAggCCQKZAgsCPAINAggCCAIIAggCCAIIAggCCAIIAggCCAIIAggCCAIIAggCCAITAgMCrwIeAALeAgICKwIEAgUCBgIHAggCCQJPAgsCPAINAggCCAIIAggCCAIIAggCCAIIAggCCAIIAnoAAAQACAIIAggCCAIIAhMCAwK6Ah4AAt4CAgJ2AgQCBQIGAgcCCAIJAgoCCwI8Ag0CCAIIAggCCAIIAggCCAIIAggCCAIIAggCCAIIAggCCAIIAhMCAwLEAh4AAt4CAgJVAgQCBQIGAgcCCAIJApkCCwI8Ag0CCAIIAggCCAIIAggCCAIIAggCCAIIAggCCAIIAggCCAIIAhMCAwKaAh4AAt4CAgItAgQCBQIGAgcCCAIJAgoCCwI8Ag0CCAIIAggCCAIIAggCCAIIAggCCAIIAggCCAIIAggCCAIIAhMCAwJHAh4AAt4CAgJeAgQCBQIGAgcCCAIJAk8CCwI8Ag0CCAIIAggCCAIIAggCCAIIAggCCAIIAggCCAIIAggCCAIIAhMCAwK4Ah4AAt4CAgIjAgQCBQIGAgcCCAIJApkCCwI8Ag0CCAIIAggCCAIIAggCCAIIAggCCAIIAggCCAIIAggCCAIIAhMCAwJOAh4AAt4CAgIzAgQCBQIGAgcCCAIJApkCCwI8Ag0CCAIIAggCCAIIAggCCAIIAggCCAIIAggCCAIIAggCCAIIAhMCAwKoAh4AAt4CAgIfAgQCBQIGAgcCCAIJApkCCwI8Ag0CCAIIAggCCAIIAggCCAIIAggCCAIIAggCCAIIAggCCAIIAhMCAwK9Ah4AAt4CAgJVAgQCBQIGAgcCCAIJAgoCCwI8Ag0CCAIIAggCCAIIAggCCAIIAggCCAIIAggCCAIIAggCCAIIAhMCAwKlAh4AAt4CAgIDAgQCBQIGAgcCCAIJApkCCwI8Ag0CCAIIAggCCAIIAggCCAIIAggCCAIIAggCCAIIAggCCAIIAhMCAwJOAh4AAt4CAgIDAgQCBQIGAgcCCAIJAgoCCwI8Ag0CCAIIAggCCAIIAggCCAIIAggCCAIIAggCCAIIAggCCAIIAhMCAwJFAh4AAt4CAgIlAgQCBQIGAgcCCAIJAk8CCwI8Ag0CCAIIAggCCAIIAggCCAIIAggCCAIIAggCCAIIAggCCAIIAhMCAwK5Ah4AAt4CAgIvAgQCBQIGAgcCCAIJAk8CCwI8Ag0CCAIIAggCCAIIAggCCAIIAggCCAIIAggCCAIIAggCCAIIAhMCAwKkAh4AAt8ACTM3MTI1MzgyNAICAmICBAIFAgYCBwIIAgkCmQILAjwCDQIIAggCCAIIAggCCAIIAggCCAIIAggCCAIIAggCCAIIAggCFwIDArECHgAC3wICAh0CBAIFAgYCBwIIAgkCmQILAjwCDQIIAggCCAIIAggCCAIIAggCCAIIAggCCAIIAggCCAIIAggCFwIDAqECHgAC3wICAmQCBAIFAgYCBwIIAgkCCgILAjwCDQIIAnoAAAQACAIIAggCCAIIAggCCAIIAggCCAIIAggCCAIIAggCCAIXAgMCywIeAALfAgICIwIEAgUCBgIHAggCCQIKAgsCPAINAggCCAIIAggCCAIIAggCCAIIAggCCAIIAggCCAIIAggCCAIXAgMCSwIeAALfAgICWQIEAgUCBgIHAggCCQKZAgsCPAINAggCCAIIAggCCAIIAggCCAIIAggCCAIIAggCCAIIAggCCAIXAgMCswIeAALfAgICZAIEAgUCBgIHAggCCQKZAgsCPAINAggCCAIIAggCCAIIAggCCAIIAggCCAIIAggCCAIIAggCCAIXAgMCnAIeAALfAgICVQIEAgUCBgIHAggCCQIKAgsCPAINAggCCAIIAggCCAIIAggCCAIIAggCCAIIAggCCAIIAggCCAIXAgMCpQIeAALfAgICMQIEAgUCBgIHAggCCQKZAgsCPAINAggCCAIIAggCCAIIAggCCAIIAggCCAIIAggCCAIIAggCCAIXAgMCTgIeAALfAgICGwIEAgUCBgIHAggCCQJPAgsCPAINAggCCAIIAggCCAIIAggCCAIIAggCCAIIAggCCAIIAggCCAIXAgMCmwIeAALfAgICVwIEAgUCBgIHAggCCQJPAgsCPAINAggCCAIIAggCCAIIAggCCAIIAggCCAIIAggCCAIIAggCCAIXAgMCzwIeAALfAgICKwIEAgUCBgIHAggCCQKZAgsCPAINAggCCAIIAggCCAIIAggCCAIIAggCCAIIAggCCAIIAggCCAIXAgMC0QIeAALfAgICMQIEAgUCBgIHAggCCQIKAgsCPAINAggCCAIIAggCCAIIAggCCAIIAggCCAIIAggCCAIIAggCCAIXAgMCQQIeAALfAgICMwIEAgUCBgIHAggCCQIKAgsCPAINAggCCAIIAggCCAIIAggCCAIIAggCCAIIAggCCAIIAggCCAIXAgMCQAIeAALfAgICcwIEAgUCBgIHAggCCQJPAgsCPAINAggCCAIIAggCCAIIAggCCAIIAggCCAIIAggCCAIIAggCCAIXAgMCpgIeAALfAgICMwIEAgUCBgIHAggCCQKZAgsCPAINAggCCAIIAggCCAIIAggCCAIIAggCCAIIAggCCAIIAggCCAIXAgMCqAIeAALfAgICMwIEAgUCBgIHAggCCQJPAgsCPAINAggCCAIIAggCCAIIAggCCAIIAggCCAIIAggCCAIIAggCCAIXAgMCqgIeAALfAgICVwIEAgUCBgIHAggCCQIKAgsCPAINAggCCAIIAggCCAIIAggCCAIIAggCCAIIAggCCAIIAggCCAIXAgMCmAIeAALfAgICVQIEAgUCBgIHAggCCXoAAAQAApkCCwI8Ag0CCAIIAggCCAIIAggCCAIIAggCCAIIAggCCAIIAggCCAIIAhcCAwKaAh4AAt8CAgJXAgQCBQIGAgcCCAIJApkCCwI8Ag0CCAIIAggCCAIIAggCCAIIAggCCAIIAggCCAIIAggCCAIIAhcCAwKnAh4AAt8CAgIdAgQCBQIGAgcCCAIJAgoCCwI8Ag0CCAIIAggCCAIIAggCCAIIAggCCAIIAggCCAIIAggCCAIIAhcCAwJIAh4AAt8CAgJiAgQCBQIGAgcCCAIJAgoCCwI8Ag0CCAIIAggCCAIIAggCCAIIAggCCAIIAggCCAIIAggCCAIIAhcCAwKsAh4AAt8CAgIjAgQCBQIGAgcCCAIJApkCCwI8Ag0CCAIIAggCCAIIAggCCAIIAggCCAIIAggCCAIIAggCCAIIAhcCAwJOAh4AAt8CAgIvAgQCBQIGAgcCCAIJAk8CCwI8Ag0CCAIIAggCCAIIAggCCAIIAggCCAIIAggCCAIIAggCCAIIAhcCAwKkAh4AAt8CAgJTAgQCBQIGAgcCCAIJAk8CCwI8Ag0CCAIIAggCCAIIAggCCAIIAggCCAIIAggCCAIIAggCCAIIAhcCAwLIAh4AAt8CAgIdAgQCBQIGAgcCCAIJAk8CCwI8Ag0CCAIIAggCCAIIAggCCAIIAggCCAIIAggCCAIIAggCCAIIAhcCAwLMAh4AAt8CAgJTAgQCBQIGAgcCCAIJApkCCwI8Ag0CCAIIAggCCAIIAggCCAIIAggCCAIIAggCCAIIAggCCAIIAhcCAwKjAh4AAt8CAgI1AgQCBQIGAgcCCAIJAk8CCwI8Ag0CCAIIAggCCAIIAggCCAIIAggCCAIIAggCCAIIAggCCAIIAhcCAwKfAh4AAt8CAgJZAgQCBQIGAgcCCAIJAk8CCwI8Ag0CCAIIAggCCAIIAggCCAIIAggCCAIIAggCCAIIAggCCAIIAhcCAwLAAh4AAt8CAgIxAgQCBQIGAgcCCAIJAk8CCwI8Ag0CCAIIAggCCAIIAggCCAIIAggCCAIIAggCCAIIAggCCAIIAhcCAwLBAh4AAt8CAgInAgQCBQIGAgcCCAIJApkCCwI8Ag0CCAIIAggCCAIIAggCCAIIAggCCAIIAggCCAIIAggCCAIIAhcCAwLDAh4AAt8CAgJeAgQCBQIGAgcCCAIJAgoCCwI8Ag0CCAIIAggCCAIIAggCCAIIAggCCAIIAggCCAIIAggCCAIIAhcCAwLOAh4AAt8CAgIrAgQCBQIGAgcCCAIJAgoCCwI8Ag0CCAIIAggCCAIIAggCCAIIAggCCAIIAggCCAIIAggCCAIIAhcCAwJDAh4AAt8CAgJtAnoAAAQABAIFAgYCBwIIAgkCTwILAjwCDQIIAggCCAIIAggCCAIIAggCCAIIAggCCAIIAggCCAIIAggCFwIDAtACHgAC3wICAlMCBAIFAgYCBwIIAgkCCgILAjwCDQIIAggCCAIIAggCCAIIAggCCAIIAggCCAIIAggCCAIIAggCFwIDAqACHgAC3wICAl4CBAIFAgYCBwIIAgkCmQILAjwCDQIIAggCCAIIAggCCAIIAggCCAIIAggCCAIIAggCCAIIAggCFwIDAsUCHgAC3wICAi8CBAIFAgYCBwIIAgkCCgILAjwCDQIIAggCCAIIAggCCAIIAggCCAIIAggCCAIIAggCCAIIAggCFwIDAkYCHgAC3wICAiUCBAIFAgYCBwIIAgkCCgILAjwCDQIIAggCCAIIAggCCAIIAggCCAIIAggCCAIIAggCCAIIAggCFwIDAkoCHgAC3wICAiUCBAIFAgYCBwIIAgkCmQILAjwCDQIIAggCCAIIAggCCAIIAggCCAIIAggCCAIIAggCCAIIAggCFwIDAskCHgAC3wICAi8CBAIFAgYCBwIIAgkCmQILAjwCDQIIAggCCAIIAggCCAIIAggCCAIIAggCCAIIAggCCAIIAggCFwIDAqICHgAC3wICAmICBAIFAgYCBwIIAgkCTwILAjwCDQIIAggCCAIIAggCCAIIAggCCAIIAggCCAIIAggCCAIIAggCFwIDAs0CHgAC3wICAh8CBAIFAgYCBwIIAgkCCgILAjwCDQIIAggCCAIIAggCCAIIAggCCAIIAggCCAIIAggCCAIIAggCFwIDAkkCHgAC3wICAm0CBAIFAgYCBwIIAgkCCgILAjwCDQIIAggCCAIIAggCCAIIAggCCAIIAggCCAIIAggCCAIIAggCFwIDAr4CHgAC3wICAiECBAIFAgYCBwIIAgkCTwILAjwCDQIIAggCCAIIAggCCAIIAggCCAIIAggCCAIIAggCCAIIAggCFwIDAr8CHgAC3wICAm0CBAIFAgYCBwIIAgkCmQILAjwCDQIIAggCCAIIAggCCAIIAggCCAIIAggCCAIIAggCCAIIAggCFwIDAsICHgAC3wICAicCBAIFAgYCBwIIAgkCTwILAjwCDQIIAggCCAIIAggCCAIIAggCCAIIAggCCAIIAggCCAIIAggCFwIDAsYCHgAC3wICAjUCBAIFAgYCBwIIAgkCmQILAjwCDQIIAggCCAIIAggCCAIIAggCCAIIAggCCAIIAggCCAIIAggCFwIDAk4CHgAC3wICAicCBAIFAgYCBwIIAgkCCgILAjwCDQIIAggCCAIIAggCCAIIAggCCAIIAggCCAIIAggCCAIIAggCFwIDAnoAAAQAPQIeAALfAgICLQIEAgUCBgIHAggCCQIKAgsCPAINAggCCAIIAggCCAIIAggCCAIIAggCCAIIAggCCAIIAggCCAIXAgMCRwIeAALfAgICdgIEAgUCBgIHAggCCQIKAgsCPAINAggCCAIIAggCCAIIAggCCAIIAggCCAIIAggCCAIIAggCCAIXAgMCxAIeAALfAgICNQIEAgUCBgIHAggCCQIKAgsCPAINAggCCAIIAggCCAIIAggCCAIIAggCCAIIAggCCAIIAggCCAIXAgMCPwIeAALfAgICLQIEAgUCBgIHAggCCQKZAgsCPAINAggCCAIIAggCCAIIAggCCAIIAggCCAIIAggCCAIIAggCCAIXAgMCygIeAALfAgICdgIEAgUCBgIHAggCCQKZAgsCPAINAggCCAIIAggCCAIIAggCCAIIAggCCAIIAggCCAIIAggCCAIXAgMCxwIeAALfAgICHwIEAgUCBgIHAggCCQKZAgsCPAINAggCCAIIAggCCAIIAggCCAIIAggCCAIIAggCCAIIAggCCAIXAgMCvQIeAALfAgICJQIEAgUCBgIHAggCCQJPAgsCPAINAggCCAIIAggCCAIIAggCCAIIAggCCAIIAggCCAIIAggCCAIXAgMCuQIeAALfAgICUQIEAgUCBgIHAggCCQJPAgsCPAINAggCCAIIAggCCAIIAggCCAIIAggCCAIIAggCCAIIAggCCAIXAgMCuwIeAALfAgICcwIEAgUCBgIHAggCCQIKAgsCPAINAggCCAIIAggCCAIIAggCCAIIAggCCAIIAggCCAIIAggCCAIXAgMCtQIeAALfAgICUQIEAgUCBgIHAggCCQIKAgsCPAINAggCCAIIAggCCAIIAggCCAIIAggCCAIIAggCCAIIAggCCAIXAgMCvAIeAALfAgICUQIEAgUCBgIHAggCCQKZAgsCPAINAggCCAIIAggCCAIIAggCCAIIAggCCAIIAggCCAIIAggCCAIXAgMCrwIeAALfAgICGwIEAgUCBgIHAggCCQKZAgsCPAINAggCCAIIAggCCAIIAggCCAIIAggCCAIIAggCCAIIAggCCAIXAgMCtwIeAALfAgICGwIEAgUCBgIHAggCCQIKAgsCPAINAggCCAIIAggCCAIIAggCCAIIAggCCAIIAggCCAIIAggCCAIXAgMCQgIeAALfAgICXgIEAgUCBgIHAggCCQJPAgsCPAINAggCCAIIAggCCAIIAggCCAIIAggCCAIIAggCCAIIAggCCAIXAgMCuAIeAALfAgICVQIEAgUCBgIHAggCCQJPAgsCPAINAggCCAIIAggCCAIIAggCCAIIAggCCAIIAggCCHoAAAK+AggCCAIIAhcCAwK2Ah4AAt8CAgJZAgQCBQIGAgcCCAIJAgoCCwI8Ag0CCAIIAggCCAIIAggCCAIIAggCCAIIAggCCAIIAggCCAIIAhcCAwKpAh4AAt8CAgIrAgQCBQIGAgcCCAIJAk8CCwI8Ag0CCAIIAggCCAIIAggCCAIIAggCCAIIAggCCAIIAggCCAIIAhcCAwK6Ah4AAt8CAgJzAgQCBQIGAgcCCAIJApkCCwI8Ag0CCAIIAggCCAIIAggCCAIIAggCCAIIAggCCAIIAggCCAIIAhcCAwK0Ah4AAt8CAgIjAgQCBQIGAgcCCAIJAk8CCwI8Ag0CCAIIAggCCAIIAggCCAIIAggCCAIIAggCCAIIAggCCAIIAhcCAwKuAh4AAt8CAgItAgQCBQIGAgcCCAIJAk8CCwI8Ag0CCAIIAggCCAIIAggCCAIIAggCCAIIAggCCAIIAggCCAIIAhcCAwKdAh4AAt8CAgIfAgQCBQIGAgcCCAIJAk8CCwI8Ag0CCAIIAggCCAIIAggCCAIIAggCCAIIAggCCAIIAggCCAIIAhcCAwKrAh4AAt8CAgIhAgQCBQIGAgcCCAIJAgoCCwI8Ag0CCAIIAggCCAIIAggCCAIIAggCCAIIAggCCAIIAggCCAIIAhcCAwJEAh4AAt8CAgIhAgQCBQIGAgcCCAIJApkCCwI8Ag0CCAIIAggCCAIIAggCCAIIAggCCAIIAggCCAIIAggCCAIIAhcCAwKwAh4AAt8CAgJkAgQCBQIGAgcCCAIJAk8CCwI8Ag0CCAIIAggCCAIIAggCCAIIAggCCAIIAggCCAIIAggCCAIIAhcCAwKtAh4AAt8CAgJ2AgQCBQIGAgcCCAIJAk8CCwI8Ag0CCAIIAggCCAIIAggCCAIIAggCCAIIAggCCAIIAggCCAIIAhcCAwKe]]></xxe4awand>
</file>

<file path=customXml/item5.xml><?xml version="1.0" encoding="utf-8"?>
<xxe4awand xmlns="http://www.excel4apps.com"><![CDATA[rO0ABXfZCMCtii8CJgKWAh4AAERjb20uZXhjZWw0YXBwcy53YW5kLm9yYWNsZS5n
bHdhbmQuY2FsY3VsYXRpb25zLmdldGJhbGFuY2UuR2V0QmFsYW5jZQIBAAk1MjE3
OTc5MjgCAgABMAIDAAYyMDE2MTACBAADWVREAgUAA1VTRAIGAAVUb3RhbAIHAAFB
AggAAAIJAAMwMDECCgAGMTkxMDEwAgsAAkdEAgwAAklEAg0AAkRMAggCCAIIAggC
CAIIAggCCAIIAggCCAIIAggCCAIIAggCCAIT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NJhHI3h4d00CHgACAQICAhsABjIwMTcxMQIEAgUCBgIHAggCCQIKAgsCDAIN
AggCCAIIAggCCAIIAggCCAIIAggCCAIIAggCCAIIAggCCAITAgMCHHNxAH4AAAAA
AAJzcQB+AAT///////////////7////+/////3VxAH4ABwAAAAQcI3yQeHh3VQIeAAIBAgICHQAGMjAxNjAzAgQCBQIGAgcCCAIJAh4ABjE5MTAxNQILAgwCDQIIAggCCAIIAggCCAIIAggCCAIIAggCCAIIAggCCAIIAggCEwIDAh9zcQB+AAAAAAACc3EAfgAE///////////////+/////v////91cQB+AAcAAAADElupeHh3VQIeAAIBAgICIAAGMjAxNjA1AgQCBQIGAgcCCAIJAiEABjE5MTAwMAILAgwCDQIIAggCCAIIAggCCAIIAggCCAIIAggCCAIIAggCCAIIAggCEwIDAiJzcQB+AAAAAAACc3EAfgAE///////////////+/////v////91cQB+AAcAAAAEAc1Kd3h4d00CHgACAQICAiMABjIwMTgwNQIEAgUCBgIHAggCCQIeAgsCDAINAggCCAIIAggCCAIIAggCCAIIAggCCAIIAggCCAIIAggCCAITAgMCJHNxAH4AAAAAAAJzcQB+AAT///////////////7////+AAAAAHVxAH4ABwAAAAB4eHdFAh4AAgECAgIjAgQCBQIGAgcCCAIJAgoCCwIMAg0CCAIIAggCCAIIAggCCAIIAggCCAIIAggCCAIIAggCCAIIAhMCAwIlc3EAfgAAAAAAAnNxAH4ABP///////////////v////7/////dXEAfgAHAAAABC/+xlx4eHdNAh4AAgECAgImAAYyMDE3MDYCBAIFAgYCBwIIAgkCIQILAgwCDQIIAggCCAIIAggCCAIIAggCCAIIAggCCAIIAggCCAIIAggCEwIDAidzcQB+AAAAAAACc3EAfgAE///////////////+/////v////91cQB+AAcAAAAEAW1K0nh4d00CHgACAQICAigABjIwMTYwNAIEAgUCBgIHAggCCQIKAgsCDAINAggCCAIIAggCCAIIAggCCAIIAggCCAIIAggCCAIIAggCCAITAgMCKXNxAH4AAAAAAAJzcQB+AAT///////////////7////+/////3VxAH4ABwAAAAQjxnj9eHh3TQIeAAIBAgICKgAGMjAxNzA1AgQCBQIGAgcCCAIJAgoCCwIMAg0CCAIIAggCCAIIAggCCAIIAggCCAIIAggCCAIIAggCCAIIAhMCAwIrc3EAfgAAAAAAAnNxAH4ABP///////////////v////7/////dXEAfgAHAAAABComTwt4eHdNAh4AAgECAgIsAAYyMDE2MTECBAIFAgYCBwIIAgkCIQILAgwCDQIIAggCCAIIAggCCAIIAggCCAIIAggCCAIIAggCCAIIAggCEwIDAi1zcQB+AAAAAAACc3EAfgAE///////////////+/////v////91cQB+AAcAAAAEJZDR+3h4d00CHgACAQICAi4ABjIwMTYwNgIEAgUCBgIHAggCCQIhAgsCDAINAggCCAIIAggCCAIIAggCCAIIAggCCAIIAggCCAIIAggCCAITAgMCL3NxAH4AAAAAAAJzcQB+AAT///////////////7////+/////3VxAH4ABwAAAAQBZMryeHh3TQIeAAIBAgICMAAGMjAxNzEwAgQCBQIGAgcCCAIJAgoCCwIMAg0CCAIIAggCCAIIAggCCAIIAggCCAIIAggCCAIIAggCCAIIAhMCAwIxc3EAfgAAAAAAAnNxAH4ABP///////////////v////7/////dXEAfgAHAAAABENETeB4eHdFAh4AAgECAgIwAgQCBQIGAgcCCAIJAh4CCwIMAg0CCAIIAggCCAIIAggCCAIIAggCCAIIAggCCAIIAggCCAIIAhMCAwIyc3EAfgAAAAAAAnNxAH4ABP///////////////v////7/////dXEAfgAHAAAAAxKmonh4d00CHgACAQICAjMABjIwMTcwMwIEAgUCBgIHAggCCQIeAgsCDAINAggCCAIIAggCCAIIAggCCAIIAggCCAIIAggCCAIIAggCCAITAgMCNHNxAH4AAAAAAAJzcQB+AAT///////////////7////+/////3VxAH4ABwAAAAMSit94eHdNAh4AAgECAgI1AAYyMDE3MTICBAIFAgYCBwIIAgkCCgILAgwCDQIIAggCCAIIAggCCAIIAggCCAIIAggCCAIIAggCCAIIAggCEwIDAjZzcQB+AAAAAAACc3EAfgAE///////////////+/////v////91cQB+AAcAAAAEJDRt9Hh4d0UCHgACAQICAioCBAIFAgYCBwIIAgkCHgILAgwCDQIIAggCCAIIAggCCAIIAggCCAIIAggCCAIIAggCCAIIAggCEwIDAjdzcQB+AAAAAAACc3EAfgAE///////////////+/////v////91cQB+AAcAAAADEpLKeHh3TQIeAAIBAgICOAAGMjAxNzA3AgQCBQIGAgcCCAIJAiECCwIMAg0CCAIIAggCCAIIAggCCAIIAggCCAIIAggCCAIIAggCCAIIAhMCAwI5c3EAfgAAAAAAAnNxAH4ABP///////////////v////7/////dXEAfgAHAAAAA064Cnh4d0UCHgACAQICAhsCBAIFAgYCBwIIAgkCIQILAgwCDQIIAggCCAIIAggCCAIIAggCCAIIAggCCAIIAggCCAIIAggCEwIDAjpzcQB+AAAAAAACc3EAfgAE///////////////+/////v////91cQB+AAcAAAAEHsB0bHh4d0UCHgACAQICAgMCBAIFAgYCBwIIAgkCIQILAgwCDQIIAggCCAIIAggCCAIIAggCCAIIAggCCAIIAggCCAIIAggCEwIDAjtzcQB+AAAAAAACc3EAfgAE///////////////+/////gAAAAF1cQB+AAcAAAADuXJ8eHh3RQIeAAIBAgICJgIEAgUCBgIHAggCCQIKAgsCDAINAggCCAIIAggCCAIIAggCCAIIAggCCAIIAggCCAIIAggCCAITAgMCPHNxAH4AAAAAAAJzcQB+AAT///////////////7////+/////3VxAH4ABwAAAAQqC0YheHh3TQIeAAIBAgICPQAGMjAxNjA3AgQCBQIGAgcCCAIJAiECCwIMAg0CCAIIAggCCAIIAggCCAIIAggCCAIIAggCCAIIAggCCAIIAhMCAwI+c3EAfgAAAAAAAnNxAH4ABP///////////////v////7/////dXEAfgAHAAAABAEGlGB4eHdNAh4AAgECAgI/AAYyMDE2MTICBAIFAgYCBwIIAgkCCgILAgwCDQIIAggCCAIIAggCCAIIAggCCAIIAggCCAIIAggCCAIIAggCEwIDAkBzcQB+AAAAAAACc3EAfgAE///////////////+/////v////91cQB+AAcAAAAEFay1n3h4d0UCHgACAQICAiACBAIFAgYCBwIIAgkCCgILAgwCDQIIAggCCAIIAggCCAIIAggCCAIIAggCCAIIAggCCAIIAggCEwIDAkFzcQB+AAAAAAACc3EAfgAE///////////////+/////v////91cQB+AAcAAAAEJi8ywnh4d0UCHgACAQICAiYCBAIFAgYCBwIIAgkCHgILAgwCDQIIAggCCAIIAggCCAIIAggCCAIIAggCCAIIAggCCAIIAggCEwIDAkJzcQB+AAAAAAACc3EAfgAE///////////////+/////v////91cQB+AAcAAAADEpbAeHh3RQIeAAIBAgICIwIEAgUCBgIHAggCCQIhAgsCDAINAggCCAIIAggCCAIIAggCCAIIAggCCAIIAggCCAIIAggCCAITAgMCQ3NxAH4AAAAAAAJzcQB+AAT///////////////7////+AAAAAXVxAH4ABwAAAAM2pbZ4eHdFAh4AAgECAgIdAgQCBQIGAgcCCAIJAiECCwIMAg0CCAIIAggCCAIIAggCCAIIAggCCAIIAggCCAIIAggCCAIIAhMCAwJEc3EAfgAAAAAAAnNxAH4ABP///////////////v////7/////dXEAfgAHAAAABAL7S4t4eHdNAh4AAgECAgJFAAYyMDE3MDkCBAIFAgYCBwIIAgkCIQILAgwCDQIIAggCCAIIAggCCAIIAggCCAIIAggCCAIIAggCCAIIAggCEwIDAkZzcQB+AAAAAAACc3EAfgAE///////////////+/////gAAAAF1cQB+AAcAAAAEAloS0nh4d00CHgACAQICAkcABjIwMTcwNAIEAgUCBgIHAggCCQIhAgsCDAINAggCCAIIAggCCAIIAggCCAIIAggCCAIIAggCCAIIAggCCAITAgMCSHNxAH4AAAAAAAJzcQB+AAT///////////////7////+/////3VxAH4ABwAAAAQFBKNBeHh3TQIeAAIBAgICSQAGMjAxNjA4AgQCBQIGAgcCCAIJAiECCwIMAg0CCAIIAggCCAIIAggCCAIIAggCCAIIAggCCAIIAggCCAIIAhMCAwJKc3EAfgAAAAAAAnNxAH4ABP///////////////v////7/////dXEAfgAHAAAAA56yqnh4d0UCHgACAQICAjMCBAIFAgYCBwIIAgkCCgILAgwCDQIIAggCCAIIAggCCAIIAggCCAIIAggCCAIIAggCCAIIAggCEwIDAktzcQB+AAAAAAACc3EAfgAE///////////////+/////v////91cQB+AAcAAAAEJngfcXh4d0UCHgACAQICAigCBAIFAgYCBwIIAgkCHgILAgwCDQIIAggCCAIIAggCCAIIAggCCAIIAggCCAIIAggCCAIIAggCEwIDAkxzcQB+AAAAAAACc3EAfgAE///////////////+/////v////91cQB+AAcAAAADEl+UeHh3TQIeAAIBAgICTQAGMjAxNzA4AgQCBQIGAgcCCAIJAgoCCwIMAg0CCAIIAggCCAIIAggCCAIIAggCCAIIAggCCAIIAggCCAIIAhMCAwJOc3EAfgAAAAAAAnNxAH4ABP///////////////v////7/////dXEAfgAHAAAABDQ5VOh4eHdFAh4AAgECAgI1AgQCBQIGAgcCCAIJAiECCwIMAg0CCAIIAggCCAIIAggCCAIIAggCCAIIAggCCAIIAggCCAIIAhMCAwJPc3EAfgAAAAAAAnNxAH4ABP///////////////v////7/////dXEAfgAHAAAABBa3qKJ4eHdFAh4AAgECAgI9AgQCBQIGAgcCCAIJAh4CCwIMAg0CCAIIAggCCAIIAggCCAIIAggCCAIIAggCCAIIAggCCAIIAhMCAwJQc3EAfgAAAAAAAnNxAH4ABP///////////////v////7/////dXEAfgAHAAAAAxJrWHh4d0UCHgACAQICAgMCBAIFAgYCBwIIAgkCHgILAgwCDQIIAggCCAIIAggCCAIIAggCCAIIAggCCAIIAggCCAIIAggCEwIDAlFzcQB+AAAAAAACc3EAfgAE///////////////+/////v////91cQB+AAcAAAADEncleHh3RQIeAAIBAgICTQIEAgUCBgIHAggCCQIeAgsCDAINAggCCAIIAggCCAIIAggCCAIIAggCCAIIAggCCAIIAggCCAITAgMCUnNxAH4AAAAAAAJzcQB+AAT///////////////7////+/////3VxAH4ABwAAAAMSnq94eHeKAh4AAgECAgIbAgQCBQIGAgcCCAIJAh4CCwIMAg0CCAIIAggCCAIIAggCCAIIAggCCAIIAggCCAIIAggCCAIIAhMCAwIkAh4AAgECAgI9AgQCBQIGAgcCCAIJAgoCCwIMAg0CCAIIAggCCAIIAggCCAIIAggCCAIIAggCCAIIAggCCAIIAhMCAwJTc3EAfgAAAAAAAnNxAH4ABP///////////////v////7/////dXEAfgAHAAAABC794JJ4eHdFAh4AAgECAgJFAgQCBQIGAgcCCAIJAgoCCwIMAg0CCAIIAggCCAIIAggCCAIIAggCCAIIAggCCAIIAggCCAIIAhMCAwJUc3EAfgAAAAAAAnNxAH4ABP///////////////v////7/////dXEAfgAHAAAABDlFLv54eHdFAh4AAgECAgJJAgQCBQIGAgcCCAIJAgoCCwIMAg0CCAIIAggCCAIIAggCCAIIAggCCAIIAggCCAIIAggCCAIIAhMCAwJVc3EAfgAAAAAAAnNxAH4ABP///////////////v////7/////dXEAfgAHAAAABDHvtRl4eHdFAh4AAgECAgJJAgQCBQIGAgcCCAIJAh4CCwIMAg0CCAIIAggCCAIIAggCCAIIAggCCAIIAggCCAIIAggCCAIIAhMCAwJWc3EAfgAAAAAAAnNxAH4ABP///////////////v////7/////dXEAfgAHAAAAAxJvRnh4d0UCHgACAQICAkUCBAIFAgYCBwIIAgkCHgILAgwCDQIIAggCCAIIAggCCAIIAggCCAIIAggCCAIIAggCCAIIAggCEwIDAldzcQB+AAAAAAACc3EAfgAE///////////////+/////v////91cQB+AAcAAAADEqKoeHh3RQIeAAIBAgICMwIEAgUCBgIHAggCCQIhAgsCDAINAggCCAIIAggCCAIIAggCCAIIAggCCAIIAggCCAIIAggCCAITAgMCWHNxAH4AAAAAAAJzcQB+AAT///////////////7////+/////3VxAH4ABwAAAAQIvUgheHh3TQIeAAIBAgICWQAGMjAxNjA5AgQCBQIGAgcCCAIJAh4CCwIMAg0CCAIIAggCCAIIAggCCAIIAggCCAIIAggCCAIIAggCCAIIAhMCAwJac3EAfgAAAAAAAnNxAH4ABP///////////////v////7/////dXEAfgAHAAAAAxJzNXh4d0UCHgACAQICAj8CBAIFAgYCBwIIAgkCHgILAgwCDQIIAggCCAIIAggCCAIIAggCCAIIAggCCAIIAggCCAIIAggCEwIDAltzcQB+AAAAAAACc3EAfgAE///////////////+/////v////91cQB+AAcAAAADEn8GeHh3RQIeAAIBAgICWQIEAgUCBgIHAggCCQIKAgsCDAINAggCCAIIAggCCAIIAggCCAIIAggCCAIIAggCCAIIAggCCAITAgMCXHNxAH4AAAAAAAJzcQB+AAT///////////////7////+/////3VxAH4ABwAAAAQzvJaSeHh3RQIeAAIBAgICIAIEAgUCBgIHAggCCQIeAgsCDAINAggCCAIIAggCCAIIAggCCAIIAggCCAIIAggCCAIIAggCCAITAgMCXXNxAH4AAAAAAAJzcQB+AAT///////////////7////+/////3VxAH4ABwAAAAMSY394eHdFAh4AAgECAgIwAgQCBQIGAgcCCAIJAiECCwIMAg0CCAIIAggCCAIIAggCCAIIAggCCAIIAggCCAIIAggCCAIIAhMCAwJec3EAfgAAAAAAAnNxAH4ABP///////////////v////4AAAABdXEAfgAHAAAABAYbWmp4eHdFAh4AAgECAgJNAgQCBQIGAgcCCAIJAiECCwIMAg0CCAIIAggCCAIIAggCCAIIAggCCAIIAggCCAIIAggCCAIIAhMCAwJfc3EAfgAAAAAAAnNxAH4ABP///////////////v////4AAAABdXEAfgAHAAAAA/+JXnh4d4oCHgACAQICAjUCBAIFAgYCBwIIAgkCHgILAgwCDQIIAggCCAIIAggCCAIIAggCCAIIAggCCAIIAggCCAIIAggCEwIDAiQCHgACAQICAiwCBAIFAgYCBwIIAgkCHgILAgwCDQIIAggCCAIIAggCCAIIAggCCAIIAggCCAIIAggCCAIIAggCEwIDAmBzcQB+AAAAAAACc3EAfgAE///////////////+/////v////91cQB+AAcAAAADEnsVeHh3RQIeAAIBAgICLgIEAgUCBgIHAggCCQIeAgsCDAINAggCCAIIAggCCAIIAggCCAIIAggCCAIIAggCCAIIAggCCAITAgMCYXNxAH4AAAAAAAJzcQB+AAT///////////////7////+/////3VxAH4ABwAAAAMSZ2t4eHdFAh4AAgECAgI4AgQCBQIGAgcCCAIJAgoCCwIMAg0CCAIIAggCCAIIAggCCAIIAggCCAIIAggCCAIIAggCCAIIAhMCAwJic3EAfgAAAAAAAnNxAH4ABP///////////////v////7/////dXEAfgAHAAAABC6RhSt4eHdFAh4AAgECAgIuAgQCBQIGAgcCCAIJAgoCCwIMAg0CCAIIAggCCAIIAggCCAIIAggCCAIIAggCCAIIAggCCAIIAhMCAwJjc3EAfgAAAAAAAnNxAH4ABP///////////////v////7/////dXEAfgAHAAAABCsQC1F4eHdFAh4AAgECAgI4AgQCBQIGAgcCCAIJAh4CCwIMAg0CCAIIAggCCAIIAggCCAIIAggCCAIIAggCCAIIAggCCAIIAhMCAwJkc3EAfgAAAAAAAnNxAH4ABP///////////////v////7/////dXEAfgAHAAAAAxKat3h4d0UCHgACAQICAiwCBAIFAgYCBwIIAgkCCgILAgwCDQIIAggCCAIIAggCCAIIAggCCAIIAggCCAIIAggCCAIIAggCEwIDAmVzcQB+AAAAAAACc3EAfgAE///////////////+/////v////91cQB+AAcAAAAEC9ESdHh4d0UCHgACAQICAigCBAIFAgYCBwIIAgkCIQILAgwCDQIIAggCCAIIAggCCAIIAggCCAIIAggCCAIIAggCCAIIAggCEwIDAmZzcQB+AAAAAAACc3EAfgAE///////////////+/////v////91cQB+AAcAAAAEAlAe6Xh4d0UCHgACAQICAioCBAIFAgYCBwIIAgkCIQILAgwCDQIIAggCCAIIAggCCAIIAggCCAIIAggCCAIIAggCCAIIAggCEwIDAmdzcQB+AAAAAAACc3EAfgAE///////////////+/////v////91cQB+AAcAAAAEAtdnVHh4d0UCHgACAQICAkcCBAIFAgYCBwIIAgkCCgILAgwCDQIIAggCCAIIAggCCAIIAggCCAIIAggCCAIIAggCCAIIAggCEwIDAmhzcQB+AAAAAAACc3EAfgAE///////////////+/////v////91cQB+AAcAAAAEKeDlE3h4d0UCHgACAQICAlkCBAIFAgYCBwIIAgkCIQILAgwCDQIIAggCCAIIAggCCAIIAggCCAIIAggCCAIIAggCCAIIAggCEwIDAmlzcQB+AAAAAAACc3EAfgAE///////////////+/////v////91cQB+AAcAAAADMvcReHh3RQIeAAIBAgICPwIEAgUCBgIHAggCCQIhAgsCDAINAggCCAIIAggCCAIIAggCCAIIAggCCAIIAggCCAIIAggCCAITAgMCanNxAH4AAAAAAAJzcQB+AAT///////////////7////+/////3VxAH4ABwAAAAQdEKl0eHh3RQIeAAIBAgICRwIEAgUCBgIHAggCCQIeAgsCDAINAggCCAIIAggCCAIIAggCCAIIAggCCAIIAggCCAIIAggCCAITAgMCa3NxAH4AAAAAAAJzcQB+AAT///////////////7////+/////3VxAH4ABwAAAAMSjtR4eHdFAh4AAgECAgIdAgQCBQIGAgcCCAIJAgoCCwIMAg0CCAIIAggCCAIIAggCCAIIAggCCAIIAggCCAIIAggCCAIIAhMCAwJsc3EAfgAAAAAAAnNxAH4ABP///////////////v////7/////dXEAfgAHAAAABB6uCU94eHdUAh4AAm0ACTUyMTc5Njc2OAICAiwCBAIFAgYCBwIIAgkCCgILAm4AAldBAg0CCAIIAggCCAIIAggCCAIIAggCCAIIAggCCAIIAggCCAIIAhICAwJvc3EAfgAAAAAAAnNxAH4ABP///////////////v////7/////dXEAfgAHAAAABBJUFap4eHdFAh4AAm0CAgIgAgQCBQIGAgcCCAIJAgoCCwJuAg0CCAIIAggCCAIIAggCCAIIAggCCAIIAggCCAIIAggCCAIIAhICAwJwc3EAfgAAAAAAAnNxAH4ABP///////////////v////7/////dXEAfgAHAAAABEwrC4B4eHdFAh4AAm0CAgImAgQCBQIGAgcCCAIJAgoCCwJuAg0CCAIIAggCCAIIAggCCAIIAggCCAIIAggCCAIIAggCCAIIAhICAwJxc3EAfgAAAAAAAnNxAH4ABP///////////////v////7/////dXEAfgAHAAAABFgLByx4eHdFAh4AAm0CAgI1AgQCBQIGAgcCCAIJAgoCCwJuAg0CCAIIAggCCAIIAggCCAIIAggCCAIIAggCCAIIAggCCAIIAhICAwJyc3EAfgAAAAAAAnNxAH4ABP///////////////v////7/////dXEAfgAHAAAABEI0vHx4eHeaAh4AAm0CAgJzAAYyMDE4MDQCBAIFAgYCBwIIAgkCdAAGMTkxMDI1AgsCbgINAggCCAIIAggCCAIIAggCCAIIAggCCAIIAggCCAIIAggCCAISAgMCJAIeAAJtAgICTQIEAgUCBgIHAggCCQIhAgsCbgINAggCCAIIAggCCAIIAggCCAIIAggCCAIIAggCCAIIAggCCAISAgMCdXNxAH4AAAAAAAJzcQB+AAT///////////////7////+/////3VxAH4ABwAAAAMylNZ4eHdFAh4AAm0CAgIoAgQCBQIGAgcCCAIJAgoCCwJuAg0CCAIIAggCCAIIAggCCAIIAggCCAIIAggCCAIIAggCCAIIAhICAwJ2c3EAfgAAAAAAAnNxAH4ABP///////////////v////7/////dXEAfgAHAAAABEhweK94eHdFAh4AAm0CAgI9AgQCBQIGAgcCCAIJAiECCwJuAg0CCAIIAggCCAIIAggCCAIIAggCCAIIAggCCAIIAggCCAIIAhICAwJ3c3EAfgAAAAAAAnNxAH4ABP///////////////v////7/////dXEAfgAHAAAABAM2kpl4eHdNAh4AAm0CAgJ4AAYyMDE2MDICBAIFAgYCBwIIAgkCdAILAm4CDQIIAggCCAIIAggCCAIIAggCCAIIAggCCAIIAggCCAIIAggCEgIDAnlzcQB+AAAAAAACc3EAfgAE///////////////+/////v////91cQB+AAcAAAADEhXLeHh3RQIeAAJtAgICMwIEAgUCBgIHAggCCQJ0AgsCbgINAggCCAIIAggCCAIIAggCCAIIAggCCAIIAggCCAIIAggCCAISAgMCenNxAH4AAAAAAAJzcQB+AAT///////////////7////+/////3VxAH4ABwAAAAMEq5d4eHdFAh4AAm0CAgIwAgQCBQIGAgcCCAIJAnQCCwJuAg0CCAIIAggCCAIIAggCCAIIAggCCAIIAggCCAIIAggCCAIIAhICAwJ7c3EAfgAAAAAAAnNxAH4ABP///////////////v////7/////dXEAfgAHAAAAAwPcq3h4d0UCHgACbQICAgMCBAIFAgYCBwIIAgkCdAILAm4CDQIIAggCCAIIAggCCAIIAggCCAIIAggCCAIIAggCCAIIAggCEgIDAnxzcQB+AAAAAAACc3EAfgAE///////////////+/////v////91cQB+AAcAAAADBT+veHh3igIeAAJtAgICGwIEAgUCBgIHAggCCQJ0AgsCbgINAggCCAIIAggCCAIIAggCCAIIAggCCAIIAggCCAIIAggCCAISAgMCJAIeAAJtAgICPwIEAgUCBgIHAggCCQIKAgsCbgINAggCCAIIAggCCAIIAggCCAIIAggCCAIIAggCCAIIAggCCAISAgMCfXNxAH4AAAAAAAJzcQB+AAT///////////////7////+/////3VxAH4ABwAAAAQoo9pZeHh3kgIeAAJtAgICIwIEAgUCBgIHAggCCQJ0AgsCbgINAggCCAIIAggCCAIIAggCCAIIAggCCAIIAggCCAIIAggCCAISAgMCJAIeAAJtAgICfgAGMjAxODA2AgQCBQIGAgcCCAIJAgoCCwJuAg0CCAIIAggCCAIIAggCCAIIAggCCAIIAggCCAIIAggCCAIIAhICAwJ/c3EAfgAAAAAAAnNxAH4ABP///////////////v////7/////dXEAfgAHAAAABFzlwLB4eHdFAh4AAm0CAgIuAgQCBQIGAgcCCAIJAiECCwJuAg0CCAIIAggCCAIIAggCCAIIAggCCAIIAggCCAIIAggCCAIIAhICAwKAc3EAfgAAAAAAAnNxAH4ABP///////////////v////7/////dXEAfgAHAAAABAOri614eHdFAh4AAm0CAgIqAgQCBQIGAgcCCAIJAgoCCwJuAg0CCAIIAggCCAIIAggCCAIIAggCCAIIAggCCAIIAggCCAIIAhICAwKBc3EAfgAAAAAAAnNxAH4ABP///////////////v////7/////dXEAfgAHAAAABFn95fJ4eHdFAh4AAm0CAgJHAgQCBQIGAgcCCAIJAnQCCwJuAg0CCAIIAggCCAIIAggCCAIIAggCCAIIAggCCAIIAggCCAIIAhICAwKCc3EAfgAAAAAAAnNxAH4ABP///////////////v////7/////dXEAfgAHAAAAAwR0jXh4d0UCHgACbQICAh0CBAIFAgYCBwIIAgkCdAILAm4CDQIIAggCCAIIAggCCAIIAggCCAIIAggCCAIIAggCCAIIAggCEgIDAoNzcQB+AAAAAAACc3EAfgAE///////////////+/////v////91cQB+AAcAAAADDoPdeHh3RQIeAAJtAgICOAIEAgUCBgIHAggCCQIhAgsCbgINAggCCAIIAggCCAIIAggCCAIIAggCCAIIAggCCAIIAggCCAISAgMChHNxAH4AAAAAAAJzcQB+AAT///////////////7////+/////3VxAH4ABwAAAAQCCvb0eHh3RQIeAAJtAgICPQIEAgUCBgIHAggCCQIKAgsCbgINAggCCAIIAggCCAIIAggCCAIIAggCCAIIAggCCAIIAggCCAISAgMChXNxAH4AAAAAAAJzcQB+AAT///////////////7////+/////3VxAH4ABwAAAARaL7WteHh3RQIeAAJtAgICTQIEAgUCBgIHAggCCQIKAgsCbgINAggCCAIIAggCCAIIAggCCAIIAggCCAIIAggCCAIIAggCCAISAgMChnNxAH4AAAAAAAJzcQB+AAT///////////////7////+/////3VxAH4ABwAAAARlMUGreHh3RQIeAAJtAgICeAIEAgUCBgIHAggCCQIKAgsCbgINAggCCAIIAggCCAIIAggCCAIIAggCCAIIAggCCAIIAggCCAISAgMCh3NxAH4AAAAAAAJzcQB+AAT///////////////7////+/////3VxAH4ABwAAAAQ3OPVPeHh3RQIeAAJtAgICLAIEAgUCBgIHAggCCQIhAgsCbgINAggCCAIIAggCCAIIAggCCAIIAggCCAIIAggCCAIIAggCCAISAgMCiHNxAH4AAAAAAAJzcQB+AAT///////////////7////+/////3VxAH4ABwAAAARMQw4VeHh3RQIeAAJtAgICMwIEAgUCBgIHAggCCQIKAgsCbgINAggCCAIIAggCCAIIAggCCAIIAggCCAIIAggCCAIIAggCCAISAgMCiXNxAH4AAAAAAAJzcQB+AAT///////////////7////+/////3VxAH4ABwAAAARTY5smeHh3igIeAAJtAgICfgIEAgUCBgIHAggCCQJ0AgsCbgINAggCCAIIAggCCAIIAggCCAIIAggCCAIIAggCCAIIAggCCAISAgMCJAIeAAJtAgICKAIEAgUCBgIHAggCCQJ0AgsCbgINAggCCAIIAggCCAIIAggCCAIIAggCCAIIAggCCAIIAggCCAISAgMCinNxAH4AAAAAAAJzcQB+AAT///////////////7////+/////3VxAH4ABwAAAAMMxv54eHdFAh4AAm0CAgIqAgQCBQIGAgcCCAIJAnQCCwJuAg0CCAIIAggCCAIIAggCCAIIAggCCAIIAggCCAIIAggCCAIIAhICAwKLc3EAfgAAAAAAAnNxAH4ABP///////////////v////7/////dXEAfgAHAAAAAwRWK3h4d0UCHgACbQICAiYCBAIFAgYCBwIIAgkCIQILAm4CDQIIAggCCAIIAggCCAIIAggCCAIIAggCCAIIAggCCAIIAggCEgIDAoxzcQB+AAAAAAACc3EAfgAE///////////////+/////v////91cQB+AAcAAAAEA91NIHh4d0UCHgACbQICAiMCBAIFAgYCBwIIAgkCIQILAm4CDQIIAggCCAIIAggCCAIIAggCCAIIAggCCAIIAggCCAIIAggCEgIDAo1zcQB+AAAAAAACc3EAfgAE///////////////+/////v////91cQB+AAcAAAAEBEpBlXh4d0UCHgACbQICAgMCBAIFAgYCBwIIAgkCCgILAm4CDQIIAggCCAIIAggCCAIIAggCCAIIAggCCAIIAggCCAIIAggCEgIDAo5zcQB+AAAAAAACc3EAfgAE///////////////+/////v////91cQB+AAcAAAAEYo3LFnh4d0UCHgACbQICAhsCBAIFAgYCBwIIAgkCCgILAm4CDQIIAggCCAIIAggCCAIIAggCCAIIAggCCAIIAggCCAIIAggCEgIDAo9zcQB+AAAAAAACc3EAfgAE///////////////+/////v////91cQB+AAcAAAAEMNCqs3h4d00CHgACbQICApAABjIwMTgwMQIEAgUCBgIHAggCCQIKAgsCbgINAggCCAIIAggCCAIIAggCCAIIAggCCAIIAggCCAIIAggCCAISAgMCkXNxAH4AAAAAAAJzcQB+AAT///////////////7////+/////3VxAH4ABwAAAARO7ujaeHh3TQIeAAJtAgICkgAGMjAxNzAyAgQCBQIGAgcCCAIJAnQCCwJuAg0CCAIIAggCCAIIAggCCAIIAggCCAIIAggCCAIIAggCCAIIAhICAwKTc3EAfgAAAAAAAnNxAH4ABP///////////////v////7/////dXEAfgAHAAAAAwT7aHh4d0UCHgACbQICAiACBAIFAgYCBwIIAgkCIQILAm4CDQIIAggCCAIIAggCCAIIAggCCAIIAggCCAIIAggCCAIIAggCEgIDApRzcQB+AAAAAAACc3EAfgAE///////////////+/////v////91cQB+AAcAAAAEBDaJ43h4d0UCHgACbQICAkkCBAIFAgYCBwIIAgkCIQILAm4CDQIIAggCCAIIAggCCAIIAggCCAIIAggCCAIIAggCCAIIAggCEgIDApVzcQB+AAAAAAACc3EAfgAE///////////////+/////v////91cQB+AAcAAAAEAr0/pHh4d5oCHgACbQICApYABjIwMTgwMwIEAgUCBgIHAggCCQJ0AgsCbgINAggCCAIIAggCCAIIAggCCAIIAggCCAIIAggCCAIIAggCCAISAgMCJAIeAAJtAgIClwAGMjAxODAyAgQCBQIGAgcCCAIJAiECCwJuAg0CCAIIAggCCAIIAggCCAIIAggCCAIIAggCCAIIAggCCAIIAhICAwKYc3EAfgAAAAAAAnNxAH4ABP///////////////v////7/////dXEAfgAHAAAABBli52V4eHdFAh4AAm0CAgJzAgQCBQIGAgcCCAIJAgoCCwJuAg0CCAIIAggCCAIIAggCCAIIAggCCAIIAggCCAIIAggCCAIIAhICAwKZc3EAfgAAAAAAAnNxAH4ABP///////////////v////7/////dXEAfgAHAAAABFqpyF94eHdFAh4AAm0CAgI/AgQCBQIGAgcCCAIJAnQCCwJuAg0CCAIIAggCCAIIAggCCAIIAggCCAIIAggCCAIIAggCCAIIAhICAwKac3EAfgAAAAAAAnNxAH4ABP///////////////v////7/////dXEAfgAHAAAAAwbck3h4d0UCHgACbQICAkUCBAIFAgYCBwIIAgkCIQILAm4CDQIIAggCCAIIAggCCAIIAggCCAIIAggCCAIIAggCCAIIAggCEgIDAptzcQB+AAAAAAACc3EAfgAE///////////////+/////gAAAAF1cQB+AAcAAAAEAo6woHh4d0UCHgACbQICAjUCBAIFAgYCBwIIAgkCIQILAm4CDQIIAggCCAIIAggCCAIIAggCCAIIAggCCAIIAggCCAIIAggCEgIDApxzcQB+AAAAAAACc3EAfgAE///////////////+/////v////91cQB+AAcAAAAENEm+I3h4d00CHgACbQICAp0ABjIwMTcwMQIEAgUCBgIHAggCCQIhAgsCbgINAggCCAIIAggCCAIIAggCCAIIAggCCAIIAggCCAIIAggCCAISAgMCnnNxAH4AAAAAAAJzcQB+AAT///////////////7////+/////3VxAH4ABwAAAAQo6Ya2eHh3RQIeAAJtAgICWQIEAgUCBgIHAggCCQJ0AgsCbgINAggCCAIIAggCCAIIAggCCAIIAggCCAIIAggCCAIIAggCCAISAgMCn3NxAH4AAAAAAAJzcQB+AAT///////////////7////+/////3VxAH4ABwAAAAMHjdR4eHdFAh4AAm0CAgKXAgQCBQIGAgcCCAIJAgoCCwJuAg0CCAIIAggCCAIIAggCCAIIAggCCAIIAggCCAIIAggCCAIIAhICAwKgc3EAfgAAAAAAAnNxAH4ABP///////////////v////7/////dXEAfgAHAAAABE8qcfl4eHdFAh4AAm0CAgKdAgQCBQIGAgcCCAIJAgoCCwJuAg0CCAIIAggCCAIIAggCCAIIAggCCAIIAggCCAIIAggCCAIIAhICAwKhc3EAfgAAAAAAAnNxAH4ABP///////////////v////7/////dXEAfgAHAAAABD0VO3Z4eHdFAh4AAm0CAgJ4AgQCBQIGAgcCCAIJAiECCwJuAg0CCAIIAggCCAIIAggCCAIIAggCCAIIAggCCAIIAggCCAIIAhICAwKic3EAfgAAAAAAAnNxAH4ABP///////////////v////7/////dXEAfgAHAAAABAgl/7F4eHdFAh4AAm0CAgJzAgQCBQIGAgcCCAIJAiECCwJuAg0CCAIIAggCCAIIAggCCAIIAggCCAIIAggCCAIIAggCCAIIAhICAwKjc3EAfgAAAAAAAnNxAH4ABP///////////////v////7/////dXEAfgAHAAAABAcZP5l4eHdFAh4AAm0CAgJNAgQCBQIGAgcCCAIJAnQCCwJuAg0CCAIIAggCCAIIAggCCAIIAggCCAIIAggCCAIIAggCCAIIAhICAwKkc3EAfgAAAAAAAnNxAH4ABP///////////////v////7/////dXEAfgAHAAAAAwQlCXh4d0UCHgACbQICAlkCBAIFAgYCBwIIAgkCCgILAm4CDQIIAggCCAIIAggCCAIIAggCCAIIAggCCAIIAggCCAIIAggCEgIDAqVzcQB+AAAAAAACc3EAfgAE///////////////+/////v////91cQB+AAcAAAAEYTEIFHh4d0UCHgACbQICApYCBAIFAgYCBwIIAgkCIQILAm4CDQIIAggCCAIIAggCCAIIAggCCAIIAggCCAIIAggCCAIIAggCEgIDAqZzcQB+AAAAAAACc3EAfgAE///////////////+/////v////91cQB+AAcAAAAEDlPJjHh4d0UCHgACbQICAi4CBAIFAgYCBwIIAgkCdAILAm4CDQIIAggCCAIIAggCCAIIAggCCAIIAggCCAIIAggCCAIIAggCEgIDAqdzcQB+AAAAAAACc3EAfgAE///////////////+/////v////91cQB+AAcAAAADCoBUeHh3RQIeAAJtAgICkgIEAgUCBgIHAggCCQIhAgsCbgINAggCCAIIAggCCAIIAggCCAIIAggCCAIIAggCCAIIAggCCAISAgMCqHNxAH4AAAAAAAJzcQB+AAT///////////////7////+/////3VxAH4ABwAAAAQbRzHTeHh3RQIeAAJtAgICOAIEAgUCBgIHAggCCQJ0AgsCbgINAggCCAIIAggCCAIIAggCCAIIAggCCAIIAggCCAIIAggCCAISAgMCqXNxAH4AAAAAAAJzcQB+AAT///////////////7////+/////3VxAH4ABwAAAAMENDh4eHdFAh4AAm0CAgKWAgQCBQIGAgcCCAIJAgoCCwJuAg0CCAIIAggCCAIIAggCCAIIAggCCAIIAggCCAIIAggCCAIIAhICAwKqc3EAfgAAAAAAAnNxAH4ABP///////////////v////7/////dXEAfgAHAAAABFJ+oxp4eHdFAh4AAm0CAgJJAgQCBQIGAgcCCAIJAnQCCwJuAg0CCAIIAggCCAIIAggCCAIIAggCCAIIAggCCAIIAggCCAIIAhICAwKrc3EAfgAAAAAAAnNxAH4ABP///////////////v////7/////dXEAfgAHAAAAAwi2nHh4d0UCHgACbQICAkcCBAIFAgYCBwIIAgkCIQILAm4CDQIIAggCCAIIAggCCAIIAggCCAIIAggCCAIIAggCCAIIAggCEgIDAqxzcQB+AAAAAAACc3EAfgAE///////////////+/////v////91cQB+AAcAAAAECfBqRnh4d0UCHgACbQICAh0CBAIFAgYCBwIIAgkCIQILAm4CDQIIAggCCAIIAggCCAIIAggCCAIIAggCCAIIAggCCAIIAggCEgIDAq1zcQB+AAAAAAACc3EAfgAE///////////////+/////v////91cQB+AAcAAAAEBeiObnh4d0UCHgACbQICAkUCBAIFAgYCBwIIAgkCCgILAm4CDQIIAggCCAIIAggCCAIIAggCCAIIAggCCAIIAggCCAIIAggCEgIDAq5zcQB+AAAAAAACc3EAfgAE///////////////+/////v////91cQB+AAcAAAAEcQZZSXh4d0UCHgACbQICAkkCBAIFAgYCBwIIAgkCCgILAm4CDQIIAggCCAIIAggCCAIIAggCCAIIAggCCAIIAggCCAIIAggCEgIDAq9zcQB+AAAAAAACc3EAfgAE///////////////+/////v////91cQB+AAcAAAAEXVdQyXh4d0UCHgACbQICApICBAIFAgYCBwIIAgkCCgILAm4CDQIIAggCCAIIAggCCAIIAggCCAIIAggCCAIIAggCCAIIAggCEgIDArBzcQB+AAAAAAACc3EAfgAE///////////////+/////v////91cQB+AAcAAAAESYtTyXh4d4oCHgACbQICApACBAIFAgYCBwIIAgkCdAILAm4CDQIIAggCCAIIAggCCAIIAggCCAIIAggCCAIIAggCCAIIAggCEgIDAiQCHgACbQICAjACBAIFAgYCBwIIAgkCIQILAm4CDQIIAggCCAIIAggCCAIIAggCCAIIAggCCAIIAggCCAIIAggCEgIDArFzcQB+AAAAAAACc3EAfgAE///////////////+/////gAAAAF1cQB+AAcAAAAECQ0V/Xh4d0UCHgACbQICAj0CBAIFAgYCBwIIAgkCdAILAm4CDQIIAggCCAIIAggCCAIIAggCCAIIAggCCAIIAggCCAIIAggCEgIDArJzcQB+AAAAAAACc3EAfgAE///////////////+/////v////91cQB+AAcAAAADCZ5/eHh3RQIeAAJtAgICMwIEAgUCBgIHAggCCQIhAgsCbgINAggCCAIIAggCCAIIAggCCAIIAggCCAIIAggCCAIIAggCCAISAgMCs3NxAH4AAAAAAAJzcQB+AAT///////////////7////+/////3VxAH4ABwAAAAQQ/fIjeHh3RQIeAAJtAgICnQIEAgUCBgIHAggCCQJ0AgsCbgINAggCCAIIAggCCAIIAggCCAIIAggCCAIIAggCCAIIAggCCAISAgMCtHNxAH4AAAAAAAJzcQB+AAT///////////////7////+/////3VxAH4ABwAAAAMFZP94eHeKAh4AAm0CAgI1AgQCBQIGAgcCCAIJAnQCCwJuAg0CCAIIAggCCAIIAggCCAIIAggCCAIIAggCCAIIAggCCAIIAhICAwIkAh4AAm0CAgIsAgQCBQIGAgcCCAIJAnQCCwJuAg0CCAIIAggCCAIIAggCCAIIAggCCAIIAggCCAIIAggCCAIIAhICAwK1c3EAfgAAAAAAAnNxAH4ABP///////////////v////7/////dXEAfgAHAAAAAwZoK3h4d4oCHgACbQICAn4CBAIFAgYCBwIIAgkCIQILAm4CDQIIAggCCAIIAggCCAIIAggCCAIIAggCCAIIAggCCAIIAggCEgIDAo0CHgACbQICAigCBAIFAgYCBwIIAgkCIQILAm4CDQIIAggCCAIIAggCCAIIAggCCAIIAggCCAIIAggCCAIIAggCEgIDArZzcQB+AAAAAAACc3EAfgAE///////////////+/////v////91cQB+AAcAAAAEBOQwD3h4d0UCHgACbQICAlkCBAIFAgYCBwIIAgkCIQILAm4CDQIIAggCCAIIAggCCAIIAggCCAIIAggCCAIIAggCCAIIAggCEgIDArdzcQB+AAAAAAACc3EAfgAE///////////////+/////v////91cQB+AAcAAAAEAhunbnh4d0UCHgACbQICAjACBAIFAgYCBwIIAgkCCgILAm4CDQIIAggCCAIIAggCCAIIAggCCAIIAggCCAIIAggCCAIIAggCEgIDArhzcQB+AAAAAAACc3EAfgAE///////////////+/////v////91cQB+AAcAAAAEgtyI8Xh4d4oCHgACbQICApcCBAIFAgYCBwIIAgkCdAILAm4CDQIIAggCCAIIAggCCAIIAggCCAIIAggCCAIIAggCCAIIAggCEgIDAiQCHgACbQICApACBAIFAgYCBwIIAgkCIQILAm4CDQIIAggCCAIIAggCCAIIAggCCAIIAggCCAIIAggCCAIIAggCEgIDArlzcQB+AAAAAAACc3EAfgAE///////////////+/////v////91cQB+AAcAAAAEJnGjV3h4d4oCHgACbQICAiMCBAIFAgYCBwIIAgkCCgILAm4CDQIIAggCCAIIAggCCAIIAggCCAIIAggCCAIIAggCCAIIAggCEgIDAn8CHgACbQICAgMCBAIFAgYCBwIIAgkCIQILAm4CDQIIAggCCAIIAggCCAIIAggCCAIIAggCCAIIAggCCAIIAggCEgIDArpzcQB+AAAAAAACc3EAfgAE///////////////+/////v////91cQB+AAcAAAADvFyyeHh3RQIeAAJtAgICRwIEAgUCBgIHAggCCQIKAgsCbgINAggCCAIIAggCCAIIAggCCAIIAggCCAIIAggCCAIIAggCCAISAgMCu3NxAH4AAAAAAAJzcQB+AAT///////////////7////+/////3VxAH4ABwAAAARacNl3eHh3RQIeAAJtAgICGwIEAgUCBgIHAggCCQIhAgsCbgINAggCCAIIAggCCAIIAggCCAIIAggCCAIIAggCCAIIAggCCAISAgMCvHNxAH4AAAAAAAJzcQB+AAT///////////////7////+/////3VxAH4ABwAAAAREule8eHh3RQIeAAJtAgICRQIEAgUCBgIHAggCCQJ0AgsCbgINAggCCAIIAggCCAIIAggCCAIIAggCCAIIAggCCAIIAggCCAISAgMCvXNxAH4AAAAAAAJzcQB+AAT///////////////7////+/////3VxAH4ABwAAAAMEDq54eHdFAh4AAm0CAgIuAgQCBQIGAgcCCAIJAgoCCwJuAg0CCAIIAggCCAIIAggCCAIIAggCCAIIAggCCAIIAggCCAIIAhICAwK+c3EAfgAAAAAAAnNxAH4ABP///////////////v////7/////dXEAfgAHAAAABFSIS5t4eHdFAh4AAm0CAgI4AgQCBQIGAgcCCAIJAgoCCwJuAg0CCAIIAggCCAIIAggCCAIIAggCCAIIAggCCAIIAggCCAIIAhICAwK/c3EAfgAAAAAAAnNxAH4ABP///////////////v////7/////dXEAfgAHAAAABF7UYvh4eHdFAh4AAm0CAgI/AgQCBQIGAgcCCAIJAiECCwJuAg0CCAIIAggCCAIIAggCCAIIAggCCAIIAggCCAIIAggCCAIIAhICAwLAc3EAfgAAAAAAAnNxAH4ABP///////////////v////7/////dXEAfgAHAAAABDuLiL14eHdFAh4AAm0CAgIdAgQCBQIGAgcCCAIJAgoCCwJuAg0CCAIIAggCCAIIAggCCAIIAggCCAIIAggCCAIIAggCCAIIAhICAwLBc3EAfgAAAAAAAnNxAH4ABP///////////////v////7/////dXEAfgAHAAAABD37VuJ4eHdFAh4AAm0CAgImAgQCBQIGAgcCCAIJAnQCCwJuAg0CCAIIAggCCAIIAggCCAIIAggCCAIIAggCCAIIAggCCAIIAhICAwLCc3EAfgAAAAAAAnNxAH4ABP///////////////v////7/////dXEAfgAHAAAAAwRDenh4d0UCHgACbQICAiACBAIFAgYCBwIIAgkCdAILAm4CDQIIAggCCAIIAggCCAIIAggCCAIIAggCCAIIAggCCAIIAggCEgIDAsNzcQB+AAAAAAACc3EAfgAE///////////////+/////v////91cQB+AAcAAAADC4KteHh3RQIeAAJtAgICKgIEAgUCBgIHAggCCQIhAgsCbgINAggCCAIIAggCCAIIAggCCAIIAggCCAIIAggCCAIIAggCCAISAgMCxHNxAH4AAAAAAAJzcQB+AAT///////////////7////+/////3VxAH4ABwAAAAQGIRiFeHg=]]></xxe4awand>
</file>

<file path=customXml/item6.xml><?xml version="1.0" encoding="utf-8"?>
<xxe4awand xmlns="http://www.excel4apps.com"><![CDATA[rO0ABXfZCMCtii8ABEY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t4ABjIwMTgwNQIEAgUCBgIHAggCCQI4AgsCOQINAggCCAIIAggCCAIIAggCCAIIAggCCAIIAggCCAIIAggCCAIQAgMCUAIeAALdAgICJQIEAgUCBgIHAggCCQI4AgsCOQINAggCCAIIAggCCAIIAggCCAIIAggCCAIIAggCCAIIAggCCAIQAgMCfgIeAALdAgICQwIEAgUCBgIHAggCCQIKAgsCOQINAggCCAIIAggCCAIIAggCCAIIAggCCAIIAggCCAIIAggCCAIQAgMCfwIeAALdAgICKwIEAgUCBgIHAggCCQI9AgsCOQINAggCCAIIAggCCAIIAggCCAIIAggCCAIIAggCCAIIAggCCAIQAgMCdgIeAALdAgICQQIEAgUCBgIHAggCCQI4AgsCOQINAggCCAIIAggCCAIIAggCCAIIAggCCAIIAggCCAIIAggCCAIQAgMCjAIeAALdAgICUwIEAgUCBgIHAggCCQI4AgsCOQINAggCCAIIAggCCAIIAggCCAIIAggCCAIIAggCCAIIAggCCAIQAgMCcAIeAALdAgICNQIEAgUCBgIHAggCCQI4AgsCOQINAggCCAIIAggCCAIIAggCCAIIAggCCAIIAggCCAIIAggCCAIQAgMCUAIeAALdAgICPAIEAgUCBgIHAggCCQIKAgsCOQINAggCCAIIAggCCAIIAggCCAIIAggCCAIIAggCCAIIAggCCAIQAgMCYAIeAALdAgICHwIEAgUCBgIHAggCCQIKAgsCegAABAA5Ag0CCAIIAggCCAIIAggCCAIIAggCCAIIAggCCAIIAggCCAIIAhACAwJYAh4AAt0CAgIdAgQCBQIGAgcCCAIJAj0CCwI5Ag0CCAIIAggCCAIIAggCCAIIAggCCAIIAggCCAIIAggCCAIIAhACAwKCAh4AAt0CAgJMAgQCBQIGAgcCCAIJAjgCCwI5Ag0CCAIIAggCCAIIAggCCAIIAggCCAIIAggCCAIIAggCCAIIAhACAwJZAh4AAt0CAgIDAgQCBQIGAgcCCAIJAjgCCwI5Ag0CCAIIAggCCAIIAggCCAIIAggCCAIIAggCCAIIAggCCAIIAhACAwJXAh4AAt0CAgIjAgQCBQIGAgcCCAIJAj0CCwI5Ag0CCAIIAggCCAIIAggCCAIIAggCCAIIAggCCAIIAggCCAIIAhACAwKFAh4AAt0CAgJjAgQCBQIGAgcCCAIJAj0CCwI5Ag0CCAIIAggCCAIIAggCCAIIAggCCAIIAggCCAIIAggCCAIIAhACAwKEAh4AAt0CAgJqAgQCBQIGAgcCCAIJAgoCCwI5Ag0CCAIIAggCCAIIAggCCAIIAggCCAIIAggCCAIIAggCCAIIAhACAwJrAh4AAt0CAgIrAgQCBQIGAgcCCAIJAgoCCwI5Ag0CCAIIAggCCAIIAggCCAIIAggCCAIIAggCCAIIAggCCAIIAhACAwJpAh4AAt0CAgJDAgQCBQIGAgcCCAIJAj0CCwI5Ag0CCAIIAggCCAIIAggCCAIIAggCCAIIAggCCAIIAggCCAIIAhACAwJEAh4AAt0CAgJBAgQCBQIGAgcCCAIJAgoCCwI5Ag0CCAIIAggCCAIIAggCCAIIAggCCAIIAggCCAIIAggCCAIIAhACAwJCAh4AAt0CAgJhAgQCBQIGAgcCCAIJAj0CCwI5Ag0CCAIIAggCCAIIAggCCAIIAggCCAIIAggCCAIIAggCCAIIAhACAwJiAh4AAt0CAgIvAgQCBQIGAgcCCAIJAj0CCwI5Ag0CCAIIAggCCAIIAggCCAIIAggCCAIIAggCCAIIAggCCAIIAhACAwJlAh4AAt0CAgIfAgQCBQIGAgcCCAIJAjgCCwI5Ag0CCAIIAggCCAIIAggCCAIIAggCCAIIAggCCAIIAggCCAIIAhACAwJ1Ah4AAt0CAgI8AgQCBQIGAgcCCAIJAjgCCwI5Ag0CCAIIAggCCAIIAggCCAIIAggCCAIIAggCCAIIAggCCAIIAhACAwJ4Ah4AAt0CAgJjAgQCBQIGAgcCCAIJAjgCCwI5Ag0CCAIIAggCCAIIAggCCAIIAggCCAIIAggCCAIIAggCCAIIAhACAwJkAh4AAt0CAgIpAgQCBQIGegAABAACBwIIAgkCCgILAjkCDQIIAggCCAIIAggCCAIIAggCCAIIAggCCAIIAggCCAIIAggCEAIDAmgCHgAC3QICAlMCBAIFAgYCBwIIAgkCCgILAjkCDQIIAggCCAIIAggCCAIIAggCCAIIAggCCAIIAggCCAIIAggCEAIDAlsCHgAC3QICApICBAIFAgYCBwIIAgkCOAILAjkCDQIIAggCCAIIAggCCAIIAggCCAIIAggCCAIIAggCCAIIAggCEAIDAlACHgAC3QICAkoCBAIFAgYCBwIIAgkCPQILAjkCDQIIAggCCAIIAggCCAIIAggCCAIIAggCCAIIAggCCAIIAggCEAIDAm0CHgAC3QICAi0CBAIFAgYCBwIIAgkCCgILAjkCDQIIAggCCAIIAggCCAIIAggCCAIIAggCCAIIAggCCAIIAggCEAIDAl4CHgAC3QICAjUCBAIFAgYCBwIIAgkCCgILAjkCDQIIAggCCAIIAggCCAIIAggCCAIIAggCCAIIAggCCAIIAggCEAIDAlwCHgAC3QICAiUCBAIFAgYCBwIIAgkCCgILAjkCDQIIAggCCAIIAggCCAIIAggCCAIIAggCCAIIAggCCAIIAggCEAIDAkUCHgAC3QICAt4CBAIFAgYCBwIIAgkCCgILAjkCDQIIAggCCAIIAggCCAIIAggCCAIIAggCCAIIAggCCAIIAggCEAIDApQCHgAC3QICAjECBAIFAgYCBwIIAgkCOAILAjkCDQIIAggCCAIIAggCCAIIAggCCAIIAggCCAIIAggCCAIIAggCEAIDAl0CHgAC3QICAkcCBAIFAgYCBwIIAgkCOAILAjkCDQIIAggCCAIIAggCCAIIAggCCAIIAggCCAIIAggCCAIIAggCEAIDAkgCHgAC3QICAhsCBAIFAgYCBwIIAgkCPQILAjkCDQIIAggCCAIIAggCCAIIAggCCAIIAggCCAIIAggCCAIIAggCEAIDApMCHgAC3QICAiECBAIFAgYCBwIIAgkCPQILAjkCDQIIAggCCAIIAggCCAIIAggCCAIIAggCCAIIAggCCAIIAggCEAIDAm4CHgAC3QICAisCBAIFAgYCBwIIAgkCOAILAjkCDQIIAggCCAIIAggCCAIIAggCCAIIAggCCAIIAggCCAIIAggCEAIDAnwCHgAC3QICAkECBAIFAgYCBwIIAgkCPQILAjkCDQIIAggCCAIIAggCCAIIAggCCAIIAggCCAIIAggCCAIIAggCEAIDAlYCHgAC3QICAiUCBAIFAgYCBwIIAgkCPQILAjkCDQIIAggCCAIIAggCCAIIAggCCAIIAggCCAIIAggCCAIIAggCEAIDAloCHgACegAABADdAgICagIEAgUCBgIHAggCCQI4AgsCOQINAggCCAIIAggCCAIIAggCCAIIAggCCAIIAggCCAIIAggCCAIQAgMChgIeAALdAgIC3gIEAgUCBgIHAggCCQI9AgsCOQINAggCCAIIAggCCAIIAggCCAIIAggCCAIIAggCCAIIAggCCAIQAgMClgIeAALdAgICIQIEAgUCBgIHAggCCQIKAgsCOQINAggCCAIIAggCCAIIAggCCAIIAggCCAIIAggCCAIIAggCCAIQAgMCfQIeAALdAgICPwIEAgUCBgIHAggCCQI9AgsCOQINAggCCAIIAggCCAIIAggCCAIIAggCCAIIAggCCAIIAggCCAIQAgMCgwIeAALdAgICHQIEAgUCBgIHAggCCQI4AgsCOQINAggCCAIIAggCCAIIAggCCAIIAggCCAIIAggCCAIIAggCCAIQAgMCUAIeAALdAgICMwIEAgUCBgIHAggCCQI9AgsCOQINAggCCAIIAggCCAIIAggCCAIIAggCCAIIAggCCAIIAggCCAIQAgMCZgIeAALdAgICAwIEAgUCBgIHAggCCQI9AgsCOQINAggCCAIIAggCCAIIAggCCAIIAggCCAIIAggCCAIIAggCCAIQAgMCSQIeAALdAgICkgIEAgUCBgIHAggCCQIKAgsCOQINAggCCAIIAggCCAIIAggCCAIIAggCCAIIAggCCAIIAggCCAIQAgMClAIeAALdAgICSgIEAgUCBgIHAggCCQI4AgsCOQINAggCCAIIAggCCAIIAggCCAIIAggCCAIIAggCCAIIAggCCAIQAgMCSwIeAALdAgICKQIEAgUCBgIHAggCCQI4AgsCOQINAggCCAIIAggCCAIIAggCCAIIAggCCAIIAggCCAIIAggCCAIQAgMCUAIeAALdAgICLQIEAgUCBgIHAggCCQI4AgsCOQINAggCCAIIAggCCAIIAggCCAIIAggCCAIIAggCCAIIAggCCAIQAgMCUQIeAALdAgICkgIEAgUCBgIHAggCCQI9AgsCOQINAggCCAIIAggCCAIIAggCCAIIAggCCAIIAggCCAIIAggCCAIQAgMClgIeAALdAgICIwIEAgUCBgIHAggCCQI4AgsCOQINAggCCAIIAggCCAIIAggCCAIIAggCCAIIAggCCAIIAggCCAIQAgMCXwIeAALdAgICUwIEAgUCBgIHAggCCQI9AgsCOQINAggCCAIIAggCCAIIAggCCAIIAggCCAIIAggCCAIIAggCCAIQAgMCVAIeAALdAgICSgIEAgUCBgIHAggCCQIKAgsCOQINAggCCAIIAggCCAIIAggCCAIIAggCCAIIAggCCAIIAggCegAABAAIAhACAwKJAh4AAt0CAgJMAgQCBQIGAgcCCAIJAj0CCwI5Ag0CCAIIAggCCAIIAggCCAIIAggCCAIIAggCCAIIAggCCAIIAhACAwJNAh4AAt0CAgIxAgQCBQIGAgcCCAIJAgoCCwI5Ag0CCAIIAggCCAIIAggCCAIIAggCCAIIAggCCAIIAggCCAIIAhACAwJOAh4AAt0CAgIzAgQCBQIGAgcCCAIJAgoCCwI5Ag0CCAIIAggCCAIIAggCCAIIAggCCAIIAggCCAIIAggCCAIIAhACAwJPAh4AAt0CAgJHAgQCBQIGAgcCCAIJAgoCCwI5Ag0CCAIIAggCCAIIAggCCAIIAggCCAIIAggCCAIIAggCCAIIAhACAwJSAh4AAt0CAgInAgQCBQIGAgcCCAIJAj0CCwI5Ag0CCAIIAggCCAIIAggCCAIIAggCCAIIAggCCAIIAggCCAIIAhACAwKHAh4AAt0CAgIbAgQCBQIGAgcCCAIJAgoCCwI5Ag0CCAIIAggCCAIIAggCCAIIAggCCAIIAggCCAIIAggCCAIIAhACAwKVAh4AAt0CAgInAgQCBQIGAgcCCAIJAgoCCwI5Ag0CCAIIAggCCAIIAggCCAIIAggCCAIIAggCCAIIAggCCAIIAhACAwI7Ah4AAt0CAgIdAgQCBQIGAgcCCAIJAgoCCwI5Ag0CCAIIAggCCAIIAggCCAIIAggCCAIIAggCCAIIAggCCAIIAhACAwJxAh4AAt0CAgIhAgQCBQIGAgcCCAIJAjgCCwI5Ag0CCAIIAggCCAIIAggCCAIIAggCCAIIAggCCAIIAggCCAIIAhACAwI6Ah4AAt0CAgI/AgQCBQIGAgcCCAIJAgoCCwI5Ag0CCAIIAggCCAIIAggCCAIIAggCCAIIAggCCAIIAggCCAIIAhACAwJAAh4AAt0CAgI8AgQCBQIGAgcCCAIJAj0CCwI5Ag0CCAIIAggCCAIIAggCCAIIAggCCAIIAggCCAIIAggCCAIIAhACAwI+Ah4AAt0CAgIbAgQCBQIGAgcCCAIJAjgCCwI5Ag0CCAIIAggCCAIIAggCCAIIAggCCAIIAggCCAIIAggCCAIIAhACAwJQAh4AAt0CAgIDAgQCBQIGAgcCCAIJAgoCCwI5Ag0CCAIIAggCCAIIAggCCAIIAggCCAIIAggCCAIIAggCCAIIAhACAwKLAh4AAt0CAgIpAgQCBQIGAgcCCAIJAj0CCwI5Ag0CCAIIAggCCAIIAggCCAIIAggCCAIIAggCCAIIAggCCAIIAhACAwJ0Ah4AAt0CAgI1AgQCBQIGAgcCCAIJAj0CCwI5Ag0CCAIIAggCCAIIAggCCAIIAggCCAIIegAABAACCAIIAggCCAIIAggCEAIDAlUCHgAC3QICAi0CBAIFAgYCBwIIAgkCPQILAjkCDQIIAggCCAIIAggCCAIIAggCCAIIAggCCAIIAggCCAIIAggCEAIDAncCHgAC3QICAkMCBAIFAgYCBwIIAgkCOAILAjkCDQIIAggCCAIIAggCCAIIAggCCAIIAggCCAIIAggCCAIIAggCEAIDAnsCHgAC3QICAmMCBAIFAgYCBwIIAgkCCgILAjkCDQIIAggCCAIIAggCCAIIAggCCAIIAggCCAIIAggCCAIIAggCEAIDAnMCHgAC3QICAiMCBAIFAgYCBwIIAgkCCgILAjkCDQIIAggCCAIIAggCCAIIAggCCAIIAggCCAIIAggCCAIIAggCEAIDAnICHgAC3QICAkcCBAIFAgYCBwIIAgkCPQILAjkCDQIIAggCCAIIAggCCAIIAggCCAIIAggCCAIIAggCCAIIAggCEAIDAogCHgAC3QICAjECBAIFAgYCBwIIAgkCPQILAjkCDQIIAggCCAIIAggCCAIIAggCCAIIAggCCAIIAggCCAIIAggCEAIDAo0CHgAC3QICAkwCBAIFAgYCBwIIAgkCCgILAjkCDQIIAggCCAIIAggCCAIIAggCCAIIAggCCAIIAggCCAIIAggCEAIDAooCHgAC3QICAi8CBAIFAgYCBwIIAgkCOAILAjkCDQIIAggCCAIIAggCCAIIAggCCAIIAggCCAIIAggCCAIIAggCEAIDAmwCHgAC3QICAh8CBAIFAgYCBwIIAgkCPQILAjkCDQIIAggCCAIIAggCCAIIAggCCAIIAggCCAIIAggCCAIIAggCEAIDAkYCHgAC3QICAjMCBAIFAgYCBwIIAgkCOAILAjkCDQIIAggCCAIIAggCCAIIAggCCAIIAggCCAIIAggCCAIIAggCEAIDAoECHgAC3QICAmECBAIFAgYCBwIIAgkCOAILAjkCDQIIAggCCAIIAggCCAIIAggCCAIIAggCCAIIAggCCAIIAggCEAIDAm8CHgAC3wAJMzMwNTYwNTIwAgICLwIEAgUCBgIHAggCCQKqAgsCDAINAggCCAIIAggCCAIIAggCCAIIAggCCAIIAggCCAIIAggCCAIRAgMCvQIeAALfAgICYQIEAgUCBgIHAggCCQKqAgsCDAINAggCCAIIAggCCAIIAggCCAIIAggCCAIIAggCCAIIAggCCAIRAgMCrgIeAALfAgICYwIEAgUCBgIHAggCCQIKAgsCDAINAggCCAIIAggCCAIIAggCCAIIAggCCAIIAggCCAIIAggCCAIRAgMC1AIeAALfAgICHQIEAgUCBgIHAggCCQI9AgsCDAINegAABAACCAIIAggCCAIIAggCCAIIAggCCAIIAggCCAIIAggCCAIIAhECAwKfAh4AAt8CAgIjAgQCBQIGAgcCCAIJAgoCCwIMAg0CCAIIAggCCAIIAggCCAIIAggCCAIIAggCCAIIAggCCAIIAhECAwIkAh4AAt8CAgJKAgQCBQIGAgcCCAIJAj0CCwIMAg0CCAIIAggCCAIIAggCCAIIAggCCAIIAggCCAIIAggCCAIIAhECAwKtAh4AAt8CAgJjAgQCBQIGAgcCCAIJAqoCCwIMAg0CCAIIAggCCAIIAggCCAIIAggCCAIIAggCCAIIAggCCAIIAhECAwKrAh4AAt8CAgIjAgQCBQIGAgcCCAIJAqoCCwIMAg0CCAIIAggCCAIIAggCCAIIAggCCAIIAggCCAIIAggCCAIIAhECAwKsAh4AAt8CAgJhAgQCBQIGAgcCCAIJAgoCCwIMAg0CCAIIAggCCAIIAggCCAIIAggCCAIIAggCCAIIAggCCAIIAhECAwK7Ah4AAt8CAgIvAgQCBQIGAgcCCAIJAgoCCwIMAg0CCAIIAggCCAIIAggCCAIIAggCCAIIAggCCAIIAggCCAIIAhECAwIwAh4AAt8CAgIpAgQCBQIGAgcCCAIJAj0CCwIMAg0CCAIIAggCCAIIAggCCAIIAggCCAIIAggCCAIIAggCCAIIAhECAwKbAh4AAt8CAgJqAgQCBQIGAgcCCAIJAj0CCwIMAg0CCAIIAggCCAIIAggCCAIIAggCCAIIAggCCAIIAggCCAIIAhECAwLTAh4AAt8CAgIrAgQCBQIGAgcCCAIJAj0CCwIMAg0CCAIIAggCCAIIAggCCAIIAggCCAIIAggCCAIIAggCCAIIAhECAwKiAh4AAt8CAgItAgQCBQIGAgcCCAIJAj0CCwIMAg0CCAIIAggCCAIIAggCCAIIAggCCAIIAggCCAIIAggCCAIIAhECAwKaAh4AAt8CAgJKAgQCBQIGAgcCCAIJAgoCCwIMAg0CCAIIAggCCAIIAggCCAIIAggCCAIIAggCCAIIAggCCAIIAhECAwK0Ah4AAt8CAgJMAgQCBQIGAgcCCAIJAqoCCwIMAg0CCAIIAggCCAIIAggCCAIIAggCCAIIAggCCAIIAggCCAIIAhECAwLRAh4AAt8CAgI/AgQCBQIGAgcCCAIJAqoCCwIMAg0CCAIIAggCCAIIAggCCAIIAggCCAIIAggCCAIIAggCCAIIAhECAwLSAh4AAt8CAgInAgQCBQIGAgcCCAIJAqoCCwIMAg0CCAIIAggCCAIIAggCCAIIAggCCAIIAggCCAIIAggCCAIIAhECAwJQAh4AAt8CAgIDAgQCBQIGAgcCegAABAAIAgkCqgILAgwCDQIIAggCCAIIAggCCAIIAggCCAIIAggCCAIIAggCCAIIAggCEQIDAtACHgAC3wICAkwCBAIFAgYCBwIIAgkCCgILAgwCDQIIAggCCAIIAggCCAIIAggCCAIIAggCCAIIAggCCAIIAggCEQIDAsgCHgAC3wICAmMCBAIFAgYCBwIIAgkCPQILAgwCDQIIAggCCAIIAggCCAIIAggCCAIIAggCCAIIAggCCAIIAggCEQIDArgCHgAC3wICAh0CBAIFAgYCBwIIAgkCqgILAgwCDQIIAggCCAIIAggCCAIIAggCCAIIAggCCAIIAggCCAIIAggCEQIDAlACHgAC3wICAh0CBAIFAgYCBwIIAgkCCgILAgwCDQIIAggCCAIIAggCCAIIAggCCAIIAggCCAIIAggCCAIIAggCEQIDAh4CHgAC3wICAiMCBAIFAgYCBwIIAgkCPQILAgwCDQIIAggCCAIIAggCCAIIAggCCAIIAggCCAIIAggCCAIIAggCEQIDApgCHgAC3wICAkMCBAIFAgYCBwIIAgkCCgILAgwCDQIIAggCCAIIAggCCAIIAggCCAIIAggCCAIIAggCCAIIAggCEQIDArYCHgAC3wICAiECBAIFAgYCBwIIAgkCCgILAgwCDQIIAggCCAIIAggCCAIIAggCCAIIAggCCAIIAggCCAIIAggCEQIDAiICHgAC3wICAkoCBAIFAgYCBwIIAgkCqgILAgwCDQIIAggCCAIIAggCCAIIAggCCAIIAggCCAIIAggCCAIIAggCEQIDArUCHgAC3wICAgMCBAIFAgYCBwIIAgkCCgILAgwCDQIIAggCCAIIAggCCAIIAggCCAIIAggCCAIIAggCCAIIAggCEQIDAg4CHgAC3wICApICBAIFAgYCBwIIAgkCPQILAgwCDQIIAggCCAIIAggCCAIIAggCCAIIAggCCAIIAggCCAIIAggCEQIDAtoCHgAC3wICAkMCBAIFAgYCBwIIAgkCqgILAgwCDQIIAggCCAIIAggCCAIIAggCCAIIAggCCAIIAggCCAIIAggCEQIDArMCHgAC3wICAkcCBAIFAgYCBwIIAgkCPQILAgwCDQIIAggCCAIIAggCCAIIAggCCAIIAggCCAIIAggCCAIIAggCEQIDAs8CHgAC3wICAjECBAIFAgYCBwIIAgkCPQILAgwCDQIIAggCCAIIAggCCAIIAggCCAIIAggCCAIIAggCCAIIAggCEQIDApwCHgAC3wICAjECBAIFAgYCBwIIAgkCCgILAgwCDQIIAggCCAIIAggCCAIIAggCCAIIAggCCAIIAggCCAIIAggCEQIDAjICHgAC3wICegAABAACTAIEAgUCBgIHAggCCQI9AgsCDAINAggCCAIIAggCCAIIAggCCAIIAggCCAIIAggCCAIIAggCCAIRAgMCvgIeAALfAgICRwIEAgUCBgIHAggCCQIKAgsCDAINAggCCAIIAggCCAIIAggCCAIIAggCCAIIAggCCAIIAggCCAIRAgMCxwIeAALfAgICGwIEAgUCBgIHAggCCQKqAgsCDAINAggCCAIIAggCCAIIAggCCAIIAggCCAIIAggCCAIIAggCCAIRAgMCUAIeAALfAgICIQIEAgUCBgIHAggCCQKqAgsCDAINAggCCAIIAggCCAIIAggCCAIIAggCCAIIAggCCAIIAggCCAIRAgMCzAIeAALfAgICRwIEAgUCBgIHAggCCQKqAgsCDAINAggCCAIIAggCCAIIAggCCAIIAggCCAIIAggCCAIIAggCCAIRAgMCyQIeAALfAgICPwIEAgUCBgIHAggCCQI9AgsCDAINAggCCAIIAggCCAIIAggCCAIIAggCCAIIAggCCAIIAggCCAIRAgMCywIeAALfAgICJwIEAgUCBgIHAggCCQI9AgsCDAINAggCCAIIAggCCAIIAggCCAIIAggCCAIIAggCCAIIAggCCAIRAgMCoAIeAALfAgICGwIEAgUCBgIHAggCCQIKAgsCDAINAggCCAIIAggCCAIIAggCCAIIAggCCAIIAggCCAIIAggCCAIRAgMCHAIeAALfAgICJQIEAgUCBgIHAggCCQI9AgsCDAINAggCCAIIAggCCAIIAggCCAIIAggCCAIIAggCCAIIAggCCAIRAgMCpAIeAALfAgICHwIEAgUCBgIHAggCCQI9AgsCDAINAggCCAIIAggCCAIIAggCCAIIAggCCAIIAggCCAIIAggCCAIRAgMCpgIeAALfAgICPAIEAgUCBgIHAggCCQI9AgsCDAINAggCCAIIAggCCAIIAggCCAIIAggCCAIIAggCCAIIAggCCAIRAgMCxQIeAALfAgICJwIEAgUCBgIHAggCCQIKAgsCDAINAggCCAIIAggCCAIIAggCCAIIAggCCAIIAggCCAIIAggCCAIRAgMCKAIeAALfAgICQQIEAgUCBgIHAggCCQIKAgsCDAINAggCCAIIAggCCAIIAggCCAIIAggCCAIIAggCCAIIAggCCAIRAgMCwgIeAALfAgICQQIEAgUCBgIHAggCCQKqAgsCDAINAggCCAIIAggCCAIIAggCCAIIAggCCAIIAggCCAIIAggCCAIRAgMCwQIeAALfAgICJQIEAgUCBgIHAggCCQIKAgsCDAINAggCCAIIAggCCAIIAggCCAIIAggCCAIIAggCCAIIAggCCAIRegAABAACAwImAh4AAt8CAgI/AgQCBQIGAgcCCAIJAgoCCwIMAg0CCAIIAggCCAIIAggCCAIIAggCCAIIAggCCAIIAggCCAIIAhECAwLVAh4AAt8CAgIlAgQCBQIGAgcCCAIJAqoCCwIMAg0CCAIIAggCCAIIAggCCAIIAggCCAIIAggCCAIIAggCCAIIAhECAwLAAh4AAt8CAgIzAgQCBQIGAgcCCAIJAqoCCwIMAg0CCAIIAggCCAIIAggCCAIIAggCCAIIAggCCAIIAggCCAIIAhECAwLDAh4AAt8CAgJTAgQCBQIGAgcCCAIJAj0CCwIMAg0CCAIIAggCCAIIAggCCAIIAggCCAIIAggCCAIIAggCCAIIAhECAwLEAh4AAt8CAgI1AgQCBQIGAgcCCAIJAj0CCwIMAg0CCAIIAggCCAIIAggCCAIIAggCCAIIAggCCAIIAggCCAIIAhECAwKeAh4AAt8CAgIxAgQCBQIGAgcCCAIJAqoCCwIMAg0CCAIIAggCCAIIAggCCAIIAggCCAIIAggCCAIIAggCCAIIAhECAwLGAh4AAt8CAgKSAgQCBQIGAgcCCAIJAqoCCwIMAg0CCAIIAggCCAIIAggCCAIIAggCCAIIAggCCAIIAggCCAIIAhECAwJQAh4AAt8CAgIzAgQCBQIGAgcCCAIJAgoCCwIMAg0CCAIIAggCCAIIAggCCAIIAggCCAIIAggCCAIIAggCCAIIAhECAwI0Ah4AAt8CAgIDAgQCBQIGAgcCCAIJAj0CCwIMAg0CCAIIAggCCAIIAggCCAIIAggCCAIIAggCCAIIAggCCAIIAhECAwKdAh4AAt8CAgKSAgQCBQIGAgcCCAIJAgoCCwIMAg0CCAIIAggCCAIIAggCCAIIAggCCAIIAggCCAIIAggCCAIIAhECAwLbAh4AAt8CAgJTAgQCBQIGAgcCCAIJAgoCCwIMAg0CCAIIAggCCAIIAggCCAIIAggCCAIIAggCCAIIAggCCAIIAhECAwK6Ah4AAt8CAgI1AgQCBQIGAgcCCAIJAgoCCwIMAg0CCAIIAggCCAIIAggCCAIIAggCCAIIAggCCAIIAggCCAIIAhECAwI2Ah4AAt8CAgJhAgQCBQIGAgcCCAIJAj0CCwIMAg0CCAIIAggCCAIIAggCCAIIAggCCAIIAggCCAIIAggCCAIIAhECAwLKAh4AAt8CAgItAgQCBQIGAgcCCAIJAgoCCwIMAg0CCAIIAggCCAIIAggCCAIIAggCCAIIAggCCAIIAggCCAIIAhECAwIuAh4AAt8CAgIrAgQCBQIGAgcCCAIJAqoCCwIMAg0CCAIIAggCCAIIAggCCAIIAggCCAIIAggCegAABAAIAggCCAIIAggCEQIDArECHgAC3wICAhsCBAIFAgYCBwIIAgkCPQILAgwCDQIIAggCCAIIAggCCAIIAggCCAIIAggCCAIIAggCCAIIAggCEQIDAqMCHgAC3wICAh8CBAIFAgYCBwIIAgkCCgILAgwCDQIIAggCCAIIAggCCAIIAggCCAIIAggCCAIIAggCCAIIAggCEQIDAiACHgAC3wICAkMCBAIFAgYCBwIIAgkCPQILAgwCDQIIAggCCAIIAggCCAIIAggCCAIIAggCCAIIAggCCAIIAggCEQIDAr8CHgAC3wICAlMCBAIFAgYCBwIIAgkCqgILAgwCDQIIAggCCAIIAggCCAIIAggCCAIIAggCCAIIAggCCAIIAggCEQIDArwCHgAC3wICAmoCBAIFAgYCBwIIAgkCqgILAgwCDQIIAggCCAIIAggCCAIIAggCCAIIAggCCAIIAggCCAIIAggCEQIDArACHgAC3wICAiECBAIFAgYCBwIIAgkCPQILAgwCDQIIAggCCAIIAggCCAIIAggCCAIIAggCCAIIAggCCAIIAggCEQIDAqUCHgAC3wICAjwCBAIFAgYCBwIIAgkCqgILAgwCDQIIAggCCAIIAggCCAIIAggCCAIIAggCCAIIAggCCAIIAggCEQIDArcCHgAC3wICAh8CBAIFAgYCBwIIAgkCqgILAgwCDQIIAggCCAIIAggCCAIIAggCCAIIAggCCAIIAggCCAIIAggCEQIDArICHgAC3wICAisCBAIFAgYCBwIIAgkCCgILAgwCDQIIAggCCAIIAggCCAIIAggCCAIIAggCCAIIAggCCAIIAggCEQIDAiwCHgAC3wICAkECBAIFAgYCBwIIAgkCPQILAgwCDQIIAggCCAIIAggCCAIIAggCCAIIAggCCAIIAggCCAIIAggCEQIDAs0CHgAC3wICAi0CBAIFAgYCBwIIAgkCqgILAgwCDQIIAggCCAIIAggCCAIIAggCCAIIAggCCAIIAggCCAIIAggCEQIDArkCHgAC3wICAmoCBAIFAgYCBwIIAgkCCgILAgwCDQIIAggCCAIIAggCCAIIAggCCAIIAggCCAIIAggCCAIIAggCEQIDAq8CHgAC3wICAjUCBAIFAgYCBwIIAgkCqgILAgwCDQIIAggCCAIIAggCCAIIAggCCAIIAggCCAIIAggCCAIIAggCEQIDAlACHgAC3wICAjwCBAIFAgYCBwIIAgkCCgILAgwCDQIIAggCCAIIAggCCAIIAggCCAIIAggCCAIIAggCCAIIAggCEQIDAs4CHgAC3wICAjMCBAIFAgYCBwIIAgkCPQILAgwCDQIIAggCCAIIAggCCAIId+kCCAIIAggCCAIIAggCCAIIAggCCAIRAgMCmQIeAALfAgICKQIEAgUCBgIHAggCCQKqAgsCDAINAggCCAIIAggCCAIIAggCCAIIAggCCAIIAggCCAIIAggCCAIRAgMCUAIeAALfAgICKQIEAgUCBgIHAggCCQIKAgsCDAINAggCCAIIAggCCAIIAggCCAIIAggCCAIIAggCCAIIAggCCAIRAgMCKgIeAALfAgICLwIEAgUCBgIHAggCCQI9AgsCDAINAggCCAIIAggCCAIIAggCCAIIAggCCAIIAggCCAIIAggCCAIRAgMCoQ==]]></xxe4awand>
</file>

<file path=customXml/item7.xml><?xml version="1.0" encoding="utf-8"?>
<xxe4awand xmlns="http://www.excel4apps.com"><![CDATA[rO0ABXfZCMCtii8CJgJXAh4AAERjb20uZXhjZWw0YXBwcy53YW5kLm9yYWNsZS5n
bHdhbmQuY2FsY3VsYXRpb25zLmdldGJhbGFuY2UuR2V0QmFsYW5jZQIBAAk1MjE3
OTY3NjgCAgABMAIDAAYyMDE2MTECBAADWVREAgUAA1VTRAIGAAVUb3RhbAIHAAFB
AggAAAIJAAMwMDECCgAGMTkxMDEwAgsAAkdEAgwAAldBAg0AAkRMAggCCAIIAggC
CAIIAggCCAIIAggCCAIIAggCCAIIAggCCAIS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ElQVqnh4d00CHgACAQICAhsABjIwMTYwNQIEAgUCBgIHAggCCQIKAgsCDAIN
AggCCAIIAggCCAIIAggCCAIIAggCCAIIAggCCAIIAggCCAISAgMCHHNxAH4AAAAA
AAJzcQB+AAT///////////////7////+/////3VxAH4ABwAAAARMKwuAeHh3TQIeAAIBAgICHQAGMjAxNzA2AgQCBQIGAgcCCAIJAgoCCwIMAg0CCAIIAggCCAIIAggCCAIIAggCCAIIAggCCAIIAggCCAIIAhICAwIec3EAfgAAAAAAAnNxAH4ABP///////////////v////7/////dXEAfgAHAAAABFgLByx4eHdNAh4AAgECAgIfAAYyMDE3MTICBAIFAgYCBwIIAgkCCgILAgwCDQIIAggCCAIIAggCCAIIAggCCAIIAggCCAIIAggCCAIIAggCEgIDAiBzcQB+AAAAAAACc3EAfgAE///////////////+/////v////91cQB+AAcAAAAEQjS8fHh4d1UCHgACAQICAiEABjIwMTgwNAIEAgUCBgIHAggCCQIiAAYxOTEwMjUCCwIMAg0CCAIIAggCCAIIAggCCAIIAggCCAIIAggCCAIIAggCCAIIAhICAwIjc3EAfgAAAAAAAnNxAH4ABP///////////////v////4AAAAAdXEAfgAHAAAAAHh4d1UCHgACAQICAiQABjIwMTcwOAIEAgUCBgIHAggCCQIlAAYxOTEwMDACCwIMAg0CCAIIAggCCAIIAggCCAIIAggCCAIIAggCCAIIAggCCAIIAhICAwImc3EAfgAAAAAAAnNxAH4ABP///////////////v////7/////dXEAfgAHAAAAAzKU1nh4d00CHgACAQICAicABjIwMTYwNAIEAgUCBgIHAggCCQIKAgsCDAINAggCCAIIAggCCAIIAggCCAIIAggCCAIIAggCCAIIAggCCAISAgMCKHNxAH4AAAAAAAJzcQB+AAT///////////////7////+/////3VxAH4ABwAAAARIcHiveHh3TQIeAAIBAgICKQAGMjAxNjA3AgQCBQIGAgcCCAIJAiUCCwIMAg0CCAIIAggCCAIIAggCCAIIAggCCAIIAggCCAIIAggCCAIIAhICAwIqc3EAfgAAAAAAAnNxAH4ABP///////////////v////7/////dXEAfgAHAAAABAM2kpl4eHdNAh4AAgECAgIrAAYyMDE2MDICBAIFAgYCBwIIAgkCIgILAgwCDQIIAggCCAIIAggCCAIIAggCCAIIAggCCAIIAggCCAIIAggCEgIDAixzcQB+AAAAAAACc3EAfgAE///////////////+/////v////91cQB+AAcAAAADEhXLeHh3TQIeAAIBAgICLQAGMjAxNzAzAgQCBQIGAgcCCAIJAiICCwIMAg0CCAIIAggCCAIIAggCCAIIAggCCAIIAggCCAIIAggCCAIIAhICAwIuc3EAfgAAAAAAAnNxAH4ABP///////////////v////7/////dXEAfgAHAAAAAwSrl3h4d00CHgACAQICAi8ABjIwMTcxMAIEAgUCBgIHAggCCQIiAgsCDAINAggCCAIIAggCCAIIAggCCAIIAggCCAIIAggCCAIIAggCCAISAgMCMHNxAH4AAAAAAAJzcQB+AAT///////////////7////+/////3VxAH4ABwAAAAMD3Kt4eHdNAh4AAgECAgIxAAYyMDE2MTACBAIFAgYCBwIIAgkCIgILAgwCDQIIAggCCAIIAggCCAIIAggCCAIIAggCCAIIAggCCAIIAggCEgIDAjJzcQB+AAAAAAACc3EAfgAE///////////////+/////v////91cQB+AAcAAAADBT+veHh3mgIeAAIBAgICMwAGMjAxNzExAgQCBQIGAgcCCAIJAiICCwIMAg0CCAIIAggCCAIIAggCCAIIAggCCAIIAggCCAIIAggCCAIIAhICAwIjAh4AAgECAgI0AAYyMDE2MTICBAIFAgYCBwIIAgkCCgILAgwCDQIIAggCCAIIAggCCAIIAggCCAIIAggCCAIIAggCCAIIAggCEgIDAjVzcQB+AAAAAAACc3EAfgAE///////////////+/////v////91cQB+AAcAAAAEKKPaWXh4d5oCHgACAQICAjYABjIwMTgwNQIEAgUCBgIHAggCCQIiAgsCDAINAggCCAIIAggCCAIIAggCCAIIAggCCAIIAggCCAIIAggCCAISAgMCIwIeAAIBAgICNwAGMjAxODA2AgQCBQIGAgcCCAIJAgoCCwIMAg0CCAIIAggCCAIIAggCCAIIAggCCAIIAggCCAIIAggCCAIIAhICAwI4c3EAfgAAAAAAAnNxAH4ABP///////////////v////7/////dXEAfgAHAAAABFzlwLB4eHdNAh4AAgECAgI5AAYyMDE2MDYCBAIFAgYCBwIIAgkCJQILAgwCDQIIAggCCAIIAggCCAIIAggCCAIIAggCCAIIAggCCAIIAggCEgIDAjpzcQB+AAAAAAACc3EAfgAE///////////////+/////v////91cQB+AAcAAAAEA6uLrXh4d00CHgACAQICAjsABjIwMTcwNQIEAgUCBgIHAggCCQIKAgsCDAINAggCCAIIAggCCAIIAggCCAIIAggCCAIIAggCCAIIAggCCAISAgMCPHNxAH4AAAAAAAJzcQB+AAT///////////////7////+/////3VxAH4ABwAAAARZ/eXyeHh3TQIeAAIBAgICPQAGMjAxNzA0AgQCBQIGAgcCCAIJAiICCwIMAg0CCAIIAggCCAIIAggCCAIIAggCCAIIAggCCAIIAggCCAIIAhICAwI+c3EAfgAAAAAAAnNxAH4ABP///////////////v////7/////dXEAfgAHAAAAAwR0jXh4d00CHgACAQICAj8ABjIwMTYwMwIEAgUCBgIHAggCCQIiAgsCDAINAggCCAIIAggCCAIIAggCCAIIAggCCAIIAggCCAIIAggCCAISAgMCQHNxAH4AAAAAAAJzcQB+AAT///////////////7////+/////3VxAH4ABwAAAAMOg914eHdNAh4AAgECAgJBAAYyMDE3MDcCBAIFAgYCBwIIAgkCJQILAgwCDQIIAggCCAIIAggCCAIIAggCCAIIAggCCAIIAggCCAIIAggCEgIDAkJzcQB+AAAAAAACc3EAfgAE///////////////+/////v////91cQB+AAcAAAAEAgr29Hh4d0UCHgACAQICAikCBAIFAgYCBwIIAgkCCgILAgwCDQIIAggCCAIIAggCCAIIAggCCAIIAggCCAIIAggCCAIIAggCEgIDAkNzcQB+AAAAAAACc3EAfgAE///////////////+/////v////91cQB+AAcAAAAEWi+1rXh4d0UCHgACAQICAiQCBAIFAgYCBwIIAgkCCgILAgwCDQIIAggCCAIIAggCCAIIAggCCAIIAggCCAIIAggCCAIIAggCEgIDAkRzcQB+AAAAAAACc3EAfgAE///////////////+/////v////91cQB+AAcAAAAEZTFBq3h4d0UCHgACAQICAisCBAIFAgYCBwIIAgkCCgILAgwCDQIIAggCCAIIAggCCAIIAggCCAIIAggCCAIIAggCCAIIAggCEgIDAkVzcQB+AAAAAAACc3EAfgAE///////////////+/////v////91cQB+AAcAAAAENzj1T3h4d0UCHgACAQICAgMCBAIFAgYCBwIIAgkCJQILAgwCDQIIAggCCAIIAggCCAIIAggCCAIIAggCCAIIAggCCAIIAggCEgIDAkZzcQB+AAAAAAACc3EAfgAE///////////////+/////v////91cQB+AAcAAAAETEMOFXh4d0UCHgACAQICAi0CBAIFAgYCBwIIAgkCCgILAgwCDQIIAggCCAIIAggCCAIIAggCCAIIAggCCAIIAggCCAIIAggCEgIDAkdzcQB+AAAAAAACc3EAfgAE///////////////+/////v////91cQB+AAcAAAAEU2ObJnh4d4oCHgACAQICAjcCBAIFAgYCBwIIAgkCIgILAgwCDQIIAggCCAIIAggCCAIIAggCCAIIAggCCAIIAggCCAIIAggCEgIDAiMCHgACAQICAicCBAIFAgYCBwIIAgkCIgILAgwCDQIIAggCCAIIAggCCAIIAggCCAIIAggCCAIIAggCCAIIAggCEgIDAkhzcQB+AAAAAAACc3EAfgAE///////////////+/////v////91cQB+AAcAAAADDMb+eHh3RQIeAAIBAgICOwIEAgUCBgIHAggCCQIiAgsCDAINAggCCAIIAggCCAIIAggCCAIIAggCCAIIAggCCAIIAggCCAISAgMCSXNxAH4AAAAAAAJzcQB+AAT///////////////7////+/////3VxAH4ABwAAAAMEVit4eHdFAh4AAgECAgIdAgQCBQIGAgcCCAIJAiUCCwIMAg0CCAIIAggCCAIIAggCCAIIAggCCAIIAggCCAIIAggCCAIIAhICAwJKc3EAfgAAAAAAAnNxAH4ABP///////////////v////7/////dXEAfgAHAAAABAPdTSB4eHdFAh4AAgECAgI2AgQCBQIGAgcCCAIJAiUCCwIMAg0CCAIIAggCCAIIAggCCAIIAggCCAIIAggCCAIIAggCCAIIAhICAwJLc3EAfgAAAAAAAnNxAH4ABP///////////////v////7/////dXEAfgAHAAAABARKQZV4eHdFAh4AAgECAgIxAgQCBQIGAgcCCAIJAgoCCwIMAg0CCAIIAggCCAIIAggCCAIIAggCCAIIAggCCAIIAggCCAIIAhICAwJMc3EAfgAAAAAAAnNxAH4ABP///////////////v////7/////dXEAfgAHAAAABGKNyxZ4eHdFAh4AAgECAgIzAgQCBQIGAgcCCAIJAgoCCwIMAg0CCAIIAggCCAIIAggCCAIIAggCCAIIAggCCAIIAggCCAIIAhICAwJNc3EAfgAAAAAAAnNxAH4ABP///////////////v////7/////dXEAfgAHAAAABDDQqrN4eHdNAh4AAgECAgJOAAYyMDE4MDECBAIFAgYCBwIIAgkCCgILAgwCDQIIAggCCAIIAggCCAIIAggCCAIIAggCCAIIAggCCAIIAggCEgIDAk9zcQB+AAAAAAACc3EAfgAE///////////////+/////v////91cQB+AAcAAAAETu7o2nh4d00CHgACAQICAlAABjIwMTcwMgIEAgUCBgIHAggCCQIiAgsCDAINAggCCAIIAggCCAIIAggCCAIIAggCCAIIAggCCAIIAggCCAISAgMCUXNxAH4AAAAAAAJzcQB+AAT///////////////7////+/////3VxAH4ABwAAAAME+2h4eHdFAh4AAgECAgIbAgQCBQIGAgcCCAIJAiUCCwIMAg0CCAIIAggCCAIIAggCCAIIAggCCAIIAggCCAIIAggCCAIIAhICAwJSc3EAfgAAAAAAAnNxAH4ABP///////////////v////7/////dXEAfgAHAAAABAQ2ieN4eHdNAh4AAgECAgJTAAYyMDE2MDgCBAIFAgYCBwIIAgkCJQILAgwCDQIIAggCCAIIAggCCAIIAggCCAIIAggCCAIIAggCCAIIAggCEgIDAlRzcQB+AAAAAAACc3EAfgAE///////////////+/////v////91cQB+AAcAAAAEAr0/pHh4d5oCHgACAQICAlUABjIwMTgwMwIEAgUCBgIHAggCCQIiAgsCDAINAggCCAIIAggCCAIIAggCCAIIAggCCAIIAggCCAIIAggCCAISAgMCIwIeAAIBAgICVgAGMjAxODAyAgQCBQIGAgcCCAIJAiUCCwIMAg0CCAIIAggCCAIIAggCCAIIAggCCAIIAggCCAIIAggCCAIIAhICAwJXc3EAfgAAAAAAAnNxAH4ABP///////////////v////7/////dXEAfgAHAAAABBli52V4eHdFAh4AAgECAgIhAgQCBQIGAgcCCAIJAgoCCwIMAg0CCAIIAggCCAIIAggCCAIIAggCCAIIAggCCAIIAggCCAIIAhICAwJYc3EAfgAAAAAAAnNxAH4ABP///////////////v////7/////dXEAfgAHAAAABFqpyF94eHdFAh4AAgECAgI0AgQCBQIGAgcCCAIJAiICCwIMAg0CCAIIAggCCAIIAggCCAIIAggCCAIIAggCCAIIAggCCAIIAhICAwJZc3EAfgAAAAAAAnNxAH4ABP///////////////v////7/////dXEAfgAHAAAAAwbck3h4d00CHgACAQICAloABjIwMTcwOQIEAgUCBgIHAggCCQIlAgsCDAINAggCCAIIAggCCAIIAggCCAIIAggCCAIIAggCCAIIAggCCAISAgMCW3NxAH4AAAAAAAJzcQB+AAT///////////////7////+AAAAAXVxAH4ABwAAAAQCjrCgeHh3RQIeAAIBAgICHwIEAgUCBgIHAggCCQIlAgsCDAINAggCCAIIAggCCAIIAggCCAIIAggCCAIIAggCCAIIAggCCAISAgMCXHNxAH4AAAAAAAJzcQB+AAT///////////////7////+/////3VxAH4ABwAAAAQ0Sb4jeHh3TQIeAAIBAgICXQAGMjAxNzAxAgQCBQIGAgcCCAIJAiUCCwIMAg0CCAIIAggCCAIIAggCCAIIAggCCAIIAggCCAIIAggCCAIIAhICAwJec3EAfgAAAAAAAnNxAH4ABP///////////////v////7/////dXEAfgAHAAAABCjphrZ4eHdNAh4AAgECAgJfAAYyMDE2MDkCBAIFAgYCBwIIAgkCIgILAgwCDQIIAggCCAIIAggCCAIIAggCCAIIAggCCAIIAggCCAIIAggCEgIDAmBzcQB+AAAAAAACc3EAfgAE///////////////+/////v////91cQB+AAcAAAADB43UeHh3RQIeAAIBAgICVgIEAgUCBgIHAggCCQIKAgsCDAINAggCCAIIAggCCAIIAggCCAIIAggCCAIIAggCCAIIAggCCAISAgMCYXNxAH4AAAAAAAJzcQB+AAT///////////////7////+/////3VxAH4ABwAAAARPKnH5eHh3RQIeAAIBAgICXQIEAgUCBgIHAggCCQIKAgsCDAINAggCCAIIAggCCAIIAggCCAIIAggCCAIIAggCCAIIAggCCAISAgMCYnNxAH4AAAAAAAJzcQB+AAT///////////////7////+/////3VxAH4ABwAAAAQ9FTt2eHh3RQIeAAIBAgICKwIEAgUCBgIHAggCCQIlAgsCDAINAggCCAIIAggCCAIIAggCCAIIAggCCAIIAggCCAIIAggCCAISAgMCY3NxAH4AAAAAAAJzcQB+AAT///////////////7////+/////3VxAH4ABwAAAAQIJf+xeHh3RQIeAAIBAgICIQIEAgUCBgIHAggCCQIlAgsCDAINAggCCAIIAggCCAIIAggCCAIIAggCCAIIAggCCAIIAggCCAISAgMCZHNxAH4AAAAAAAJzcQB+AAT///////////////7////+/////3VxAH4ABwAAAAQHGT+ZeHh3RQIeAAIBAgICJAIEAgUCBgIHAggCCQIiAgsCDAINAggCCAIIAggCCAIIAggCCAIIAggCCAIIAggCCAIIAggCCAISAgMCZXNxAH4AAAAAAAJzcQB+AAT///////////////7////+/////3VxAH4ABwAAAAMEJQl4eHdFAh4AAgECAgJfAgQCBQIGAgcCCAIJAgoCCwIMAg0CCAIIAggCCAIIAggCCAIIAggCCAIIAggCCAIIAggCCAIIAhICAwJmc3EAfgAAAAAAAnNxAH4ABP///////////////v////7/////dXEAfgAHAAAABGExCBR4eHdFAh4AAgECAgJVAgQCBQIGAgcCCAIJAiUCCwIMAg0CCAIIAggCCAIIAggCCAIIAggCCAIIAggCCAIIAggCCAIIAhICAwJnc3EAfgAAAAAAAnNxAH4ABP///////////////v////7/////dXEAfgAHAAAABA5TyYx4eHdFAh4AAgECAgI5AgQCBQIGAgcCCAIJAiICCwIMAg0CCAIIAggCCAIIAggCCAIIAggCCAIIAggCCAIIAggCCAIIAhICAwJoc3EAfgAAAAAAAnNxAH4ABP///////////////v////7/////dXEAfgAHAAAAAwqAVHh4d0UCHgACAQICAlACBAIFAgYCBwIIAgkCJQILAgwCDQIIAggCCAIIAggCCAIIAggCCAIIAggCCAIIAggCCAIIAggCEgIDAmlzcQB+AAAAAAACc3EAfgAE///////////////+/////v////91cQB+AAcAAAAEG0cx03h4d0UCHgACAQICAkECBAIFAgYCBwIIAgkCIgILAgwCDQIIAggCCAIIAggCCAIIAggCCAIIAggCCAIIAggCCAIIAggCEgIDAmpzcQB+AAAAAAACc3EAfgAE///////////////+/////v////91cQB+AAcAAAADBDQ4eHh3RQIeAAIBAgICVQIEAgUCBgIHAggCCQIKAgsCDAINAggCCAIIAggCCAIIAggCCAIIAggCCAIIAggCCAIIAggCCAISAgMCa3NxAH4AAAAAAAJzcQB+AAT///////////////7////+/////3VxAH4ABwAAAARSfqMaeHh3RQIeAAIBAgICUwIEAgUCBgIHAggCCQIiAgsCDAINAggCCAIIAggCCAIIAggCCAIIAggCCAIIAggCCAIIAggCCAISAgMCbHNxAH4AAAAAAAJzcQB+AAT///////////////7////+/////3VxAH4ABwAAAAMItpx4eHdFAh4AAgECAgI9AgQCBQIGAgcCCAIJAiUCCwIMAg0CCAIIAggCCAIIAggCCAIIAggCCAIIAggCCAIIAggCCAIIAhICAwJtc3EAfgAAAAAAAnNxAH4ABP///////////////v////7/////dXEAfgAHAAAABAnwakZ4eHdFAh4AAgECAgI/AgQCBQIGAgcCCAIJAiUCCwIMAg0CCAIIAggCCAIIAggCCAIIAggCCAIIAggCCAIIAggCCAIIAhICAwJuc3EAfgAAAAAAAnNxAH4ABP///////////////v////7/////dXEAfgAHAAAABAXojm54eHdFAh4AAgECAgJaAgQCBQIGAgcCCAIJAgoCCwIMAg0CCAIIAggCCAIIAggCCAIIAggCCAIIAggCCAIIAggCCAIIAhICAwJvc3EAfgAAAAAAAnNxAH4ABP///////////////v////7/////dXEAfgAHAAAABHEGWUl4eHdFAh4AAgECAgJTAgQCBQIGAgcCCAIJAgoCCwIMAg0CCAIIAggCCAIIAggCCAIIAggCCAIIAggCCAIIAggCCAIIAhICAwJwc3EAfgAAAAAAAnNxAH4ABP///////////////v////7/////dXEAfgAHAAAABF1XUMl4eHdFAh4AAgECAgJQAgQCBQIGAgcCCAIJAgoCCwIMAg0CCAIIAggCCAIIAggCCAIIAggCCAIIAggCCAIIAggCCAIIAhICAwJxc3EAfgAAAAAAAnNxAH4ABP///////////////v////7/////dXEAfgAHAAAABEmLU8l4eHeKAh4AAgECAgJOAgQCBQIGAgcCCAIJAiICCwIMAg0CCAIIAggCCAIIAggCCAIIAggCCAIIAggCCAIIAggCCAIIAhICAwIjAh4AAgECAgIvAgQCBQIGAgcCCAIJAiUCCwIMAg0CCAIIAggCCAIIAggCCAIIAggCCAIIAggCCAIIAggCCAIIAhICAwJyc3EAfgAAAAAAAnNxAH4ABP///////////////v////4AAAABdXEAfgAHAAAABAkNFf14eHdFAh4AAgECAgIpAgQCBQIGAgcCCAIJAiICCwIMAg0CCAIIAggCCAIIAggCCAIIAggCCAIIAggCCAIIAggCCAIIAhICAwJzc3EAfgAAAAAAAnNxAH4ABP///////////////v////7/////dXEAfgAHAAAAAwmef3h4d0UCHgACAQICAi0CBAIFAgYCBwIIAgkCJQILAgwCDQIIAggCCAIIAggCCAIIAggCCAIIAggCCAIIAggCCAIIAggCEgIDAnRzcQB+AAAAAAACc3EAfgAE///////////////+/////v////91cQB+AAcAAAAEEP3yI3h4d0UCHgACAQICAl0CBAIFAgYCBwIIAgkCIgILAgwCDQIIAggCCAIIAggCCAIIAggCCAIIAggCCAIIAggCCAIIAggCEgIDAnVzcQB+AAAAAAACc3EAfgAE///////////////+/////v////91cQB+AAcAAAADBWT/eHh3igIeAAIBAgICHwIEAgUCBgIHAggCCQIiAgsCDAINAggCCAIIAggCCAIIAggCCAIIAggCCAIIAggCCAIIAggCCAISAgMCIwIeAAIBAgICAwIEAgUCBgIHAggCCQIiAgsCDAINAggCCAIIAggCCAIIAggCCAIIAggCCAIIAggCCAIIAggCCAISAgMCdnNxAH4AAAAAAAJzcQB+AAT///////////////7////+/////3VxAH4ABwAAAAMGaCt4eHeKAh4AAgECAgI3AgQCBQIGAgcCCAIJAiUCCwIMAg0CCAIIAggCCAIIAggCCAIIAggCCAIIAggCCAIIAggCCAIIAhICAwJLAh4AAgECAgInAgQCBQIGAgcCCAIJAiUCCwIMAg0CCAIIAggCCAIIAggCCAIIAggCCAIIAggCCAIIAggCCAIIAhICAwJ3c3EAfgAAAAAAAnNxAH4ABP///////////////v////7/////dXEAfgAHAAAABATkMA94eHdFAh4AAgECAgJfAgQCBQIGAgcCCAIJAiUCCwIMAg0CCAIIAggCCAIIAggCCAIIAggCCAIIAggCCAIIAggCCAIIAhICAwJ4c3EAfgAAAAAAAnNxAH4ABP///////////////v////7/////dXEAfgAHAAAABAIbp254eHdFAh4AAgECAgIvAgQCBQIGAgcCCAIJAgoCCwIMAg0CCAIIAggCCAIIAggCCAIIAggCCAIIAggCCAIIAggCCAIIAhICAwJ5c3EAfgAAAAAAAnNxAH4ABP///////////////v////7/////dXEAfgAHAAAABILciPF4eHeKAh4AAgECAgJWAgQCBQIGAgcCCAIJAiICCwIMAg0CCAIIAggCCAIIAggCCAIIAggCCAIIAggCCAIIAggCCAIIAhICAwIjAh4AAgECAgJOAgQCBQIGAgcCCAIJAiUCCwIMAg0CCAIIAggCCAIIAggCCAIIAggCCAIIAggCCAIIAggCCAIIAhICAwJ6c3EAfgAAAAAAAnNxAH4ABP///////////////v////7/////dXEAfgAHAAAABCZxo1d4eHeKAh4AAgECAgI2AgQCBQIGAgcCCAIJAgoCCwIMAg0CCAIIAggCCAIIAggCCAIIAggCCAIIAggCCAIIAggCCAIIAhICAwI4Ah4AAgECAgIxAgQCBQIGAgcCCAIJAiUCCwIMAg0CCAIIAggCCAIIAggCCAIIAggCCAIIAggCCAIIAggCCAIIAhICAwJ7c3EAfgAAAAAAAnNxAH4ABP///////////////v////7/////dXEAfgAHAAAAA7xcsnh4d0UCHgACAQICAj0CBAIFAgYCBwIIAgkCCgILAgwCDQIIAggCCAIIAggCCAIIAggCCAIIAggCCAIIAggCCAIIAggCEgIDAnxzcQB+AAAAAAACc3EAfgAE///////////////+/////v////91cQB+AAcAAAAEWnDZd3h4d0UCHgACAQICAjMCBAIFAgYCBwIIAgkCJQILAgwCDQIIAggCCAIIAggCCAIIAggCCAIIAggCCAIIAggCCAIIAggCEgIDAn1zcQB+AAAAAAACc3EAfgAE///////////////+/////v////91cQB+AAcAAAAERLpXvHh4d0UCHgACAQICAloCBAIFAgYCBwIIAgkCIgILAgwCDQIIAggCCAIIAggCCAIIAggCCAIIAggCCAIIAggCCAIIAggCEgIDAn5zcQB+AAAAAAACc3EAfgAE///////////////+/////v////91cQB+AAcAAAADBA6ueHh3RQIeAAIBAgICOQIEAgUCBgIHAggCCQIKAgsCDAINAggCCAIIAggCCAIIAggCCAIIAggCCAIIAggCCAIIAggCCAISAgMCf3NxAH4AAAAAAAJzcQB+AAT///////////////7////+/////3VxAH4ABwAAAARUiEubeHh3RQIeAAIBAgICQQIEAgUCBgIHAggCCQIKAgsCDAINAggCCAIIAggCCAIIAggCCAIIAggCCAIIAggCCAIIAggCCAISAgMCgHNxAH4AAAAAAAJzcQB+AAT///////////////7////+/////3VxAH4ABwAAAARe1GL4eHh3RQIeAAIBAgICNAIEAgUCBgIHAggCCQIlAgsCDAINAggCCAIIAggCCAIIAggCCAIIAggCCAIIAggCCAIIAggCCAISAgMCgXNxAH4AAAAAAAJzcQB+AAT///////////////7////+/////3VxAH4ABwAAAAQ7i4i9eHh3RQIeAAIBAgICPwIEAgUCBgIHAggCCQIKAgsCDAINAggCCAIIAggCCAIIAggCCAIIAggCCAIIAggCCAIIAggCCAISAgMCgnNxAH4AAAAAAAJzcQB+AAT///////////////7////+/////3VxAH4ABwAAAAQ9+1bieHh3RQIeAAIBAgICHQIEAgUCBgIHAggCCQIiAgsCDAINAggCCAIIAggCCAIIAggCCAIIAggCCAIIAggCCAIIAggCCAISAgMCg3NxAH4AAAAAAAJzcQB+AAT///////////////7////+/////3VxAH4ABwAAAAMEQ3p4eHdFAh4AAgECAgIbAgQCBQIGAgcCCAIJAiICCwIMAg0CCAIIAggCCAIIAggCCAIIAggCCAIIAggCCAIIAggCCAIIAhICAwKEc3EAfgAAAAAAAnNxAH4ABP///////////////v////7/////dXEAfgAHAAAAAwuCrXh4d0UCHgACAQICAjsCBAIFAgYCBwIIAgkCJQILAgwCDQIIAggCCAIIAggCCAIIAggCCAIIAggCCAIIAggCCAIIAggCEgIDAoVzcQB+AAAAAAACc3EAfgAE///////////////+/////v////91cQB+AAcAAAAEBiEYhXh4]]></xxe4awand>
</file>

<file path=customXml/item8.xml><?xml version="1.0" encoding="utf-8"?>
<xxe4awand xmlns="http://www.excel4apps.com"><![CDATA[rO0ABXfaCMCtii8CAgTxAwIeAABEY29tLmV4Y2VsNGFwcHMud2FuZC5vcmFjbGUu
Z2x3YW5kLmNhbGN1bGF0aW9ucy5nZXRiYWxhbmNlLkdldEJhbGFuY2UCAQAJMjE5
MDY3MDk2AgIAATACAwAGMjAxNzA1AgQAA1lURAIFAANVU0QCBgAFVG90YWwCBwAB
QQIIAAACCQADMDAxAgoABjE5MTAwMAILAAJHRAIMAAJXQQINAAJETAIIAggCCAII
AggCCAIIAggCCAIIAggCCAIIAggCCAIIAggCBA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BAYhGIV4eHdNAh4AAgECAgIbAAYyMDE3MDMCBAIFAgYCBwIIAgkCCgILAgwCDQIIAggCCAIIAggCCAIIAggCCAIIAggCCAIIAggCCAIIAggCBAIDAhxzcQB+AAAAAAACc3EAfgAE///////////////+/////v////91cQB+AAcAAAAEEP3yI3h4d00CHgACAQICAh0ABjIwMTcxMgIEAgUCBgIHAggCCQIKAgsCDAINAggCCAIIAggCCAIIAggCCAIIAggCCAIIAggCCAIIAggCCAIEAgMCHnNxAH4AAAAAAAJzcQB+AAT///////////////7////+/////3VxAH4ABwAAAAQ0Sb4jeHh3TQIeAAIBAgICHwAGMjAxNzA3AgQCBQIGAgcCCAIJAgoCCwIMAg0CCAIIAggCCAIIAggCCAIIAggCCAIIAggCCAIIAggCCAIIAgQCAwIgc3EAfgAAAAAAAnNxAH4ABP///////////////v////7/////dXEAfgAHAAAABAIK9vR4eHdNAh4AAgECAgIhAAYyMDE3MTECBAIFAgYCBwIIAgkCCgILAgwCDQIIAggCCAIIAggCCAIIAggCCAIIAggCCAIIAggCCAIIAggCBAIDAiJzcQB+AAAAAAACc3EAfgAE///////////////+/////v////91cQB+AAcAAAAERLpXvHh4d00CHgACAQICAiMABjIwMTgwMQIEAgUCBgIHAggCCQIKAgsCDAINAggCCAIIAggCCAIIAggCCAIIAggCCAIIAggCCAIIAggCCAIEAgMCJHNxAH4AAAAAAAJzcQB+AAT///////////////7////+/////3VxAH4ABwAAAAQmcaNXeHh3TQIeAAIBAgICJQAGMjAxODAzAgQCBQIGAgcCCAIJAgoCCwIMAg0CCAIIAggCCAIIAggCCAIIAggCCAIIAggCCAIIAggCCAIIAgQCAwImc3EAfgAAAAAAAnNxAH4ABP///////////////v////7/////dXEAfgAHAAAABA5TyYx4eHdNAh4AAgECAgInAAYyMDE3MDYCBAIFAgYCBwIIAgkCCgILAgwCDQIIAggCCAIIAggCCAIIAggCCAIIAggCCAIIAggCCAIIAggCBAIDAihzcQB+AAAAAAACc3EAfgAE///////////////+/////v////91cQB+AAcAAAAEA91NIHh4d00CHgACAQICAikABjIwMTcwMgIEAgUCBgIHAggCCQIKAgsCDAINAggCCAIIAggCCAIIAggCCAIIAggCCAIIAggCCAIIAggCCAIEAgMCKnNxAH4AAAAAAAJzcQB+AAT///////////////7////+/////3VxAH4ABwAAAAQbRzHTeHh3TQIeAAIBAgICKwAGMjAxNzA0AgQCBQIGAgcCCAIJAgoCCwIMAg0CCAIIAggCCAIIAggCCAIIAggCCAIIAggCCAIIAggCCAIIAgQCAwIsc3EAfgAAAAAAAnNxAH4ABP///////////////v////7/////dXEAfgAHAAAABAnwakZ4eHdNAh4AAgECAgItAAYyMDE3MTACBAIFAgYCBwIIAgkCCgILAgwCDQIIAggCCAIIAggCCAIIAggCCAIIAggCCAIIAggCCAIIAggCBAIDAi5zcQB+AAAAAAACc3EAfgAE///////////////+/////gAAAAF1cQB+AAcAAAAECQ0V/Xh4d00CHgACAQICAi8ABjIwMTcwOQIEAgUCBgIHAggCCQIKAgsCDAINAggCCAIIAggCCAIIAggCCAIIAggCCAIIAggCCAIIAggCCAIEAgMCMHNxAH4AAAAAAAJzcQB+AAT///////////////7////+AAAAAXVxAH4ABwAAAAQCjrCgeHh3TQIeAAIBAgICMQAGMjAxNzA4AgQCBQIGAgcCCAIJAgoCCwIMAg0CCAIIAggCCAIIAggCCAIIAggCCAIIAggCCAIIAggCCAIIAgQCAwIyc3EAfgAAAAAAAnNxAH4ABP///////////////v////7/////dXEAfgAHAAAAAzKU1nh4d00CHgACAQICAjMABjIwMTgwMgIEAgUCBgIHAggCCQIKAgsCDAINAggCCAIIAggCCAIIAggCCAIIAggCCAIIAggCCAIIAggCCAIEAgMCNHNxAH4AAAAAAAJzcQB+AAT///////////////7////+/////3VxAH4ABwAAAAQZYudleHh3TQIeAAIBAgICNQAGMjAxNzAxAgQCBQIGAgcCCAIJAgoCCwIMAg0CCAIIAggCCAIIAggCCAIIAggCCAIIAggCCAIIAggCCAIIAgQCAwI2c3EAfgAAAAAAAnNxAH4ABP///////////////v////7/////dXEAfgAHAAAABCjphrZ4eHdYAh4AAjcACTQzMTcwMzA1NgICAjECBAIFAgYCBwIIAgkCOAAGMTkxMDEwAgsCDAINAggCCAIIAggCCAIIAggCCAIIAggCCAIIAggCCAIIAggCCAICAgMCOXNxAH4AAAAAAAJzcQB+AAT///////////////7////+/////3VxAH4ABwAAAARlMUGreHh3RQIeAAI3AgICIQIEAgUCBgIHAggCCQI4AgsCDAINAggCCAIIAggCCAIIAggCCAIIAggCCAIIAggCCAIIAggCCAICAgMCOnNxAH4AAAAAAAJzcQB+AAT///////////////7////+/////3VxAH4ABwAAAAQw0KqzeHh3RQIeAAI3AgICIwIEAgUCBgIHAggCCQI4AgsCDAINAggCCAIIAggCCAIIAggCCAIIAggCCAIIAggCCAIIAggCCAICAgMCO3NxAH4AAAAAAAJzcQB+AAT///////////////7////+/////3VxAH4ABwAAAARO7ujaeHh3RQIeAAI3AgICJQIEAgUCBgIHAggCCQI4AgsCDAINAggCCAIIAggCCAIIAggCCAIIAggCCAIIAggCCAIIAggCCAICAgMCPHNxAH4AAAAAAAJzcQB+AAT///////////////7////+/////3VxAH4ABwAAAARSfqMaeHh3RQIeAAI3AgICKQIEAgUCBgIHAggCCQI4AgsCDAINAggCCAIIAggCCAIIAggCCAIIAggCCAIIAggCCAIIAggCCAICAgMCPXNxAH4AAAAAAAJzcQB+AAT///////////////7////+/////3VxAH4ABwAAAARJi1PJeHh3RQIeAAI3AgICJwIEAgUCBgIHAggCCQI4AgsCDAINAggCCAIIAggCCAIIAggCCAIIAggCCAIIAggCCAIIAggCCAICAgMCPnNxAH4AAAAAAAJzcQB+AAT///////////////7////+/////3VxAH4ABwAAAARYCwcseHh3RQIeAAI3AgICKwIEAgUCBgIHAggCCQI4AgsCDAINAggCCAIIAggCCAIIAggCCAIIAggCCAIIAggCCAIIAggCCAICAgMCP3NxAH4AAAAAAAJzcQB+AAT///////////////7////+/////3VxAH4ABwAAAARacNl3eHh3RQIeAAI3AgICLQIEAgUCBgIHAggCCQI4AgsCDAINAggCCAIIAggCCAIIAggCCAIIAggCCAIIAggCCAIIAggCCAICAgMCQHNxAH4AAAAAAAJzcQB+AAT///////////////7////+/////3VxAH4ABwAAAASC3IjxeHh3RQIeAAI3AgICMwIEAgUCBgIHAggCCQI4AgsCDAINAggCCAIIAggCCAIIAggCCAIIAggCCAIIAggCCAIIAggCCAICAgMCQXNxAH4AAAAAAAJzcQB+AAT///////////////7////+/////3VxAH4ABwAAAARPKnH5eHh3RQIeAAI3AgICHQIEAgUCBgIHAggCCQI4AgsCDAINAggCCAIIAggCCAIIAggCCAIIAggCCAIIAggCCAIIAggCCAICAgMCQnNxAH4AAAAAAAJzcQB+AAT///////////////7////+/////3VxAH4ABwAAAARCNLx8eHh3RQIeAAI3AgICLwIEAgUCBgIHAggCCQI4AgsCDAINAggCCAIIAggCCAIIAggCCAIIAggCCAIIAggCCAIIAggCCAICAgMCQ3NxAH4AAAAAAAJzcQB+AAT///////////////7////+/////3VxAH4ABwAAAARxBllJeHh3RQIeAAI3AgICAwIEAgUCBgIHAggCCQI4AgsCDAINAggCCAIIAggCCAIIAggCCAIIAggCCAIIAggCCAIIAggCCAICAgMCRHNxAH4AAAAAAAJzcQB+AAT///////////////7////+/////3VxAH4ABwAAAARZ/eXyeHh3RQIeAAI3AgICNQIEAgUCBgIHAggCCQI4AgsCDAINAggCCAIIAggCCAIIAggCCAIIAggCCAIIAggCCAIIAggCCAICAgMCRXNxAH4AAAAAAAJzcQB+AAT///////////////7////+/////3VxAH4ABwAAAAQ9FTt2eHh3RQIeAAI3AgICGwIEAgUCBgIHAggCCQI4AgsCDAINAggCCAIIAggCCAIIAggCCAIIAggCCAIIAggCCAIIAggCCAICAgMCRnNxAH4AAAAAAAJzcQB+AAT///////////////7////+/////3VxAH4ABwAAAARTY5smeHh3RQIeAAI3AgICHwIEAgUCBgIHAggCCQI4AgsCDAINAggCCAIIAggCCAIIAggCCAIIAggCCAIIAggCCAIIAggCCAICAgMCR3NxAH4AAAAAAAJzcQB+AAT///////////////7////+/////3VxAH4ABwAAAARe1GL4eHh3VAIeAAJIAAk0MTcwMTU5MDQCAgItAgQCBQIGAgcCCAIJAjgCCwJJAAJJRAINAggCCAIIAggCCAIIAggCCAIIAggCCAIIAggCCAIIAggCCAITAgMCSnNxAH4AAAAAAAJzcQB+AAT///////////////7////+/////3VxAH4ABwAAAARDRE3geHh3VQIeAAJIAgICSwAGMjAxNjAyAgQCBQIGAgcCCAIJAkwABjE5MTAxNQILAkkCDQIIAggCCAIIAggCCAIIAggCCAIIAggCCAIIAggCCAIIAggCEwIDAk1zcQB+AAAAAAACc3EAfgAE///////////////+/////v////91cQB+AAcAAAADEle/eHh3RQIeAAJIAgICGwIEAgUCBgIHAggCCQJMAgsCSQINAggCCAIIAggCCAIIAggCCAIIAggCCAIIAggCCAIIAggCCAITAgMCTnNxAH4AAAAAAAJzcQB+AAT///////////////7////+/////3VxAH4ABwAAAAMSit94eHdNAh4AAkgCAgJPAAYyMDE4MDQCBAIFAgYCBwIIAgkCTAILAkkCDQIIAggCCAIIAggCCAIIAggCCAIIAggCCAIIAggCCAIIAggCEwIDAlBzcQB+AAAAAAACc3EAfgAE///////////////+/////gAAAAB1cQB+AAcAAAAAeHh3RQIeAAJIAgICHQIEAgUCBgIHAggCCQIKAgsCSQINAggCCAIIAggCCAIIAggCCAIIAggCCAIIAggCCAIIAggCCAITAgMCUXNxAH4AAAAAAAJzcQB+AAT///////////////7////+/////3VxAH4ABwAAAAQWt6iieHh3RQIeAAJIAgICGwIEAgUCBgIHAggCCQI4AgsCSQINAggCCAIIAggCCAIIAggCCAIIAggCCAIIAggCCAIIAggCCAITAgMCUnNxAH4AAAAAAAJzcQB+AAT///////////////7////+/////3VxAH4ABwAAAAQmeB9xeHh3TQIeAAJIAgICUwAGMjAxNjA0AgQCBQIGAgcCCAIJAgoCCwJJAg0CCAIIAggCCAIIAggCCAIIAggCCAIIAggCCAIIAggCCAIIAhMCAwJUc3EAfgAAAAAAAnNxAH4ABP///////////////v////7/////dXEAfgAHAAAABAJQHul4eHdFAh4AAkgCAgIrAgQCBQIGAgcCCAIJAjgCCwJJAg0CCAIIAggCCAIIAggCCAIIAggCCAIIAggCCAIIAggCCAIIAhMCAwJVc3EAfgAAAAAAAnNxAH4ABP///////////////v////7/////dXEAfgAHAAAABCng5RN4eHdNAh4AAkgCAgJWAAYyMDE2MTECBAIFAgYCBwIIAgkCCgILAkkCDQIIAggCCAIIAggCCAIIAggCCAIIAggCCAIIAggCCAIIAggCEwIDAldzcQB+AAAAAAACc3EAfgAE///////////////+/////v////91cQB+AAcAAAAEJZDR+3h4d0UCHgACSAICAk8CBAIFAgYCBwIIAgkCOAILAkkCDQIIAggCCAIIAggCCAIIAggCCAIIAggCCAIIAggCCAIIAggCEwIDAlhzcQB+AAAAAAACc3EAfgAE///////////////+/////v////91cQB+AAcAAAAELvQU/3h4d00CHgACSAICAlkABjIwMTYwMwIEAgUCBgIHAggCCQI4AgsCSQINAggCCAIIAggCCAIIAggCCAIIAggCCAIIAggCCAIIAggCCAITAgMCWnNxAH4AAAAAAAJzcQB+AAT///////////////7////+/////3VxAH4ABwAAAAQerglPeHh3RQIeAAJIAgICAwIEAgUCBgIHAggCCQIKAgsCSQINAggCCAIIAggCCAIIAggCCAIIAggCCAIIAggCCAIIAggCCAITAgMCW3NxAH4AAAAAAAJzcQB+AAT///////////////7////+/////3VxAH4ABwAAAAQC12dUeHh3RQIeAAJIAgICKwIEAgUCBgIHAggCCQIKAgsCSQINAggCCAIIAggCCAIIAggCCAIIAggCCAIIAggCCAIIAggCCAITAgMCXHNxAH4AAAAAAAJzcQB+AAT///////////////7////+/////3VxAH4ABwAAAAQFBKNBeHh3igIeAAJIAgICJQIEAgUCBgIHAggCCQJMAgsCSQINAggCCAIIAggCCAIIAggCCAIIAggCCAIIAggCCAIIAggCCAITAgMCUAIeAAJIAgICKQIEAgUCBgIHAggCCQJMAgsCSQINAggCCAIIAggCCAIIAggCCAIIAggCCAIIAggCCAIIAggCCAITAgMCXXNxAH4AAAAAAAJzcQB+AAT///////////////7////+/////3VxAH4ABwAAAAMShut4eHdFAh4AAkgCAgIpAgQCBQIGAgcCCAIJAjgCCwJJAg0CCAIIAggCCAIIAggCCAIIAggCCAIIAggCCAIIAggCCAIIAhMCAwJec3EAfgAAAAAAAnNxAH4ABP///////////////v////7/////dXEAfgAHAAAABCIKrDF4eHdNAh4AAkgCAgJfAAYyMDE2MTACBAIFAgYCBwIIAgkCCgILAkkCDQIIAggCCAIIAggCCAIIAggCCAIIAggCCAIIAggCCAIIAggCEwIDAmBzcQB+AAAAAAACc3EAfgAE///////////////+/////gAAAAF1cQB+AAcAAAADuXJ8eHh3RQIeAAJIAgICWQIEAgUCBgIHAggCCQIKAgsCSQINAggCCAIIAggCCAIIAggCCAIIAggCCAIIAggCCAIIAggCCAITAgMCYXNxAH4AAAAAAAJzcQB+AAT///////////////7////+/////3VxAH4ABwAAAAQC+0uLeHh3RQIeAAJIAgICLQIEAgUCBgIHAggCCQJMAgsCSQINAggCCAIIAggCCAIIAggCCAIIAggCCAIIAggCCAIIAggCCAITAgMCYnNxAH4AAAAAAAJzcQB+AAT///////////////7////+/////3VxAH4ABwAAAAMSpqJ4eHdFAh4AAkgCAgIlAgQCBQIGAgcCCAIJAjgCCwJJAg0CCAIIAggCCAIIAggCCAIIAggCCAIIAggCCAIIAggCCAIIAhMCAwJjc3EAfgAAAAAAAnNxAH4ABP///////////////v////7/////dXEAfgAHAAAABCrCsfh4eHdFAh4AAkgCAgJLAgQCBQIGAgcCCAIJAjgCCwJJAg0CCAIIAggCCAIIAggCCAIIAggCCAIIAggCCAIIAggCCAIIAhMCAwJkc3EAfgAAAAAAAnNxAH4ABP///////////////v////7/////dXEAfgAHAAAABBuzHlx4eHdFAh4AAkgCAgIhAgQCBQIGAgcCCAIJAgoCCwJJAg0CCAIIAggCCAIIAggCCAIIAggCCAIIAggCCAIIAggCCAIIAhMCAwJlc3EAfgAAAAAAAnNxAH4ABP///////////////v////7/////dXEAfgAHAAAABB7AdGx4eHdNAh4AAkgCAgJmAAYyMDE4MDUCBAIFAgYCBwIIAgkCCgILAkkCDQIIAggCCAIIAggCCAIIAggCCAIIAggCCAIIAggCCAIIAggCEwIDAmdzcQB+AAAAAAACc3EAfgAE///////////////+/////gAAAAF1cQB+AAcAAAADNqW2eHh3RQIeAAJIAgICMwIEAgUCBgIHAggCCQI4AgsCSQINAggCCAIIAggCCAIIAggCCAIIAggCCAIIAggCCAIIAggCCAITAgMCaHNxAH4AAAAAAAJzcQB+AAT///////////////7////+/////3VxAH4ABwAAAAQpRoS2eHh3TQIeAAJIAgICaQAGMjAxNjA1AgQCBQIGAgcCCAIJAjgCCwJJAg0CCAIIAggCCAIIAggCCAIIAggCCAIIAggCCAIIAggCCAIIAhMCAwJqc3EAfgAAAAAAAnNxAH4ABP///////////////v////7/////dXEAfgAHAAAABCYvMsJ4eHdFAh4AAkgCAgIdAgQCBQIGAgcCCAIJAjgCCwJJAg0CCAIIAggCCAIIAggCCAIIAggCCAIIAggCCAIIAggCCAIIAhMCAwJrc3EAfgAAAAAAAnNxAH4ABP///////////////v////7/////dXEAfgAHAAAABCQ0bfR4eHeKAh4AAkgCAgIdAgQCBQIGAgcCCAIJAkwCCwJJAg0CCAIIAggCCAIIAggCCAIIAggCCAIIAggCCAIIAggCCAIIAhMCAwJQAh4AAkgCAgI1AgQCBQIGAgcCCAIJAkwCCwJJAg0CCAIIAggCCAIIAggCCAIIAggCCAIIAggCCAIIAggCCAIIAhMCAwJsc3EAfgAAAAAAAnNxAH4ABP///////////////v////7/////dXEAfgAHAAAAAxKC+Hh4d0UCHgACSAICAicCBAIFAgYCBwIIAgkCOAILAkkCDQIIAggCCAIIAggCCAIIAggCCAIIAggCCAIIAggCCAIIAggCEwIDAm1zcQB+AAAAAAACc3EAfgAE///////////////+/////v////91cQB+AAcAAAAEKgtGIXh4d0UCHgACSAICAjUCBAIFAgYCBwIIAgkCOAILAkkCDQIIAggCCAIIAggCCAIIAggCCAIIAggCCAIIAggCCAIIAggCEwIDAm5zcQB+AAAAAAACc3EAfgAE///////////////+/////v////91cQB+AAcAAAAEHbH6THh4d0UCHgACSAICAh8CBAIFAgYCBwIIAgkCCgILAkkCDQIIAggCCAIIAggCCAIIAggCCAIIAggCCAIIAggCCAIIAggCEwIDAm9zcQB+AAAAAAACc3EAfgAE///////////////+/////v////91cQB+AAcAAAADTrgKeHh3igIeAAJIAgICMwIEAgUCBgIHAggCCQJMAgsCSQINAggCCAIIAggCCAIIAggCCAIIAggCCAIIAggCCAIIAggCCAITAgMCUAIeAAJIAgICLQIEAgUCBgIHAggCCQIKAgsCSQINAggCCAIIAggCCAIIAggCCAIIAggCCAIIAggCCAIIAggCCAITAgMCcHNxAH4AAAAAAAJzcQB+AAT///////////////7////+AAAAAXVxAH4ABwAAAAQGG1pqeHh3RQIeAAJIAgICaQIEAgUCBgIHAggCCQJMAgsCSQINAggCCAIIAggCCAIIAggCCAIIAggCCAIIAggCCAIIAggCCAITAgMCcXNxAH4AAAAAAAJzcQB+AAT///////////////7////+/////3VxAH4ABwAAAAMSY394eHeKAh4AAkgCAgJmAgQCBQIGAgcCCAIJAkwCCwJJAg0CCAIIAggCCAIIAggCCAIIAggCCAIIAggCCAIIAggCCAIIAhMCAwJQAh4AAkgCAgJZAgQCBQIGAgcCCAIJAkwCCwJJAg0CCAIIAggCCAIIAggCCAIIAggCCAIIAggCCAIIAggCCAIIAhMCAwJyc3EAfgAAAAAAAnNxAH4ABP///////////////v////7/////dXEAfgAHAAAAAxJbqXh4d0UCHgACSAICAisCBAIFAgYCBwIIAgkCTAILAkkCDQIIAggCCAIIAggCCAIIAggCCAIIAggCCAIIAggCCAIIAggCEwIDAnNzcQB+AAAAAAACc3EAfgAE///////////////+/////v////91cQB+AAcAAAADEo7UeHh3RQIeAAJIAgICKQIEAgUCBgIHAggCCQIKAgsCSQINAggCCAIIAggCCAIIAggCCAIIAggCCAIIAggCCAIIAggCCAITAgMCdHNxAH4AAAAAAAJzcQB+AAT///////////////7////+/////3VxAH4ABwAAAAQOCxxKeHh3TQIeAAJIAgICdQAGMjAxNjA4AgQCBQIGAgcCCAIJAjgCCwJJAg0CCAIIAggCCAIIAggCCAIIAggCCAIIAggCCAIIAggCCAIIAhMCAwJ2c3EAfgAAAAAAAnNxAH4ABP///////////////v////7/////dXEAfgAHAAAABDHvtRl4eHdFAh4AAkgCAgIvAgQCBQIGAgcCCAIJAkwCCwJJAg0CCAIIAggCCAIIAggCCAIIAggCCAIIAggCCAIIAggCCAIIAhMCAwJ3c3EAfgAAAAAAAnNxAH4ABP///////////////v////7/////dXEAfgAHAAAAAxKiqHh4d00CHgACSAICAngABjIwMTYwNgIEAgUCBgIHAggCCQIKAgsCSQINAggCCAIIAggCCAIIAggCCAIIAggCCAIIAggCCAIIAggCCAITAgMCeXNxAH4AAAAAAAJzcQB+AAT///////////////7////+/////3VxAH4ABwAAAAQBZMryeHh3RQIeAAJIAgICLwIEAgUCBgIHAggCCQI4AgsCSQINAggCCAIIAggCCAIIAggCCAIIAggCCAIIAggCCAIIAggCCAITAgMCenNxAH4AAAAAAAJzcQB+AAT///////////////7////+/////3VxAH4ABwAAAAQ5RS7+eHh3TQIeAAJIAgICewAGMjAxNjEyAgQCBQIGAgcCCAIJAgoCCwJJAg0CCAIIAggCCAIIAggCCAIIAggCCAIIAggCCAIIAggCCAIIAhMCAwJ8c3EAfgAAAAAAAnNxAH4ABP///////////////v////7/////dXEAfgAHAAAABB0QqXR4eHdFAh4AAkgCAgJmAgQCBQIGAgcCCAIJAjgCCwJJAg0CCAIIAggCCAIIAggCCAIIAggCCAIIAggCCAIIAggCCAIIAhMCAwJ9c3EAfgAAAAAAAnNxAH4ABP///////////////v////7/////dXEAfgAHAAAABC/+xlx4eHdFAh4AAkgCAgJWAgQCBQIGAgcCCAIJAjgCCwJJAg0CCAIIAggCCAIIAggCCAIIAggCCAIIAggCCAIIAggCCAIIAhMCAwJ+c3EAfgAAAAAAAnNxAH4ABP///////////////v////7/////dXEAfgAHAAAABAvREnR4eHdFAh4AAkgCAgJWAgQCBQIGAgcCCAIJAkwCCwJJAg0CCAIIAggCCAIIAggCCAIIAggCCAIIAggCCAIIAggCCAIIAhMCAwJ/c3EAfgAAAAAAAnNxAH4ABP///////////////v////7/////dXEAfgAHAAAAAxJ7FXh4d0UCHgACSAICAnUCBAIFAgYCBwIIAgkCTAILAkkCDQIIAggCCAIIAggCCAIIAggCCAIIAggCCAIIAggCCAIIAggCEwIDAoBzcQB+AAAAAAACc3EAfgAE///////////////+/////v////91cQB+AAcAAAADEm9GeHh3RQIeAAJIAgICJQIEAgUCBgIHAggCCQIKAgsCSQINAggCCAIIAggCCAIIAggCCAIIAggCCAIIAggCCAIIAggCCAITAgMCgXNxAH4AAAAAAAJzcQB+AAT///////////////7////+/////3VxAH4ABwAAAAQE4d6ZeHh3TQIeAAJIAgICggAGMjAxNjA3AgQCBQIGAgcCCAIJAjgCCwJJAg0CCAIIAggCCAIIAggCCAIIAggCCAIIAggCCAIIAggCCAIIAhMCAwKDc3EAfgAAAAAAAnNxAH4ABP///////////////v////7/////dXEAfgAHAAAABC794JJ4eHdFAh4AAkgCAgIxAgQCBQIGAgcCCAIJAjgCCwJJAg0CCAIIAggCCAIIAggCCAIIAggCCAIIAggCCAIIAggCCAIIAhMCAwKEc3EAfgAAAAAAAnNxAH4ABP///////////////v////7/////dXEAfgAHAAAABDQ5VOh4eHdNAh4AAkgCAgKFAAYyMDE2MDkCBAIFAgYCBwIIAgkCCgILAkkCDQIIAggCCAIIAggCCAIIAggCCAIIAggCCAIIAggCCAIIAggCEwIDAoZzcQB+AAAAAAACc3EAfgAE///////////////+/////v////91cQB+AAcAAAADMvcReHh3RQIeAAJIAgICMQIEAgUCBgIHAggCCQJMAgsCSQINAggCCAIIAggCCAIIAggCCAIIAggCCAIIAggCCAIIAggCCAITAgMCh3NxAH4AAAAAAAJzcQB+AAT///////////////7////+/////3VxAH4ABwAAAAMSnq94eHdFAh4AAkgCAgKCAgQCBQIGAgcCCAIJAkwCCwJJAg0CCAIIAggCCAIIAggCCAIIAggCCAIIAggCCAIIAggCCAIIAhMCAwKIc3EAfgAAAAAAAnNxAH4ABP///////////////v////7/////dXEAfgAHAAAAAxJrWHh4d0UCHgACSAICAi8CBAIFAgYCBwIIAgkCCgILAkkCDQIIAggCCAIIAggCCAIIAggCCAIIAggCCAIIAggCCAIIAggCEwIDAolzcQB+AAAAAAACc3EAfgAE///////////////+/////gAAAAF1cQB+AAcAAAAEAloS0nh4d0UCHgACSAICAjUCBAIFAgYCBwIIAgkCCgILAkkCDQIIAggCCAIIAggCCAIIAggCCAIIAggCCAIIAggCCAIIAggCEwIDAopzcQB+AAAAAAACc3EAfgAE///////////////+/////v////91cQB+AAcAAAAEFDr3g3h4d0UCHgACSAICAjMCBAIFAgYCBwIIAgkCCgILAkkCDQIIAggCCAIIAggCCAIIAggCCAIIAggCCAIIAggCCAIIAggCEwIDAotzcQB+AAAAAAACc3EAfgAE///////////////+/////v////91cQB+AAcAAAAECivT53h4d0UCHgACSAICAnsCBAIFAgYCBwIIAgkCTAILAkkCDQIIAggCCAIIAggCCAIIAggCCAIIAggCCAIIAggCCAIIAggCEwIDAoxzcQB+AAAAAAACc3EAfgAE///////////////+/////v////91cQB+AAcAAAADEn8GeHh3RQIeAAJIAgICeAIEAgUCBgIHAggCCQI4AgsCSQINAggCCAIIAggCCAIIAggCCAIIAggCCAIIAggCCAIIAggCCAITAgMCjXNxAH4AAAAAAAJzcQB+AAT///////////////7////+/////3VxAH4ABwAAAAQrEAtReHh3RQIeAAJIAgICJwIEAgUCBgIHAggCCQJMAgsCSQINAggCCAIIAggCCAIIAggCCAIIAggCCAIIAggCCAIIAggCCAITAgMCjnNxAH4AAAAAAAJzcQB+AAT///////////////7////+/////3VxAH4ABwAAAAMSlsB4eHdFAh4AAkgCAgIfAgQCBQIGAgcCCAIJAjgCCwJJAg0CCAIIAggCCAIIAggCCAIIAggCCAIIAggCCAIIAggCCAIIAhMCAwKPc3EAfgAAAAAAAnNxAH4ABP///////////////v////7/////dXEAfgAHAAAABC6RhSt4eHdFAh4AAkgCAgJ1AgQCBQIGAgcCCAIJAgoCCwJJAg0CCAIIAggCCAIIAggCCAIIAggCCAIIAggCCAIIAggCCAIIAhMCAwKQc3EAfgAAAAAAAnNxAH4ABP///////////////v////7/////dXEAfgAHAAAAA56yqnh4d0UCHgACSAICAngCBAIFAgYCBwIIAgkCTAILAkkCDQIIAggCCAIIAggCCAIIAggCCAIIAggCCAIIAggCCAIIAggCEwIDApFzcQB+AAAAAAACc3EAfgAE///////////////+/////v////91cQB+AAcAAAADEmdreHh3RQIeAAJIAgICHwIEAgUCBgIHAggCCQJMAgsCSQINAggCCAIIAggCCAIIAggCCAIIAggCCAIIAggCCAIIAggCCAITAgMCknNxAH4AAAAAAAJzcQB+AAT///////////////7////+/////3VxAH4ABwAAAAMSmrd4eHdFAh4AAkgCAgIxAgQCBQIGAgcCCAIJAgoCCwJJAg0CCAIIAggCCAIIAggCCAIIAggCCAIIAggCCAIIAggCCAIIAhMCAwKTc3EAfgAAAAAAAnNxAH4ABP///////////////v////4AAAABdXEAfgAHAAAAA/+JXnh4d0UCHgACSAICAiMCBAIFAgYCBwIIAgkCCgILAkkCDQIIAggCCAIIAggCCAIIAggCCAIIAggCCAIIAggCCAIIAggCEwIDApRzcQB+AAAAAAACc3EAfgAE///////////////+/////v////91cQB+AAcAAAAEEKaLJHh4d0UCHgACSAICAk8CBAIFAgYCBwIIAgkCCgILAkkCDQIIAggCCAIIAggCCAIIAggCCAIIAggCCAIIAggCCAIIAggCEwIDApVzcQB+AAAAAAACc3EAfgAE///////////////+/////v////91cQB+AAcAAAAEATJrz3h4d0UCHgACSAICAksCBAIFAgYCBwIIAgkCCgILAkkCDQIIAggCCAIIAggCCAIIAggCCAIIAggCCAIIAggCCAIIAggCEwIDApZzcQB+AAAAAAACc3EAfgAE///////////////+/////v////91cQB+AAcAAAAEBFuSEHh4d0UCHgACSAICAhsCBAIFAgYCBwIIAgkCCgILAkkCDQIIAggCCAIIAggCCAIIAggCCAIIAggCCAIIAggCCAIIAggCEwIDApdzcQB+AAAAAAACc3EAfgAE///////////////+/////v////91cQB+AAcAAAAECL1IIXh4d0UCHgACSAICAgMCBAIFAgYCBwIIAgkCTAILAkkCDQIIAggCCAIIAggCCAIIAggCCAIIAggCCAIIAggCCAIIAggCEwIDAphzcQB+AAAAAAACc3EAfgAE///////////////+/////v////91cQB+AAcAAAADEpLKeHh3RQIeAAJIAgICggIEAgUCBgIHAggCCQIKAgsCSQINAggCCAIIAggCCAIIAggCCAIIAggCCAIIAggCCAIIAggCCAITAgMCmXNxAH4AAAAAAAJzcQB+AAT///////////////7////+/////3VxAH4ABwAAAAQBBpRgeHh3RQIeAAJIAgICewIEAgUCBgIHAggCCQI4AgsCSQINAggCCAIIAggCCAIIAggCCAIIAggCCAIIAggCCAIIAggCCAITAgMCmnNxAH4AAAAAAAJzcQB+AAT///////////////7////+/////3VxAH4ABwAAAAQVrLWfeHh3igIeAAJIAgICIQIEAgUCBgIHAggCCQJMAgsCSQINAggCCAIIAggCCAIIAggCCAIIAggCCAIIAggCCAIIAggCCAITAgMCUAIeAAJIAgIChQIEAgUCBgIHAggCCQI4AgsCSQINAggCCAIIAggCCAIIAggCCAIIAggCCAIIAggCCAIIAggCCAITAgMCm3NxAH4AAAAAAAJzcQB+AAT///////////////7////+/////3VxAH4ABwAAAAQzvJaSeHh3RQIeAAJIAgIChQIEAgUCBgIHAggCCQJMAgsCSQINAggCCAIIAggCCAIIAggCCAIIAggCCAIIAggCCAIIAggCCAITAgMCnHNxAH4AAAAAAAJzcQB+AAT///////////////7////+/////3VxAH4ABwAAAAMSczV4eHdFAh4AAkgCAgJfAgQCBQIGAgcCCAIJAkwCCwJJAg0CCAIIAggCCAIIAggCCAIIAggCCAIIAggCCAIIAggCCAIIAhMCAwKdc3EAfgAAAAAAAnNxAH4ABP///////////////v////7/////dXEAfgAHAAAAAxJ3JXh4d0UCHgACSAICAl8CBAIFAgYCBwIIAgkCOAILAkkCDQIIAggCCAIIAggCCAIIAggCCAIIAggCCAIIAggCCAIIAggCEwIDAp5zcQB+AAAAAAACc3EAfgAE///////////////+/////v////91cQB+AAcAAAAENJhHI3h4d0UCHgACSAICAiMCBAIFAgYCBwIIAgkCOAILAkkCDQIIAggCCAIIAggCCAIIAggCCAIIAggCCAIIAggCCAIIAggCEwIDAp9zcQB+AAAAAAACc3EAfgAE///////////////+/////v////91cQB+AAcAAAAEKSCPhXh4d0UCHgACSAICAiECBAIFAgYCBwIIAgkCOAILAkkCDQIIAggCCAIIAggCCAIIAggCCAIIAggCCAIIAggCCAIIAggCEwIDAqBzcQB+AAAAAAACc3EAfgAE///////////////+/////v////91cQB+AAcAAAAEHCN8kHh4d0UCHgACSAICAgMCBAIFAgYCBwIIAgkCOAILAkkCDQIIAggCCAIIAggCCAIIAggCCAIIAggCCAIIAggCCAIIAggCEwIDAqFzcQB+AAAAAAACc3EAfgAE///////////////+/////v////91cQB+AAcAAAAEKiZPC3h4d0UCHgACSAICAmkCBAIFAgYCBwIIAgkCCgILAkkCDQIIAggCCAIIAggCCAIIAggCCAIIAggCCAIIAggCCAIIAggCEwIDAqJzcQB+AAAAAAACc3EAfgAE///////////////+/////v////91cQB+AAcAAAAEAc1Kd3h4d4oCHgACSAICAiMCBAIFAgYCBwIIAgkCTAILAkkCDQIIAggCCAIIAggCCAIIAggCCAIIAggCCAIIAggCCAIIAggCEwIDAlACHgACSAICAicCBAIFAgYCBwIIAgkCCgILAkkCDQIIAggCCAIIAggCCAIIAggCCAIIAggCCAIIAggCCAIIAggCEwIDAqNzcQB+AAAAAAACc3EAfgAE///////////////+/////v////91cQB+AAcAAAAEAW1K0nh4d0UCHgACSAICAlMCBAIFAgYCBwIIAgkCOAILAkkCDQIIAggCCAIIAggCCAIIAggCCAIIAggCCAIIAggCCAIIAggCEwIDAqRzcQB+AAAAAAACc3EAfgAE///////////////+/////v////91cQB+AAcAAAAEI8Z4/Xh4d0UCHgACSAICAlMCBAIFAgYCBwIIAgkCTAILAkkCDQIIAggCCAIIAggCCAIIAggCCAIIAggCCAIIAggCCAIIAggCEwIDAqVzcQB+AAAAAAACc3EAfgAE///////////////+/////v////91cQB+AAcAAAADEl+UeHh6AAAEAAIeAAKmAAkyMTkwNjgyNTYCAgInAgQCBQIGAgcCCAIJAgoCCwJJAg0CCAIIAggCCAIIAggCCAIIAggCCAIIAggCCAIIAggCCAIIAgUCAwKjAh4AAqYCAgIdAgQCBQIGAgcCCAIJAgoCCwJJAg0CCAIIAggCCAIIAggCCAIIAggCCAIIAggCCAIIAggCCAIIAgUCAwJRAh4AAqYCAgIvAgQCBQIGAgcCCAIJAgoCCwJJAg0CCAIIAggCCAIIAggCCAIIAggCCAIIAggCCAIIAggCCAIIAgUCAwKJAh4AAqYCAgI1AgQCBQIGAgcCCAIJAgoCCwJJAg0CCAIIAggCCAIIAggCCAIIAggCCAIIAggCCAIIAggCCAIIAgUCAwKKAh4AAqYCAgIzAgQCBQIGAgcCCAIJAgoCCwJJAg0CCAIIAggCCAIIAggCCAIIAggCCAIIAggCCAIIAggCCAIIAgUCAwKLAh4AAqYCAgItAgQCBQIGAgcCCAIJAgoCCwJJAg0CCAIIAggCCAIIAggCCAIIAggCCAIIAggCCAIIAggCCAIIAgUCAwJwAh4AAqYCAgIfAgQCBQIGAgcCCAIJAgoCCwJJAg0CCAIIAggCCAIIAggCCAIIAggCCAIIAggCCAIIAggCCAIIAgUCAwJvAh4AAqYCAgIbAgQCBQIGAgcCCAIJAgoCCwJJAg0CCAIIAggCCAIIAggCCAIIAggCCAIIAggCCAIIAggCCAIIAgUCAwKXAh4AAqYCAgIDAgQCBQIGAgcCCAIJAgoCCwJJAg0CCAIIAggCCAIIAggCCAIIAggCCAIIAggCCAIIAggCCAIIAgUCAwJbAh4AAqYCAgIjAgQCBQIGAgcCCAIJAgoCCwJJAg0CCAIIAggCCAIIAggCCAIIAggCCAIIAggCCAIIAggCCAIIAgUCAwKUAh4AAqYCAgIpAgQCBQIGAgcCCAIJAgoCCwJJAg0CCAIIAggCCAIIAggCCAIIAggCCAIIAggCCAIIAggCCAIIAgUCAwJ0Ah4AAqYCAgIlAgQCBQIGAgcCCAIJAgoCCwJJAg0CCAIIAggCCAIIAggCCAIIAggCCAIIAggCCAIIAggCCAIIAgUCAwKBAh4AAqYCAgIxAgQCBQIGAgcCCAIJAgoCCwJJAg0CCAIIAggCCAIIAggCCAIIAggCCAIIAggCCAIIAggCCAIIAgUCAwKTAh4AAqYCAgIrAgQCBQIGAgcCCAIJAgoCCwJJAg0CCAIIAggCCAIIAggCCAIIAggCCAIIAggCCAIIAggCCAIIAgUCAwJcAh4AAqYCAgIhAgQCBQIGAgcCCAIJAgoCCwJJAg0CCAIIAggCCAIIAggCCAIIAgh3dgIIAggCCAIIAggCCAIIAggCBQIDAmUCHgACpwAJNDk0MDE2MTA0AgICqAAGMjAxMzEyAgQCBQIGAgcCCAIJAqkABjE5MTAyNQILAgwCDQIIAggCCAIIAggCCAIIAggCCAIIAggCCAIIAggCCAIIAggCIgIDAqpzcQB+AAAAAAACc3EAfgAE///////////////+/////v////91cQB+AAcAAAADFOXkeHh6AAAEAAIeAAKrAAk0MzA5ODQzMTICAgIvAgQCBQIGAgcCCAIJAkwCCwJJAg0CCAIIAggCCAIIAggCCAIIAggCCAIIAggCCAIIAggCCAIIAhkCAwJ3Ah4AAqsCAgJ1AgQCBQIGAgcCCAIJAkwCCwJJAg0CCAIIAggCCAIIAggCCAIIAggCCAIIAggCCAIIAggCCAIIAhkCAwKAAh4AAqsCAgKFAgQCBQIGAgcCCAIJAjgCCwJJAg0CCAIIAggCCAIIAggCCAIIAggCCAIIAggCCAIIAggCCAIIAhkCAwKbAh4AAqsCAgIzAgQCBQIGAgcCCAIJAjgCCwJJAg0CCAIIAggCCAIIAggCCAIIAggCCAIIAggCCAIIAggCCAIIAhkCAwJoAh4AAqsCAgI1AgQCBQIGAgcCCAIJAjgCCwJJAg0CCAIIAggCCAIIAggCCAIIAggCCAIIAggCCAIIAggCCAIIAhkCAwJuAh4AAqsCAgJLAgQCBQIGAgcCCAIJAgoCCwJJAg0CCAIIAggCCAIIAggCCAIIAggCCAIIAggCCAIIAggCCAIIAhkCAwKWAh4AAqsCAgIvAgQCBQIGAgcCCAIJAjgCCwJJAg0CCAIIAggCCAIIAggCCAIIAggCCAIIAggCCAIIAggCCAIIAhkCAwJ6Ah4AAqsCAgIbAgQCBQIGAgcCCAIJAgoCCwJJAg0CCAIIAggCCAIIAggCCAIIAggCCAIIAggCCAIIAggCCAIIAhkCAwKXAh4AAqsCAgKFAgQCBQIGAgcCCAIJAkwCCwJJAg0CCAIIAggCCAIIAggCCAIIAggCCAIIAggCCAIIAggCCAIIAhkCAwKcAh4AAqsCAgIrAgQCBQIGAgcCCAIJAgoCCwJJAg0CCAIIAggCCAIIAggCCAIIAggCCAIIAggCCAIIAggCCAIIAhkCAwJcAh4AAqsCAgJZAgQCBQIGAgcCCAIJAgoCCwJJAg0CCAIIAggCCAIIAggCCAIIAggCCAIIAggCCAIIAggCCAIIAhkCAwJhAh4AAqsCAgIpAgQCBQIGAgcCCAIJAjgCCwJJAg0CCAIIAggCCAIIAggCCAIIAggCCAIIAggCCAIIAggCCAIIAhkCAwJeAh4AAqsCAgIhAgQCBQIGAgcCCAIJAgoCCwJJAg0CCAIIAggCCAIIAggCCAIIAggCCAIIAggCCAIIAggCCAIIAhkCAwJlAh4AAqsCAgIjAgQCBQIGAgcCCAIJAgoCCwJJAg0CCAIIAggCCAIIAggCCAIIAggCCAIIAggCCAIIAggCCAIIAhkCAwKUAh4AAqsCAgIfAgQCBQIGAgcCCAIJAkwCCwJJAg0CCAIIAggCCAIIAggCCAIIAgh6AAAEAAIIAggCCAIIAggCCAIIAggCGQIDApICHgACqwICAngCBAIFAgYCBwIIAgkCTAILAkkCDQIIAggCCAIIAggCCAIIAggCCAIIAggCCAIIAggCCAIIAggCGQIDApECHgACqwICAngCBAIFAgYCBwIIAgkCOAILAkkCDQIIAggCCAIIAggCCAIIAggCCAIIAggCCAIIAggCCAIIAggCGQIDAo0CHgACqwICAlMCBAIFAgYCBwIIAgkCCgILAkkCDQIIAggCCAIIAggCCAIIAggCCAIIAggCCAIIAggCCAIIAggCGQIDAlQCHgACqwICAi0CBAIFAgYCBwIIAgkCOAILAkkCDQIIAggCCAIIAggCCAIIAggCCAIIAggCCAIIAggCCAIIAggCGQIDAkoCHgACqwICAh8CBAIFAgYCBwIIAgkCOAILAkkCDQIIAggCCAIIAggCCAIIAggCCAIIAggCCAIIAggCCAIIAggCGQIDAo8CHgACqwICAi0CBAIFAgYCBwIIAgkCCgILAkkCDQIIAggCCAIIAggCCAIIAggCCAIIAggCCAIIAggCCAIIAggCGQIDAnACHgACqwICAgMCBAIFAgYCBwIIAgkCCgILAkkCDQIIAggCCAIIAggCCAIIAggCCAIIAggCCAIIAggCCAIIAggCGQIDAlsCHgACqwICAjMCBAIFAgYCBwIIAgkCTAILAkkCDQIIAggCCAIIAggCCAIIAggCCAIIAggCCAIIAggCCAIIAggCGQIDAlACHgACqwICAjUCBAIFAgYCBwIIAgkCTAILAkkCDQIIAggCCAIIAggCCAIIAggCCAIIAggCCAIIAggCCAIIAggCGQIDAmwCHgACqwICAh0CBAIFAgYCBwIIAgkCTAILAkkCDQIIAggCCAIIAggCCAIIAggCCAIIAggCCAIIAggCCAIIAggCGQIDAlACHgACqwICAlYCBAIFAgYCBwIIAgkCTAILAkkCDQIIAggCCAIIAggCCAIIAggCCAIIAggCCAIIAggCCAIIAggCGQIDAn8CHgACqwICAisCBAIFAgYCBwIIAgkCOAILAkkCDQIIAggCCAIIAggCCAIIAggCCAIIAggCCAIIAggCCAIIAggCGQIDAlUCHgACqwICAlkCBAIFAgYCBwIIAgkCOAILAkkCDQIIAggCCAIIAggCCAIIAggCCAIIAggCCAIIAggCCAIIAggCGQIDAloCHgACqwICAnUCBAIFAgYCBwIIAgkCOAILAkkCDQIIAggCCAIIAggCCAIIAggCCAIIAggCCAIIAggCCAIIAggCGQIDAnYCHgACqwICAisCBAIFAgYCBwIIAgkCTAILAkkCDQIIAggCCAJ6AAAEAAgCCAIIAggCCAIIAggCCAIIAggCCAIIAggCCAIZAgMCcwIeAAKrAgICewIEAgUCBgIHAggCCQIKAgsCSQINAggCCAIIAggCCAIIAggCCAIIAggCCAIIAggCCAIIAggCCAIZAgMCfAIeAAKrAgICKQIEAgUCBgIHAggCCQIKAgsCSQINAggCCAIIAggCCAIIAggCCAIIAggCCAIIAggCCAIIAggCCAIZAgMCdAIeAAKrAgIChQIEAgUCBgIHAggCCQIKAgsCSQINAggCCAIIAggCCAIIAggCCAIIAggCCAIIAggCCAIIAggCCAIZAgMChgIeAAKrAgICAwIEAgUCBgIHAggCCQI4AgsCSQINAggCCAIIAggCCAIIAggCCAIIAggCCAIIAggCCAIIAggCCAIZAgMCoQIeAAKrAgICXwIEAgUCBgIHAggCCQJMAgsCSQINAggCCAIIAggCCAIIAggCCAIIAggCCAIIAggCCAIIAggCCAIZAgMCnQIeAAKrAgICIQIEAgUCBgIHAggCCQJMAgsCSQINAggCCAIIAggCCAIIAggCCAIIAggCCAIIAggCCAIIAggCCAIZAgMCUAIeAAKrAgICeAIEAgUCBgIHAggCCQIKAgsCSQINAggCCAIIAggCCAIIAggCCAIIAggCCAIIAggCCAIIAggCCAIZAgMCeQIeAAKrAgICWQIEAgUCBgIHAggCCQJMAgsCSQINAggCCAIIAggCCAIIAggCCAIIAggCCAIIAggCCAIIAggCCAIZAgMCcgIeAAKrAgICVgIEAgUCBgIHAggCCQI4AgsCSQINAggCCAIIAggCCAIIAggCCAIIAggCCAIIAggCCAIIAggCCAIZAgMCfgIeAAKrAgICXwIEAgUCBgIHAggCCQI4AgsCSQINAggCCAIIAggCCAIIAggCCAIIAggCCAIIAggCCAIIAggCCAIZAgMCngIeAAKrAgICUwIEAgUCBgIHAggCCQI4AgsCSQINAggCCAIIAggCCAIIAggCCAIIAggCCAIIAggCCAIIAggCCAIZAgMCpAIeAAKrAgICAwIEAgUCBgIHAggCCQJMAgsCSQINAggCCAIIAggCCAIIAggCCAIIAggCCAIIAggCCAIIAggCCAIZAgMCmAIeAAKrAgICHQIEAgUCBgIHAggCCQI4AgsCSQINAggCCAIIAggCCAIIAggCCAIIAggCCAIIAggCCAIIAggCCAIZAgMCawIeAAKrAgICHwIEAgUCBgIHAggCCQIKAgsCSQINAggCCAIIAggCCAIIAggCCAIIAggCCAIIAggCCAIIAggCCAIZAgMCbwIeAAKrAgICMQIEAgUCBgIHAggCCQIKAgt6AAAEAAJJAg0CCAIIAggCCAIIAggCCAIIAggCCAIIAggCCAIIAggCCAIIAhkCAwKTAh4AAqsCAgKCAgQCBQIGAgcCCAIJAgoCCwJJAg0CCAIIAggCCAIIAggCCAIIAggCCAIIAggCCAIIAggCCAIIAhkCAwKZAh4AAqsCAgInAgQCBQIGAgcCCAIJAjgCCwJJAg0CCAIIAggCCAIIAggCCAIIAggCCAIIAggCCAIIAggCCAIIAhkCAwJtAh4AAqsCAgJWAgQCBQIGAgcCCAIJAgoCCwJJAg0CCAIIAggCCAIIAggCCAIIAggCCAIIAggCCAIIAggCCAIIAhkCAwJXAh4AAqsCAgJLAgQCBQIGAgcCCAIJAkwCCwJJAg0CCAIIAggCCAIIAggCCAIIAggCCAIIAggCCAIIAggCCAIIAhkCAwJNAh4AAqsCAgJ7AgQCBQIGAgcCCAIJAjgCCwJJAg0CCAIIAggCCAIIAggCCAIIAggCCAIIAggCCAIIAggCCAIIAhkCAwKaAh4AAqsCAgIbAgQCBQIGAgcCCAIJAkwCCwJJAg0CCAIIAggCCAIIAggCCAIIAggCCAIIAggCCAIIAggCCAIIAhkCAwJOAh4AAqsCAgItAgQCBQIGAgcCCAIJAkwCCwJJAg0CCAIIAggCCAIIAggCCAIIAggCCAIIAggCCAIIAggCCAIIAhkCAwJiAh4AAqsCAgJpAgQCBQIGAgcCCAIJAkwCCwJJAg0CCAIIAggCCAIIAggCCAIIAggCCAIIAggCCAIIAggCCAIIAhkCAwJxAh4AAqsCAgJpAgQCBQIGAgcCCAIJAjgCCwJJAg0CCAIIAggCCAIIAggCCAIIAggCCAIIAggCCAIIAggCCAIIAhkCAwJqAh4AAqsCAgInAgQCBQIGAgcCCAIJAkwCCwJJAg0CCAIIAggCCAIIAggCCAIIAggCCAIIAggCCAIIAggCCAIIAhkCAwKOAh4AAqsCAgIpAgQCBQIGAgcCCAIJAkwCCwJJAg0CCAIIAggCCAIIAggCCAIIAggCCAIIAggCCAIIAggCCAIIAhkCAwJdAh4AAqsCAgJ1AgQCBQIGAgcCCAIJAgoCCwJJAg0CCAIIAggCCAIIAggCCAIIAggCCAIIAggCCAIIAggCCAIIAhkCAwKQAh4AAqsCAgJfAgQCBQIGAgcCCAIJAgoCCwJJAg0CCAIIAggCCAIIAggCCAIIAggCCAIIAggCCAIIAggCCAIIAhkCAwJgAh4AAqsCAgJ7AgQCBQIGAgcCCAIJAkwCCwJJAg0CCAIIAggCCAIIAggCCAIIAggCCAIIAggCCAIIAggCCAIIAhkCAwKMAh4AAqsCAgJLAgQCBQJ6AAAEAAYCBwIIAgkCOAILAkkCDQIIAggCCAIIAggCCAIIAggCCAIIAggCCAIIAggCCAIIAggCGQIDAmQCHgACqwICAhsCBAIFAgYCBwIIAgkCOAILAkkCDQIIAggCCAIIAggCCAIIAggCCAIIAggCCAIIAggCCAIIAggCGQIDAlICHgACqwICAi8CBAIFAgYCBwIIAgkCCgILAkkCDQIIAggCCAIIAggCCAIIAggCCAIIAggCCAIIAggCCAIIAggCGQIDAokCHgACqwICAjUCBAIFAgYCBwIIAgkCCgILAkkCDQIIAggCCAIIAggCCAIIAggCCAIIAggCCAIIAggCCAIIAggCGQIDAooCHgACqwICAh0CBAIFAgYCBwIIAgkCCgILAkkCDQIIAggCCAIIAggCCAIIAggCCAIIAggCCAIIAggCCAIIAggCGQIDAlECHgACqwICAoICBAIFAgYCBwIIAgkCTAILAkkCDQIIAggCCAIIAggCCAIIAggCCAIIAggCCAIIAggCCAIIAggCGQIDAogCHgACqwICAjMCBAIFAgYCBwIIAgkCCgILAkkCDQIIAggCCAIIAggCCAIIAggCCAIIAggCCAIIAggCCAIIAggCGQIDAosCHgACqwICAjECBAIFAgYCBwIIAgkCTAILAkkCDQIIAggCCAIIAggCCAIIAggCCAIIAggCCAIIAggCCAIIAggCGQIDAocCHgACqwICAoICBAIFAgYCBwIIAgkCOAILAkkCDQIIAggCCAIIAggCCAIIAggCCAIIAggCCAIIAggCCAIIAggCGQIDAoMCHgACqwICAlMCBAIFAgYCBwIIAgkCTAILAkkCDQIIAggCCAIIAggCCAIIAggCCAIIAggCCAIIAggCCAIIAggCGQIDAqUCHgACqwICAjECBAIFAgYCBwIIAgkCOAILAkkCDQIIAggCCAIIAggCCAIIAggCCAIIAggCCAIIAggCCAIIAggCGQIDAoQCHgACqwICAiECBAIFAgYCBwIIAgkCOAILAkkCDQIIAggCCAIIAggCCAIIAggCCAIIAggCCAIIAggCCAIIAggCGQIDAqACHgACqwICAicCBAIFAgYCBwIIAgkCCgILAkkCDQIIAggCCAIIAggCCAIIAggCCAIIAggCCAIIAggCCAIIAggCGQIDAqMCHgACqwICAmkCBAIFAgYCBwIIAgkCCgILAkkCDQIIAggCCAIIAggCCAIIAggCCAIIAggCCAIIAggCCAIIAggCGQIDAqICHgACqwICAiMCBAIFAgYCBwIIAgkCOAILAkkCDQIIAggCCAIIAggCCAIIAggCCAIIAggCCAIIAggCCAIIAggCGQIDAp8CHgB6AAAEAAKrAgICIwIEAgUCBgIHAggCCQJMAgsCSQINAggCCAIIAggCCAIIAggCCAIIAggCCAIIAggCCAIIAggCCAIZAgMCUAIeAAKsAAk0MzA5ODY2MzICAgKCAgQCBQIGAgcCCAIJAkwCCwJJAg0CCAIIAggCCAIIAggCCAIIAggCCAIIAggCCAIIAggCCAIIAhsCAwKIAh4AAqwCAgKFAgQCBQIGAgcCCAIJAgoCCwJJAg0CCAIIAggCCAIIAggCCAIIAggCCAIIAggCCAIIAggCCAIIAhsCAwKGAh4AAqwCAgIxAgQCBQIGAgcCCAIJAkwCCwJJAg0CCAIIAggCCAIIAggCCAIIAggCCAIIAggCCAIIAggCCAIIAhsCAwKHAh4AAqwCAgIjAgQCBQIGAgcCCAIJAjgCCwJJAg0CCAIIAggCCAIIAggCCAIIAggCCAIIAggCCAIIAggCCAIIAhsCAwKfAh4AAqwCAgIxAgQCBQIGAgcCCAIJAjgCCwJJAg0CCAIIAggCCAIIAggCCAIIAggCCAIIAggCCAIIAggCCAIIAhsCAwKEAh4AAqwCAgJ1AgQCBQIGAgcCCAIJAjgCCwJJAg0CCAIIAggCCAIIAggCCAIIAggCCAIIAggCCAIIAggCCAIIAhsCAwJ2Ah4AAqwCAgIpAgQCBQIGAgcCCAIJAgoCCwJJAg0CCAIIAggCCAIIAggCCAIIAggCCAIIAggCCAIIAggCCAIIAhsCAwJ0Ah4AAqwCAgJ1AgQCBQIGAgcCCAIJAkwCCwJJAg0CCAIIAggCCAIIAggCCAIIAggCCAIIAggCCAIIAggCCAIIAhsCAwKAAh4AAqwCAgKFAgQCBQIGAgcCCAIJAjgCCwJJAg0CCAIIAggCCAIIAggCCAIIAggCCAIIAggCCAIIAggCCAIIAhsCAwKbAh4AAqwCAgIvAgQCBQIGAgcCCAIJAkwCCwJJAg0CCAIIAggCCAIIAggCCAIIAggCCAIIAggCCAIIAggCCAIIAhsCAwJ3Ah4AAqwCAgJLAgQCBQIGAgcCCAIJAgoCCwJJAg0CCAIIAggCCAIIAggCCAIIAggCCAIIAggCCAIIAggCCAIIAhsCAwKWAh4AAqwCAgIvAgQCBQIGAgcCCAIJAjgCCwJJAg0CCAIIAggCCAIIAggCCAIIAggCCAIIAggCCAIIAggCCAIIAhsCAwJ6Ah4AAqwCAgI1AgQCBQIGAgcCCAIJAjgCCwJJAg0CCAIIAggCCAIIAggCCAIIAggCCAIIAggCCAIIAggCCAIIAhsCAwJuAh4AAqwCAgJpAgQCBQIGAgcCCAIJAkwCCwJJAg0CCAIIAggCCAIIAggCCAIIAggCCAJ6AAAEAAgCCAIIAggCCAIIAggCGwIDAnECHgACrAICAnsCBAIFAgYCBwIIAgkCTAILAkkCDQIIAggCCAIIAggCCAIIAggCCAIIAggCCAIIAggCCAIIAggCGwIDAowCHgACrAICAhsCBAIFAgYCBwIIAgkCCgILAkkCDQIIAggCCAIIAggCCAIIAggCCAIIAggCCAIIAggCCAIIAggCGwIDApcCHgACrAICAicCBAIFAgYCBwIIAgkCOAILAkkCDQIIAggCCAIIAggCCAIIAggCCAIIAggCCAIIAggCCAIIAggCGwIDAm0CHgACrAICAmkCBAIFAgYCBwIIAgkCOAILAkkCDQIIAggCCAIIAggCCAIIAggCCAIIAggCCAIIAggCCAIIAggCGwIDAmoCHgACrAICAicCBAIFAgYCBwIIAgkCTAILAkkCDQIIAggCCAIIAggCCAIIAggCCAIIAggCCAIIAggCCAIIAggCGwIDAo4CHgACrAICAisCBAIFAgYCBwIIAgkCCgILAkkCDQIIAggCCAIIAggCCAIIAggCCAIIAggCCAIIAggCCAIIAggCGwIDAlwCHgACrAICAlkCBAIFAgYCBwIIAgkCCgILAkkCDQIIAggCCAIIAggCCAIIAggCCAIIAggCCAIIAggCCAIIAggCGwIDAmECHgACrAICAlMCBAIFAgYCBwIIAgkCTAILAkkCDQIIAggCCAIIAggCCAIIAggCCAIIAggCCAIIAggCCAIIAggCGwIDAqUCHgACrAICAl8CBAIFAgYCBwIIAgkCTAILAkkCDQIIAggCCAIIAggCCAIIAggCCAIIAggCCAIIAggCCAIIAggCGwIDAp0CHgACrAICAiECBAIFAgYCBwIIAgkCTAILAkkCDQIIAggCCAIIAggCCAIIAggCCAIIAggCCAIIAggCCAIIAggCGwIDAlACHgACrAICAiMCBAIFAgYCBwIIAgkCTAILAkkCDQIIAggCCAIIAggCCAIIAggCCAIIAggCCAIIAggCCAIIAggCGwIDAlACHgACrAICAhsCBAIFAgYCBwIIAgkCOAILAkkCDQIIAggCCAIIAggCCAIIAggCCAIIAggCCAIIAggCCAIIAggCGwIDAlICHgACrAICAksCBAIFAgYCBwIIAgkCOAILAkkCDQIIAggCCAIIAggCCAIIAggCCAIIAggCCAIIAggCCAIIAggCGwIDAmQCHgACrAICAnUCBAIFAgYCBwIIAgkCCgILAkkCDQIIAggCCAIIAggCCAIIAggCCAIIAggCCAIIAggCCAIIAggCGwIDApACHgACrAICAoICBAIFAgYCBwIIAgkCOAILAkkCDQIIAggCCAIIAgh6AAAEAAIIAggCCAIIAggCCAIIAggCCAIIAggCCAIbAgMCgwIeAAKsAgICXwIEAgUCBgIHAggCCQI4AgsCSQINAggCCAIIAggCCAIIAggCCAIIAggCCAIIAggCCAIIAggCCAIbAgMCngIeAAKsAgICLwIEAgUCBgIHAggCCQIKAgsCSQINAggCCAIIAggCCAIIAggCCAIIAggCCAIIAggCCAIIAggCCAIbAgMCiQIeAAKsAgICHQIEAgUCBgIHAggCCQIKAgsCSQINAggCCAIIAggCCAIIAggCCAIIAggCCAIIAggCCAIIAggCCAIbAgMCUQIeAAKsAgICNQIEAgUCBgIHAggCCQIKAgsCSQINAggCCAIIAggCCAIIAggCCAIIAggCCAIIAggCCAIIAggCCAIbAgMCigIeAAKsAgICWQIEAgUCBgIHAggCCQI4AgsCSQINAggCCAIIAggCCAIIAggCCAIIAggCCAIIAggCCAIIAggCCAIbAgMCWgIeAAKsAgICKwIEAgUCBgIHAggCCQI4AgsCSQINAggCCAIIAggCCAIIAggCCAIIAggCCAIIAggCCAIIAggCCAIbAgMCVQIeAAKsAgICVgIEAgUCBgIHAggCCQIKAgsCSQINAggCCAIIAggCCAIIAggCCAIIAggCCAIIAggCCAIIAggCCAIbAgMCVwIeAAKsAgICaQIEAgUCBgIHAggCCQIKAgsCSQINAggCCAIIAggCCAIIAggCCAIIAggCCAIIAggCCAIIAggCCAIbAgMCogIeAAKsAgICLQIEAgUCBgIHAggCCQI4AgsCSQINAggCCAIIAggCCAIIAggCCAIIAggCCAIIAggCCAIIAggCCAIbAgMCSgIeAAKsAgICLQIEAgUCBgIHAggCCQJMAgsCSQINAggCCAIIAggCCAIIAggCCAIIAggCCAIIAggCCAIIAggCCAIbAgMCYgIeAAKsAgICGwIEAgUCBgIHAggCCQJMAgsCSQINAggCCAIIAggCCAIIAggCCAIIAggCCAIIAggCCAIIAggCCAIbAgMCTgIeAAKsAgICIQIEAgUCBgIHAggCCQI4AgsCSQINAggCCAIIAggCCAIIAggCCAIIAggCCAIIAggCCAIIAggCCAIbAgMCoAIeAAKsAgICSwIEAgUCBgIHAggCCQJMAgsCSQINAggCCAIIAggCCAIIAggCCAIIAggCCAIIAggCCAIIAggCCAIbAgMCTQIeAAKsAgICJwIEAgUCBgIHAggCCQIKAgsCSQINAggCCAIIAggCCAIIAggCCAIIAggCCAIIAggCCAIIAggCCAIbAgMCowIeAAKsAgICeAIEAgUCBgIHAggCCQIKAgsCSQJ6AAAEAA0CCAIIAggCCAIIAggCCAIIAggCCAIIAggCCAIIAggCCAIIAhsCAwJ5Ah4AAqwCAgIDAgQCBQIGAgcCCAIJAjgCCwJJAg0CCAIIAggCCAIIAggCCAIIAggCCAIIAggCCAIIAggCCAIIAhsCAwKhAh4AAqwCAgJTAgQCBQIGAgcCCAIJAjgCCwJJAg0CCAIIAggCCAIIAggCCAIIAggCCAIIAggCCAIIAggCCAIIAhsCAwKkAh4AAqwCAgIhAgQCBQIGAgcCCAIJAgoCCwJJAg0CCAIIAggCCAIIAggCCAIIAggCCAIIAggCCAIIAggCCAIIAhsCAwJlAh4AAqwCAgJfAgQCBQIGAgcCCAIJAgoCCwJJAg0CCAIIAggCCAIIAggCCAIIAggCCAIIAggCCAIIAggCCAIIAhsCAwJgAh4AAqwCAgIdAgQCBQIGAgcCCAIJAjgCCwJJAg0CCAIIAggCCAIIAggCCAIIAggCCAIIAggCCAIIAggCCAIIAhsCAwJrAh4AAqwCAgIpAgQCBQIGAgcCCAIJAkwCCwJJAg0CCAIIAggCCAIIAggCCAIIAggCCAIIAggCCAIIAggCCAIIAhsCAwJdAh4AAqwCAgIDAgQCBQIGAgcCCAIJAkwCCwJJAg0CCAIIAggCCAIIAggCCAIIAggCCAIIAggCCAIIAggCCAIIAhsCAwKYAh4AAqwCAgIfAgQCBQIGAgcCCAIJAgoCCwJJAg0CCAIIAggCCAIIAggCCAIIAggCCAIIAggCCAIIAggCCAIIAhsCAwJvAh4AAqwCAgItAgQCBQIGAgcCCAIJAgoCCwJJAg0CCAIIAggCCAIIAggCCAIIAggCCAIIAggCCAIIAggCCAIIAhsCAwJwAh4AAqwCAgIxAgQCBQIGAgcCCAIJAgoCCwJJAg0CCAIIAggCCAIIAggCCAIIAggCCAIIAggCCAIIAggCCAIIAhsCAwKTAh4AAqwCAgKCAgQCBQIGAgcCCAIJAgoCCwJJAg0CCAIIAggCCAIIAggCCAIIAggCCAIIAggCCAIIAggCCAIIAhsCAwKZAh4AAqwCAgJWAgQCBQIGAgcCCAIJAkwCCwJJAg0CCAIIAggCCAIIAggCCAIIAggCCAIIAggCCAIIAggCCAIIAhsCAwJ/Ah4AAqwCAgKFAgQCBQIGAgcCCAIJAkwCCwJJAg0CCAIIAggCCAIIAggCCAIIAggCCAIIAggCCAIIAggCCAIIAhsCAwKcAh4AAqwCAgJ7AgQCBQIGAgcCCAIJAjgCCwJJAg0CCAIIAggCCAIIAggCCAIIAggCCAIIAggCCAIIAggCCAIIAhsCAwKaAh4AAqwCAgIpAgQCBQIGAgd6AAAEAAIIAgkCOAILAkkCDQIIAggCCAIIAggCCAIIAggCCAIIAggCCAIIAggCCAIIAggCGwIDAl4CHgACrAICAh0CBAIFAgYCBwIIAgkCTAILAkkCDQIIAggCCAIIAggCCAIIAggCCAIIAggCCAIIAggCCAIIAggCGwIDAlACHgACrAICAjUCBAIFAgYCBwIIAgkCTAILAkkCDQIIAggCCAIIAggCCAIIAggCCAIIAggCCAIIAggCCAIIAggCGwIDAmwCHgACrAICAlYCBAIFAgYCBwIIAgkCOAILAkkCDQIIAggCCAIIAggCCAIIAggCCAIIAggCCAIIAggCCAIIAggCGwIDAn4CHgACrAICAngCBAIFAgYCBwIIAgkCOAILAkkCDQIIAggCCAIIAggCCAIIAggCCAIIAggCCAIIAggCCAIIAggCGwIDAo0CHgACrAICAiMCBAIFAgYCBwIIAgkCCgILAkkCDQIIAggCCAIIAggCCAIIAggCCAIIAggCCAIIAggCCAIIAggCGwIDApQCHgACrAICAngCBAIFAgYCBwIIAgkCTAILAkkCDQIIAggCCAIIAggCCAIIAggCCAIIAggCCAIIAggCCAIIAggCGwIDApECHgACrAICAh8CBAIFAgYCBwIIAgkCOAILAkkCDQIIAggCCAIIAggCCAIIAggCCAIIAggCCAIIAggCCAIIAggCGwIDAo8CHgACrAICAlMCBAIFAgYCBwIIAgkCCgILAkkCDQIIAggCCAIIAggCCAIIAggCCAIIAggCCAIIAggCCAIIAggCGwIDAlQCHgACrAICAnsCBAIFAgYCBwIIAgkCCgILAkkCDQIIAggCCAIIAggCCAIIAggCCAIIAggCCAIIAggCCAIIAggCGwIDAnwCHgACrAICAh8CBAIFAgYCBwIIAgkCTAILAkkCDQIIAggCCAIIAggCCAIIAggCCAIIAggCCAIIAggCCAIIAggCGwIDApICHgACrAICAisCBAIFAgYCBwIIAgkCTAILAkkCDQIIAggCCAIIAggCCAIIAggCCAIIAggCCAIIAggCCAIIAggCGwIDAnMCHgACrAICAlkCBAIFAgYCBwIIAgkCTAILAkkCDQIIAggCCAIIAggCCAIIAggCCAIIAggCCAIIAggCCAIIAggCGwIDAnICHgACrAICAgMCBAIFAgYCBwIIAgkCCgILAkkCDQIIAggCCAIIAggCCAIIAggCCAIIAggCCAIIAggCCAIIAggCGwIDAlsCHgACrQAJNDE3MDIxNzA0AgICLwIEAgUCBgIHAggCCQKpAgsCDAINAggCCAIIAggCCAIIAggCCAIIAggCCAIIAggCCAIIAggCCAJ3BRgCAwKuc3EAfgAAAAAAAnNxAH4ABP///////////////v////7/////dXEAfgAHAAAAAwQOrnh4d0UCHgACrQICAlkCBAIFAgYCBwIIAgkCCgILAgwCDQIIAggCCAIIAggCCAIIAggCCAIIAggCCAIIAggCCAIIAggCGAIDAq9zcQB+AAAAAAACc3EAfgAE///////////////+/////v////91cQB+AAcAAAAEBeiObnh4d4oCHgACrQICAisCBAIFAgYCBwIIAgkCCgILAgwCDQIIAggCCAIIAggCCAIIAggCCAIIAggCCAIIAggCCAIIAggCGAIDAiwCHgACrQICAnUCBAIFAgYCBwIIAgkCqQILAgwCDQIIAggCCAIIAggCCAIIAggCCAIIAggCCAIIAggCCAIIAggCGAIDArBzcQB+AAAAAAACc3EAfgAE///////////////+/////v////91cQB+AAcAAAADCLaceHh3zwIeAAKtAgICIQIEAgUCBgIHAggCCQIKAgsCDAINAggCCAIIAggCCAIIAggCCAIIAggCCAIIAggCCAIIAggCCAIYAgMCIgIeAAKtAgICKQIEAgUCBgIHAggCCQI4AgsCDAINAggCCAIIAggCCAIIAggCCAIIAggCCAIIAggCCAIIAggCCAIYAgMCPQIeAAKtAgICXwIEAgUCBgIHAggCCQIKAgsCDAINAggCCAIIAggCCAIIAggCCAIIAggCCAIIAggCCAIIAggCCAIYAgMCsXNxAH4AAAAAAAJzcQB+AAT///////////////7////+/////3VxAH4ABwAAAAO8XLJ4eHfPAh4AAq0CAgIjAgQCBQIGAgcCCAIJAqkCCwIMAg0CCAIIAggCCAIIAggCCAIIAggCCAIIAggCCAIIAggCCAIIAhgCAwJQAh4AAq0CAgIzAgQCBQIGAgcCCAIJAqkCCwIMAg0CCAIIAggCCAIIAggCCAIIAggCCAIIAggCCAIIAggCCAIIAhgCAwJQAh4AAq0CAgI1AgQCBQIGAgcCCAIJAqkCCwIMAg0CCAIIAggCCAIIAggCCAIIAggCCAIIAggCCAIIAggCCAIIAhgCAwKyc3EAfgAAAAAAAnNxAH4ABP///////////////v////7/////dXEAfgAHAAAAAwVk/3h4d88CHgACrQICAh0CBAIFAgYCBwIIAgkCCgILAgwCDQIIAggCCAIIAggCCAIIAggCCAIIAggCCAIIAggCCAIIAggCGAIDAh4CHgACrQICAgMCBAIFAgYCBwIIAgkCCgILAgwCDQIIAggCCAIIAggCCAIIAggCCAIIAggCCAIIAggCCAIIAggCGAIDAg4CHgACrQICAoUCBAIFAgYCBwIIAgkCqQILAgwCDQIIAggCCAIIAggCCAIIAggCCAIIAggCCAIIAggCCAIIAggCGAIDArNzcQB+AAAAAAACc3EAfgAE///////////////+/////v////91cQB+AAcAAAADB43UeHh3RQIeAAKtAgICSwIEAgUCBgIHAggCCQI4AgsCDAINAggCCAIIAggCCAIIAggCCAIIAggCCAIIAggCCAIIAggCCAIYAgMCtHNxAH4AAAAAAAJzcQB+AAT///////////////7////+/////3VxAH4ABwAAAAQ3OPVPeHh3RQIeAAKtAgICVgIEAgUCBgIHAggCCQIKAgsCDAINAggCCAIIAggCCAIIAggCCAIIAggCCAIIAggCCAIIAggCCAIYAgMCtXNxAH4AAAAAAAJzcQB+AAT///////////////7////+/////3VxAH4ABwAAAARMQw4VeHh3RQIeAAKtAgICUwIEAgUCBgIHAggCCQIKAgsCDAINAggCCAIIAggCCAIIAggCCAIIAggCCAIIAggCCAIIAggCCAIYAgMCtnNxAH4AAAAAAAJzcQB+AAT///////////////7////+/////3VxAH4ABwAAAAQE5DAPeHh3zwIeAAKtAgICGwIEAgUCBgIHAggCCQI4AgsCDAINAggCCAIIAggCCAIIAggCCAIIAggCCAIIAggCCAIIAggCCAIYAgMCRgIeAAKtAgICLQIEAgUCBgIHAggCCQI4AgsCDAINAggCCAIIAggCCAIIAggCCAIIAggCCAIIAggCCAIIAggCCAIYAgMCQAIeAAKtAgICdQIEAgUCBgIHAggCCQI4AgsCDAINAggCCAIIAggCCAIIAggCCAIIAggCCAIIAggCCAIIAggCCAIYAgMCt3NxAH4AAAAAAAJzcQB+AAT///////////////7////+/////3VxAH4ABwAAAARdV1DJeHh3igIeAAKtAgICKQIEAgUCBgIHAggCCQIKAgsCDAINAggCCAIIAggCCAIIAggCCAIIAggCCAIIAggCCAIIAggCCAIYAgMCKgIeAAKtAgICWQIEAgUCBgIHAggCCQI4AgsCDAINAggCCAIIAggCCAIIAggCCAIIAggCCAIIAggCCAIIAggCCAIYAgMCuHNxAH4AAAAAAAJzcQB+AAT///////////////7////+/////3VxAH4ABwAAAAQ9+1bieHh3igIeAAKtAgICKwIEAgUCBgIHAggCCQI4AgsCDAINAggCCAIIAggCCAIIAggCCAIIAggCCAIIAggCCAIIAggCCAIYAgMCPwIeAAKtAgICJwIEAgUCBgIHAggCCQKpAgsCDAINAggCCAIIAggCCAIIAggCCAIIAggCCAIIAggCCAIIAggCCAIYAgMCuXNxAH4AAAAAAAJzcQB+AAT///////////////7////+/////3VxAH4ABwAAAAMEQ3p4eHdFAh4AAq0CAgJ7AgQCBQIGAgcCCAIJAgoCCwIMAg0CCAIIAggCCAIIAggCCAIIAggCCAIIAggCCAIIAggCCAIIAhgCAwK6c3EAfgAAAAAAAnNxAH4ABP///////////////v////7/////dXEAfgAHAAAABDuLiL14eHdFAh4AAq0CAgKFAgQCBQIGAgcCCAIJAgoCCwIMAg0CCAIIAggCCAIIAggCCAIIAggCCAIIAggCCAIIAggCCAIIAhgCAwK7c3EAfgAAAAAAAnNxAH4ABP///////////////v////7/////dXEAfgAHAAAABAIbp254eHdFAh4AAq0CAgKCAgQCBQIGAgcCCAIJAqkCCwIMAg0CCAIIAggCCAIIAggCCAIIAggCCAIIAggCCAIIAggCCAIIAhgCAwK8c3EAfgAAAAAAAnNxAH4ABP///////////////v////7/////dXEAfgAHAAAAAwmef3h4d4oCHgACrQICAjMCBAIFAgYCBwIIAgkCOAILAgwCDQIIAggCCAIIAggCCAIIAggCCAIIAggCCAIIAggCCAIIAggCGAIDAkECHgACrQICAjECBAIFAgYCBwIIAgkCqQILAgwCDQIIAggCCAIIAggCCAIIAggCCAIIAggCCAIIAggCCAIIAggCGAIDAr1zcQB+AAAAAAACc3EAfgAE///////////////+/////v////91cQB+AAcAAAADBCUJeHh3RQIeAAKtAgICVgIEAgUCBgIHAggCCQI4AgsCDAINAggCCAIIAggCCAIIAggCCAIIAggCCAIIAggCCAIIAggCCAIYAgMCvnNxAH4AAAAAAAJzcQB+AAT///////////////7////+/////3VxAH4ABwAAAAQSVBWqeHh3RQIeAAKtAgICGwIEAgUCBgIHAggCCQKpAgsCDAINAggCCAIIAggCCAIIAggCCAIIAggCCAIIAggCCAIIAggCCAIYAgMCv3NxAH4AAAAAAAJzcQB+AAT///////////////7////+/////3VxAH4ABwAAAAMEq5d4eHdFAh4AAq0CAgJLAgQCBQIGAgcCCAIJAqkCCwIMAg0CCAIIAggCCAIIAggCCAIIAggCCAIIAggCCAIIAggCCAIIAhgCAwLAc3EAfgAAAAAAAnNxAH4ABP///////////////v////7/////dXEAfgAHAAAAAxIVy3h4d4oCHgACrQICAi0CBAIFAgYCBwIIAgkCCgILAgwCDQIIAggCCAIIAggCCAIIAggCCAIIAggCCAIIAggCCAIIAggCGAIDAi4CHgACrQICAngCBAIFAgYCBwIIAgkCCgILAgwCDQIIAggCCAIIAggCCAIIAggCCAIIAggCCAIIAggCCAIIAggCGAIDAsFzcQB+AAAAAAACc3EAfgAE///////////////+/////v////91cQB+AAcAAAAEA6uLrXh4egAAAZ4CHgACrQICAh8CBAIFAgYCBwIIAgkCCgILAgwCDQIIAggCCAIIAggCCAIIAggCCAIIAggCCAIIAggCCAIIAggCGAIDAiACHgACrQICAi8CBAIFAgYCBwIIAgkCOAILAgwCDQIIAggCCAIIAggCCAIIAggCCAIIAggCCAIIAggCCAIIAggCGAIDAkMCHgACrQICAjUCBAIFAgYCBwIIAgkCOAILAgwCDQIIAggCCAIIAggCCAIIAggCCAIIAggCCAIIAggCCAIIAggCGAIDAkUCHgACrQICAh0CBAIFAgYCBwIIAgkCOAILAgwCDQIIAggCCAIIAggCCAIIAggCCAIIAggCCAIIAggCCAIIAggCGAIDAkICHgACrQICAiECBAIFAgYCBwIIAgkCqQILAgwCDQIIAggCCAIIAggCCAIIAggCCAIIAggCCAIIAggCCAIIAggCGAIDAlACHgACrQICAl8CBAIFAgYCBwIIAgkCqQILAgwCDQIIAggCCAIIAggCCAIIAggCCAIIAggCCAIIAggCCAIIAggCGAIDAsJzcQB+AAAAAAACc3EAfgAE///////////////+/////v////91cQB+AAcAAAADBT+veHh3RQIeAAKtAgICeAIEAgUCBgIHAggCCQI4AgsCDAINAggCCAIIAggCCAIIAggCCAIIAggCCAIIAggCCAIIAggCCAIYAgMCw3NxAH4AAAAAAAJzcQB+AAT///////////////7////+/////3VxAH4ABwAAAARUiEubeHh3igIeAAKtAgICLwIEAgUCBgIHAggCCQIKAgsCDAINAggCCAIIAggCCAIIAggCCAIIAggCCAIIAggCCAIIAggCCAIYAgMCMAIeAAKtAgICUwIEAgUCBgIHAggCCQKpAgsCDAINAggCCAIIAggCCAIIAggCCAIIAggCCAIIAggCCAIIAggCCAIYAgMCxHNxAH4AAAAAAAJzcQB+AAT///////////////7////+/////3VxAH4ABwAAAAMMxv54eHeKAh4AAq0CAgIxAgQCBQIGAgcCCAIJAgoCCwIMAg0CCAIIAggCCAIIAggCCAIIAggCCAIIAggCCAIIAggCCAIIAhgCAwIyAh4AAq0CAgIrAgQCBQIGAgcCCAIJAqkCCwIMAg0CCAIIAggCCAIIAggCCAIIAggCCAIIAggCCAIIAggCCAIIAhgCAwLFc3EAfgAAAAAAAnNxAH4ABP///////////////v////7/////dXEAfgAHAAAAAwR0jXh4d0UCHgACrQICAnsCBAIFAgYCBwIIAgkCOAILAgwCDQIIAggCCAIIAggCCAIIAggCCAIIAggCCAIIAggCCAIIAggCGAIDAsZzcQB+AAAAAAACc3EAfgAE///////////////+/////v////91cQB+AAcAAAAEKKPaWXh4d0UCHgACrQICAmkCBAIFAgYCBwIIAgkCOAILAgwCDQIIAggCCAIIAggCCAIIAggCCAIIAggCCAIIAggCCAIIAggCGAIDAsdzcQB+AAAAAAACc3EAfgAE///////////////+/////v////91cQB+AAcAAAAETCsLgHh4d4oCHgACrQICAicCBAIFAgYCBwIIAgkCOAILAgwCDQIIAggCCAIIAggCCAIIAggCCAIIAggCCAIIAggCCAIIAggCGAIDAj4CHgACrQICAoICBAIFAgYCBwIIAgkCCgILAgwCDQIIAggCCAIIAggCCAIIAggCCAIIAggCCAIIAggCCAIIAggCGAIDAshzcQB+AAAAAAACc3EAfgAE///////////////+/////v////91cQB+AAcAAAAEAzaSmXh4d0UCHgACrQICAoICBAIFAgYCBwIIAgkCOAILAgwCDQIIAggCCAIIAggCCAIIAggCCAIIAggCCAIIAggCCAIIAggCGAIDAslzcQB+AAAAAAACc3EAfgAE///////////////+/////v////91cQB+AAcAAAAEWi+1rXh4d0UCHgACrQICAlYCBAIFAgYCBwIIAgkCqQILAgwCDQIIAggCCAIIAggCCAIIAggCCAIIAggCCAIIAggCCAIIAggCGAIDAspzcQB+AAAAAAACc3EAfgAE///////////////+/////v////91cQB+AAcAAAADBmgreHh6AAABFAIeAAKtAgICHQIEAgUCBgIHAggCCQKpAgsCDAINAggCCAIIAggCCAIIAggCCAIIAggCCAIIAggCCAIIAggCCAIYAgMCUAIeAAKtAgICMwIEAgUCBgIHAggCCQIKAgsCDAINAggCCAIIAggCCAIIAggCCAIIAggCCAIIAggCCAIIAggCCAIYAgMCNAIeAAKtAgICNQIEAgUCBgIHAggCCQIKAgsCDAINAggCCAIIAggCCAIIAggCCAIIAggCCAIIAggCCAIIAggCCAIYAgMCNgIeAAKtAgICaQIEAgUCBgIHAggCCQKpAgsCDAINAggCCAIIAggCCAIIAggCCAIIAggCCAIIAggCCAIIAggCCAIYAgMCy3NxAH4AAAAAAAJzcQB+AAT///////////////7////+/////3VxAH4ABwAAAAMLgq14eHdFAh4AAq0CAgIDAgQCBQIGAgcCCAIJAqkCCwIMAg0CCAIIAggCCAIIAggCCAIIAggCCAIIAggCCAIIAggCCAIIAhgCAwLMc3EAfgAAAAAAAnNxAH4ABP///////////////v////7/////dXEAfgAHAAAAAwRWK3h4d4oCHgACrQICAiMCBAIFAgYCBwIIAgkCCgILAgwCDQIIAggCCAIIAggCCAIIAggCCAIIAggCCAIIAggCCAIIAggCGAIDAiQCHgACrQICAnUCBAIFAgYCBwIIAgkCCgILAgwCDQIIAggCCAIIAggCCAIIAggCCAIIAggCCAIIAggCCAIIAggCGAIDAs1zcQB+AAAAAAACc3EAfgAE///////////////+/////v////91cQB+AAcAAAAEAr0/pHh4d88CHgACrQICAh8CBAIFAgYCBwIIAgkCOAILAgwCDQIIAggCCAIIAggCCAIIAggCCAIIAggCCAIIAggCCAIIAggCGAIDAkcCHgACrQICAiMCBAIFAgYCBwIIAgkCOAILAgwCDQIIAggCCAIIAggCCAIIAggCCAIIAggCCAIIAggCCAIIAggCGAIDAjsCHgACrQICAikCBAIFAgYCBwIIAgkCqQILAgwCDQIIAggCCAIIAggCCAIIAggCCAIIAggCCAIIAggCCAIIAggCGAIDAs5zcQB+AAAAAAACc3EAfgAE///////////////+/////v////91cQB+AAcAAAADBPtoeHh3RQIeAAKtAgICXwIEAgUCBgIHAggCCQI4AgsCDAINAggCCAIIAggCCAIIAggCCAIIAggCCAIIAggCCAIIAggCCAIYAgMCz3NxAH4AAAAAAAJzcQB+AAT///////////////7////+/////3VxAH4ABwAAAARijcsWeHh3RQIeAAKtAgICHwIEAgUCBgIHAggCCQKpAgsCDAINAggCCAIIAggCCAIIAggCCAIIAggCCAIIAggCCAIIAggCCAIYAgMC0HNxAH4AAAAAAAJzcQB+AAT///////////////7////+/////3VxAH4ABwAAAAMENDh4eHdFAh4AAq0CAgJ7AgQCBQIGAgcCCAIJAqkCCwIMAg0CCAIIAggCCAIIAggCCAIIAggCCAIIAggCCAIIAggCCAIIAhgCAwLRc3EAfgAAAAAAAnNxAH4ABP///////////////v////7/////dXEAfgAHAAAAAwbck3h4d4oCHgACrQICAicCBAIFAgYCBwIIAgkCCgILAgwCDQIIAggCCAIIAggCCAIIAggCCAIIAggCCAIIAggCCAIIAggCGAIDAigCHgACrQICAngCBAIFAgYCBwIIAgkCqQILAgwCDQIIAggCCAIIAggCCAIIAggCCAIIAggCCAIIAggCCAIIAggCGAIDAtJzcQB+AAAAAAACc3EAfgAE///////////////+/////v////91cQB+AAcAAAADCoBUeHh3RQIeAAKtAgIChQIEAgUCBgIHAggCCQI4AgsCDAINAggCCAIIAggCCAIIAggCCAIIAggCCAIIAggCCAIIAggCCAIYAgMC03NxAH4AAAAAAAJzcQB+AAT///////////////7////+/////3VxAH4ABwAAAARhMQgUeHh3RQIeAAKtAgICaQIEAgUCBgIHAggCCQIKAgsCDAINAggCCAIIAggCCAIIAggCCAIIAggCCAIIAggCCAIIAggCCAIYAgMC1HNxAH4AAAAAAAJzcQB+AAT///////////////7////+/////3VxAH4ABwAAAAQENonjeHh3zwIeAAKtAgICIQIEAgUCBgIHAggCCQI4AgsCDAINAggCCAIIAggCCAIIAggCCAIIAggCCAIIAggCCAIIAggCCAIYAgMCOgIeAAKtAgICMQIEAgUCBgIHAggCCQI4AgsCDAINAggCCAIIAggCCAIIAggCCAIIAggCCAIIAggCCAIIAggCCAIYAgMCOQIeAAKtAgICSwIEAgUCBgIHAggCCQIKAgsCDAINAggCCAIIAggCCAIIAggCCAIIAggCCAIIAggCCAIIAggCCAIYAgMC1XNxAH4AAAAAAAJzcQB+AAT///////////////7////+/////3VxAH4ABwAAAAQIJf+xeHh3igIeAAKtAgICGwIEAgUCBgIHAggCCQIKAgsCDAINAggCCAIIAggCCAIIAggCCAIIAggCCAIIAggCCAIIAggCCAIYAgMCHAIeAAKtAgICLQIEAgUCBgIHAggCCQKpAgsCDAINAggCCAIIAggCCAIIAggCCAIIAggCCAIIAggCCAIIAggCCAIYAgMC1nNxAH4AAAAAAAJzcQB+AAT///////////////7////+/////3VxAH4ABwAAAAMD3Kt4eHdFAh4AAq0CAgJZAgQCBQIGAgcCCAIJAqkCCwIMAg0CCAIIAggCCAIIAggCCAIIAggCCAIIAggCCAIIAggCCAIIAhgCAwLXc3EAfgAAAAAAAnNxAH4ABP///////////////v////7/////dXEAfgAHAAAAAw6D3Xh4d0UCHgACrQICAlMCBAIFAgYCBwIIAgkCOAILAgwCDQIIAggCCAIIAggCCAIIAggCCAIIAggCCAIIAggCCAIIAggCGAIDAthzcQB+AAAAAAACc3EAfgAE///////////////+/////v////91cQB+AAcAAAAESHB4r3h4egAABAACHgACrQICAgMCBAIFAgYCBwIIAgkCOAILAgwCDQIIAggCCAIIAggCCAIIAggCCAIIAggCCAIIAggCCAIIAggCGAIDAkQCHgAC2QAJNDE3MDE0NzQ0AgICewIEAgUCBgIHAggCCQIKAgsCDAINAggCCAIIAggCCAIIAggCCAIIAggCCAIIAggCCAIIAggCCAISAgMCugIeAALZAgICXwIEAgUCBgIHAggCCQI4AgsCDAINAggCCAIIAggCCAIIAggCCAIIAggCCAIIAggCCAIIAggCCAISAgMCzwIeAALZAgICUwIEAgUCBgIHAggCCQI4AgsCDAINAggCCAIIAggCCAIIAggCCAIIAggCCAIIAggCCAIIAggCCAISAgMC2AIeAALZAgICKQIEAgUCBgIHAggCCQKpAgsCDAINAggCCAIIAggCCAIIAggCCAIIAggCCAIIAggCCAIIAggCCAISAgMCzgIeAALZAgICHwIEAgUCBgIHAggCCQIKAgsCDAINAggCCAIIAggCCAIIAggCCAIIAggCCAIIAggCCAIIAggCCAISAgMCIAIeAALZAgICTwIEAgUCBgIHAggCCQKpAgsCDAINAggCCAIIAggCCAIIAggCCAIIAggCCAIIAggCCAIIAggCCAISAgMCUAIeAALZAgICAwIEAgUCBgIHAggCCQI4AgsCDAINAggCCAIIAggCCAIIAggCCAIIAggCCAIIAggCCAIIAggCCAISAgMCRAIeAALZAgICHQIEAgUCBgIHAggCCQI4AgsCDAINAggCCAIIAggCCAIIAggCCAIIAggCCAIIAggCCAIIAggCCAISAgMCQgIeAALZAgICeAIEAgUCBgIHAggCCQIKAgsCDAINAggCCAIIAggCCAIIAggCCAIIAggCCAIIAggCCAIIAggCCAISAgMCwQIeAALZAgICVgIEAgUCBgIHAggCCQIKAgsCDAINAggCCAIIAggCCAIIAggCCAIIAggCCAIIAggCCAIIAggCCAISAgMCtQIeAALZAgICaQIEAgUCBgIHAggCCQI4AgsCDAINAggCCAIIAggCCAIIAggCCAIIAggCCAIIAggCCAIIAggCCAISAgMCxwIeAALZAgICLQIEAgUCBgIHAggCCQI4AgsCDAINAggCCAIIAggCCAIIAggCCAIIAggCCAIIAggCCAIIAggCCAISAgMCQAIeAALZAgICMwIEAgUCBgIHAggCCQKpAgsCDAINAggCCAIIAggCCAIIAggCCAIIAggCCAIIAggCCAIIAggCCAISAgMCUAIeAALZAgICNQIEAgUCBgIHAggCCQKpAgsCDAINAggCCAIIAggCCAIIAggCCAIIegAABAACCAIIAggCCAIIAggCCAIIAhICAwKyAh4AAtkCAgIrAgQCBQIGAgcCCAIJAqkCCwIMAg0CCAIIAggCCAIIAggCCAIIAggCCAIIAggCCAIIAggCCAIIAhICAwLFAh4AAtkCAgJ7AgQCBQIGAgcCCAIJAjgCCwIMAg0CCAIIAggCCAIIAggCCAIIAggCCAIIAggCCAIIAggCCAIIAhICAwLGAh4AAtkCAgJmAgQCBQIGAgcCCAIJAqkCCwIMAg0CCAIIAggCCAIIAggCCAIIAggCCAIIAggCCAIIAggCCAIIAhICAwJQAh4AAtkCAgIxAgQCBQIGAgcCCAIJAgoCCwIMAg0CCAIIAggCCAIIAggCCAIIAggCCAIIAggCCAIIAggCCAIIAhICAwIyAh4AAtkCAgKCAgQCBQIGAgcCCAIJAgoCCwIMAg0CCAIIAggCCAIIAggCCAIIAggCCAIIAggCCAIIAggCCAIIAhICAwLIAh4AAtkCAgIhAgQCBQIGAgcCCAIJAgoCCwIMAg0CCAIIAggCCAIIAggCCAIIAggCCAIIAggCCAIIAggCCAIIAhICAwIiAh4AAtkCAgJfAgQCBQIGAgcCCAIJAgoCCwIMAg0CCAIIAggCCAIIAggCCAIIAggCCAIIAggCCAIIAggCCAIIAhICAwKxAh4AAtkCAgInAgQCBQIGAgcCCAIJAjgCCwIMAg0CCAIIAggCCAIIAggCCAIIAggCCAIIAggCCAIIAggCCAIIAhICAwI+Ah4AAtkCAgIfAgQCBQIGAgcCCAIJAjgCCwIMAg0CCAIIAggCCAIIAggCCAIIAggCCAIIAggCCAIIAggCCAIIAhICAwJHAh4AAtkCAgJ4AgQCBQIGAgcCCAIJAjgCCwIMAg0CCAIIAggCCAIIAggCCAIIAggCCAIIAggCCAIIAggCCAIIAhICAwLDAh4AAtkCAgJfAgQCBQIGAgcCCAIJAqkCCwIMAg0CCAIIAggCCAIIAggCCAIIAggCCAIIAggCCAIIAggCCAIIAhICAwLCAh4AAtkCAgIjAgQCBQIGAgcCCAIJAqkCCwIMAg0CCAIIAggCCAIIAggCCAIIAggCCAIIAggCCAIIAggCCAIIAhICAwJQAh4AAtkCAgJ1AgQCBQIGAgcCCAIJAqkCCwIMAg0CCAIIAggCCAIIAggCCAIIAggCCAIIAggCCAIIAggCCAIIAhICAwKwAh4AAtkCAgIhAgQCBQIGAgcCCAIJAqkCCwIMAg0CCAIIAggCCAIIAggCCAIIAggCCAIIAggCCAIIAggCCAIIAhICAwJQAh4AAtkCAgIjAgQCBQIGAgcCCAIJAgoCCwIMAg0CCAIIAggCegAAAxgIAggCCAIIAggCCAIIAggCCAIIAggCCAIIAggCEgIDAiQCHgAC2QICAi8CBAIFAgYCBwIIAgkCqQILAgwCDQIIAggCCAIIAggCCAIIAggCCAIIAggCCAIIAggCCAIIAggCEgIDAq4CHgAC2QICAi0CBAIFAgYCBwIIAgkCCgILAgwCDQIIAggCCAIIAggCCAIIAggCCAIIAggCCAIIAggCCAIIAggCEgIDAi4CHgAC2QICAgMCBAIFAgYCBwIIAgkCCgILAgwCDQIIAggCCAIIAggCCAIIAggCCAIIAggCCAIIAggCCAIIAggCEgIDAg4CHgAC2QICAlMCBAIFAgYCBwIIAgkCCgILAgwCDQIIAggCCAIIAggCCAIIAggCCAIIAggCCAIIAggCCAIIAggCEgIDArYCHgAC2QICAoUCBAIFAgYCBwIIAgkCCgILAgwCDQIIAggCCAIIAggCCAIIAggCCAIIAggCCAIIAggCCAIIAggCEgIDArsCHgAC2QICAmkCBAIFAgYCBwIIAgkCqQILAgwCDQIIAggCCAIIAggCCAIIAggCCAIIAggCCAIIAggCCAIIAggCEgIDAssCHgAC2QICAlkCBAIFAgYCBwIIAgkCOAILAgwCDQIIAggCCAIIAggCCAIIAggCCAIIAggCCAIIAggCCAIIAggCEgIDArgCHgAC2QICAlYCBAIFAgYCBwIIAgkCOAILAgwCDQIIAggCCAIIAggCCAIIAggCCAIIAggCCAIIAggCCAIIAggCEgIDAr4CHgAC2QICAhsCBAIFAgYCBwIIAgkCqQILAgwCDQIIAggCCAIIAggCCAIIAggCCAIIAggCCAIIAggCCAIIAggCEgIDAr8CHgAC2QICAicCBAIFAgYCBwIIAgkCqQILAgwCDQIIAggCCAIIAggCCAIIAggCCAIIAggCCAIIAggCCAIIAggCEgIDArkCHgAC2QICAmYCBAIFAgYCBwIIAgkCOAILAgwCDQIIAggCCAIIAggCCAIIAggCCAIIAggCCAIIAggCCAIIAggCEgIDAtpzcQB+AAAAAAACc3EAfgAE///////////////+/////v////91cQB+AAcAAAAEXOXAsHh4egAABAACHgAC2QICAksCBAIFAgYCBwIIAgkCqQILAgwCDQIIAggCCAIIAggCCAIIAggCCAIIAggCCAIIAggCCAIIAggCEgIDAsACHgAC2QICAisCBAIFAgYCBwIIAgkCOAILAgwCDQIIAggCCAIIAggCCAIIAggCCAIIAggCCAIIAggCCAIIAggCEgIDAj8CHgAC2QICAikCBAIFAgYCBwIIAgkCCgILAgwCDQIIAggCCAIIAggCCAIIAggCCAIIAggCCAIIAggCCAIIAggCEgIDAioCHgAC2QICAiMCBAIFAgYCBwIIAgkCOAILAgwCDQIIAggCCAIIAggCCAIIAggCCAIIAggCCAIIAggCCAIIAggCEgIDAjsCHgAC2QICAngCBAIFAgYCBwIIAgkCqQILAgwCDQIIAggCCAIIAggCCAIIAggCCAIIAggCCAIIAggCCAIIAggCEgIDAtICHgAC2QICAnUCBAIFAgYCBwIIAgkCOAILAgwCDQIIAggCCAIIAggCCAIIAggCCAIIAggCCAIIAggCCAIIAggCEgIDArcCHgAC2QICAh8CBAIFAgYCBwIIAgkCqQILAgwCDQIIAggCCAIIAggCCAIIAggCCAIIAggCCAIIAggCCAIIAggCEgIDAtACHgAC2QICAiUCBAIFAgYCBwIIAgkCCgILAgwCDQIIAggCCAIIAggCCAIIAggCCAIIAggCCAIIAggCCAIIAggCEgIDAiYCHgAC2QICAnsCBAIFAgYCBwIIAgkCqQILAgwCDQIIAggCCAIIAggCCAIIAggCCAIIAggCCAIIAggCCAIIAggCEgIDAtECHgAC2QICAjUCBAIFAgYCBwIIAgkCOAILAgwCDQIIAggCCAIIAggCCAIIAggCCAIIAggCCAIIAggCCAIIAggCEgIDAkUCHgAC2QICAjMCBAIFAgYCBwIIAgkCOAILAgwCDQIIAggCCAIIAggCCAIIAggCCAIIAggCCAIIAggCCAIIAggCEgIDAkECHgAC2QICAi8CBAIFAgYCBwIIAgkCOAILAgwCDQIIAggCCAIIAggCCAIIAggCCAIIAggCCAIIAggCCAIIAggCEgIDAkMCHgAC2QICAksCBAIFAgYCBwIIAgkCCgILAgwCDQIIAggCCAIIAggCCAIIAggCCAIIAggCCAIIAggCCAIIAggCEgIDAtUCHgAC2QICAhsCBAIFAgYCBwIIAgkCCgILAgwCDQIIAggCCAIIAggCCAIIAggCCAIIAggCCAIIAggCCAIIAggCEgIDAhwCHgAC2QICAoICBAIFAgYCBwIIAgkCqQILAgwCDQIIAggCCAIIAggCCAIIAggCCAIIAggCCAIIAggCd5UIAggCCAISAgMCvAIeAALZAgICHQIEAgUCBgIHAggCCQKpAgsCDAINAggCCAIIAggCCAIIAggCCAIIAggCCAIIAggCCAIIAggCCAISAgMCUAIeAALZAgICTwIEAgUCBgIHAggCCQIKAgsCDAINAggCCAIIAggCCAIIAggCCAIIAggCCAIIAggCCAIIAggCCAISAgMC23NxAH4AAAAAAAJzcQB+AAT///////////////7////+/////3VxAH4ABwAAAAQHGT+ZeHh6AAACsgIeAALZAgICMQIEAgUCBgIHAggCCQKpAgsCDAINAggCCAIIAggCCAIIAggCCAIIAggCCAIIAggCCAIIAggCCAISAgMCvQIeAALZAgIChQIEAgUCBgIHAggCCQI4AgsCDAINAggCCAIIAggCCAIIAggCCAIIAggCCAIIAggCCAIIAggCCAISAgMC0wIeAALZAgICJQIEAgUCBgIHAggCCQI4AgsCDAINAggCCAIIAggCCAIIAggCCAIIAggCCAIIAggCCAIIAggCCAISAgMCPAIeAALZAgICUwIEAgUCBgIHAggCCQKpAgsCDAINAggCCAIIAggCCAIIAggCCAIIAggCCAIIAggCCAIIAggCCAISAgMCxAIeAALZAgICVgIEAgUCBgIHAggCCQKpAgsCDAINAggCCAIIAggCCAIIAggCCAIIAggCCAIIAggCCAIIAggCCAISAgMCygIeAALZAgICWQIEAgUCBgIHAggCCQIKAgsCDAINAggCCAIIAggCCAIIAggCCAIIAggCCAIIAggCCAIIAggCCAISAgMCrwIeAALZAgICKwIEAgUCBgIHAggCCQIKAgsCDAINAggCCAIIAggCCAIIAggCCAIIAggCCAIIAggCCAIIAggCCAISAgMCLAIeAALZAgICKQIEAgUCBgIHAggCCQI4AgsCDAINAggCCAIIAggCCAIIAggCCAIIAggCCAIIAggCCAIIAggCCAISAgMCPQIeAALZAgICLwIEAgUCBgIHAggCCQIKAgsCDAINAggCCAIIAggCCAIIAggCCAIIAggCCAIIAggCCAIIAggCCAISAgMCMAIeAALZAgICZgIEAgUCBgIHAggCCQIKAgsCDAINAggCCAIIAggCCAIIAggCCAIIAggCCAIIAggCCAIIAggCCAISAgMC3HNxAH4AAAAAAAJzcQB+AAT///////////////7////+/////3VxAH4ABwAAAAQESkGVeHh3igIeAALZAgICAwIEAgUCBgIHAggCCQKpAgsCDAINAggCCAIIAggCCAIIAggCCAIIAggCCAIIAggCCAIIAggCCAISAgMCzAIeAALZAgICTwIEAgUCBgIHAggCCQI4AgsCDAINAggCCAIIAggCCAIIAggCCAIIAggCCAIIAggCCAIIAggCCAISAgMC3XNxAH4AAAAAAAJzcQB+AAT///////////////7////+/////3VxAH4ABwAAAARaqchfeHh6AAAEAAIeAALZAgICGwIEAgUCBgIHAggCCQI4AgsCDAINAggCCAIIAggCCAIIAggCCAIIAggCCAIIAggCCAIIAggCCAISAgMCRgIeAALZAgICSwIEAgUCBgIHAggCCQI4AgsCDAINAggCCAIIAggCCAIIAggCCAIIAggCCAIIAggCCAIIAggCCAISAgMCtAIeAALZAgICWQIEAgUCBgIHAggCCQKpAgsCDAINAggCCAIIAggCCAIIAggCCAIIAggCCAIIAggCCAIIAggCCAISAgMC1wIeAALZAgIChQIEAgUCBgIHAggCCQKpAgsCDAINAggCCAIIAggCCAIIAggCCAIIAggCCAIIAggCCAIIAggCCAISAgMCswIeAALZAgICdQIEAgUCBgIHAggCCQIKAgsCDAINAggCCAIIAggCCAIIAggCCAIIAggCCAIIAggCCAIIAggCCAISAgMCzQIeAALZAgICLQIEAgUCBgIHAggCCQKpAgsCDAINAggCCAIIAggCCAIIAggCCAIIAggCCAIIAggCCAIIAggCCAISAgMC1gIeAALZAgICHQIEAgUCBgIHAggCCQIKAgsCDAINAggCCAIIAggCCAIIAggCCAIIAggCCAIIAggCCAIIAggCCAISAgMCHgIeAALZAgICNQIEAgUCBgIHAggCCQIKAgsCDAINAggCCAIIAggCCAIIAggCCAIIAggCCAIIAggCCAIIAggCCAISAgMCNgIeAALZAgICggIEAgUCBgIHAggCCQI4AgsCDAINAggCCAIIAggCCAIIAggCCAIIAggCCAIIAggCCAIIAggCCAISAgMCyQIeAALZAgICMwIEAgUCBgIHAggCCQIKAgsCDAINAggCCAIIAggCCAIIAggCCAIIAggCCAIIAggCCAIIAggCCAISAgMCNAIeAALZAgICJwIEAgUCBgIHAggCCQIKAgsCDAINAggCCAIIAggCCAIIAggCCAIIAggCCAIIAggCCAIIAggCCAISAgMCKAIeAALZAgICaQIEAgUCBgIHAggCCQIKAgsCDAINAggCCAIIAggCCAIIAggCCAIIAggCCAIIAggCCAIIAggCCAISAgMC1AIeAALZAgICJQIEAgUCBgIHAggCCQKpAgsCDAINAggCCAIIAggCCAIIAggCCAIIAggCCAIIAggCCAIIAggCCAISAgMCUAIeAALZAgICMQIEAgUCBgIHAggCCQI4AgsCDAINAggCCAIIAggCCAIIAggCCAIIAggCCAIIAggCCAIIAggCCAISAgMCOQIeAALZAgICIQIEAgUCBgIHAggCCQI4AgsCDAINAggCCAIIAggCCAIIAggCCAIIAggCCAIIAggCCAJ6AAAEAAgCCAIIAhICAwI6Ah4AAt4ACTQyNTQzMzIxNgICAl8CBAIFAgYCBwIIAgkCOAILAgwCDQIIAggCCAIIAggCCAIIAggCCAIIAggCCAIIAggCCAIIAggAAgMCzwIeAALeAgICAwIEAgUCBgIHAggCCQI4AgsCDAINAggCCAIIAggCCAIIAggCCAIIAggCCAIIAggCCAIIAggCCAACAwJEAh4AAt4CAgJpAgQCBQIGAgcCCAIJAgoCCwIMAg0CCAIIAggCCAIIAggCCAIIAggCCAIIAggCCAIIAggCCAIIAAIDAtQCHgAC3gICAiUCBAIFAgYCBwIIAgkCqQILAgwCDQIIAggCCAIIAggCCAIIAggCCAIIAggCCAIIAggCCAIIAggAAgMCUAIeAALeAgICIQIEAgUCBgIHAggCCQI4AgsCDAINAggCCAIIAggCCAIIAggCCAIIAggCCAIIAggCCAIIAggCCAACAwI6Ah4AAt4CAgJ7AgQCBQIGAgcCCAIJAgoCCwIMAg0CCAIIAggCCAIIAggCCAIIAggCCAIIAggCCAIIAggCCAIIAAIDAroCHgAC3gICAh8CBAIFAgYCBwIIAgkCCgILAgwCDQIIAggCCAIIAggCCAIIAggCCAIIAggCCAIIAggCCAIIAggAAgMCIAIeAALeAgICeAIEAgUCBgIHAggCCQIKAgsCDAINAggCCAIIAggCCAIIAggCCAIIAggCCAIIAggCCAIIAggCCAACAwLBAh4AAt4CAgJZAgQCBQIGAgcCCAIJAjgCCwIMAg0CCAIIAggCCAIIAggCCAIIAggCCAIIAggCCAIIAggCCAIIAAIDArgCHgAC3gICAh0CBAIFAgYCBwIIAgkCCgILAgwCDQIIAggCCAIIAggCCAIIAggCCAIIAggCCAIIAggCCAIIAggAAgMCHgIeAALeAgICKQIEAgUCBgIHAggCCQKpAgsCDAINAggCCAIIAggCCAIIAggCCAIIAggCCAIIAggCCAIIAggCCAACAwLOAh4AAt4CAgIzAgQCBQIGAgcCCAIJAqkCCwIMAg0CCAIIAggCCAIIAggCCAIIAggCCAIIAggCCAIIAggCCAIIAAIDAlACHgAC3gICAjUCBAIFAgYCBwIIAgkCqQILAgwCDQIIAggCCAIIAggCCAIIAggCCAIIAggCCAIIAggCCAIIAggAAgMCsgIeAALeAgICaQIEAgUCBgIHAggCCQI4AgsCDAINAggCCAIIAggCCAIIAggCCAIIAggCCAIIAggCCAIIAggCCAACAwLHAh4AAt4CAgInAgQCBQIGAgcCCAIJAjgCCwIMAg0CCAIIAggCCAIIAggCCAIIAggCCAJ6AAAEAAgCCAIIAggCCAIIAggAAgMCPgIeAALeAgICUwIEAgUCBgIHAggCCQIKAgsCDAINAggCCAIIAggCCAIIAggCCAIIAggCCAIIAggCCAIIAggCCAACAwK2Ah4AAt4CAgIbAgQCBQIGAgcCCAIJAjgCCwIMAg0CCAIIAggCCAIIAggCCAIIAggCCAIIAggCCAIIAggCCAIIAAIDAkYCHgAC3gICAoICBAIFAgYCBwIIAgkCCgILAgwCDQIIAggCCAIIAggCCAIIAggCCAIIAggCCAIIAggCCAIIAggAAgMCyAIeAALeAgICVgIEAgUCBgIHAggCCQIKAgsCDAINAggCCAIIAggCCAIIAggCCAIIAggCCAIIAggCCAIIAggCCAACAwK1Ah4AAt4CAgItAgQCBQIGAgcCCAIJAjgCCwIMAg0CCAIIAggCCAIIAggCCAIIAggCCAIIAggCCAIIAggCCAIIAAIDAkACHgAC3gICAiECBAIFAgYCBwIIAgkCCgILAgwCDQIIAggCCAIIAggCCAIIAggCCAIIAggCCAIIAggCCAIIAggAAgMCIgIeAALeAgICMQIEAgUCBgIHAggCCQIKAgsCDAINAggCCAIIAggCCAIIAggCCAIIAggCCAIIAggCCAIIAggCCAACAwIyAh4AAt4CAgJLAgQCBQIGAgcCCAIJAjgCCwIMAg0CCAIIAggCCAIIAggCCAIIAggCCAIIAggCCAIIAggCCAIIAAIDArQCHgAC3gICAmYCBAIFAgYCBwIIAgkCCgILAgwCDQIIAggCCAIIAggCCAIIAggCCAIIAggCCAIIAggCCAIIAggAAgMC3AIeAALeAgICdQIEAgUCBgIHAggCCQKpAgsCDAINAggCCAIIAggCCAIIAggCCAIIAggCCAIIAggCCAIIAggCCAACAwKwAh4AAt4CAgIpAgQCBQIGAgcCCAIJAjgCCwIMAg0CCAIIAggCCAIIAggCCAIIAggCCAIIAggCCAIIAggCCAIIAAIDAj0CHgAC3gICAnUCBAIFAgYCBwIIAgkCCgILAgwCDQIIAggCCAIIAggCCAIIAggCCAIIAggCCAIIAggCCAIIAggAAgMCzQIeAALeAgICXwIEAgUCBgIHAggCCQIKAgsCDAINAggCCAIIAggCCAIIAggCCAIIAggCCAIIAggCCAIIAggCCAACAwKxAh4AAt4CAgJmAgQCBQIGAgcCCAIJAqkCCwIMAg0CCAIIAggCCAIIAggCCAIIAggCCAIIAggCCAIIAggCCAIIAAIDAlACHgAC3gICAlkCBAIFAgYCBwIIAgkCqQILAgwCDQIIAggCCAIIAggCCAIIAggCCAIIAggCCAJ6AAAEAAgCCAIIAggCCAACAwLXAh4AAt4CAgIrAgQCBQIGAgcCCAIJAqkCCwIMAg0CCAIIAggCCAIIAggCCAIIAggCCAIIAggCCAIIAggCCAIIAAIDAsUCHgAC3gICAk8CBAIFAgYCBwIIAgkCOAILAgwCDQIIAggCCAIIAggCCAIIAggCCAIIAggCCAIIAggCCAIIAggAAgMC3QIeAALeAgICewIEAgUCBgIHAggCCQI4AgsCDAINAggCCAIIAggCCAIIAggCCAIIAggCCAIIAggCCAIIAggCCAACAwLGAh4AAt4CAgIvAgQCBQIGAgcCCAIJAgoCCwIMAg0CCAIIAggCCAIIAggCCAIIAggCCAIIAggCCAIIAggCCAIIAAIDAjACHgAC3gICAoUCBAIFAgYCBwIIAgkCqQILAgwCDQIIAggCCAIIAggCCAIIAggCCAIIAggCCAIIAggCCAIIAggAAgMCswIeAALeAgICGwIEAgUCBgIHAggCCQIKAgsCDAINAggCCAIIAggCCAIIAggCCAIIAggCCAIIAggCCAIIAggCCAACAwIcAh4AAt4CAgJLAgQCBQIGAgcCCAIJAgoCCwIMAg0CCAIIAggCCAIIAggCCAIIAggCCAIIAggCCAIIAggCCAIIAAIDAtUCHgAC3gICAjECBAIFAgYCBwIIAgkCOAILAgwCDQIIAggCCAIIAggCCAIIAggCCAIIAggCCAIIAggCCAIIAggAAgMCOQIeAALeAgICggIEAgUCBgIHAggCCQI4AgsCDAINAggCCAIIAggCCAIIAggCCAIIAggCCAIIAggCCAIIAggCCAACAwLJAh4AAt4CAgInAgQCBQIGAgcCCAIJAgoCCwIMAg0CCAIIAggCCAIIAggCCAIIAggCCAIIAggCCAIIAggCCAIIAAIDAigCHgAC3gICAlMCBAIFAgYCBwIIAgkCOAILAgwCDQIIAggCCAIIAggCCAIIAggCCAIIAggCCAIIAggCCAIIAggAAgMC2AIeAALeAgICHwIEAgUCBgIHAggCCQKpAgsCDAINAggCCAIIAggCCAIIAggCCAIIAggCCAIIAggCCAIIAggCCAACAwLQAh4AAt4CAgJ4AgQCBQIGAgcCCAIJAqkCCwIMAg0CCAIIAggCCAIIAggCCAIIAggCCAIIAggCCAIIAggCCAIIAAIDAtICHgAC3gICAi0CBAIFAgYCBwIIAgkCqQILAgwCDQIIAggCCAIIAggCCAIIAggCCAIIAggCCAIIAggCCAIIAggAAgMC1gIeAALeAgICIwIEAgUCBgIHAggCCQI4AgsCDAINAggCCAIIAggCCAIIAggCCAIIAggCCAIIAggCCAJ6AAAEAAgCCAIIAAIDAjsCHgAC3gICAikCBAIFAgYCBwIIAgkCCgILAgwCDQIIAggCCAIIAggCCAIIAggCCAIIAggCCAIIAggCCAIIAggAAgMCKgIeAALeAgICdQIEAgUCBgIHAggCCQI4AgsCDAINAggCCAIIAggCCAIIAggCCAIIAggCCAIIAggCCAIIAggCCAACAwK3Ah4AAt4CAgIvAgQCBQIGAgcCCAIJAjgCCwIMAg0CCAIIAggCCAIIAggCCAIIAggCCAIIAggCCAIIAggCCAIIAAIDAkMCHgAC3gICAoUCBAIFAgYCBwIIAgkCOAILAgwCDQIIAggCCAIIAggCCAIIAggCCAIIAggCCAIIAggCCAIIAggAAgMC0wIeAALeAgICNQIEAgUCBgIHAggCCQIKAgsCDAINAggCCAIIAggCCAIIAggCCAIIAggCCAIIAggCCAIIAggCCAACAwI2Ah4AAt4CAgJ7AgQCBQIGAgcCCAIJAqkCCwIMAg0CCAIIAggCCAIIAggCCAIIAggCCAIIAggCCAIIAggCCAIIAAIDAtECHgAC3gICAmkCBAIFAgYCBwIIAgkCqQILAgwCDQIIAggCCAIIAggCCAIIAggCCAIIAggCCAIIAggCCAIIAggAAgMCywIeAALeAgICMwIEAgUCBgIHAggCCQIKAgsCDAINAggCCAIIAggCCAIIAggCCAIIAggCCAIIAggCCAIIAggCCAACAwI0Ah4AAt4CAgInAgQCBQIGAgcCCAIJAqkCCwIMAg0CCAIIAggCCAIIAggCCAIIAggCCAIIAggCCAIIAggCCAIIAAIDArkCHgAC3gICAk8CBAIFAgYCBwIIAgkCCgILAgwCDQIIAggCCAIIAggCCAIIAggCCAIIAggCCAIIAggCCAIIAggAAgMC2wIeAALeAgICMQIEAgUCBgIHAggCCQKpAgsCDAINAggCCAIIAggCCAIIAggCCAIIAggCCAIIAggCCAIIAggCCAACAwK9Ah4AAt4CAgJWAgQCBQIGAgcCCAIJAqkCCwIMAg0CCAIIAggCCAIIAggCCAIIAggCCAIIAggCCAIIAggCCAIIAAIDAsoCHgAC3gICAgMCBAIFAgYCBwIIAgkCqQILAgwCDQIIAggCCAIIAggCCAIIAggCCAIIAggCCAIIAggCCAIIAggAAgMCzAIeAALeAgICIwIEAgUCBgIHAggCCQIKAgsCDAINAggCCAIIAggCCAIIAggCCAIIAggCCAIIAggCCAIIAggCCAACAwIkAh4AAt4CAgJTAgQCBQIGAgcCCAIJAqkCCwIMAg0CCAIIAggCCAIIAggCCAIIAggCCAIIAggCCAIIAggCCAJ6AAAEAAgAAgMCxAIeAALeAgICJQIEAgUCBgIHAggCCQI4AgsCDAINAggCCAIIAggCCAIIAggCCAIIAggCCAIIAggCCAIIAggCCAACAwI8Ah4AAt4CAgIdAgQCBQIGAgcCCAIJAqkCCwIMAg0CCAIIAggCCAIIAggCCAIIAggCCAIIAggCCAIIAggCCAIIAAIDAlACHgAC3gICAiECBAIFAgYCBwIIAgkCqQILAgwCDQIIAggCCAIIAggCCAIIAggCCAIIAggCCAIIAggCCAIIAggAAgMCUAIeAALeAgICXwIEAgUCBgIHAggCCQKpAgsCDAINAggCCAIIAggCCAIIAggCCAIIAggCCAIIAggCCAIIAggCCAACAwLCAh4AAt4CAgIvAgQCBQIGAgcCCAIJAqkCCwIMAg0CCAIIAggCCAIIAggCCAIIAggCCAIIAggCCAIIAggCCAIIAAIDAq4CHgAC3gICAisCBAIFAgYCBwIIAgkCCgILAgwCDQIIAggCCAIIAggCCAIIAggCCAIIAggCCAIIAggCCAIIAggAAgMCLAIeAALeAgICeAIEAgUCBgIHAggCCQI4AgsCDAINAggCCAIIAggCCAIIAggCCAIIAggCCAIIAggCCAIIAggCCAACAwLDAh4AAt4CAgIjAgQCBQIGAgcCCAIJAqkCCwIMAg0CCAIIAggCCAIIAggCCAIIAggCCAIIAggCCAIIAggCCAIIAAIDAlACHgAC3gICAh8CBAIFAgYCBwIIAgkCOAILAgwCDQIIAggCCAIIAggCCAIIAggCCAIIAggCCAIIAggCCAIIAggAAgMCRwIeAALeAgICWQIEAgUCBgIHAggCCQIKAgsCDAINAggCCAIIAggCCAIIAggCCAIIAggCCAIIAggCCAIIAggCCAACAwKvAh4AAt4CAgItAgQCBQIGAgcCCAIJAgoCCwIMAg0CCAIIAggCCAIIAggCCAIIAggCCAIIAggCCAIIAggCCAIIAAIDAi4CHgAC3gICAgMCBAIFAgYCBwIIAgkCCgILAgwCDQIIAggCCAIIAggCCAIIAggCCAIIAggCCAIIAggCCAIIAggAAgMCDgIeAALeAgICggIEAgUCBgIHAggCCQKpAgsCDAINAggCCAIIAggCCAIIAggCCAIIAggCCAIIAggCCAIIAggCCAACAwK8Ah4AAt4CAgIzAgQCBQIGAgcCCAIJAjgCCwIMAg0CCAIIAggCCAIIAggCCAIIAggCCAIIAggCCAIIAggCCAIIAAIDAkECHgAC3gICAlYCBAIFAgYCBwIIAgkCOAILAgwCDQIIAggCCAIIAggCCAIIAggCCAIIAggCCAIIAggCCAIIAggAAgN6AAAEAAK+Ah4AAt4CAgJPAgQCBQIGAgcCCAIJAqkCCwIMAg0CCAIIAggCCAIIAggCCAIIAggCCAIIAggCCAIIAggCCAIIAAIDAlACHgAC3gICAjUCBAIFAgYCBwIIAgkCOAILAgwCDQIIAggCCAIIAggCCAIIAggCCAIIAggCCAIIAggCCAIIAggAAgMCRQIeAALeAgIChQIEAgUCBgIHAggCCQIKAgsCDAINAggCCAIIAggCCAIIAggCCAIIAggCCAIIAggCCAIIAggCCAACAwK7Ah4AAt4CAgIdAgQCBQIGAgcCCAIJAjgCCwIMAg0CCAIIAggCCAIIAggCCAIIAggCCAIIAggCCAIIAggCCAIIAAIDAkICHgAC3gICAmYCBAIFAgYCBwIIAgkCOAILAgwCDQIIAggCCAIIAggCCAIIAggCCAIIAggCCAIIAggCCAIIAggAAgMC2gIeAALeAgICKwIEAgUCBgIHAggCCQI4AgsCDAINAggCCAIIAggCCAIIAggCCAIIAggCCAIIAggCCAIIAggCCAACAwI/Ah4AAt4CAgIbAgQCBQIGAgcCCAIJAqkCCwIMAg0CCAIIAggCCAIIAggCCAIIAggCCAIIAggCCAIIAggCCAIIAAIDAr8CHgAC3gICAiUCBAIFAgYCBwIIAgkCCgILAgwCDQIIAggCCAIIAggCCAIIAggCCAIIAggCCAIIAggCCAIIAggAAgMCJgIeAALeAgICSwIEAgUCBgIHAggCCQKpAgsCDAINAggCCAIIAggCCAIIAggCCAIIAggCCAIIAggCCAIIAggCCAACAwLAAh4AAt8ACTQzMDk4NTQ3MgICAoUCBAIFAgYCBwIIAgkCOAILAgwCDQIIAggCCAIIAggCCAIIAggCCAIIAggCCAIIAggCCAIIAggCGgIDAtMCHgAC3wICAh8CBAIFAgYCBwIIAgkCqQILAgwCDQIIAggCCAIIAggCCAIIAggCCAIIAggCCAIIAggCCAIIAggCGgIDAtACHgAC3wICAiMCBAIFAgYCBwIIAgkCOAILAgwCDQIIAggCCAIIAggCCAIIAggCCAIIAggCCAIIAggCCAIIAggCGgIDAjsCHgAC3wICAjECBAIFAgYCBwIIAgkCqQILAgwCDQIIAggCCAIIAggCCAIIAggCCAIIAggCCAIIAggCCAIIAggCGgIDAr0CHgAC3wICAikCBAIFAgYCBwIIAgkCCgILAgwCDQIIAggCCAIIAggCCAIIAggCCAIIAggCCAIIAggCCAIIAggCGgIDAioCHgAC3wICAngCBAIFAgYCBwIIAgkCqQILAgwCDQIIAggCCAIIAggCCAIIAggCCAIIAggCCAJ6AAAEAAgCCAIIAggCCAIaAgMC0gIeAALfAgICLQIEAgUCBgIHAggCCQIKAgsCDAINAggCCAIIAggCCAIIAggCCAIIAggCCAIIAggCCAIIAggCCAIaAgMCLgIeAALfAgICggIEAgUCBgIHAggCCQKpAgsCDAINAggCCAIIAggCCAIIAggCCAIIAggCCAIIAggCCAIIAggCCAIaAgMCvAIeAALfAgICSwIEAgUCBgIHAggCCQIKAgsCDAINAggCCAIIAggCCAIIAggCCAIIAggCCAIIAggCCAIIAggCCAIaAgMC1QIeAALfAgICGwIEAgUCBgIHAggCCQIKAgsCDAINAggCCAIIAggCCAIIAggCCAIIAggCCAIIAggCCAIIAggCCAIaAgMCHAIeAALfAgICdQIEAgUCBgIHAggCCQI4AgsCDAINAggCCAIIAggCCAIIAggCCAIIAggCCAIIAggCCAIIAggCCAIaAgMCtwIeAALfAgICLwIEAgUCBgIHAggCCQI4AgsCDAINAggCCAIIAggCCAIIAggCCAIIAggCCAIIAggCCAIIAggCCAIaAgMCQwIeAALfAgICNQIEAgUCBgIHAggCCQI4AgsCDAINAggCCAIIAggCCAIIAggCCAIIAggCCAIIAggCCAIIAggCCAIaAgMCRQIeAALfAgICUwIEAgUCBgIHAggCCQKpAgsCDAINAggCCAIIAggCCAIIAggCCAIIAggCCAIIAggCCAIIAggCCAIaAgMCxAIeAALfAgICAwIEAgUCBgIHAggCCQKpAgsCDAINAggCCAIIAggCCAIIAggCCAIIAggCCAIIAggCCAIIAggCCAIaAgMCzAIeAALfAgICSwIEAgUCBgIHAggCCQI4AgsCDAINAggCCAIIAggCCAIIAggCCAIIAggCCAIIAggCCAIIAggCCAIaAgMCtAIeAALfAgICLwIEAgUCBgIHAggCCQIKAgsCDAINAggCCAIIAggCCAIIAggCCAIIAggCCAIIAggCCAIIAggCCAIaAgMCMAIeAALfAgIChQIEAgUCBgIHAggCCQKpAgsCDAINAggCCAIIAggCCAIIAggCCAIIAggCCAIIAggCCAIIAggCCAIaAgMCswIeAALfAgICIQIEAgUCBgIHAggCCQKpAgsCDAINAggCCAIIAggCCAIIAggCCAIIAggCCAIIAggCCAIIAggCCAIaAgMCUAIeAALfAgICIwIEAgUCBgIHAggCCQKpAgsCDAINAggCCAIIAggCCAIIAggCCAIIAggCCAIIAggCCAIIAggCCAIaAgMCUAIeAALfAgICKwIEAgUCBgIHAggCCQIKAgsCDAINAggCCAIIAggCCAIIAgh6AAAEAAIIAggCCAIIAggCCAIIAggCCAIIAhoCAwIsAh4AAt8CAgKCAgQCBQIGAgcCCAIJAjgCCwIMAg0CCAIIAggCCAIIAggCCAIIAggCCAIIAggCCAIIAggCCAIIAhoCAwLJAh4AAt8CAgJZAgQCBQIGAgcCCAIJAgoCCwIMAg0CCAIIAggCCAIIAggCCAIIAggCCAIIAggCCAIIAggCCAIIAhoCAwKvAh4AAt8CAgIxAgQCBQIGAgcCCAIJAjgCCwIMAg0CCAIIAggCCAIIAggCCAIIAggCCAIIAggCCAIIAggCCAIIAhoCAwI5Ah4AAt8CAgI1AgQCBQIGAgcCCAIJAgoCCwIMAg0CCAIIAggCCAIIAggCCAIIAggCCAIIAggCCAIIAggCCAIIAhoCAwI2Ah4AAt8CAgJ7AgQCBQIGAgcCCAIJAqkCCwIMAg0CCAIIAggCCAIIAggCCAIIAggCCAIIAggCCAIIAggCCAIIAhoCAwLRAh4AAt8CAgIpAgQCBQIGAgcCCAIJAqkCCwIMAg0CCAIIAggCCAIIAggCCAIIAggCCAIIAggCCAIIAggCCAIIAhoCAwLOAh4AAt8CAgIdAgQCBQIGAgcCCAIJAgoCCwIMAg0CCAIIAggCCAIIAggCCAIIAggCCAIIAggCCAIIAggCCAIIAhoCAwIeAh4AAt8CAgJ1AgQCBQIGAgcCCAIJAgoCCwIMAg0CCAIIAggCCAIIAggCCAIIAggCCAIIAggCCAIIAggCCAIIAhoCAwLNAh4AAt8CAgJWAgQCBQIGAgcCCAIJAgoCCwIMAg0CCAIIAggCCAIIAggCCAIIAggCCAIIAggCCAIIAggCCAIIAhoCAwK1Ah4AAt8CAgIbAgQCBQIGAgcCCAIJAjgCCwIMAg0CCAIIAggCCAIIAggCCAIIAggCCAIIAggCCAIIAggCCAIIAhoCAwJGAh4AAt8CAgJ4AgQCBQIGAgcCCAIJAgoCCwIMAg0CCAIIAggCCAIIAggCCAIIAggCCAIIAggCCAIIAggCCAIIAhoCAwLBAh4AAt8CAgIfAgQCBQIGAgcCCAIJAgoCCwIMAg0CCAIIAggCCAIIAggCCAIIAggCCAIIAggCCAIIAggCCAIIAhoCAwIgAh4AAt8CAgJTAgQCBQIGAgcCCAIJAjgCCwIMAg0CCAIIAggCCAIIAggCCAIIAggCCAIIAggCCAIIAggCCAIIAhoCAwLYAh4AAt8CAgJWAgQCBQIGAgcCCAIJAjgCCwIMAg0CCAIIAggCCAIIAggCCAIIAggCCAIIAggCCAIIAggCCAIIAhoCAwK+Ah4AAt8CAgIbAgQCBQIGAgcCCAIJAqkCCwIMAg0CCAJ6AAAEAAgCCAIIAggCCAIIAggCCAIIAggCCAIIAggCCAIIAggCGgIDAr8CHgAC3wICAksCBAIFAgYCBwIIAgkCqQILAgwCDQIIAggCCAIIAggCCAIIAggCCAIIAggCCAIIAggCCAIIAggCGgIDAsACHgAC3wICAl8CBAIFAgYCBwIIAgkCOAILAgwCDQIIAggCCAIIAggCCAIIAggCCAIIAggCCAIIAggCCAIIAggCGgIDAs8CHgAC3wICAmkCBAIFAgYCBwIIAgkCOAILAgwCDQIIAggCCAIIAggCCAIIAggCCAIIAggCCAIIAggCCAIIAggCGgIDAscCHgAC3wICAmkCBAIFAgYCBwIIAgkCCgILAgwCDQIIAggCCAIIAggCCAIIAggCCAIIAggCCAIIAggCCAIIAggCGgIDAtQCHgAC3wICAoICBAIFAgYCBwIIAgkCCgILAgwCDQIIAggCCAIIAggCCAIIAggCCAIIAggCCAIIAggCCAIIAggCGgIDAsgCHgAC3wICAnsCBAIFAgYCBwIIAgkCCgILAgwCDQIIAggCCAIIAggCCAIIAggCCAIIAggCCAIIAggCCAIIAggCGgIDAroCHgAC3wICAiECBAIFAgYCBwIIAgkCOAILAgwCDQIIAggCCAIIAggCCAIIAggCCAIIAggCCAIIAggCCAIIAggCGgIDAjoCHgAC3wICAicCBAIFAgYCBwIIAgkCOAILAgwCDQIIAggCCAIIAggCCAIIAggCCAIIAggCCAIIAggCCAIIAggCGgIDAj4CHgAC3wICAlkCBAIFAgYCBwIIAgkCqQILAgwCDQIIAggCCAIIAggCCAIIAggCCAIIAggCCAIIAggCCAIIAggCGgIDAtcCHgAC3wICAisCBAIFAgYCBwIIAgkCqQILAgwCDQIIAggCCAIIAggCCAIIAggCCAIIAggCCAIIAggCCAIIAggCGgIDAsUCHgAC3wICAicCBAIFAgYCBwIIAgkCCgILAgwCDQIIAggCCAIIAggCCAIIAggCCAIIAggCCAIIAggCCAIIAggCGgIDAigCHgAC3wICAnsCBAIFAgYCBwIIAgkCOAILAgwCDQIIAggCCAIIAggCCAIIAggCCAIIAggCCAIIAggCCAIIAggCGgIDAsYCHgAC3wICAi0CBAIFAgYCBwIIAgkCqQILAgwCDQIIAggCCAIIAggCCAIIAggCCAIIAggCCAIIAggCCAIIAggCGgIDAtYCHgAC3wICAl8CBAIFAgYCBwIIAgkCqQILAgwCDQIIAggCCAIIAggCCAIIAggCCAIIAggCCAIIAggCCAIIAggCGgIDAsICHgAC3wICAgMCBAIFAgYCBwIIAgl6AAAEAAI4AgsCDAINAggCCAIIAggCCAIIAggCCAIIAggCCAIIAggCCAIIAggCCAIaAgMCRAIeAALfAgICHQIEAgUCBgIHAggCCQI4AgsCDAINAggCCAIIAggCCAIIAggCCAIIAggCCAIIAggCCAIIAggCCAIaAgMCQgIeAALfAgICIwIEAgUCBgIHAggCCQIKAgsCDAINAggCCAIIAggCCAIIAggCCAIIAggCCAIIAggCCAIIAggCCAIaAgMCJAIeAALfAgICIQIEAgUCBgIHAggCCQIKAgsCDAINAggCCAIIAggCCAIIAggCCAIIAggCCAIIAggCCAIIAggCCAIaAgMCIgIeAALfAgICAwIEAgUCBgIHAggCCQIKAgsCDAINAggCCAIIAggCCAIIAggCCAIIAggCCAIIAggCCAIIAggCCAIaAgMCDgIeAALfAgICHQIEAgUCBgIHAggCCQKpAgsCDAINAggCCAIIAggCCAIIAggCCAIIAggCCAIIAggCCAIIAggCCAIaAgMCUAIeAALfAgICVgIEAgUCBgIHAggCCQKpAgsCDAINAggCCAIIAggCCAIIAggCCAIIAggCCAIIAggCCAIIAggCCAIaAgMCygIeAALfAgICdQIEAgUCBgIHAggCCQKpAgsCDAINAggCCAIIAggCCAIIAggCCAIIAggCCAIIAggCCAIIAggCCAIaAgMCsAIeAALfAgIChQIEAgUCBgIHAggCCQIKAgsCDAINAggCCAIIAggCCAIIAggCCAIIAggCCAIIAggCCAIIAggCCAIaAgMCuwIeAALfAgICXwIEAgUCBgIHAggCCQIKAgsCDAINAggCCAIIAggCCAIIAggCCAIIAggCCAIIAggCCAIIAggCCAIaAgMCsQIeAALfAgICKwIEAgUCBgIHAggCCQI4AgsCDAINAggCCAIIAggCCAIIAggCCAIIAggCCAIIAggCCAIIAggCCAIaAgMCPwIeAALfAgICKQIEAgUCBgIHAggCCQI4AgsCDAINAggCCAIIAggCCAIIAggCCAIIAggCCAIIAggCCAIIAggCCAIaAgMCPQIeAALfAgICMQIEAgUCBgIHAggCCQIKAgsCDAINAggCCAIIAggCCAIIAggCCAIIAggCCAIIAggCCAIIAggCCAIaAgMCMgIeAALfAgICWQIEAgUCBgIHAggCCQI4AgsCDAINAggCCAIIAggCCAIIAggCCAIIAggCCAIIAggCCAIIAggCCAIaAgMCuAIeAALfAgICJwIEAgUCBgIHAggCCQKpAgsCDAINAggCCAIIAggCCAIIAggCCAIIAggCCAIIAggCCAIIAggCCAIaAgMCuQIeAALfAgICaQJ6AAAEAAQCBQIGAgcCCAIJAqkCCwIMAg0CCAIIAggCCAIIAggCCAIIAggCCAIIAggCCAIIAggCCAIIAhoCAwLLAh4AAt8CAgIvAgQCBQIGAgcCCAIJAqkCCwIMAg0CCAIIAggCCAIIAggCCAIIAggCCAIIAggCCAIIAggCCAIIAhoCAwKuAh4AAt8CAgI1AgQCBQIGAgcCCAIJAqkCCwIMAg0CCAIIAggCCAIIAggCCAIIAggCCAIIAggCCAIIAggCCAIIAhoCAwKyAh4AAt8CAgJ4AgQCBQIGAgcCCAIJAjgCCwIMAg0CCAIIAggCCAIIAggCCAIIAggCCAIIAggCCAIIAggCCAIIAhoCAwLDAh4AAt8CAgJTAgQCBQIGAgcCCAIJAgoCCwIMAg0CCAIIAggCCAIIAggCCAIIAggCCAIIAggCCAIIAggCCAIIAhoCAwK2Ah4AAt8CAgItAgQCBQIGAgcCCAIJAjgCCwIMAg0CCAIIAggCCAIIAggCCAIIAggCCAIIAggCCAIIAggCCAIIAhoCAwJAAh4AAt8CAgIfAgQCBQIGAgcCCAIJAjgCCwIMAg0CCAIIAggCCAIIAggCCAIIAggCCAIIAggCCAIIAggCCAIIAhoCAwJHAh4AAuAACTQxNzAyMDU0NAICAnsCBAIFAgYCBwIIAgkCOAILAkkCDQIIAggCCAIIAggCCAIIAggCCAIIAggCCAIIAggCCAIIAggCFwIDApoCHgAC4AICAmkCBAIFAgYCBwIIAgkCTAILAkkCDQIIAggCCAIIAggCCAIIAggCCAIIAggCCAIIAggCCAIIAggCFwIDAnECHgAC4AICAoICBAIFAgYCBwIIAgkCCgILAkkCDQIIAggCCAIIAggCCAIIAggCCAIIAggCCAIIAggCCAIIAggCFwIDApkCHgAC4AICAicCBAIFAgYCBwIIAgkCTAILAkkCDQIIAggCCAIIAggCCAIIAggCCAIIAggCCAIIAggCCAIIAggCFwIDAo4CHgAC4AICAh0CBAIFAgYCBwIIAgkCTAILAkkCDQIIAggCCAIIAggCCAIIAggCCAIIAggCCAIIAggCCAIIAggCFwIDAlACHgAC4AICAngCBAIFAgYCBwIIAgkCOAILAkkCDQIIAggCCAIIAggCCAIIAggCCAIIAggCCAIIAggCCAIIAggCFwIDAo0CHgAC4AICAicCBAIFAgYCBwIIAgkCOAILAkkCDQIIAggCCAIIAggCCAIIAggCCAIIAggCCAIIAggCCAIIAggCFwIDAm0CHgAC4AICAlYCBAIFAgYCBwIIAgkCTAILAkkCDQIIAggCCAIIAggCCAIIAggCCAIIAggCCAIIAgh6AAAEAAIIAggCCAIXAgMCfwIeAALgAgICMQIEAgUCBgIHAggCCQIKAgsCSQINAggCCAIIAggCCAIIAggCCAIIAggCCAIIAggCCAIIAggCCAIXAgMCkwIeAALgAgICeAIEAgUCBgIHAggCCQIKAgsCSQINAggCCAIIAggCCAIIAggCCAIIAggCCAIIAggCCAIIAggCCAIXAgMCeQIeAALgAgICAwIEAgUCBgIHAggCCQI4AgsCSQINAggCCAIIAggCCAIIAggCCAIIAggCCAIIAggCCAIIAggCCAIXAgMCoQIeAALgAgICUwIEAgUCBgIHAggCCQI4AgsCSQINAggCCAIIAggCCAIIAggCCAIIAggCCAIIAggCCAIIAggCCAIXAgMCpAIeAALgAgICUwIEAgUCBgIHAggCCQJMAgsCSQINAggCCAIIAggCCAIIAggCCAIIAggCCAIIAggCCAIIAggCCAIXAgMCpQIeAALgAgICAwIEAgUCBgIHAggCCQJMAgsCSQINAggCCAIIAggCCAIIAggCCAIIAggCCAIIAggCCAIIAggCCAIXAgMCmAIeAALgAgICVgIEAgUCBgIHAggCCQI4AgsCSQINAggCCAIIAggCCAIIAggCCAIIAggCCAIIAggCCAIIAggCCAIXAgMCfgIeAALgAgICHQIEAgUCBgIHAggCCQI4AgsCSQINAggCCAIIAggCCAIIAggCCAIIAggCCAIIAggCCAIIAggCCAIXAgMCawIeAALgAgICaQIEAgUCBgIHAggCCQI4AgsCSQINAggCCAIIAggCCAIIAggCCAIIAggCCAIIAggCCAIIAggCCAIXAgMCagIeAALgAgICewIEAgUCBgIHAggCCQJMAgsCSQINAggCCAIIAggCCAIIAggCCAIIAggCCAIIAggCCAIIAggCCAIXAgMCjAIeAALgAgICHwIEAgUCBgIHAggCCQIKAgsCSQINAggCCAIIAggCCAIIAggCCAIIAggCCAIIAggCCAIIAggCCAIXAgMCbwIeAALgAgICKwIEAgUCBgIHAggCCQI4AgsCSQINAggCCAIIAggCCAIIAggCCAIIAggCCAIIAggCCAIIAggCCAIXAgMCVQIeAALgAgICLwIEAgUCBgIHAggCCQI4AgsCSQINAggCCAIIAggCCAIIAggCCAIIAggCCAIIAggCCAIIAggCCAIXAgMCegIeAALgAgICdQIEAgUCBgIHAggCCQI4AgsCSQINAggCCAIIAggCCAIIAggCCAIIAggCCAIIAggCCAIIAggCCAIXAgMCdgIeAALgAgICWQIEAgUCBgIHAggCCQI4AgsCSQINAggCCAIIAggCCAIIAggCCAJ6AAAEAAgCCAIIAggCCAIIAggCCAIIAhcCAwJaAh4AAuACAgIrAgQCBQIGAgcCCAIJAkwCCwJJAg0CCAIIAggCCAIIAggCCAIIAggCCAIIAggCCAIIAggCCAIIAhcCAwJzAh4AAuACAgItAgQCBQIGAgcCCAIJAkwCCwJJAg0CCAIIAggCCAIIAggCCAIIAggCCAIIAggCCAIIAggCCAIIAhcCAwJiAh4AAuACAgKFAgQCBQIGAgcCCAIJAgoCCwJJAg0CCAIIAggCCAIIAggCCAIIAggCCAIIAggCCAIIAggCCAIIAhcCAwKGAh4AAuACAgJ7AgQCBQIGAgcCCAIJAgoCCwJJAg0CCAIIAggCCAIIAggCCAIIAggCCAIIAggCCAIIAggCCAIIAhcCAwJ8Ah4AAuACAgIlAgQCBQIGAgcCCAIJAgoCCwJJAg0CCAIIAggCCAIIAggCCAIIAggCCAIIAggCCAIIAggCCAIIAhcCAwKBAh4AAuACAgIpAgQCBQIGAgcCCAIJAgoCCwJJAg0CCAIIAggCCAIIAggCCAIIAggCCAIIAggCCAIIAggCCAIIAhcCAwJ0Ah4AAuACAgJ4AgQCBQIGAgcCCAIJAkwCCwJJAg0CCAIIAggCCAIIAggCCAIIAggCCAIIAggCCAIIAggCCAIIAhcCAwKRAh4AAuACAgIfAgQCBQIGAgcCCAIJAkwCCwJJAg0CCAIIAggCCAIIAggCCAIIAggCCAIIAggCCAIIAggCCAIIAhcCAwKSAh4AAuACAgJTAgQCBQIGAgcCCAIJAgoCCwJJAg0CCAIIAggCCAIIAggCCAIIAggCCAIIAggCCAIIAggCCAIIAhcCAwJUAh4AAuACAgIjAgQCBQIGAgcCCAIJAgoCCwJJAg0CCAIIAggCCAIIAggCCAIIAggCCAIIAggCCAIIAggCCAIIAhcCAwKUAh4AAuACAgIfAgQCBQIGAgcCCAIJAjgCCwJJAg0CCAIIAggCCAIIAggCCAIIAggCCAIIAggCCAIIAggCCAIIAhcCAwKPAh4AAuACAgItAgQCBQIGAgcCCAIJAjgCCwJJAg0CCAIIAggCCAIIAggCCAIIAggCCAIIAggCCAIIAggCCAIIAhcCAwJKAh4AAuACAgJZAgQCBQIGAgcCCAIJAkwCCwJJAg0CCAIIAggCCAIIAggCCAIIAggCCAIIAggCCAIIAggCCAIIAhcCAwJyAh4AAuACAgIDAgQCBQIGAgcCCAIJAgoCCwJJAg0CCAIIAggCCAIIAggCCAIIAggCCAIIAggCCAIIAggCCAIIAhcCAwJbAh4AAuACAgIpAgQCBQIGAgcCCAIJAjgCCwJJAg0CCAIIAgh6AAAEAAIIAggCCAIIAggCCAIIAggCCAIIAggCCAIIAggCFwIDAl4CHgAC4AICAjUCBAIFAgYCBwIIAgkCTAILAkkCDQIIAggCCAIIAggCCAIIAggCCAIIAggCCAIIAggCCAIIAggCFwIDAmwCHgAC4AICAlkCBAIFAgYCBwIIAgkCCgILAkkCDQIIAggCCAIIAggCCAIIAggCCAIIAggCCAIIAggCCAIIAggCFwIDAmECHgAC4AICAiUCBAIFAgYCBwIIAgkCTAILAkkCDQIIAggCCAIIAggCCAIIAggCCAIIAggCCAIIAggCCAIIAggCFwIDAlACHgAC4AICAiECBAIFAgYCBwIIAgkCCgILAkkCDQIIAggCCAIIAggCCAIIAggCCAIIAggCCAIIAggCCAIIAggCFwIDAmUCHgAC4AICAiUCBAIFAgYCBwIIAgkCOAILAkkCDQIIAggCCAIIAggCCAIIAggCCAIIAggCCAIIAggCCAIIAggCFwIDAmMCHgAC4AICAisCBAIFAgYCBwIIAgkCCgILAkkCDQIIAggCCAIIAggCCAIIAggCCAIIAggCCAIIAggCCAIIAggCFwIDAlwCHgAC4AICAoUCBAIFAgYCBwIIAgkCOAILAkkCDQIIAggCCAIIAggCCAIIAggCCAIIAggCCAIIAggCCAIIAggCFwIDApsCHgAC4AICAjUCBAIFAgYCBwIIAgkCOAILAkkCDQIIAggCCAIIAggCCAIIAggCCAIIAggCCAIIAggCCAIIAggCFwIDAm4CHgAC4AICAi8CBAIFAgYCBwIIAgkCTAILAkkCDQIIAggCCAIIAggCCAIIAggCCAIIAggCCAIIAggCCAIIAggCFwIDAncCHgAC4AICAnUCBAIFAgYCBwIIAgkCTAILAkkCDQIIAggCCAIIAggCCAIIAggCCAIIAggCCAIIAggCCAIIAggCFwIDAoACHgAC4AICAl8CBAIFAgYCBwIIAgkCCgILAkkCDQIIAggCCAIIAggCCAIIAggCCAIIAggCCAIIAggCCAIIAggCFwIDAmACHgAC4AICAikCBAIFAgYCBwIIAgkCTAILAkkCDQIIAggCCAIIAggCCAIIAggCCAIIAggCCAIIAggCCAIIAggCFwIDAl0CHgAC4AICAksCBAIFAgYCBwIIAgkCCgILAkkCDQIIAggCCAIIAggCCAIIAggCCAIIAggCCAIIAggCCAIIAggCFwIDApYCHgAC4AICAoUCBAIFAgYCBwIIAgkCTAILAkkCDQIIAggCCAIIAggCCAIIAggCCAIIAggCCAIIAggCCAIIAggCFwIDApwCHgAC4AICAjMCBAIFAgYCBwIIAgkCTAJ6AAAEAAsCSQINAggCCAIIAggCCAIIAggCCAIIAggCCAIIAggCCAIIAggCCAIXAgMCUAIeAALgAgICMwIEAgUCBgIHAggCCQI4AgsCSQINAggCCAIIAggCCAIIAggCCAIIAggCCAIIAggCCAIIAggCCAIXAgMCaAIeAALgAgICLQIEAgUCBgIHAggCCQIKAgsCSQINAggCCAIIAggCCAIIAggCCAIIAggCCAIIAggCCAIIAggCCAIXAgMCcAIeAALgAgICGwIEAgUCBgIHAggCCQIKAgsCSQINAggCCAIIAggCCAIIAggCCAIIAggCCAIIAggCCAIIAggCCAIXAgMClwIeAALgAgICaQIEAgUCBgIHAggCCQIKAgsCSQINAggCCAIIAggCCAIIAggCCAIIAggCCAIIAggCCAIIAggCCAIXAgMCogIeAALgAgICggIEAgUCBgIHAggCCQJMAgsCSQINAggCCAIIAggCCAIIAggCCAIIAggCCAIIAggCCAIIAggCCAIXAgMCiAIeAALgAgICIQIEAgUCBgIHAggCCQI4AgsCSQINAggCCAIIAggCCAIIAggCCAIIAggCCAIIAggCCAIIAggCCAIXAgMCoAIeAALgAgICXwIEAgUCBgIHAggCCQI4AgsCSQINAggCCAIIAggCCAIIAggCCAIIAggCCAIIAggCCAIIAggCCAIXAgMCngIeAALgAgICMQIEAgUCBgIHAggCCQJMAgsCSQINAggCCAIIAggCCAIIAggCCAIIAggCCAIIAggCCAIIAggCCAIXAgMChwIeAALgAgICSwIEAgUCBgIHAggCCQJMAgsCSQINAggCCAIIAggCCAIIAggCCAIIAggCCAIIAggCCAIIAggCCAIXAgMCTQIeAALgAgICMQIEAgUCBgIHAggCCQI4AgsCSQINAggCCAIIAggCCAIIAggCCAIIAggCCAIIAggCCAIIAggCCAIXAgMChAIeAALgAgICIwIEAgUCBgIHAggCCQI4AgsCSQINAggCCAIIAggCCAIIAggCCAIIAggCCAIIAggCCAIIAggCCAIXAgMCnwIeAALgAgICJwIEAgUCBgIHAggCCQIKAgsCSQINAggCCAIIAggCCAIIAggCCAIIAggCCAIIAggCCAIIAggCCAIXAgMCowIeAALgAgICGwIEAgUCBgIHAggCCQI4AgsCSQINAggCCAIIAggCCAIIAggCCAIIAggCCAIIAggCCAIIAggCCAIXAgMCUgIeAALgAgICSwIEAgUCBgIHAggCCQI4AgsCSQINAggCCAIIAggCCAIIAggCCAIIAggCCAIIAggCCAIIAggCCAIXAgMCZAIeAALgAgICIwIEAgV6AAAEAAIGAgcCCAIJAkwCCwJJAg0CCAIIAggCCAIIAggCCAIIAggCCAIIAggCCAIIAggCCAIIAhcCAwJQAh4AAuACAgJfAgQCBQIGAgcCCAIJAkwCCwJJAg0CCAIIAggCCAIIAggCCAIIAggCCAIIAggCCAIIAggCCAIIAhcCAwKdAh4AAuACAgKCAgQCBQIGAgcCCAIJAjgCCwJJAg0CCAIIAggCCAIIAggCCAIIAggCCAIIAggCCAIIAggCCAIIAhcCAwKDAh4AAuACAgIhAgQCBQIGAgcCCAIJAkwCCwJJAg0CCAIIAggCCAIIAggCCAIIAggCCAIIAggCCAIIAggCCAIIAhcCAwJQAh4AAuACAgIbAgQCBQIGAgcCCAIJAkwCCwJJAg0CCAIIAggCCAIIAggCCAIIAggCCAIIAggCCAIIAggCCAIIAhcCAwJOAh4AAuACAgJWAgQCBQIGAgcCCAIJAgoCCwJJAg0CCAIIAggCCAIIAggCCAIIAggCCAIIAggCCAIIAggCCAIIAhcCAwJXAh4AAuACAgJ1AgQCBQIGAgcCCAIJAgoCCwJJAg0CCAIIAggCCAIIAggCCAIIAggCCAIIAggCCAIIAggCCAIIAhcCAwKQAh4AAuACAgIzAgQCBQIGAgcCCAIJAgoCCwJJAg0CCAIIAggCCAIIAggCCAIIAggCCAIIAggCCAIIAggCCAIIAhcCAwKLAh4AAuACAgIvAgQCBQIGAgcCCAIJAgoCCwJJAg0CCAIIAggCCAIIAggCCAIIAggCCAIIAggCCAIIAggCCAIIAhcCAwKJAh4AAuACAgIdAgQCBQIGAgcCCAIJAgoCCwJJAg0CCAIIAggCCAIIAggCCAIIAggCCAIIAggCCAIIAggCCAIIAhcCAwJRAh4AAuACAgI1AgQCBQIGAgcCCAIJAgoCCwJJAg0CCAIIAggCCAIIAggCCAIIAggCCAIIAggCCAIIAggCCAIIAhcCAwKKAh4AAuEACTQxNzAxNzA2NAICAiECBAIFAgYCBwIIAgkCqQILAgwCDQIIAggCCAIIAggCCAIIAggCCAIIAggCCAIIAggCCAIIAggCFAIDAlACHgAC4QICAngCBAIFAgYCBwIIAgkCOAILAgwCDQIIAggCCAIIAggCCAIIAggCCAIIAggCCAIIAggCCAIIAggCFAIDAsMCHgAC4QICAisCBAIFAgYCBwIIAgkCqQILAgwCDQIIAggCCAIIAggCCAIIAggCCAIIAggCCAIIAggCCAIIAggCFAIDAsUCHgAC4QICAh8CBAIFAgYCBwIIAgkCOAILAgwCDQIIAggCCAIIAggCCAIIAggCCAIIAggCCAIIAggCCAJ6AAAEAAgCCAIUAgMCRwIeAALhAgICewIEAgUCBgIHAggCCQI4AgsCDAINAggCCAIIAggCCAIIAggCCAIIAggCCAIIAggCCAIIAggCCAIUAgMCxgIeAALhAgICIwIEAgUCBgIHAggCCQIKAgsCDAINAggCCAIIAggCCAIIAggCCAIIAggCCAIIAggCCAIIAggCCAIUAgMCJAIeAALhAgICAwIEAgUCBgIHAggCCQKpAgsCDAINAggCCAIIAggCCAIIAggCCAIIAggCCAIIAggCCAIIAggCCAIUAgMCzAIeAALhAgICLQIEAgUCBgIHAggCCQKpAgsCDAINAggCCAIIAggCCAIIAggCCAIIAggCCAIIAggCCAIIAggCCAIUAgMC1gIeAALhAgICggIEAgUCBgIHAggCCQIKAgsCDAINAggCCAIIAggCCAIIAggCCAIIAggCCAIIAggCCAIIAggCCAIUAgMCyAIeAALhAgICJwIEAgUCBgIHAggCCQI4AgsCDAINAggCCAIIAggCCAIIAggCCAIIAggCCAIIAggCCAIIAggCCAIUAgMCPgIeAALhAgICUwIEAgUCBgIHAggCCQKpAgsCDAINAggCCAIIAggCCAIIAggCCAIIAggCCAIIAggCCAIIAggCCAIUAgMCxAIeAALhAgICMQIEAgUCBgIHAggCCQIKAgsCDAINAggCCAIIAggCCAIIAggCCAIIAggCCAIIAggCCAIIAggCCAIUAgMCMgIeAALhAgICHQIEAgUCBgIHAggCCQI4AgsCDAINAggCCAIIAggCCAIIAggCCAIIAggCCAIIAggCCAIIAggCCAIUAgMCQgIeAALhAgICVgIEAgUCBgIHAggCCQI4AgsCDAINAggCCAIIAggCCAIIAggCCAIIAggCCAIIAggCCAIIAggCCAIUAgMCvgIeAALhAgICGwIEAgUCBgIHAggCCQKpAgsCDAINAggCCAIIAggCCAIIAggCCAIIAggCCAIIAggCCAIIAggCCAIUAgMCvwIeAALhAgICTwIEAgUCBgIHAggCCQKpAgsCDAINAggCCAIIAggCCAIIAggCCAIIAggCCAIIAggCCAIIAggCCAIUAgMCUAIeAALhAgICaQIEAgUCBgIHAggCCQI4AgsCDAINAggCCAIIAggCCAIIAggCCAIIAggCCAIIAggCCAIIAggCCAIUAgMCxwIeAALhAgICeAIEAgUCBgIHAggCCQIKAgsCDAINAggCCAIIAggCCAIIAggCCAIIAggCCAIIAggCCAIIAggCCAIUAgMCwQIeAALhAgICAwIEAgUCBgIHAggCCQI4AgsCDAINAggCCAIIAggCCAIIAggCCAIIAgh6AAAEAAIIAggCCAIIAggCCAIIAhQCAwJEAh4AAuECAgJZAgQCBQIGAgcCCAIJAqkCCwIMAg0CCAIIAggCCAIIAggCCAIIAggCCAIIAggCCAIIAggCCAIIAhQCAwLXAh4AAuECAgJfAgQCBQIGAgcCCAIJAqkCCwIMAg0CCAIIAggCCAIIAggCCAIIAggCCAIIAggCCAIIAggCCAIIAhQCAwLCAh4AAuECAgIfAgQCBQIGAgcCCAIJAgoCCwIMAg0CCAIIAggCCAIIAggCCAIIAggCCAIIAggCCAIIAggCCAIIAhQCAwIgAh4AAuECAgIvAgQCBQIGAgcCCAIJAjgCCwIMAg0CCAIIAggCCAIIAggCCAIIAggCCAIIAggCCAIIAggCCAIIAhQCAwJDAh4AAuECAgJ1AgQCBQIGAgcCCAIJAjgCCwIMAg0CCAIIAggCCAIIAggCCAIIAggCCAIIAggCCAIIAggCCAIIAhQCAwK3Ah4AAuECAgJ7AgQCBQIGAgcCCAIJAgoCCwIMAg0CCAIIAggCCAIIAggCCAIIAggCCAIIAggCCAIIAggCCAIIAhQCAwK6Ah4AAuECAgJZAgQCBQIGAgcCCAIJAjgCCwIMAg0CCAIIAggCCAIIAggCCAIIAggCCAIIAggCCAIIAggCCAIIAhQCAwK4Ah4AAuECAgIlAgQCBQIGAgcCCAIJAgoCCwIMAg0CCAIIAggCCAIIAggCCAIIAggCCAIIAggCCAIIAggCCAIIAhQCAwImAh4AAuECAgIrAgQCBQIGAgcCCAIJAjgCCwIMAg0CCAIIAggCCAIIAggCCAIIAggCCAIIAggCCAIIAggCCAIIAhQCAwI/Ah4AAuECAgKFAgQCBQIGAgcCCAIJAgoCCwIMAg0CCAIIAggCCAIIAggCCAIIAggCCAIIAggCCAIIAggCCAIIAhQCAwK7Ah4AAuECAgJLAgQCBQIGAgcCCAIJAqkCCwIMAg0CCAIIAggCCAIIAggCCAIIAggCCAIIAggCCAIIAggCCAIIAhQCAwLAAh4AAuECAgJWAgQCBQIGAgcCCAIJAqkCCwIMAg0CCAIIAggCCAIIAggCCAIIAggCCAIIAggCCAIIAggCCAIIAhQCAwLKAh4AAuECAgIpAgQCBQIGAgcCCAIJAgoCCwIMAg0CCAIIAggCCAIIAggCCAIIAggCCAIIAggCCAIIAggCCAIIAhQCAwIqAh4AAuECAgI1AgQCBQIGAgcCCAIJAqkCCwIMAg0CCAIIAggCCAIIAggCCAIIAggCCAIIAggCCAIIAggCCAIIAhQCAwKyAh4AAuECAgIdAgQCBQIGAgcCCAIJAqkCCwIMAg0CCAIIAggCCAJ6AAAEAAgCCAIIAggCCAIIAggCCAIIAggCCAIIAggCFAIDAlACHgAC4QICAlMCBAIFAgYCBwIIAgkCCgILAgwCDQIIAggCCAIIAggCCAIIAggCCAIIAggCCAIIAggCCAIIAggCFAIDArYCHgAC4QICAi0CBAIFAgYCBwIIAgkCOAILAgwCDQIIAggCCAIIAggCCAIIAggCCAIIAggCCAIIAggCCAIIAggCFAIDAkACHgAC4QICAjMCBAIFAgYCBwIIAgkCqQILAgwCDQIIAggCCAIIAggCCAIIAggCCAIIAggCCAIIAggCCAIIAggCFAIDAlACHgAC4QICAicCBAIFAgYCBwIIAgkCqQILAgwCDQIIAggCCAIIAggCCAIIAggCCAIIAggCCAIIAggCCAIIAggCFAIDArkCHgAC4QICAmkCBAIFAgYCBwIIAgkCqQILAgwCDQIIAggCCAIIAggCCAIIAggCCAIIAggCCAIIAggCCAIIAggCFAIDAssCHgAC4QICAgMCBAIFAgYCBwIIAgkCCgILAgwCDQIIAggCCAIIAggCCAIIAggCCAIIAggCCAIIAggCCAIIAggCFAIDAg4CHgAC4QICAi8CBAIFAgYCBwIIAgkCqQILAgwCDQIIAggCCAIIAggCCAIIAggCCAIIAggCCAIIAggCCAIIAggCFAIDAq4CHgAC4QICAlkCBAIFAgYCBwIIAgkCCgILAgwCDQIIAggCCAIIAggCCAIIAggCCAIIAggCCAIIAggCCAIIAggCFAIDAq8CHgAC4QICAikCBAIFAgYCBwIIAgkCOAILAgwCDQIIAggCCAIIAggCCAIIAggCCAIIAggCCAIIAggCCAIIAggCFAIDAj0CHgAC4QICAiMCBAIFAgYCBwIIAgkCqQILAgwCDQIIAggCCAIIAggCCAIIAggCCAIIAggCCAIIAggCCAIIAggCFAIDAlACHgAC4QICAl8CBAIFAgYCBwIIAgkCCgILAgwCDQIIAggCCAIIAggCCAIIAggCCAIIAggCCAIIAggCCAIIAggCFAIDArECHgAC4QICAiECBAIFAgYCBwIIAgkCCgILAgwCDQIIAggCCAIIAggCCAIIAggCCAIIAggCCAIIAggCCAIIAggCFAIDAiICHgAC4QICAnUCBAIFAgYCBwIIAgkCqQILAgwCDQIIAggCCAIIAggCCAIIAggCCAIIAggCCAIIAggCCAIIAggCFAIDArACHgAC4QICAisCBAIFAgYCBwIIAgkCCgILAgwCDQIIAggCCAIIAggCCAIIAggCCAIIAggCCAIIAggCCAIIAggCFAIDAiwCHgAC4QICAiUCBAIFAgYCBwIIAgkCOAILAgx6AAAEAAINAggCCAIIAggCCAIIAggCCAIIAggCCAIIAggCCAIIAggCCAIUAgMCPAIeAALhAgICSwIEAgUCBgIHAggCCQIKAgsCDAINAggCCAIIAggCCAIIAggCCAIIAggCCAIIAggCCAIIAggCCAIUAgMC1QIeAALhAgICNQIEAgUCBgIHAggCCQI4AgsCDAINAggCCAIIAggCCAIIAggCCAIIAggCCAIIAggCCAIIAggCCAIUAgMCRQIeAALhAgICTwIEAgUCBgIHAggCCQIKAgsCDAINAggCCAIIAggCCAIIAggCCAIIAggCCAIIAggCCAIIAggCCAIUAgMC2wIeAALhAgICMQIEAgUCBgIHAggCCQKpAgsCDAINAggCCAIIAggCCAIIAggCCAIIAggCCAIIAggCCAIIAggCCAIUAgMCvQIeAALhAgIChQIEAgUCBgIHAggCCQI4AgsCDAINAggCCAIIAggCCAIIAggCCAIIAggCCAIIAggCCAIIAggCCAIUAgMC0wIeAALhAgICggIEAgUCBgIHAggCCQKpAgsCDAINAggCCAIIAggCCAIIAggCCAIIAggCCAIIAggCCAIIAggCCAIUAgMCvAIeAALhAgICLQIEAgUCBgIHAggCCQIKAgsCDAINAggCCAIIAggCCAIIAggCCAIIAggCCAIIAggCCAIIAggCCAIUAgMCLgIeAALhAgICMwIEAgUCBgIHAggCCQI4AgsCDAINAggCCAIIAggCCAIIAggCCAIIAggCCAIIAggCCAIIAggCCAIUAgMCQQIeAALhAgICGwIEAgUCBgIHAggCCQIKAgsCDAINAggCCAIIAggCCAIIAggCCAIIAggCCAIIAggCCAIIAggCCAIUAgMCHAIeAALhAgICJQIEAgUCBgIHAggCCQKpAgsCDAINAggCCAIIAggCCAIIAggCCAIIAggCCAIIAggCCAIIAggCCAIUAgMCUAIeAALhAgICKQIEAgUCBgIHAggCCQKpAgsCDAINAggCCAIIAggCCAIIAggCCAIIAggCCAIIAggCCAIIAggCCAIUAgMCzgIeAALhAgICXwIEAgUCBgIHAggCCQI4AgsCDAINAggCCAIIAggCCAIIAggCCAIIAggCCAIIAggCCAIIAggCCAIUAgMCzwIeAALhAgICIQIEAgUCBgIHAggCCQI4AgsCDAINAggCCAIIAggCCAIIAggCCAIIAggCCAIIAggCCAIIAggCCAIUAgMCOgIeAALhAgICaQIEAgUCBgIHAggCCQIKAgsCDAINAggCCAIIAggCCAIIAggCCAIIAggCCAIIAggCCAIIAggCCAIUAgMC1AIeAALhAgICUwIEAgUCBgJ6AAAEAAcCCAIJAjgCCwIMAg0CCAIIAggCCAIIAggCCAIIAggCCAIIAggCCAIIAggCCAIIAhQCAwLYAh4AAuECAgIfAgQCBQIGAgcCCAIJAqkCCwIMAg0CCAIIAggCCAIIAggCCAIIAggCCAIIAggCCAIIAggCCAIIAhQCAwLQAh4AAuECAgJ4AgQCBQIGAgcCCAIJAqkCCwIMAg0CCAIIAggCCAIIAggCCAIIAggCCAIIAggCCAIIAggCCAIIAhQCAwLSAh4AAuECAgInAgQCBQIGAgcCCAIJAgoCCwIMAg0CCAIIAggCCAIIAggCCAIIAggCCAIIAggCCAIIAggCCAIIAhQCAwIoAh4AAuECAgIjAgQCBQIGAgcCCAIJAjgCCwIMAg0CCAIIAggCCAIIAggCCAIIAggCCAIIAggCCAIIAggCCAIIAhQCAwI7Ah4AAuECAgKFAgQCBQIGAgcCCAIJAqkCCwIMAg0CCAIIAggCCAIIAggCCAIIAggCCAIIAggCCAIIAggCCAIIAhQCAwKzAh4AAuECAgIxAgQCBQIGAgcCCAIJAjgCCwIMAg0CCAIIAggCCAIIAggCCAIIAggCCAIIAggCCAIIAggCCAIIAhQCAwI5Ah4AAuECAgIbAgQCBQIGAgcCCAIJAjgCCwIMAg0CCAIIAggCCAIIAggCCAIIAggCCAIIAggCCAIIAggCCAIIAhQCAwJGAh4AAuECAgJLAgQCBQIGAgcCCAIJAjgCCwIMAg0CCAIIAggCCAIIAggCCAIIAggCCAIIAggCCAIIAggCCAIIAhQCAwK0Ah4AAuECAgKCAgQCBQIGAgcCCAIJAjgCCwIMAg0CCAIIAggCCAIIAggCCAIIAggCCAIIAggCCAIIAggCCAIIAhQCAwLJAh4AAuECAgIzAgQCBQIGAgcCCAIJAgoCCwIMAg0CCAIIAggCCAIIAggCCAIIAggCCAIIAggCCAIIAggCCAIIAhQCAwI0Ah4AAuECAgJWAgQCBQIGAgcCCAIJAgoCCwIMAg0CCAIIAggCCAIIAggCCAIIAggCCAIIAggCCAIIAggCCAIIAhQCAwK1Ah4AAuECAgJ1AgQCBQIGAgcCCAIJAgoCCwIMAg0CCAIIAggCCAIIAggCCAIIAggCCAIIAggCCAIIAggCCAIIAhQCAwLNAh4AAuECAgIdAgQCBQIGAgcCCAIJAgoCCwIMAg0CCAIIAggCCAIIAggCCAIIAggCCAIIAggCCAIIAggCCAIIAhQCAwIeAh4AAuECAgJPAgQCBQIGAgcCCAIJAjgCCwIMAg0CCAIIAggCCAIIAggCCAIIAggCCAIIAggCCAIIAggCCAIIAhQCAwLdAh4AAuF6AAAEAAICAi8CBAIFAgYCBwIIAgkCCgILAgwCDQIIAggCCAIIAggCCAIIAggCCAIIAggCCAIIAggCCAIIAggCFAIDAjACHgAC4QICAjUCBAIFAgYCBwIIAgkCCgILAgwCDQIIAggCCAIIAggCCAIIAggCCAIIAggCCAIIAggCCAIIAggCFAIDAjYCHgAC4QICAnsCBAIFAgYCBwIIAgkCqQILAgwCDQIIAggCCAIIAggCCAIIAggCCAIIAggCCAIIAggCCAIIAggCFAIDAtECHgAC4gAJNDE3MDE4MjI0AgICAwIEAgUCBgIHAggCCQJMAgsCSQINAggCCAIIAggCCAIIAggCCAIIAggCCAIIAggCCAIIAggCCAIVAgMCmAIeAALiAgICHQIEAgUCBgIHAggCCQI4AgsCSQINAggCCAIIAggCCAIIAggCCAIIAggCCAIIAggCCAIIAggCCAIVAgMCawIeAALiAgICeAIEAgUCBgIHAggCCQIKAgsCSQINAggCCAIIAggCCAIIAggCCAIIAggCCAIIAggCCAIIAggCCAIVAgMCeQIeAALiAgICHwIEAgUCBgIHAggCCQIKAgsCSQINAggCCAIIAggCCAIIAggCCAIIAggCCAIIAggCCAIIAggCCAIVAgMCbwIeAALiAgICHQIEAgUCBgIHAggCCQJMAgsCSQINAggCCAIIAggCCAIIAggCCAIIAggCCAIIAggCCAIIAggCCAIVAgMCUAIeAALiAgICVgIEAgUCBgIHAggCCQJMAgsCSQINAggCCAIIAggCCAIIAggCCAIIAggCCAIIAggCCAIIAggCCAIVAgMCfwIeAALiAgICAwIEAgUCBgIHAggCCQI4AgsCSQINAggCCAIIAggCCAIIAggCCAIIAggCCAIIAggCCAIIAggCCAIVAgMCoQIeAALiAgICUwIEAgUCBgIHAggCCQI4AgsCSQINAggCCAIIAggCCAIIAggCCAIIAggCCAIIAggCCAIIAggCCAIVAgMCpAIeAALiAgICUwIEAgUCBgIHAggCCQJMAgsCSQINAggCCAIIAggCCAIIAggCCAIIAggCCAIIAggCCAIIAggCCAIVAgMCpQIeAALiAgICVgIEAgUCBgIHAggCCQI4AgsCSQINAggCCAIIAggCCAIIAggCCAIIAggCCAIIAggCCAIIAggCCAIVAgMCfgIeAALiAgICJwIEAgUCBgIHAggCCQJMAgsCSQINAggCCAIIAggCCAIIAggCCAIIAggCCAIIAggCCAIIAggCCAIVAgMCjgIeAALiAgICaQIEAgUCBgIHAggCCQJMAgsCSQINAggCCAIIAggCCAIIAggCCAIIAggCCAJ6AAAEAAgCCAIIAggCCAIIAhUCAwJxAh4AAuICAgIxAgQCBQIGAgcCCAIJAgoCCwJJAg0CCAIIAggCCAIIAggCCAIIAggCCAIIAggCCAIIAggCCAIIAhUCAwKTAh4AAuICAgInAgQCBQIGAgcCCAIJAjgCCwJJAg0CCAIIAggCCAIIAggCCAIIAggCCAIIAggCCAIIAggCCAIIAhUCAwJtAh4AAuICAgJpAgQCBQIGAgcCCAIJAjgCCwJJAg0CCAIIAggCCAIIAggCCAIIAggCCAIIAggCCAIIAggCCAIIAhUCAwJqAh4AAuICAgJ7AgQCBQIGAgcCCAIJAkwCCwJJAg0CCAIIAggCCAIIAggCCAIIAggCCAIIAggCCAIIAggCCAIIAhUCAwKMAh4AAuICAgKCAgQCBQIGAgcCCAIJAgoCCwJJAg0CCAIIAggCCAIIAggCCAIIAggCCAIIAggCCAIIAggCCAIIAhUCAwKZAh4AAuICAgJ7AgQCBQIGAgcCCAIJAjgCCwJJAg0CCAIIAggCCAIIAggCCAIIAggCCAIIAggCCAIIAggCCAIIAhUCAwKaAh4AAuICAgJTAgQCBQIGAgcCCAIJAgoCCwJJAg0CCAIIAggCCAIIAggCCAIIAggCCAIIAggCCAIIAggCCAIIAhUCAwJUAh4AAuICAgIDAgQCBQIGAgcCCAIJAgoCCwJJAg0CCAIIAggCCAIIAggCCAIIAggCCAIIAggCCAIIAggCCAIIAhUCAwJbAh4AAuICAgIfAgQCBQIGAgcCCAIJAkwCCwJJAg0CCAIIAggCCAIIAggCCAIIAggCCAIIAggCCAIIAggCCAIIAhUCAwKSAh4AAuICAgIhAgQCBQIGAgcCCAIJAgoCCwJJAg0CCAIIAggCCAIIAggCCAIIAggCCAIIAggCCAIIAggCCAIIAhUCAwJlAh4AAuICAgIlAgQCBQIGAgcCCAIJAkwCCwJJAg0CCAIIAggCCAIIAggCCAIIAggCCAIIAggCCAIIAggCCAIIAhUCAwJQAh4AAuICAgIfAgQCBQIGAgcCCAIJAjgCCwJJAg0CCAIIAggCCAIIAggCCAIIAggCCAIIAggCCAIIAggCCAIIAhUCAwKPAh4AAuICAgItAgQCBQIGAgcCCAIJAjgCCwJJAg0CCAIIAggCCAIIAggCCAIIAggCCAIIAggCCAIIAggCCAIIAhUCAwJKAh4AAuICAgItAgQCBQIGAgcCCAIJAkwCCwJJAg0CCAIIAggCCAIIAggCCAIIAggCCAIIAggCCAIIAggCCAIIAhUCAwJiAh4AAuICAgIjAgQCBQIGAgcCCAIJAgoCCwJJAg0CCAIIAggCCAIIAgh6AAAEAAIIAggCCAIIAggCCAIIAggCCAIIAggCFQIDApQCHgAC4gICAngCBAIFAgYCBwIIAgkCTAILAkkCDQIIAggCCAIIAggCCAIIAggCCAIIAggCCAIIAggCCAIIAggCFQIDApECHgAC4gICAngCBAIFAgYCBwIIAgkCOAILAkkCDQIIAggCCAIIAggCCAIIAggCCAIIAggCCAIIAggCCAIIAggCFQIDAo0CHgAC4gICAisCBAIFAgYCBwIIAgkCOAILAkkCDQIIAggCCAIIAggCCAIIAggCCAIIAggCCAIIAggCCAIIAggCFQIDAlUCHgAC4gICAnsCBAIFAgYCBwIIAgkCCgILAkkCDQIIAggCCAIIAggCCAIIAggCCAIIAggCCAIIAggCCAIIAggCFQIDAnwCHgAC4gICAoUCBAIFAgYCBwIIAgkCCgILAkkCDQIIAggCCAIIAggCCAIIAggCCAIIAggCCAIIAggCCAIIAggCFQIDAoYCHgAC4gICAlkCBAIFAgYCBwIIAgkCOAILAkkCDQIIAggCCAIIAggCCAIIAggCCAIIAggCCAIIAggCCAIIAggCFQIDAloCHgAC4gICAlkCBAIFAgYCBwIIAgkCTAILAkkCDQIIAggCCAIIAggCCAIIAggCCAIIAggCCAIIAggCCAIIAggCFQIDAnICHgAC4gICAisCBAIFAgYCBwIIAgkCTAILAkkCDQIIAggCCAIIAggCCAIIAggCCAIIAggCCAIIAggCCAIIAggCFQIDAnMCHgAC4gICAoUCBAIFAgYCBwIIAgkCOAILAkkCDQIIAggCCAIIAggCCAIIAggCCAIIAggCCAIIAggCCAIIAggCFQIDApsCHgAC4gICAjUCBAIFAgYCBwIIAgkCOAILAkkCDQIIAggCCAIIAggCCAIIAggCCAIIAggCCAIIAggCCAIIAggCFQIDAm4CHgAC4gICAksCBAIFAgYCBwIIAgkCCgILAkkCDQIIAggCCAIIAggCCAIIAggCCAIIAggCCAIIAggCCAIIAggCFQIDApYCHgAC4gICAhsCBAIFAgYCBwIIAgkCCgILAkkCDQIIAggCCAIIAggCCAIIAggCCAIIAggCCAIIAggCCAIIAggCFQIDApcCHgAC4gICAjMCBAIFAgYCBwIIAgkCOAILAkkCDQIIAggCCAIIAggCCAIIAggCCAIIAggCCAIIAggCCAIIAggCFQIDAmgCHgAC4gICAiMCBAIFAgYCBwIIAgkCTAILAkkCDQIIAggCCAIIAggCCAIIAggCCAIIAggCCAIIAggCCAIIAggCFQIDAlACHgAC4gICAikCBAIFAgYCBwIIAgkCCgILAkkCDQJ6AAAEAAgCCAIIAggCCAIIAggCCAIIAggCCAIIAggCCAIIAggCCAIVAgMCdAIeAALiAgICJQIEAgUCBgIHAggCCQIKAgsCSQINAggCCAIIAggCCAIIAggCCAIIAggCCAIIAggCCAIIAggCCAIVAgMCgQIeAALiAgICLwIEAgUCBgIHAggCCQJMAgsCSQINAggCCAIIAggCCAIIAggCCAIIAggCCAIIAggCCAIIAggCCAIVAgMCdwIeAALiAgICNQIEAgUCBgIHAggCCQJMAgsCSQINAggCCAIIAggCCAIIAggCCAIIAggCCAIIAggCCAIIAggCCAIVAgMCbAIeAALiAgICdQIEAgUCBgIHAggCCQI4AgsCSQINAggCCAIIAggCCAIIAggCCAIIAggCCAIIAggCCAIIAggCCAIVAgMCdgIeAALiAgICdQIEAgUCBgIHAggCCQJMAgsCSQINAggCCAIIAggCCAIIAggCCAIIAggCCAIIAggCCAIIAggCCAIVAgMCgAIeAALiAgICJQIEAgUCBgIHAggCCQI4AgsCSQINAggCCAIIAggCCAIIAggCCAIIAggCCAIIAggCCAIIAggCCAIVAgMCYwIeAALiAgICKQIEAgUCBgIHAggCCQI4AgsCSQINAggCCAIIAggCCAIIAggCCAIIAggCCAIIAggCCAIIAggCCAIVAgMCXgIeAALiAgICLwIEAgUCBgIHAggCCQI4AgsCSQINAggCCAIIAggCCAIIAggCCAIIAggCCAIIAggCCAIIAggCCAIVAgMCegIeAALiAgICWQIEAgUCBgIHAggCCQIKAgsCSQINAggCCAIIAggCCAIIAggCCAIIAggCCAIIAggCCAIIAggCCAIVAgMCYQIeAALiAgICLQIEAgUCBgIHAggCCQIKAgsCSQINAggCCAIIAggCCAIIAggCCAIIAggCCAIIAggCCAIIAggCCAIVAgMCcAIeAALiAgICKwIEAgUCBgIHAggCCQIKAgsCSQINAggCCAIIAggCCAIIAggCCAIIAggCCAIIAggCCAIIAggCCAIVAgMCXAIeAALiAgICMwIEAgUCBgIHAggCCQJMAgsCSQINAggCCAIIAggCCAIIAggCCAIIAggCCAIIAggCCAIIAggCCAIVAgMCUAIeAALiAgICKQIEAgUCBgIHAggCCQJMAgsCSQINAggCCAIIAggCCAIIAggCCAIIAggCCAIIAggCCAIIAggCCAIVAgMCXQIeAALiAgIChQIEAgUCBgIHAggCCQJMAgsCSQINAggCCAIIAggCCAIIAggCCAIIAggCCAIIAggCCAIIAggCCAIVAgMCnAIeAALiAgICXwIEAgUCBgIHAgh6AAAEAAIJAgoCCwJJAg0CCAIIAggCCAIIAggCCAIIAggCCAIIAggCCAIIAggCCAIIAhUCAwJgAh4AAuICAgJPAgQCBQIGAgcCCAIJAgoCCwJJAg0CCAIIAggCCAIIAggCCAIIAggCCAIIAggCCAIIAggCCAIIAhUCAwKVAh4AAuICAgIbAgQCBQIGAgcCCAIJAjgCCwJJAg0CCAIIAggCCAIIAggCCAIIAggCCAIIAggCCAIIAggCCAIIAhUCAwJSAh4AAuICAgIxAgQCBQIGAgcCCAIJAjgCCwJJAg0CCAIIAggCCAIIAggCCAIIAggCCAIIAggCCAIIAggCCAIIAhUCAwKEAh4AAuICAgJPAgQCBQIGAgcCCAIJAjgCCwJJAg0CCAIIAggCCAIIAggCCAIIAggCCAIIAggCCAIIAggCCAIIAhUCAwJYAh4AAuICAgJPAgQCBQIGAgcCCAIJAkwCCwJJAg0CCAIIAggCCAIIAggCCAIIAggCCAIIAggCCAIIAggCCAIIAhUCAwJQAh4AAuICAgJ1AgQCBQIGAgcCCAIJAgoCCwJJAg0CCAIIAggCCAIIAggCCAIIAggCCAIIAggCCAIIAggCCAIIAhUCAwKQAh4AAuICAgJWAgQCBQIGAgcCCAIJAgoCCwJJAg0CCAIIAggCCAIIAggCCAIIAggCCAIIAggCCAIIAggCCAIIAhUCAwJXAh4AAuICAgIbAgQCBQIGAgcCCAIJAkwCCwJJAg0CCAIIAggCCAIIAggCCAIIAggCCAIIAggCCAIIAggCCAIIAhUCAwJOAh4AAuICAgJLAgQCBQIGAgcCCAIJAjgCCwJJAg0CCAIIAggCCAIIAggCCAIIAggCCAIIAggCCAIIAggCCAIIAhUCAwJkAh4AAuICAgJLAgQCBQIGAgcCCAIJAkwCCwJJAg0CCAIIAggCCAIIAggCCAIIAggCCAIIAggCCAIIAggCCAIIAhUCAwJNAh4AAuICAgInAgQCBQIGAgcCCAIJAgoCCwJJAg0CCAIIAggCCAIIAggCCAIIAggCCAIIAggCCAIIAggCCAIIAhUCAwKjAh4AAuICAgJpAgQCBQIGAgcCCAIJAgoCCwJJAg0CCAIIAggCCAIIAggCCAIIAggCCAIIAggCCAIIAggCCAIIAhUCAwKiAh4AAuICAgIhAgQCBQIGAgcCCAIJAjgCCwJJAg0CCAIIAggCCAIIAggCCAIIAggCCAIIAggCCAIIAggCCAIIAhUCAwKgAh4AAuICAgIjAgQCBQIGAgcCCAIJAjgCCwJJAg0CCAIIAggCCAIIAggCCAIIAggCCAIIAggCCAIIAggCCAIIAhUCAwKfAh4AAuICAgJ6AAAEAB0CBAIFAgYCBwIIAgkCCgILAkkCDQIIAggCCAIIAggCCAIIAggCCAIIAggCCAIIAggCCAIIAggCFQIDAlECHgAC4gICAi8CBAIFAgYCBwIIAgkCCgILAkkCDQIIAggCCAIIAggCCAIIAggCCAIIAggCCAIIAggCCAIIAggCFQIDAokCHgAC4gICAjUCBAIFAgYCBwIIAgkCCgILAkkCDQIIAggCCAIIAggCCAIIAggCCAIIAggCCAIIAggCCAIIAggCFQIDAooCHgAC4gICAjMCBAIFAgYCBwIIAgkCCgILAkkCDQIIAggCCAIIAggCCAIIAggCCAIIAggCCAIIAggCCAIIAggCFQIDAosCHgAC4gICAoICBAIFAgYCBwIIAgkCOAILAkkCDQIIAggCCAIIAggCCAIIAggCCAIIAggCCAIIAggCCAIIAggCFQIDAoMCHgAC4gICAjECBAIFAgYCBwIIAgkCTAILAkkCDQIIAggCCAIIAggCCAIIAggCCAIIAggCCAIIAggCCAIIAggCFQIDAocCHgAC4gICAoICBAIFAgYCBwIIAgkCTAILAkkCDQIIAggCCAIIAggCCAIIAggCCAIIAggCCAIIAggCCAIIAggCFQIDAogCHgAC4gICAl8CBAIFAgYCBwIIAgkCTAILAkkCDQIIAggCCAIIAggCCAIIAggCCAIIAggCCAIIAggCCAIIAggCFQIDAp0CHgAC4gICAiECBAIFAgYCBwIIAgkCTAILAkkCDQIIAggCCAIIAggCCAIIAggCCAIIAggCCAIIAggCCAIIAggCFQIDAlACHgAC4gICAl8CBAIFAgYCBwIIAgkCOAILAkkCDQIIAggCCAIIAggCCAIIAggCCAIIAggCCAIIAggCCAIIAggCFQIDAp4CHgAC4wAJNDMxNzAwNzM2AgICIQIEAgUCBgIHAggCCQI4AgsCSQINAggCCAIIAggCCAIIAggCCAIIAggCCAIIAggCCAIIAggCCAIDAgMCoAIeAALjAgICHwIEAgUCBgIHAggCCQI4AgsCSQINAggCCAIIAggCCAIIAggCCAIIAggCCAIIAggCCAIIAggCCAIDAgMCjwIeAALjAgICLwIEAgUCBgIHAggCCQI4AgsCSQINAggCCAIIAggCCAIIAggCCAIIAggCCAIIAggCCAIIAggCCAIDAgMCegIeAALjAgICKQIEAgUCBgIHAggCCQI4AgsCSQINAggCCAIIAggCCAIIAggCCAIIAggCCAIIAggCCAIIAggCCAIDAgMCXgIeAALjAgICKwIEAgUCBgIHAggCCQI4AgsCSQINAggCCAIIAggCCAIIAggCCAIIAggCCAIIAgh6AAAEAAIIAggCCAIIAgMCAwJVAh4AAuMCAgIlAgQCBQIGAgcCCAIJAjgCCwJJAg0CCAIIAggCCAIIAggCCAIIAggCCAIIAggCCAIIAggCCAIIAgMCAwJjAh4AAuMCAgIjAgQCBQIGAgcCCAIJAjgCCwJJAg0CCAIIAggCCAIIAggCCAIIAggCCAIIAggCCAIIAggCCAIIAgMCAwKfAh4AAuMCAgItAgQCBQIGAgcCCAIJAjgCCwJJAg0CCAIIAggCCAIIAggCCAIIAggCCAIIAggCCAIIAggCCAIIAgMCAwJKAh4AAuMCAgInAgQCBQIGAgcCCAIJAjgCCwJJAg0CCAIIAggCCAIIAggCCAIIAggCCAIIAggCCAIIAggCCAIIAgMCAwJtAh4AAuMCAgI1AgQCBQIGAgcCCAIJAjgCCwJJAg0CCAIIAggCCAIIAggCCAIIAggCCAIIAggCCAIIAggCCAIIAgMCAwJuAh4AAuMCAgIxAgQCBQIGAgcCCAIJAjgCCwJJAg0CCAIIAggCCAIIAggCCAIIAggCCAIIAggCCAIIAggCCAIIAgMCAwKEAh4AAuMCAgIdAgQCBQIGAgcCCAIJAjgCCwJJAg0CCAIIAggCCAIIAggCCAIIAggCCAIIAggCCAIIAggCCAIIAgMCAwJrAh4AAuMCAgIbAgQCBQIGAgcCCAIJAjgCCwJJAg0CCAIIAggCCAIIAggCCAIIAggCCAIIAggCCAIIAggCCAIIAgMCAwJSAh4AAuMCAgIDAgQCBQIGAgcCCAIJAjgCCwJJAg0CCAIIAggCCAIIAggCCAIIAggCCAIIAggCCAIIAggCCAIIAgMCAwKhAh4AAuMCAgIzAgQCBQIGAgcCCAIJAjgCCwJJAg0CCAIIAggCCAIIAggCCAIIAggCCAIIAggCCAIIAggCCAIIAgMCAwJoAh4AAuQACTQxNzAxOTM4NAICAlYCBAIFAgYCBwIIAgkCOAILAgwCDQIIAggCCAIIAggCCAIIAggCCAIIAggCCAIIAggCCAIIAggCFgIDAr4CHgAC5AICAngCBAIFAgYCBwIIAgkCCgILAgwCDQIIAggCCAIIAggCCAIIAggCCAIIAggCCAIIAggCCAIIAggCFgIDAsECHgAC5AICAicCBAIFAgYCBwIIAgkCOAILAgwCDQIIAggCCAIIAggCCAIIAggCCAIIAggCCAIIAggCCAIIAggCFgIDAj4CHgAC5AICAh0CBAIFAgYCBwIIAgkCOAILAgwCDQIIAggCCAIIAggCCAIIAggCCAIIAggCCAIIAggCCAIIAggCFgIDAkICHgAC5AICAgMCBAIFAgYCBwIIAgkCOAILAgwCDQIIAgh6AAAEAAIIAggCCAIIAggCCAIIAggCCAIIAggCCAIIAggCCAIWAgMCRAIeAALkAgICHwIEAgUCBgIHAggCCQIKAgsCDAINAggCCAIIAggCCAIIAggCCAIIAggCCAIIAggCCAIIAggCCAIWAgMCIAIeAALkAgICaQIEAgUCBgIHAggCCQI4AgsCDAINAggCCAIIAggCCAIIAggCCAIIAggCCAIIAggCCAIIAggCCAIWAgMCxwIeAALkAgICWQIEAgUCBgIHAggCCQKpAgsCDAINAggCCAIIAggCCAIIAggCCAIIAggCCAIIAggCCAIIAggCCAIWAgMC1wIeAALkAgICKwIEAgUCBgIHAggCCQKpAgsCDAINAggCCAIIAggCCAIIAggCCAIIAggCCAIIAggCCAIIAggCCAIWAgMCxQIeAALkAgICJQIEAgUCBgIHAggCCQKpAgsCDAINAggCCAIIAggCCAIIAggCCAIIAggCCAIIAggCCAIIAggCCAIWAgMCUAIeAALkAgICKQIEAgUCBgIHAggCCQKpAgsCDAINAggCCAIIAggCCAIIAggCCAIIAggCCAIIAggCCAIIAggCCAIWAgMCzgIeAALkAgICXwIEAgUCBgIHAggCCQKpAgsCDAINAggCCAIIAggCCAIIAggCCAIIAggCCAIIAggCCAIIAggCCAIWAgMCwgIeAALkAgICXwIEAgUCBgIHAggCCQI4AgsCDAINAggCCAIIAggCCAIIAggCCAIIAggCCAIIAggCCAIIAggCCAIWAgMCzwIeAALkAgICaQIEAgUCBgIHAggCCQIKAgsCDAINAggCCAIIAggCCAIIAggCCAIIAggCCAIIAggCCAIIAggCCAIWAgMC1AIeAALkAgICKwIEAgUCBgIHAggCCQI4AgsCDAINAggCCAIIAggCCAIIAggCCAIIAggCCAIIAggCCAIIAggCCAIWAgMCPwIeAALkAgICewIEAgUCBgIHAggCCQIKAgsCDAINAggCCAIIAggCCAIIAggCCAIIAggCCAIIAggCCAIIAggCCAIWAgMCugIeAALkAgICIQIEAgUCBgIHAggCCQI4AgsCDAINAggCCAIIAggCCAIIAggCCAIIAggCCAIIAggCCAIIAggCCAIWAgMCOgIeAALkAgICUwIEAgUCBgIHAggCCQI4AgsCDAINAggCCAIIAggCCAIIAggCCAIIAggCCAIIAggCCAIIAggCCAIWAgMC2AIeAALkAgICJwIEAgUCBgIHAggCCQIKAgsCDAINAggCCAIIAggCCAIIAggCCAIIAggCCAIIAggCCAIIAggCCAIWAgMCKAIeAALkAgICLQIEAgUCBgIHAggCCQJ6AAAEAKkCCwIMAg0CCAIIAggCCAIIAggCCAIIAggCCAIIAggCCAIIAggCCAIIAhYCAwLWAh4AAuQCAgIbAgQCBQIGAgcCCAIJAqkCCwIMAg0CCAIIAggCCAIIAggCCAIIAggCCAIIAggCCAIIAggCCAIIAhYCAwK/Ah4AAuQCAgJLAgQCBQIGAgcCCAIJAqkCCwIMAg0CCAIIAggCCAIIAggCCAIIAggCCAIIAggCCAIIAggCCAIIAhYCAwLAAh4AAuQCAgKFAgQCBQIGAgcCCAIJAqkCCwIMAg0CCAIIAggCCAIIAggCCAIIAggCCAIIAggCCAIIAggCCAIIAhYCAwKzAh4AAuQCAgKCAgQCBQIGAgcCCAIJAjgCCwIMAg0CCAIIAggCCAIIAggCCAIIAggCCAIIAggCCAIIAggCCAIIAhYCAwLJAh4AAuQCAgIbAgQCBQIGAgcCCAIJAjgCCwIMAg0CCAIIAggCCAIIAggCCAIIAggCCAIIAggCCAIIAggCCAIIAhYCAwJGAh4AAuQCAgJLAgQCBQIGAgcCCAIJAjgCCwIMAg0CCAIIAggCCAIIAggCCAIIAggCCAIIAggCCAIIAggCCAIIAhYCAwK0Ah4AAuQCAgIxAgQCBQIGAgcCCAIJAjgCCwIMAg0CCAIIAggCCAIIAggCCAIIAggCCAIIAggCCAIIAggCCAIIAhYCAwI5Ah4AAuQCAgJWAgQCBQIGAgcCCAIJAgoCCwIMAg0CCAIIAggCCAIIAggCCAIIAggCCAIIAggCCAIIAggCCAIIAhYCAwK1Ah4AAuQCAgIzAgQCBQIGAgcCCAIJAgoCCwIMAg0CCAIIAggCCAIIAggCCAIIAggCCAIIAggCCAIIAggCCAIIAhYCAwI0Ah4AAuQCAgI1AgQCBQIGAgcCCAIJAgoCCwIMAg0CCAIIAggCCAIIAggCCAIIAggCCAIIAggCCAIIAggCCAIIAhYCAwI2Ah4AAuQCAgIvAgQCBQIGAgcCCAIJAgoCCwIMAg0CCAIIAggCCAIIAggCCAIIAggCCAIIAggCCAIIAggCCAIIAhYCAwIwAh4AAuQCAgIdAgQCBQIGAgcCCAIJAgoCCwIMAg0CCAIIAggCCAIIAggCCAIIAggCCAIIAggCCAIIAggCCAIIAhYCAwIeAh4AAuQCAgIhAgQCBQIGAgcCCAIJAqkCCwIMAg0CCAIIAggCCAIIAggCCAIIAggCCAIIAggCCAIIAggCCAIIAhYCAwJQAh4AAuQCAgJZAgQCBQIGAgcCCAIJAgoCCwIMAg0CCAIIAggCCAIIAggCCAIIAggCCAIIAggCCAIIAggCCAIIAhYCAwKvAh4AAuQCAgIrAgR6AAAEAAIFAgYCBwIIAgkCCgILAgwCDQIIAggCCAIIAggCCAIIAggCCAIIAggCCAIIAggCCAIIAggCFgIDAiwCHgAC5AICAnsCBAIFAgYCBwIIAgkCqQILAgwCDQIIAggCCAIIAggCCAIIAggCCAIIAggCCAIIAggCCAIIAggCFgIDAtECHgAC5AICAiMCBAIFAgYCBwIIAgkCqQILAgwCDQIIAggCCAIIAggCCAIIAggCCAIIAggCCAIIAggCCAIIAggCFgIDAlACHgAC5AICAnUCBAIFAgYCBwIIAgkCCgILAgwCDQIIAggCCAIIAggCCAIIAggCCAIIAggCCAIIAggCCAIIAggCFgIDAs0CHgAC5AICAlMCBAIFAgYCBwIIAgkCqQILAgwCDQIIAggCCAIIAggCCAIIAggCCAIIAggCCAIIAggCCAIIAggCFgIDAsQCHgAC5AICAgMCBAIFAgYCBwIIAgkCqQILAgwCDQIIAggCCAIIAggCCAIIAggCCAIIAggCCAIIAggCCAIIAggCFgIDAswCHgAC5AICAjUCBAIFAgYCBwIIAgkCOAILAgwCDQIIAggCCAIIAggCCAIIAggCCAIIAggCCAIIAggCCAIIAggCFgIDAkUCHgAC5AICAjMCBAIFAgYCBwIIAgkCOAILAgwCDQIIAggCCAIIAggCCAIIAggCCAIIAggCCAIIAggCCAIIAggCFgIDAkECHgAC5AICAoUCBAIFAgYCBwIIAgkCOAILAgwCDQIIAggCCAIIAggCCAIIAggCCAIIAggCCAIIAggCCAIIAggCFgIDAtMCHgAC5AICAksCBAIFAgYCBwIIAgkCCgILAgwCDQIIAggCCAIIAggCCAIIAggCCAIIAggCCAIIAggCCAIIAggCFgIDAtUCHgAC5AICAi0CBAIFAgYCBwIIAgkCCgILAgwCDQIIAggCCAIIAggCCAIIAggCCAIIAggCCAIIAggCCAIIAggCFgIDAi4CHgAC5AICAoICBAIFAgYCBwIIAgkCqQILAgwCDQIIAggCCAIIAggCCAIIAggCCAIIAggCCAIIAggCCAIIAggCFgIDArwCHgAC5AICAjECBAIFAgYCBwIIAgkCqQILAgwCDQIIAggCCAIIAggCCAIIAggCCAIIAggCCAIIAggCCAIIAggCFgIDAr0CHgAC5AICAhsCBAIFAgYCBwIIAgkCCgILAgwCDQIIAggCCAIIAggCCAIIAggCCAIIAggCCAIIAggCCAIIAggCFgIDAhwCHgAC5AICAi8CBAIFAgYCBwIIAgkCOAILAgwCDQIIAggCCAIIAggCCAIIAggCCAIIAggCCAIIAggCCAIIAggCFgIDAkN6AAAEAAIeAALkAgICIwIEAgUCBgIHAggCCQI4AgsCDAINAggCCAIIAggCCAIIAggCCAIIAggCCAIIAggCCAIIAggCCAIWAgMCOwIeAALkAgICdQIEAgUCBgIHAggCCQI4AgsCDAINAggCCAIIAggCCAIIAggCCAIIAggCCAIIAggCCAIIAggCCAIWAgMCtwIeAALkAgICHwIEAgUCBgIHAggCCQKpAgsCDAINAggCCAIIAggCCAIIAggCCAIIAggCCAIIAggCCAIIAggCCAIWAgMC0AIeAALkAgICKQIEAgUCBgIHAggCCQIKAgsCDAINAggCCAIIAggCCAIIAggCCAIIAggCCAIIAggCCAIIAggCCAIWAgMCKgIeAALkAgICeAIEAgUCBgIHAggCCQKpAgsCDAINAggCCAIIAggCCAIIAggCCAIIAggCCAIIAggCCAIIAggCCAIWAgMC0gIeAALkAgICJQIEAgUCBgIHAggCCQIKAgsCDAINAggCCAIIAggCCAIIAggCCAIIAggCCAIIAggCCAIIAggCCAIWAgMCJgIeAALkAgICVgIEAgUCBgIHAggCCQKpAgsCDAINAggCCAIIAggCCAIIAggCCAIIAggCCAIIAggCCAIIAggCCAIWAgMCygIeAALkAgICHQIEAgUCBgIHAggCCQKpAgsCDAINAggCCAIIAggCCAIIAggCCAIIAggCCAIIAggCCAIIAggCCAIWAgMCUAIeAALkAgICNQIEAgUCBgIHAggCCQKpAgsCDAINAggCCAIIAggCCAIIAggCCAIIAggCCAIIAggCCAIIAggCCAIWAgMCsgIeAALkAgICAwIEAgUCBgIHAggCCQIKAgsCDAINAggCCAIIAggCCAIIAggCCAIIAggCCAIIAggCCAIIAggCCAIWAgMCDgIeAALkAgIChQIEAgUCBgIHAggCCQIKAgsCDAINAggCCAIIAggCCAIIAggCCAIIAggCCAIIAggCCAIIAggCCAIWAgMCuwIeAALkAgICMwIEAgUCBgIHAggCCQKpAgsCDAINAggCCAIIAggCCAIIAggCCAIIAggCCAIIAggCCAIIAggCCAIWAgMCUAIeAALkAgICUwIEAgUCBgIHAggCCQIKAgsCDAINAggCCAIIAggCCAIIAggCCAIIAggCCAIIAggCCAIIAggCCAIWAgMCtgIeAALkAgICLQIEAgUCBgIHAggCCQI4AgsCDAINAggCCAIIAggCCAIIAggCCAIIAggCCAIIAggCCAIIAggCCAIWAgMCQAIeAALkAgICJwIEAgUCBgIHAggCCQKpAgsCDAINAggCCAIIAggCCAIIAggCCAIIAggCCAIIAggCCAJ6AAAEAAgCCAIIAhYCAwK5Ah4AAuQCAgJpAgQCBQIGAgcCCAIJAqkCCwIMAg0CCAIIAggCCAIIAggCCAIIAggCCAIIAggCCAIIAggCCAIIAhYCAwLLAh4AAuQCAgJZAgQCBQIGAgcCCAIJAjgCCwIMAg0CCAIIAggCCAIIAggCCAIIAggCCAIIAggCCAIIAggCCAIIAhYCAwK4Ah4AAuQCAgIvAgQCBQIGAgcCCAIJAqkCCwIMAg0CCAIIAggCCAIIAggCCAIIAggCCAIIAggCCAIIAggCCAIIAhYCAwKuAh4AAuQCAgJ1AgQCBQIGAgcCCAIJAqkCCwIMAg0CCAIIAggCCAIIAggCCAIIAggCCAIIAggCCAIIAggCCAIIAhYCAwKwAh4AAuQCAgIlAgQCBQIGAgcCCAIJAjgCCwIMAg0CCAIIAggCCAIIAggCCAIIAggCCAIIAggCCAIIAggCCAIIAhYCAwI8Ah4AAuQCAgJ4AgQCBQIGAgcCCAIJAjgCCwIMAg0CCAIIAggCCAIIAggCCAIIAggCCAIIAggCCAIIAggCCAIIAhYCAwLDAh4AAuQCAgJ7AgQCBQIGAgcCCAIJAjgCCwIMAg0CCAIIAggCCAIIAggCCAIIAggCCAIIAggCCAIIAggCCAIIAhYCAwLGAh4AAuQCAgIfAgQCBQIGAgcCCAIJAjgCCwIMAg0CCAIIAggCCAIIAggCCAIIAggCCAIIAggCCAIIAggCCAIIAhYCAwJHAh4AAuQCAgIpAgQCBQIGAgcCCAIJAjgCCwIMAg0CCAIIAggCCAIIAggCCAIIAggCCAIIAggCCAIIAggCCAIIAhYCAwI9Ah4AAuQCAgJfAgQCBQIGAgcCCAIJAgoCCwIMAg0CCAIIAggCCAIIAggCCAIIAggCCAIIAggCCAIIAggCCAIIAhYCAwKxAh4AAuQCAgIxAgQCBQIGAgcCCAIJAgoCCwIMAg0CCAIIAggCCAIIAggCCAIIAggCCAIIAggCCAIIAggCCAIIAhYCAwIyAh4AAuQCAgKCAgQCBQIGAgcCCAIJAgoCCwIMAg0CCAIIAggCCAIIAggCCAIIAggCCAIIAggCCAIIAggCCAIIAhYCAwLIAh4AAuQCAgIhAgQCBQIGAgcCCAIJAgoCCwIMAg0CCAIIAggCCAIIAggCCAIIAggCCAIIAggCCAIIAggCCAIIAhYCAwIiAh4AAuQCAgIjAgQCBQIGAgcCCAIJAgoCCwIMAg0CCAIIAggCCAIIAggCCAIIAggCCAIIAggCCAIIAggCCAIIAhYCAwIkAh4AAuUACTQyNTM0NDg5NgICAicCBAIFAgYCBwIIAgkCCgILAkkCDQIIAggCCAJ6AAAEAAgCCAIIAggCCAIIAggCCAIIAggCCAIIAggCCAIBAgMCowIeAALlAgICaQIEAgUCBgIHAggCCQIKAgsCSQINAggCCAIIAggCCAIIAggCCAIIAggCCAIIAggCCAIIAggCCAIBAgMCogIeAALlAgICKwIEAgUCBgIHAggCCQI4AgsCSQINAggCCAIIAggCCAIIAggCCAIIAggCCAIIAggCCAIIAggCCAIBAgMCVQIeAALlAgICXwIEAgUCBgIHAggCCQI4AgsCSQINAggCCAIIAggCCAIIAggCCAIIAggCCAIIAggCCAIIAggCCAIBAgMCngIeAALlAgICWQIEAgUCBgIHAggCCQI4AgsCSQINAggCCAIIAggCCAIIAggCCAIIAggCCAIIAggCCAIIAggCCAIBAgMCWgIeAALlAgICIQIEAgUCBgIHAggCCQI4AgsCSQINAggCCAIIAggCCAIIAggCCAIIAggCCAIIAggCCAIIAggCCAIBAgMCoAIeAALlAgICKwIEAgUCBgIHAggCCQJMAgsCSQINAggCCAIIAggCCAIIAggCCAIIAggCCAIIAggCCAIIAggCCAIBAgMCcwIeAALlAgICLQIEAgUCBgIHAggCCQJMAgsCSQINAggCCAIIAggCCAIIAggCCAIIAggCCAIIAggCCAIIAggCCAIBAgMCYgIeAALlAgICGwIEAgUCBgIHAggCCQJMAgsCSQINAggCCAIIAggCCAIIAggCCAIIAggCCAIIAggCCAIIAggCCAIBAgMCTgIeAALlAgICTwIEAgUCBgIHAggCCQJMAgsCSQINAggCCAIIAggCCAIIAggCCAIIAggCCAIIAggCCAIIAggCCAIBAgMCUAIeAALlAgICVgIEAgUCBgIHAggCCQIKAgsCSQINAggCCAIIAggCCAIIAggCCAIIAggCCAIIAggCCAIIAggCCAIBAgMCVwIeAALlAgICLQIEAgUCBgIHAggCCQI4AgsCSQINAggCCAIIAggCCAIIAggCCAIIAggCCAIIAggCCAIIAggCCAIBAgMCSgIeAALlAgICWQIEAgUCBgIHAggCCQJMAgsCSQINAggCCAIIAggCCAIIAggCCAIIAggCCAIIAggCCAIIAggCCAIBAgMCcgIeAALlAgICHwIEAgUCBgIHAggCCQIKAgsCSQINAggCCAIIAggCCAIIAggCCAIIAggCCAIIAggCCAIIAggCCAIBAgMCbwIeAALlAgICHQIEAgUCBgIHAggCCQIKAgsCSQINAggCCAIIAggCCAIIAggCCAIIAggCCAIIAggCCAIIAggCCAIBAgMCUQIeAALlAgICAwIEAgUCBgIHAggCCQIKAgt6AAAEAAJJAg0CCAIIAggCCAIIAggCCAIIAggCCAIIAggCCAIIAggCCAIIAgECAwJbAh4AAuUCAgJ4AgQCBQIGAgcCCAIJAgoCCwJJAg0CCAIIAggCCAIIAggCCAIIAggCCAIIAggCCAIIAggCCAIIAgECAwJ5Ah4AAuUCAgJfAgQCBQIGAgcCCAIJAkwCCwJJAg0CCAIIAggCCAIIAggCCAIIAggCCAIIAggCCAIIAggCCAIIAgECAwKdAh4AAuUCAgIDAgQCBQIGAgcCCAIJAkwCCwJJAg0CCAIIAggCCAIIAggCCAIIAggCCAIIAggCCAIIAggCCAIIAgECAwKYAh4AAuUCAgIDAgQCBQIGAgcCCAIJAjgCCwJJAg0CCAIIAggCCAIIAggCCAIIAggCCAIIAggCCAIIAggCCAIIAgECAwKhAh4AAuUCAgJTAgQCBQIGAgcCCAIJAkwCCwJJAg0CCAIIAggCCAIIAggCCAIIAggCCAIIAggCCAIIAggCCAIIAgECAwKlAh4AAuUCAgJWAgQCBQIGAgcCCAIJAjgCCwJJAg0CCAIIAggCCAIIAggCCAIIAggCCAIIAggCCAIIAggCCAIIAgECAwJ+Ah4AAuUCAgJTAgQCBQIGAgcCCAIJAjgCCwJJAg0CCAIIAggCCAIIAggCCAIIAggCCAIIAggCCAIIAggCCAIIAgECAwKkAh4AAuUCAgIdAgQCBQIGAgcCCAIJAjgCCwJJAg0CCAIIAggCCAIIAggCCAIIAggCCAIIAggCCAIIAggCCAIIAgECAwJrAh4AAuUCAgIhAgQCBQIGAgcCCAIJAkwCCwJJAg0CCAIIAggCCAIIAggCCAIIAggCCAIIAggCCAIIAggCCAIIAgECAwJQAh4AAuUCAgJ7AgQCBQIGAgcCCAIJAgoCCwJJAg0CCAIIAggCCAIIAggCCAIIAggCCAIIAggCCAIIAggCCAIIAgECAwJ8Ah4AAuUCAgJmAgQCBQIGAgcCCAIJAkwCCwJJAg0CCAIIAggCCAIIAggCCAIIAggCCAIIAggCCAIIAggCCAIIAgECAwJQAh4AAuUCAgJWAgQCBQIGAgcCCAIJAkwCCwJJAg0CCAIIAggCCAIIAggCCAIIAggCCAIIAggCCAIIAggCCAIIAgECAwJ/Ah4AAuUCAgJmAgQCBQIGAgcCCAIJAjgCCwJJAg0CCAIIAggCCAIIAggCCAIIAggCCAIIAggCCAIIAggCCAIIAgECAwJ9Ah4AAuUCAgJpAgQCBQIGAgcCCAIJAkwCCwJJAg0CCAIIAggCCAIIAggCCAIIAggCCAIIAggCCAIIAggCCAIIAgECAwJxAh4AAuUCAgI1AgQCBQJ6AAAEAAYCBwIIAgkCTAILAkkCDQIIAggCCAIIAggCCAIIAggCCAIIAggCCAIIAggCCAIIAggCAQIDAmwCHgAC5QICAlkCBAIFAgYCBwIIAgkCCgILAkkCDQIIAggCCAIIAggCCAIIAggCCAIIAggCCAIIAggCCAIIAggCAQIDAmECHgAC5QICAicCBAIFAgYCBwIIAgkCTAILAkkCDQIIAggCCAIIAggCCAIIAggCCAIIAggCCAIIAggCCAIIAggCAQIDAo4CHgAC5QICAh0CBAIFAgYCBwIIAgkCTAILAkkCDQIIAggCCAIIAggCCAIIAggCCAIIAggCCAIIAggCCAIIAggCAQIDAlACHgAC5QICAmkCBAIFAgYCBwIIAgkCOAILAkkCDQIIAggCCAIIAggCCAIIAggCCAIIAggCCAIIAggCCAIIAggCAQIDAmoCHgAC5QICAnUCBAIFAgYCBwIIAgkCCgILAkkCDQIIAggCCAIIAggCCAIIAggCCAIIAggCCAIIAggCCAIIAggCAQIDApACHgAC5QICAjMCBAIFAgYCBwIIAgkCOAILAkkCDQIIAggCCAIIAggCCAIIAggCCAIIAggCCAIIAggCCAIIAggCAQIDAmgCHgAC5QICAjMCBAIFAgYCBwIIAgkCTAILAkkCDQIIAggCCAIIAggCCAIIAggCCAIIAggCCAIIAggCCAIIAggCAQIDAlACHgAC5QICAi0CBAIFAgYCBwIIAgkCCgILAkkCDQIIAggCCAIIAggCCAIIAggCCAIIAggCCAIIAggCCAIIAggCAQIDAnACHgAC5QICAi8CBAIFAgYCBwIIAgkCCgILAkkCDQIIAggCCAIIAggCCAIIAggCCAIIAggCCAIIAggCCAIIAggCAQIDAokCHgAC5QICAhsCBAIFAgYCBwIIAgkCOAILAkkCDQIIAggCCAIIAggCCAIIAggCCAIIAggCCAIIAggCCAIIAggCAQIDAlICHgAC5QICAk8CBAIFAgYCBwIIAgkCOAILAkkCDQIIAggCCAIIAggCCAIIAggCCAIIAggCCAIIAggCCAIIAggCAQIDAlgCHgAC5QICAksCBAIFAgYCBwIIAgkCOAILAkkCDQIIAggCCAIIAggCCAIIAggCCAIIAggCCAIIAggCCAIIAggCAQIDAmQCHgAC5QICAksCBAIFAgYCBwIIAgkCTAILAkkCDQIIAggCCAIIAggCCAIIAggCCAIIAggCCAIIAggCCAIIAggCAQIDAk0CHgAC5QICAicCBAIFAgYCBwIIAgkCOAILAkkCDQIIAggCCAIIAggCCAIIAggCCAIIAggCCAIIAggCCAIIAggCAQIDAm0CHgB6AAAEAALlAgICZgIEAgUCBgIHAggCCQIKAgsCSQINAggCCAIIAggCCAIIAggCCAIIAggCCAIIAggCCAIIAggCCAIBAgMCZwIeAALlAgICKwIEAgUCBgIHAggCCQIKAgsCSQINAggCCAIIAggCCAIIAggCCAIIAggCCAIIAggCCAIIAggCCAIBAgMCXAIeAALlAgICggIEAgUCBgIHAggCCQJMAgsCSQINAggCCAIIAggCCAIIAggCCAIIAggCCAIIAggCCAIIAggCCAIBAgMCiAIeAALlAgICLwIEAgUCBgIHAggCCQI4AgsCSQINAggCCAIIAggCCAIIAggCCAIIAggCCAIIAggCCAIIAggCCAIBAgMCegIeAALlAgICdQIEAgUCBgIHAggCCQI4AgsCSQINAggCCAIIAggCCAIIAggCCAIIAggCCAIIAggCCAIIAggCCAIBAgMCdgIeAALlAgICMQIEAgUCBgIHAggCCQJMAgsCSQINAggCCAIIAggCCAIIAggCCAIIAggCCAIIAggCCAIIAggCCAIBAgMChwIeAALlAgICMwIEAgUCBgIHAggCCQIKAgsCSQINAggCCAIIAggCCAIIAggCCAIIAggCCAIIAggCCAIIAggCCAIBAgMCiwIeAALlAgICNQIEAgUCBgIHAggCCQIKAgsCSQINAggCCAIIAggCCAIIAggCCAIIAggCCAIIAggCCAIIAggCCAIBAgMCigIeAALlAgICIwIEAgUCBgIHAggCCQJMAgsCSQINAggCCAIIAggCCAIIAggCCAIIAggCCAIIAggCCAIIAggCCAIBAgMCUAIeAALlAgICLwIEAgUCBgIHAggCCQJMAgsCSQINAggCCAIIAggCCAIIAggCCAIIAggCCAIIAggCCAIIAggCCAIBAgMCdwIeAALlAgICNQIEAgUCBgIHAggCCQI4AgsCSQINAggCCAIIAggCCAIIAggCCAIIAggCCAIIAggCCAIIAggCCAIBAgMCbgIeAALlAgICdQIEAgUCBgIHAggCCQJMAgsCSQINAggCCAIIAggCCAIIAggCCAIIAggCCAIIAggCCAIIAggCCAIBAgMCgAIeAALlAgICggIEAgUCBgIHAggCCQI4AgsCSQINAggCCAIIAggCCAIIAggCCAIIAggCCAIIAggCCAIIAggCCAIBAgMCgwIeAALlAgIChQIEAgUCBgIHAggCCQIKAgsCSQINAggCCAIIAggCCAIIAggCCAIIAggCCAIIAggCCAIIAggCCAIBAgMChgIeAALlAgICMQIEAgUCBgIHAggCCQI4AgsCSQINAggCCAIIAggCCAIIAggCCAIIAggCCAIIAggCCAIIAgh6AAAEAAIIAgECAwKEAh4AAuUCAgIlAgQCBQIGAgcCCAIJAgoCCwJJAg0CCAIIAggCCAIIAggCCAIIAggCCAIIAggCCAIIAggCCAIIAgECAwKBAh4AAuUCAgIjAgQCBQIGAgcCCAIJAjgCCwJJAg0CCAIIAggCCAIIAggCCAIIAggCCAIIAggCCAIIAggCCAIIAgECAwKfAh4AAuUCAgIpAgQCBQIGAgcCCAIJAgoCCwJJAg0CCAIIAggCCAIIAggCCAIIAggCCAIIAggCCAIIAggCCAIIAgECAwJ0Ah4AAuUCAgJ7AgQCBQIGAgcCCAIJAjgCCwJJAg0CCAIIAggCCAIIAggCCAIIAggCCAIIAggCCAIIAggCCAIIAgECAwKaAh4AAuUCAgIpAgQCBQIGAgcCCAIJAjgCCwJJAg0CCAIIAggCCAIIAggCCAIIAggCCAIIAggCCAIIAggCCAIIAgECAwJeAh4AAuUCAgKCAgQCBQIGAgcCCAIJAgoCCwJJAg0CCAIIAggCCAIIAggCCAIIAggCCAIIAggCCAIIAggCCAIIAgECAwKZAh4AAuUCAgIfAgQCBQIGAgcCCAIJAjgCCwJJAg0CCAIIAggCCAIIAggCCAIIAggCCAIIAggCCAIIAggCCAIIAgECAwKPAh4AAuUCAgJLAgQCBQIGAgcCCAIJAgoCCwJJAg0CCAIIAggCCAIIAggCCAIIAggCCAIIAggCCAIIAggCCAIIAgECAwKWAh4AAuUCAgKFAgQCBQIGAgcCCAIJAkwCCwJJAg0CCAIIAggCCAIIAggCCAIIAggCCAIIAggCCAIIAggCCAIIAgECAwKcAh4AAuUCAgJ7AgQCBQIGAgcCCAIJAkwCCwJJAg0CCAIIAggCCAIIAggCCAIIAggCCAIIAggCCAIIAggCCAIIAgECAwKMAh4AAuUCAgJPAgQCBQIGAgcCCAIJAgoCCwJJAg0CCAIIAggCCAIIAggCCAIIAggCCAIIAggCCAIIAggCCAIIAgECAwKVAh4AAuUCAgIbAgQCBQIGAgcCCAIJAgoCCwJJAg0CCAIIAggCCAIIAggCCAIIAggCCAIIAggCCAIIAggCCAIIAgECAwKXAh4AAuUCAgIfAgQCBQIGAgcCCAIJAkwCCwJJAg0CCAIIAggCCAIIAggCCAIIAggCCAIIAggCCAIIAggCCAIIAgECAwKSAh4AAuUCAgJ4AgQCBQIGAgcCCAIJAkwCCwJJAg0CCAIIAggCCAIIAggCCAIIAggCCAIIAggCCAIIAggCCAIIAgECAwKRAh4AAuUCAgKFAgQCBQIGAgcCCAIJAjgCCwJJAg0CCAIIAggCCAIIAggCCAIIAggCCAJ6AAACgAgCCAIIAggCCAIIAggCAQIDApsCHgAC5QICAlMCBAIFAgYCBwIIAgkCCgILAkkCDQIIAggCCAIIAggCCAIIAggCCAIIAggCCAIIAggCCAIIAggCAQIDAlQCHgAC5QICAiMCBAIFAgYCBwIIAgkCCgILAkkCDQIIAggCCAIIAggCCAIIAggCCAIIAggCCAIIAggCCAIIAggCAQIDApQCHgAC5QICAl8CBAIFAgYCBwIIAgkCCgILAkkCDQIIAggCCAIIAggCCAIIAggCCAIIAggCCAIIAggCCAIIAggCAQIDAmACHgAC5QICAikCBAIFAgYCBwIIAgkCTAILAkkCDQIIAggCCAIIAggCCAIIAggCCAIIAggCCAIIAggCCAIIAggCAQIDAl0CHgAC5QICAngCBAIFAgYCBwIIAgkCOAILAkkCDQIIAggCCAIIAggCCAIIAggCCAIIAggCCAIIAggCCAIIAggCAQIDAo0CHgAC5QICAiUCBAIFAgYCBwIIAgkCTAILAkkCDQIIAggCCAIIAggCCAIIAggCCAIIAggCCAIIAggCCAIIAggCAQIDAlACHgAC5QICAjECBAIFAgYCBwIIAgkCCgILAkkCDQIIAggCCAIIAggCCAIIAggCCAIIAggCCAIIAggCCAIIAggCAQIDApMCHgAC5QICAiECBAIFAgYCBwIIAgkCCgILAkkCDQIIAggCCAIIAggCCAIIAggCCAIIAggCCAIIAggCCAIIAggCAQIDAmUCHgAC5QICAiUCBAIFAgYCBwIIAgkCOAILAkkCDQIIAggCCAIIAggCCAIIAggCCAIIAggCCAIIAggCCAIIAggCAQIDAmM=]]></xxe4awand>
</file>

<file path=customXml/item9.xml><?xml version="1.0" encoding="utf-8"?>
<xxe4awand xmlns="http://www.excel4apps.com"><![CDATA[rO0ABXfZCMCtii8CJAKoAh4AAERjb20uZXhjZWw0YXBwcy53YW5kLm9yYWNsZS5n
bHdhbmQuY2FsY3VsYXRpb25zLmdldGJhbGFuY2UuR2V0QmFsYW5jZQIBAAkxNjIz
OTUyMDACAgABMAIDAAYyMDE2MDQCBAADWVREAgUAA1VTRAIGAAVUb3RhbAIHAAFB
AggAAAIJAAMwMDECCgAGMTkxMDAwAgsAAkdEAgwAAldBAg0AAkRMAggCCAIIAggC
CAIIAggCCAIIAggCCAIIAggCCAIIAggCCAIS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BOQwD3h4d00CHgACAQICAhsABjIwMTcwNQIEAgUCBgIHAggCCQIKAgsCDAIN
AggCCAIIAggCCAIIAggCCAIIAggCCAIIAggCCAIIAggCCAISAgMCHHNxAH4AAAAA
AAJzcQB+AAT///////////////7////+/////3VxAH4ABwAAAAQGIRiFeHh3VQIeAAIBAgICHQAGMjAxNjA5AgQCBQIGAgcCCAIJAh4ABjE5MTAyNQILAgwCDQIIAggCCAIIAggCCAIIAggCCAIIAggCCAIIAggCCAIIAggCEgIDAh9zcQB+AAAAAAACc3EAfgAE///////////////+/////v////91cQB+AAcAAAADB43UeHh3VQIeAAIBAgICIAAGMjAxODA0AgQCBQIGAgcCCAIJAiEABjE5MTAxMAILAgwCDQIIAggCCAIIAggCCAIIAggCCAIIAggCCAIIAggCCAIIAggCEgIDAiJzcQB+AAAAAAACc3EAfgAE///////////////+/////v////91cQB+AAcAAAAEWqnIX3h4d00CHgACAQICAiMABjIwMTYwMgIEAgUCBgIHAggCCQIhAgsCDAINAggCCAIIAggCCAIIAggCCAIIAggCCAIIAggCCAIIAggCCAISAgMCJHNxAH4AAAAAAAJzcQB+AAT///////////////7////+/////3VxAH4ABwAAAAQ3OPVPeHh3TQIeAAIBAgICJQAGMjAxNzAxAgQCBQIGAgcCCAIJAh4CCwIMAg0CCAIIAggCCAIIAggCCAIIAggCCAIIAggCCAIIAggCCAIIAhICAwImc3EAfgAAAAAAAnNxAH4ABP///////////////v////7/////dXEAfgAHAAAAAwVk/3h4d00CHgACAQICAicABjIwMTYwMwIEAgUCBgIHAggCCQIhAgsCDAINAggCCAIIAggCCAIIAggCCAIIAggCCAIIAggCCAIIAggCCAISAgMCKHNxAH4AAAAAAAJzcQB+AAT///////////////7////+/////3VxAH4ABwAAAAQ9+1bieHh3TQIeAAIBAgICKQAGMjAxNzExAgQCBQIGAgcCCAIJAgoCCwIMAg0CCAIIAggCCAIIAggCCAIIAggCCAIIAggCCAIIAggCCAIIAhICAwIqc3EAfgAAAAAAAnNxAH4ABP///////////////v////7/////dXEAfgAHAAAABES6V7x4eHdNAh4AAgECAgIrAAYyMDE3MDQCBAIFAgYCBwIIAgkCIQILAgwCDQIIAggCCAIIAggCCAIIAggCCAIIAggCCAIIAggCCAIIAggCEgIDAixzcQB+AAAAAAACc3EAfgAE///////////////+/////v////91cQB+AAcAAAAEWnDZd3h4d00CHgACAQICAi0ABjIwMTgwMQIEAgUCBgIHAggCCQIeAgsCDAINAggCCAIIAggCCAIIAggCCAIIAggCCAIIAggCCAIIAggCCAISAgMCLnNxAH4AAAAAAAJzcQB+AAT///////////////7////+AAAAAHVxAH4ABwAAAAB4eHdFAh4AAgECAgInAgQCBQIGAgcCCAIJAgoCCwIMAg0CCAIIAggCCAIIAggCCAIIAggCCAIIAggCCAIIAggCCAIIAhICAwIvc3EAfgAAAAAAAnNxAH4ABP///////////////v////7/////dXEAfgAHAAAABAXojm54eHdNAh4AAgECAgIwAAYyMDE2MDUCBAIFAgYCBwIIAgkCCgILAgwCDQIIAggCCAIIAggCCAIIAggCCAIIAggCCAIIAggCCAIIAggCEgIDAjFzcQB+AAAAAAACc3EAfgAE///////////////+/////v////91cQB+AAcAAAAEBDaJ43h4d00CHgACAQICAjIABjIwMTYxMAIEAgUCBgIHAggCCQIKAgsCDAINAggCCAIIAggCCAIIAggCCAIIAggCCAIIAggCCAIIAggCCAISAgMCM3NxAH4AAAAAAAJzcQB+AAT///////////////7////+/////3VxAH4ABwAAAAO8XLJ4eHdNAh4AAgECAgI0AAYyMDE4MDMCBAIFAgYCBwIIAgkCIQILAgwCDQIIAggCCAIIAggCCAIIAggCCAIIAggCCAIIAggCCAIIAggCEgIDAjVzcQB+AAAAAAACc3EAfgAE///////////////+/////v////91cQB+AAcAAAAEUn6jGnh4d00CHgACAQICAjYABjIwMTcwMgIEAgUCBgIHAggCCQIhAgsCDAINAggCCAIIAggCCAIIAggCCAIIAggCCAIIAggCCAIIAggCCAISAgMCN3NxAH4AAAAAAAJzcQB+AAT///////////////7////+/////3VxAH4ABwAAAARJi1PJeHh3igIeAAIBAgICNAIEAgUCBgIHAggCCQIeAgsCDAINAggCCAIIAggCCAIIAggCCAIIAggCCAIIAggCCAIIAggCCAISAgMCLgIeAAIBAgICNgIEAgUCBgIHAggCCQIeAgsCDAINAggCCAIIAggCCAIIAggCCAIIAggCCAIIAggCCAIIAggCCAISAgMCOHNxAH4AAAAAAAJzcQB+AAT///////////////7////+/////3VxAH4ABwAAAAME+2h4eHdFAh4AAgECAgIyAgQCBQIGAgcCCAIJAiECCwIMAg0CCAIIAggCCAIIAggCCAIIAggCCAIIAggCCAIIAggCCAIIAhICAwI5c3EAfgAAAAAAAnNxAH4ABP///////////////v////7/////dXEAfgAHAAAABGKNyxZ4eHdFAh4AAgECAgIrAgQCBQIGAgcCCAIJAgoCCwIMAg0CCAIIAggCCAIIAggCCAIIAggCCAIIAggCCAIIAggCCAIIAhICAwI6c3EAfgAAAAAAAnNxAH4ABP///////////////v////7/////dXEAfgAHAAAABAnwakZ4eHdNAh4AAgECAgI7AAYyMDE4MDUCBAIFAgYCBwIIAgkCCgILAgwCDQIIAggCCAIIAggCCAIIAggCCAIIAggCCAIIAggCCAIIAggCEgIDAjxzcQB+AAAAAAACc3EAfgAE///////////////+/////v////91cQB+AAcAAAAEBEpBlXh4d00CHgACAQICAj0ABjIwMTYwOAIEAgUCBgIHAggCCQIeAgsCDAINAggCCAIIAggCCAIIAggCCAIIAggCCAIIAggCCAIIAggCCAISAgMCPnNxAH4AAAAAAAJzcQB+AAT///////////////7////+/////3VxAH4ABwAAAAMItpx4eHdNAh4AAgECAgI/AAYyMDE3MDkCBAIFAgYCBwIIAgkCHgILAgwCDQIIAggCCAIIAggCCAIIAggCCAIIAggCCAIIAggCCAIIAggCEgIDAkBzcQB+AAAAAAACc3EAfgAE///////////////+/////v////91cQB+AAcAAAADBA6ueHh3TQIeAAIBAgICQQAGMjAxNzEyAgQCBQIGAgcCCAIJAgoCCwIMAg0CCAIIAggCCAIIAggCCAIIAggCCAIIAggCCAIIAggCCAIIAhICAwJCc3EAfgAAAAAAAnNxAH4ABP///////////////v////7/////dXEAfgAHAAAABDRJviN4eHeaAh4AAgECAgJDAAYyMDE4MDICBAIFAgYCBwIIAgkCHgILAgwCDQIIAggCCAIIAggCCAIIAggCCAIIAggCCAIIAggCCAIIAggCEgIDAi4CHgACAQICAkQABjIwMTcwMwIEAgUCBgIHAggCCQIhAgsCDAINAggCCAIIAggCCAIIAggCCAIIAggCCAIIAggCCAIIAggCCAISAgMCRXNxAH4AAAAAAAJzcQB+AAT///////////////7////+/////3VxAH4ABwAAAARTY5smeHh3TQIeAAIBAgICRgAGMjAxNjExAgQCBQIGAgcCCAIJAgoCCwIMAg0CCAIIAggCCAIIAggCCAIIAggCCAIIAggCCAIIAggCCAIIAhICAwJHc3EAfgAAAAAAAnNxAH4ABP///////////////v////7/////dXEAfgAHAAAABExDDhV4eHdNAh4AAgECAgJIAAYyMDE3MTACBAIFAgYCBwIIAgkCIQILAgwCDQIIAggCCAIIAggCCAIIAggCCAIIAggCCAIIAggCCAIIAggCEgIDAklzcQB+AAAAAAACc3EAfgAE///////////////+/////v////91cQB+AAcAAAAEgtyI8Xh4d0UCHgACAQICAh0CBAIFAgYCBwIIAgkCIQILAgwCDQIIAggCCAIIAggCCAIIAggCCAIIAggCCAIIAggCCAIIAggCEgIDAkpzcQB+AAAAAAACc3EAfgAE///////////////+/////v////91cQB+AAcAAAAEYTEIFHh4d0UCHgACAQICAkQCBAIFAgYCBwIIAgkCCgILAgwCDQIIAggCCAIIAggCCAIIAggCCAIIAggCCAIIAggCCAIIAggCEgIDAktzcQB+AAAAAAACc3EAfgAE///////////////+/////v////91cQB+AAcAAAAEEP3yI3h4d0UCHgACAQICAiACBAIFAgYCBwIIAgkCCgILAgwCDQIIAggCCAIIAggCCAIIAggCCAIIAggCCAIIAggCCAIIAggCEgIDAkxzcQB+AAAAAAACc3EAfgAE///////////////+/////v////91cQB+AAcAAAAEBxk/mXh4d0UCHgACAQICAkgCBAIFAgYCBwIIAgkCHgILAgwCDQIIAggCCAIIAggCCAIIAggCCAIIAggCCAIIAggCCAIIAggCEgIDAk1zcQB+AAAAAAACc3EAfgAE///////////////+/////v////91cQB+AAcAAAADA9yreHh3TQIeAAIBAgICTgAGMjAxNjA2AgQCBQIGAgcCCAIJAh4CCwIMAg0CCAIIAggCCAIIAggCCAIIAggCCAIIAggCCAIIAggCCAIIAhICAwJPc3EAfgAAAAAAAnNxAH4ABP///////////////v////7/////dXEAfgAHAAAAAwqAVHh4d00CHgACAQICAlAABjIwMTcwOAIEAgUCBgIHAggCCQIKAgsCDAINAggCCAIIAggCCAIIAggCCAIIAggCCAIIAggCCAIIAggCCAISAgMCUXNxAH4AAAAAAAJzcQB+AAT///////////////7////+/////3VxAH4ABwAAAAMylNZ4eHeSAh4AAgECAgI7AgQCBQIGAgcCCAIJAh4CCwIMAg0CCAIIAggCCAIIAggCCAIIAggCCAIIAggCCAIIAggCCAIIAhICAwIuAh4AAgECAgJSAAYyMDE2MDcCBAIFAgYCBwIIAgkCCgILAgwCDQIIAggCCAIIAggCCAIIAggCCAIIAggCCAIIAggCCAIIAggCEgIDAlNzcQB+AAAAAAACc3EAfgAE///////////////+/////v////91cQB+AAcAAAAEAzaSmXh4d0UCHgACAQICAikCBAIFAgYCBwIIAgkCIQILAgwCDQIIAggCCAIIAggCCAIIAggCCAIIAggCCAIIAggCCAIIAggCEgIDAlRzcQB+AAAAAAACc3EAfgAE///////////////+/////v////91cQB+AAcAAAAEMNCqs3h4d00CHgACAQICAlUABjIwMTYxMgIEAgUCBgIHAggCCQIhAgsCDAINAggCCAIIAggCCAIIAggCCAIIAggCCAIIAggCCAIIAggCCAISAgMCVnNxAH4AAAAAAAJzcQB+AAT///////////////7////+/////3VxAH4ABwAAAAQoo9pZeHh3TQIeAAIBAgICVwAGMjAxNzA2AgQCBQIGAgcCCAIJAgoCCwIMAg0CCAIIAggCCAIIAggCCAIIAggCCAIIAggCCAIIAggCCAIIAhICAwJYc3EAfgAAAAAAAnNxAH4ABP///////////////v////7/////dXEAfgAHAAAABAPdTSB4eHdFAh4AAgECAgItAgQCBQIGAgcCCAIJAiECCwIMAg0CCAIIAggCCAIIAggCCAIIAggCCAIIAggCCAIIAggCCAIIAhICAwJZc3EAfgAAAAAAAnNxAH4ABP///////////////v////7/////dXEAfgAHAAAABE7u6Np4eHdFAh4AAgECAgInAgQCBQIGAgcCCAIJAh4CCwIMAg0CCAIIAggCCAIIAggCCAIIAggCCAIIAggCCAIIAggCCAIIAhICAwJac3EAfgAAAAAAAnNxAH4ABP///////////////v////7/////dXEAfgAHAAAAAw6D3Xh4d0UCHgACAQICAisCBAIFAgYCBwIIAgkCHgILAgwCDQIIAggCCAIIAggCCAIIAggCCAIIAggCCAIIAggCCAIIAggCEgIDAltzcQB+AAAAAAACc3EAfgAE///////////////+/////v////91cQB+AAcAAAADBHSNeHh3TQIeAAIBAgICXAAGMjAxNzA3AgQCBQIGAgcCCAIJAh4CCwIMAg0CCAIIAggCCAIIAggCCAIIAggCCAIIAggCCAIIAggCCAIIAhICAwJdc3EAfgAAAAAAAnNxAH4ABP///////////////v////7/////dXEAfgAHAAAAAwQ0OHh4d0UCHgACAQICAgMCBAIFAgYCBwIIAgkCIQILAgwCDQIIAggCCAIIAggCCAIIAggCCAIIAggCCAIIAggCCAIIAggCEgIDAl5zcQB+AAAAAAACc3EAfgAE///////////////+/////v////91cQB+AAcAAAAESHB4r3h4d0UCHgACAQICAiMCBAIFAgYCBwIIAgkCCgILAgwCDQIIAggCCAIIAggCCAIIAggCCAIIAggCCAIIAggCCAIIAggCEgIDAl9zcQB+AAAAAAACc3EAfgAE///////////////+/////v////91cQB+AAcAAAAECCX/sXh4d0UCHgACAQICAhsCBAIFAgYCBwIIAgkCIQILAgwCDQIIAggCCAIIAggCCAIIAggCCAIIAggCCAIIAggCCAIIAggCEgIDAmBzcQB+AAAAAAACc3EAfgAE///////////////+/////v////91cQB+AAcAAAAEWf3l8nh4d0UCHgACAQICAkYCBAIFAgYCBwIIAgkCHgILAgwCDQIIAggCCAIIAggCCAIIAggCCAIIAggCCAIIAggCCAIIAggCEgIDAmFzcQB+AAAAAAACc3EAfgAE///////////////+/////v////91cQB+AAcAAAADBmgreHh3RQIeAAIBAgICUgIEAgUCBgIHAggCCQIhAgsCDAINAggCCAIIAggCCAIIAggCCAIIAggCCAIIAggCCAIIAggCCAISAgMCYnNxAH4AAAAAAAJzcQB+AAT///////////////7////+/////3VxAH4ABwAAAARaL7WteHh3RQIeAAIBAgICLQIEAgUCBgIHAggCCQIKAgsCDAINAggCCAIIAggCCAIIAggCCAIIAggCCAIIAggCCAIIAggCCAISAgMCY3NxAH4AAAAAAAJzcQB+AAT///////////////7////+/////3VxAH4ABwAAAAQmcaNXeHh3RQIeAAIBAgICAwIEAgUCBgIHAggCCQIeAgsCDAINAggCCAIIAggCCAIIAggCCAIIAggCCAIIAggCCAIIAggCCAISAgMCZHNxAH4AAAAAAAJzcQB+AAT///////////////7////+/////3VxAH4ABwAAAAMMxv54eHdFAh4AAgECAgIbAgQCBQIGAgcCCAIJAh4CCwIMAg0CCAIIAggCCAIIAggCCAIIAggCCAIIAggCCAIIAggCCAIIAhICAwJlc3EAfgAAAAAAAnNxAH4ABP///////////////v////7/////dXEAfgAHAAAAAwRWK3h4d4oCHgACAQICAkECBAIFAgYCBwIIAgkCHgILAgwCDQIIAggCCAIIAggCCAIIAggCCAIIAggCCAIIAggCCAIIAggCEgIDAi4CHgACAQICAkMCBAIFAgYCBwIIAgkCCgILAgwCDQIIAggCCAIIAggCCAIIAggCCAIIAggCCAIIAggCCAIIAggCEgIDAmZzcQB+AAAAAAACc3EAfgAE///////////////+/////v////91cQB+AAcAAAAEGWLnZXh4d0UCHgACAQICAlcCBAIFAgYCBwIIAgkCHgILAgwCDQIIAggCCAIIAggCCAIIAggCCAIIAggCCAIIAggCCAIIAggCEgIDAmdzcQB+AAAAAAACc3EAfgAE///////////////+/////v////91cQB+AAcAAAADBEN6eHh3RQIeAAIBAgICHQIEAgUCBgIHAggCCQIKAgsCDAINAggCCAIIAggCCAIIAggCCAIIAggCCAIIAggCCAIIAggCCAISAgMCaHNxAH4AAAAAAAJzcQB+AAT///////////////7////+/////3VxAH4ABwAAAAQCG6dueHh3RQIeAAIBAgICUAIEAgUCBgIHAggCCQIhAgsCDAINAggCCAIIAggCCAIIAggCCAIIAggCCAIIAggCCAIIAggCCAISAgMCaXNxAH4AAAAAAAJzcQB+AAT///////////////7////+/////3VxAH4ABwAAAARlMUGreHh3RQIeAAIBAgICVQIEAgUCBgIHAggCCQIeAgsCDAINAggCCAIIAggCCAIIAggCCAIIAggCCAIIAggCCAIIAggCCAISAgMCanNxAH4AAAAAAAJzcQB+AAT///////////////7////+/////3VxAH4ABwAAAAMG3JN4eHdFAh4AAgECAgIlAgQCBQIGAgcCCAIJAgoCCwIMAg0CCAIIAggCCAIIAggCCAIIAggCCAIIAggCCAIIAggCCAIIAhICAwJrc3EAfgAAAAAAAnNxAH4ABP///////////////v////7/////dXEAfgAHAAAABCjphrZ4eHdFAh4AAgECAgI9AgQCBQIGAgcCCAIJAgoCCwIMAg0CCAIIAggCCAIIAggCCAIIAggCCAIIAggCCAIIAggCCAIIAhICAwJsc3EAfgAAAAAAAnNxAH4ABP///////////////v////7/////dXEAfgAHAAAABAK9P6R4eHdFAh4AAgECAgI/AgQCBQIGAgcCCAIJAgoCCwIMAg0CCAIIAggCCAIIAggCCAIIAggCCAIIAggCCAIIAggCCAIIAhICAwJtc3EAfgAAAAAAAnNxAH4ABP///////////////v////4AAAABdXEAfgAHAAAABAKOsKB4eHdFAh4AAgECAgIwAgQCBQIGAgcCCAIJAh4CCwIMAg0CCAIIAggCCAIIAggCCAIIAggCCAIIAggCCAIIAggCCAIIAhICAwJuc3EAfgAAAAAAAnNxAH4ABP///////////////v////7/////dXEAfgAHAAAAAwuCrXh4d0UCHgACAQICAk4CBAIFAgYCBwIIAgkCIQILAgwCDQIIAggCCAIIAggCCAIIAggCCAIIAggCCAIIAggCCAIIAggCEgIDAm9zcQB+AAAAAAACc3EAfgAE///////////////+/////v////91cQB+AAcAAAAEVIhLm3h4d0UCHgACAQICAlwCBAIFAgYCBwIIAgkCIQILAgwCDQIIAggCCAIIAggCCAIIAggCCAIIAggCCAIIAggCCAIIAggCEgIDAnBzcQB+AAAAAAACc3EAfgAE///////////////+/////v////91cQB+AAcAAAAEXtRi+Hh4d0UCHgACAQICAkYCBAIFAgYCBwIIAgkCIQILAgwCDQIIAggCCAIIAggCCAIIAggCCAIIAggCCAIIAggCCAIIAggCEgIDAnFzcQB+AAAAAAACc3EAfgAE///////////////+/////v////91cQB+AAcAAAAEElQVqnh4d4oCHgACAQICAiACBAIFAgYCBwIIAgkCHgILAgwCDQIIAggCCAIIAggCCAIIAggCCAIIAggCCAIIAggCCAIIAggCEgIDAi4CHgACAQICAiMCBAIFAgYCBwIIAgkCHgILAgwCDQIIAggCCAIIAggCCAIIAggCCAIIAggCCAIIAggCCAIIAggCEgIDAnJzcQB+AAAAAAACc3EAfgAE///////////////+/////v////91cQB+AAcAAAADEhXLeHh3RQIeAAIBAgICRAIEAgUCBgIHAggCCQIeAgsCDAINAggCCAIIAggCCAIIAggCCAIIAggCCAIIAggCCAIIAggCCAISAgMCc3NxAH4AAAAAAAJzcQB+AAT///////////////7////+/////3VxAH4ABwAAAAMEq5d4eHdFAh4AAgECAgJDAgQCBQIGAgcCCAIJAiECCwIMAg0CCAIIAggCCAIIAggCCAIIAggCCAIIAggCCAIIAggCCAIIAhICAwJ0c3EAfgAAAAAAAnNxAH4ABP///////////////v////7/////dXEAfgAHAAAABE8qcfl4eHdFAh4AAgECAgJcAgQCBQIGAgcCCAIJAgoCCwIMAg0CCAIIAggCCAIIAggCCAIIAggCCAIIAggCCAIIAggCCAIIAhICAwJ1c3EAfgAAAAAAAnNxAH4ABP///////////////v////7/////dXEAfgAHAAAABAIK9vR4eHdFAh4AAgECAgJSAgQCBQIGAgcCCAIJAh4CCwIMAg0CCAIIAggCCAIIAggCCAIIAggCCAIIAggCCAIIAggCCAIIAhICAwJ2c3EAfgAAAAAAAnNxAH4ABP///////////////v////7/////dXEAfgAHAAAAAwmef3h4d0UCHgACAQICAlACBAIFAgYCBwIIAgkCHgILAgwCDQIIAggCCAIIAggCCAIIAggCCAIIAggCCAIIAggCCAIIAggCEgIDAndzcQB+AAAAAAACc3EAfgAE///////////////+/////v////91cQB+AAcAAAADBCUJeHh3RQIeAAIBAgICNgIEAgUCBgIHAggCCQIKAgsCDAINAggCCAIIAggCCAIIAggCCAIIAggCCAIIAggCCAIIAggCCAISAgMCeHNxAH4AAAAAAAJzcQB+AAT///////////////7////+/////3VxAH4ABwAAAAQbRzHTeHh3RQIeAAIBAgICMAIEAgUCBgIHAggCCQIhAgsCDAINAggCCAIIAggCCAIIAggCCAIIAggCCAIIAggCCAIIAggCCAISAgMCeXNxAH4AAAAAAAJzcQB+AAT///////////////7////+/////3VxAH4ABwAAAARMKwuAeHh3RQIeAAIBAgICVQIEAgUCBgIHAggCCQIKAgsCDAINAggCCAIIAggCCAIIAggCCAIIAggCCAIIAggCCAIIAggCCAISAgMCenNxAH4AAAAAAAJzcQB+AAT///////////////7////+/////3VxAH4ABwAAAAQ7i4i9eHh3RQIeAAIBAgICVwIEAgUCBgIHAggCCQIhAgsCDAINAggCCAIIAggCCAIIAggCCAIIAggCCAIIAggCCAIIAggCCAISAgMCe3NxAH4AAAAAAAJzcQB+AAT///////////////7////+/////3VxAH4ABwAAAARYCwcseHh3RQIeAAIBAgICPQIEAgUCBgIHAggCCQIhAgsCDAINAggCCAIIAggCCAIIAggCCAIIAggCCAIIAggCCAIIAggCCAISAgMCfHNxAH4AAAAAAAJzcQB+AAT///////////////7////+/////3VxAH4ABwAAAARdV1DJeHh3RQIeAAIBAgICOwIEAgUCBgIHAggCCQIhAgsCDAINAggCCAIIAggCCAIIAggCCAIIAggCCAIIAggCCAIIAggCCAISAgMCfXNxAH4AAAAAAAJzcQB+AAT///////////////7////+/////3VxAH4ABwAAAARc5cCweHh3RQIeAAIBAgICMgIEAgUCBgIHAggCCQIeAgsCDAINAggCCAIIAggCCAIIAggCCAIIAggCCAIIAggCCAIIAggCCAISAgMCfnNxAH4AAAAAAAJzcQB+AAT///////////////7////+/////3VxAH4ABwAAAAMFP694eHeKAh4AAgECAgIpAgQCBQIGAgcCCAIJAh4CCwIMAg0CCAIIAggCCAIIAggCCAIIAggCCAIIAggCCAIIAggCCAIIAhICAwIuAh4AAgECAgI0AgQCBQIGAgcCCAIJAgoCCwIMAg0CCAIIAggCCAIIAggCCAIIAggCCAIIAggCCAIIAggCCAIIAhICAwJ/c3EAfgAAAAAAAnNxAH4ABP///////////////v////7/////dXEAfgAHAAAABA5TyYx4eHdFAh4AAgECAgJIAgQCBQIGAgcCCAIJAgoCCwIMAg0CCAIIAggCCAIIAggCCAIIAggCCAIIAggCCAIIAggCCAIIAhICAwKAc3EAfgAAAAAAAnNxAH4ABP///////////////v////4AAAABdXEAfgAHAAAABAkNFf14eHdFAh4AAgECAgJOAgQCBQIGAgcCCAIJAgoCCwIMAg0CCAIIAggCCAIIAggCCAIIAggCCAIIAggCCAIIAggCCAIIAhICAwKBc3EAfgAAAAAAAnNxAH4ABP///////////////v////7/////dXEAfgAHAAAABAOri614eHdFAh4AAgECAgIlAgQCBQIGAgcCCAIJAiECCwIMAg0CCAIIAggCCAIIAggCCAIIAggCCAIIAggCCAIIAggCCAIIAhICAwKCc3EAfgAAAAAAAnNxAH4ABP///////////////v////7/////dXEAfgAHAAAABD0VO3Z4eHdFAh4AAgECAgI/AgQCBQIGAgcCCAIJAiECCwIMAg0CCAIIAggCCAIIAggCCAIIAggCCAIIAggCCAIIAggCCAIIAhICAwKDc3EAfgAAAAAAAnNxAH4ABP///////////////v////7/////dXEAfgAHAAAABHEGWUl4eHdFAh4AAgECAgJBAgQCBQIGAgcCCAIJAiECCwIMAg0CCAIIAggCCAIIAggCCAIIAggCCAIIAggCCAIIAggCCAIIAhICAwKEc3EAfgAAAAAAAnNxAH4ABP///////////////v////7/////dXEAfgAHAAAABEI0vHx4eHdcAh4AAoUACTE2MjM5MTcyMAICAhsCBAIFAgYCBwIIAgkChgAGMTkxMDE1AgsChwACSUQCDQIIAggCCAIIAggCCAIIAggCCAIIAggCCAIIAggCCAIIAggCEwIDAohzcQB+AAAAAAACc3EAfgAE///////////////+/////v////91cQB+AAcAAAADEpLKeHh3RQIeAAKFAgICQQIEAgUCBgIHAggCCQIhAgsChwINAggCCAIIAggCCAIIAggCCAIIAggCCAIIAggCCAIIAggCCAITAgMCiXNxAH4AAAAAAAJzcQB+AAT///////////////7////+/////3VxAH4ABwAAAAQkNG30eHh3igIeAAKFAgICKQIEAgUCBgIHAggCCQKGAgsChwINAggCCAIIAggCCAIIAggCCAIIAggCCAIIAggCCAIIAggCCAITAgMCLgIeAAKFAgICMgIEAgUCBgIHAggCCQKGAgsChwINAggCCAIIAggCCAIIAggCCAIIAggCCAIIAggCCAIIAggCCAITAgMCinNxAH4AAAAAAAJzcQB+AAT///////////////7////+/////3VxAH4ABwAAAAMSdyV4eHdFAh4AAoUCAgIDAgQCBQIGAgcCCAIJAiECCwKHAg0CCAIIAggCCAIIAggCCAIIAggCCAIIAggCCAIIAggCCAIIAhMCAwKLc3EAfgAAAAAAAnNxAH4ABP///////////////v////7/////dXEAfgAHAAAABCPGeP14eHdFAh4AAoUCAgIDAgQCBQIGAgcCCAIJAoYCCwKHAg0CCAIIAggCCAIIAggCCAIIAggCCAIIAggCCAIIAggCCAIIAhMCAwKMc3EAfgAAAAAAAnNxAH4ABP///////////////v////7/////dXEAfgAHAAAAAxJflHh4d0UCHgAChQICAkYCBAIFAgYCBwIIAgkCIQILAocCDQIIAggCCAIIAggCCAIIAggCCAIIAggCCAIIAggCCAIIAggCEwIDAo1zcQB+AAAAAAACc3EAfgAE///////////////+/////v////91cQB+AAcAAAAEC9ESdHh4d4oCHgAChQICAkECBAIFAgYCBwIIAgkChgILAocCDQIIAggCCAIIAggCCAIIAggCCAIIAggCCAIIAggCCAIIAggCEwIDAi4CHgAChQICAhsCBAIFAgYCBwIIAgkCIQILAocCDQIIAggCCAIIAggCCAIIAggCCAIIAggCCAIIAggCCAIIAggCEwIDAo5zcQB+AAAAAAACc3EAfgAE///////////////+/////v////91cQB+AAcAAAAEKiZPC3h4d0UCHgAChQICAlwCBAIFAgYCBwIIAgkCCgILAocCDQIIAggCCAIIAggCCAIIAggCCAIIAggCCAIIAggCCAIIAggCEwIDAo9zcQB+AAAAAAACc3EAfgAE///////////////+/////v////91cQB+AAcAAAADTrgKeHh3RQIeAAKFAgICTgIEAgUCBgIHAggCCQIKAgsChwINAggCCAIIAggCCAIIAggCCAIIAggCCAIIAggCCAIIAggCCAITAgMCkHNxAH4AAAAAAAJzcQB+AAT///////////////7////+/////3VxAH4ABwAAAAQBZMryeHh3RQIeAAKFAgICMAIEAgUCBgIHAggCCQKGAgsChwINAggCCAIIAggCCAIIAggCCAIIAggCCAIIAggCCAIIAggCCAITAgMCkXNxAH4AAAAAAAJzcQB+AAT///////////////7////+/////3VxAH4ABwAAAAMSY394eHdFAh4AAoUCAgJXAgQCBQIGAgcCCAIJAoYCCwKHAg0CCAIIAggCCAIIAggCCAIIAggCCAIIAggCCAIIAggCCAIIAhMCAwKSc3EAfgAAAAAAAnNxAH4ABP///////////////v////7/////dXEAfgAHAAAAAxKWwHh4d0UCHgAChQICAkgCBAIFAgYCBwIIAgkChgILAocCDQIIAggCCAIIAggCCAIIAggCCAIIAggCCAIIAggCCAIIAggCEwIDApNzcQB+AAAAAAACc3EAfgAE///////////////+/////v////91cQB+AAcAAAADEqaieHh3RQIeAAKFAgICTgIEAgUCBgIHAggCCQIhAgsChwINAggCCAIIAggCCAIIAggCCAIIAggCCAIIAggCCAIIAggCCAITAgMClHNxAH4AAAAAAAJzcQB+AAT///////////////7////+/////3VxAH4ABwAAAAQrEAtReHh3RQIeAAKFAgICVQIEAgUCBgIHAggCCQIhAgsChwINAggCCAIIAggCCAIIAggCCAIIAggCCAIIAggCCAIIAggCCAITAgMClXNxAH4AAAAAAAJzcQB+AAT///////////////7////+/////3VxAH4ABwAAAAQVrLWfeHh3RQIeAAKFAgICMAIEAgUCBgIHAggCCQIhAgsChwINAggCCAIIAggCCAIIAggCCAIIAggCCAIIAggCCAIIAggCCAITAgMClnNxAH4AAAAAAAJzcQB+AAT///////////////7////+/////3VxAH4ABwAAAAQmLzLCeHh3RQIeAAKFAgICVwIEAgUCBgIHAggCCQIhAgsChwINAggCCAIIAggCCAIIAggCCAIIAggCCAIIAggCCAIIAggCCAITAgMCl3NxAH4AAAAAAAJzcQB+AAT///////////////7////+/////3VxAH4ABwAAAAQqC0YheHh3RQIeAAKFAgICUgIEAgUCBgIHAggCCQIKAgsChwINAggCCAIIAggCCAIIAggCCAIIAggCCAIIAggCCAIIAggCCAITAgMCmHNxAH4AAAAAAAJzcQB+AAT///////////////7////+/////3VxAH4ABwAAAAQBBpRgeHh3RQIeAAKFAgICUAIEAgUCBgIHAggCCQIKAgsChwINAggCCAIIAggCCAIIAggCCAIIAggCCAIIAggCCAIIAggCCAITAgMCmXNxAH4AAAAAAAJzcQB+AAT///////////////7////+AAAAAXVxAH4ABwAAAAP/iV54eHdFAh4AAoUCAgIgAgQCBQIGAgcCCAIJAiECCwKHAg0CCAIIAggCCAIIAggCCAIIAggCCAIIAggCCAIIAggCCAIIAhMCAwKac3EAfgAAAAAAAnNxAH4ABP///////////////v////7/////dXEAfgAHAAAABC70FP94eHdFAh4AAoUCAgJEAgQCBQIGAgcCCAIJAiECCwKHAg0CCAIIAggCCAIIAggCCAIIAggCCAIIAggCCAIIAggCCAIIAhMCAwKbc3EAfgAAAAAAAnNxAH4ABP///////////////v////7/////dXEAfgAHAAAABCZ4H3F4eHdFAh4AAoUCAgJSAgQCBQIGAgcCCAIJAiECCwKHAg0CCAIIAggCCAIIAggCCAIIAggCCAIIAggCCAIIAggCCAIIAhMCAwKcc3EAfgAAAAAAAnNxAH4ABP///////////////v////7/////dXEAfgAHAAAABC794JJ4eHdFAh4AAoUCAgIjAgQCBQIGAgcCCAIJAiECCwKHAg0CCAIIAggCCAIIAggCCAIIAggCCAIIAggCCAIIAggCCAIIAhMCAwKdc3EAfgAAAAAAAnNxAH4ABP///////////////v////7/////dXEAfgAHAAAABBuzHlx4eHdFAh4AAoUCAgIjAgQCBQIGAgcCCAIJAoYCCwKHAg0CCAIIAggCCAIIAggCCAIIAggCCAIIAggCCAIIAggCCAIIAhMCAwKec3EAfgAAAAAAAnNxAH4ABP///////////////v////7/////dXEAfgAHAAAAAxJXv3h4d0UCHgAChQICAkECBAIFAgYCBwIIAgkCCgILAocCDQIIAggCCAIIAggCCAIIAggCCAIIAggCCAIIAggCCAIIAggCEwIDAp9zcQB+AAAAAAACc3EAfgAE///////////////+/////v////91cQB+AAcAAAAEFreoonh4d0UCHgAChQICAkYCBAIFAgYCBwIIAgkCCgILAocCDQIIAggCCAIIAggCCAIIAggCCAIIAggCCAIIAggCCAIIAggCEwIDAqBzcQB+AAAAAAACc3EAfgAE///////////////+/////v////91cQB+AAcAAAAEJZDR+3h4d0UCHgAChQICAj0CBAIFAgYCBwIIAgkCCgILAocCDQIIAggCCAIIAggCCAIIAggCCAIIAggCCAIIAggCCAIIAggCEwIDAqFzcQB+AAAAAAACc3EAfgAE///////////////+/////v////91cQB+AAcAAAADnrKqeHh3RQIeAAKFAgICQwIEAgUCBgIHAggCCQIKAgsChwINAggCCAIIAggCCAIIAggCCAIIAggCCAIIAggCCAIIAggCCAITAgMConNxAH4AAAAAAAJzcQB+AAT///////////////7////+/////3VxAH4ABwAAAAQKK9PneHh3RQIeAAKFAgICVQIEAgUCBgIHAggCCQKGAgsChwINAggCCAIIAggCCAIIAggCCAIIAggCCAIIAggCCAIIAggCCAITAgMCo3NxAH4AAAAAAAJzcQB+AAT///////////////7////+/////3VxAH4ABwAAAAMSfwZ4eHdFAh4AAoUCAgIlAgQCBQIGAgcCCAIJAgoCCwKHAg0CCAIIAggCCAIIAggCCAIIAggCCAIIAggCCAIIAggCCAIIAhMCAwKkc3EAfgAAAAAAAnNxAH4ABP///////////////v////7/////dXEAfgAHAAAABBQ694N4eHdFAh4AAoUCAgI/AgQCBQIGAgcCCAIJAgoCCwKHAg0CCAIIAggCCAIIAggCCAIIAggCCAIIAggCCAIIAggCCAIIAhMCAwKlc3EAfgAAAAAAAnNxAH4ABP///////////////v////4AAAABdXEAfgAHAAAABAJaEtJ4eHdFAh4AAoUCAgJEAgQCBQIGAgcCCAIJAoYCCwKHAg0CCAIIAggCCAIIAggCCAIIAggCCAIIAggCCAIIAggCCAIIAhMCAwKmc3EAfgAAAAAAAnNxAH4ABP///////////////v////7/////dXEAfgAHAAAAAxKK33h4d4oCHgAChQICAiACBAIFAgYCBwIIAgkChgILAocCDQIIAggCCAIIAggCCAIIAggCCAIIAggCCAIIAggCCAIIAggCEwIDAi4CHgAChQICAlcCBAIFAgYCBwIIAgkCCgILAocCDQIIAggCCAIIAggCCAIIAggCCAIIAggCCAIIAggCCAIIAggCEwIDAqdzcQB+AAAAAAACc3EAfgAE///////////////+/////v////91cQB+AAcAAAAEAW1K0nh4d0UCHgAChQICAjACBAIFAgYCBwIIAgkCCgILAocCDQIIAggCCAIIAggCCAIIAggCCAIIAggCCAIIAggCCAIIAggCEwIDAqhzcQB+AAAAAAACc3EAfgAE///////////////+/////v////91cQB+AAcAAAAEAc1Kd3h4d0UCHgAChQICAikCBAIFAgYCBwIIAgkCIQILAocCDQIIAggCCAIIAggCCAIIAggCCAIIAggCCAIIAggCCAIIAggCEwIDAqlzcQB+AAAAAAACc3EAfgAE///////////////+/////v////91cQB+AAcAAAAEHCN8kHh4d0UCHgAChQICAlACBAIFAgYCBwIIAgkChgILAocCDQIIAggCCAIIAggCCAIIAggCCAIIAggCCAIIAggCCAIIAggCEwIDAqpzcQB+AAAAAAACc3EAfgAE///////////////+/////v////91cQB+AAcAAAADEp6veHh3RQIeAAKFAgICUgIEAgUCBgIHAggCCQKGAgsChwINAggCCAIIAggCCAIIAggCCAIIAggCCAIIAggCCAIIAggCCAITAgMCq3NxAH4AAAAAAAJzcQB+AAT///////////////7////+/////3VxAH4ABwAAAAMSa1h4eHdFAh4AAoUCAgIyAgQCBQIGAgcCCAIJAiECCwKHAg0CCAIIAggCCAIIAggCCAIIAggCCAIIAggCCAIIAggCCAIIAhMCAwKsc3EAfgAAAAAAAnNxAH4ABP///////////////v////7/////dXEAfgAHAAAABDSYRyN4eHdFAh4AAoUCAgJQAgQCBQIGAgcCCAIJAiECCwKHAg0CCAIIAggCCAIIAggCCAIIAggCCAIIAggCCAIIAggCCAIIAhMCAwKtc3EAfgAAAAAAAnNxAH4ABP///////////////v////7/////dXEAfgAHAAAABDQ5VOh4eHdFAh4AAoUCAgItAgQCBQIGAgcCCAIJAiECCwKHAg0CCAIIAggCCAIIAggCCAIIAggCCAIIAggCCAIIAggCCAIIAhMCAwKuc3EAfgAAAAAAAnNxAH4ABP///////////////v////7/////dXEAfgAHAAAABCkgj4V4eHeKAh4AAoUCAgItAgQCBQIGAgcCCAIJAoYCCwKHAg0CCAIIAggCCAIIAggCCAIIAggCCAIIAggCCAIIAggCCAIIAhMCAwIuAh4AAoUCAgIdAgQCBQIGAgcCCAIJAiECCwKHAg0CCAIIAggCCAIIAggCCAIIAggCCAIIAggCCAIIAggCCAIIAhMCAwKvc3EAfgAAAAAAAnNxAH4ABP///////////////v////7/////dXEAfgAHAAAABDO8lpJ4eHdFAh4AAoUCAgIlAgQCBQIGAgcCCAIJAiECCwKHAg0CCAIIAggCCAIIAggCCAIIAggCCAIIAggCCAIIAggCCAIIAhMCAwKwc3EAfgAAAAAAAnNxAH4ABP///////////////v////7/////dXEAfgAHAAAABB2x+kx4eHdFAh4AAoUCAgIgAgQCBQIGAgcCCAIJAgoCCwKHAg0CCAIIAggCCAIIAggCCAIIAggCCAIIAggCCAIIAggCCAIIAhMCAwKxc3EAfgAAAAAAAnNxAH4ABP///////////////v////7/////dXEAfgAHAAAABAEya894eHdFAh4AAoUCAgI9AgQCBQIGAgcCCAIJAoYCCwKHAg0CCAIIAggCCAIIAggCCAIIAggCCAIIAggCCAIIAggCCAIIAhMCAwKyc3EAfgAAAAAAAnNxAH4ABP///////////////v////7/////dXEAfgAHAAAAAxJvRnh4d0UCHgAChQICAh0CBAIFAgYCBwIIAgkChgILAocCDQIIAggCCAIIAggCCAIIAggCCAIIAggCCAIIAggCCAIIAggCEwIDArNzcQB+AAAAAAACc3EAfgAE///////////////+/////v////91cQB+AAcAAAADEnM1eHh3RQIeAAKFAgICJQIEAgUCBgIHAggCCQKGAgsChwINAggCCAIIAggCCAIIAggCCAIIAggCCAIIAggCCAIIAggCCAITAgMCtHNxAH4AAAAAAAJzcQB+AAT///////////////7////+/////3VxAH4ABwAAAAMSgvh4eHdFAh4AAoUCAgI/AgQCBQIGAgcCCAIJAoYCCwKHAg0CCAIIAggCCAIIAggCCAIIAggCCAIIAggCCAIIAggCCAIIAhMCAwK1c3EAfgAAAAAAAnNxAH4ABP///////////////v////7/////dXEAfgAHAAAAAxKiqHh4d0UCHgAChQICAkgCBAIFAgYCBwIIAgkCCgILAocCDQIIAggCCAIIAggCCAIIAggCCAIIAggCCAIIAggCCAIIAggCEwIDArZzcQB+AAAAAAACc3EAfgAE///////////////+/////gAAAAF1cQB+AAcAAAAEBhtaanh4d0UCHgAChQICAkMCBAIFAgYCBwIIAgkCIQILAocCDQIIAggCCAIIAggCCAIIAggCCAIIAggCCAIIAggCCAIIAggCEwIDArdzcQB+AAAAAAACc3EAfgAE///////////////+/////v////91cQB+AAcAAAAEKUaEtnh4d0UCHgAChQICAiMCBAIFAgYCBwIIAgkCCgILAocCDQIIAggCCAIIAggCCAIIAggCCAIIAggCCAIIAggCCAIIAggCEwIDArhzcQB+AAAAAAACc3EAfgAE///////////////+/////v////91cQB+AAcAAAAEBFuSEHh4d0UCHgAChQICAkQCBAIFAgYCBwIIAgkCCgILAocCDQIIAggCCAIIAggCCAIIAggCCAIIAggCCAIIAggCCAIIAggCEwIDArlzcQB+AAAAAAACc3EAfgAE///////////////+/////v////91cQB+AAcAAAAECL1IIXh4d4oCHgAChQICAkMCBAIFAgYCBwIIAgkChgILAocCDQIIAggCCAIIAggCCAIIAggCCAIIAggCCAIIAggCCAIIAggCEwIDAi4CHgAChQICAjYCBAIFAgYCBwIIAgkCIQILAocCDQIIAggCCAIIAggCCAIIAggCCAIIAggCCAIIAggCCAIIAggCEwIDArpzcQB+AAAAAAACc3EAfgAE///////////////+/////v////91cQB+AAcAAAAEIgqsMXh4d0UCHgAChQICAjQCBAIFAgYCBwIIAgkCIQILAocCDQIIAggCCAIIAggCCAIIAggCCAIIAggCCAIIAggCCAIIAggCEwIDArtzcQB+AAAAAAACc3EAfgAE///////////////+/////v////91cQB+AAcAAAAEKsKx+Hh4d0UCHgAChQICAjsCBAIFAgYCBwIIAgkCCgILAocCDQIIAggCCAIIAggCCAIIAggCCAIIAggCCAIIAggCCAIIAggCEwIDArxzcQB+AAAAAAACc3EAfgAE///////////////+/////gAAAAF1cQB+AAcAAAADNqW2eHh3RQIeAAKFAgICNgIEAgUCBgIHAggCCQKGAgsChwINAggCCAIIAggCCAIIAggCCAIIAggCCAIIAggCCAIIAggCCAITAgMCvXNxAH4AAAAAAAJzcQB+AAT///////////////7////+/////3VxAH4ABwAAAAMShut4eHdFAh4AAoUCAgIyAgQCBQIGAgcCCAIJAgoCCwKHAg0CCAIIAggCCAIIAggCCAIIAggCCAIIAggCCAIIAggCCAIIAhMCAwK+c3EAfgAAAAAAAnNxAH4ABP///////////////v////4AAAABdXEAfgAHAAAAA7lyfHh4d0UCHgAChQICAicCBAIFAgYCBwIIAgkCCgILAocCDQIIAggCCAIIAggCCAIIAggCCAIIAggCCAIIAggCCAIIAggCEwIDAr9zcQB+AAAAAAACc3EAfgAE///////////////+/////v////91cQB+AAcAAAAEAvtLi3h4d0UCHgAChQICAisCBAIFAgYCBwIIAgkCCgILAocCDQIIAggCCAIIAggCCAIIAggCCAIIAggCCAIIAggCCAIIAggCEwIDAsBzcQB+AAAAAAACc3EAfgAE///////////////+/////v////91cQB+AAcAAAAEBQSjQXh4d0UCHgAChQICAikCBAIFAgYCBwIIAgkCCgILAocCDQIIAggCCAIIAggCCAIIAggCCAIIAggCCAIIAggCCAIIAggCEwIDAsFzcQB+AAAAAAACc3EAfgAE///////////////+/////v////91cQB+AAcAAAAEHsB0bHh4d4oCHgAChQICAjQCBAIFAgYCBwIIAgkChgILAocCDQIIAggCCAIIAggCCAIIAggCCAIIAggCCAIIAggCCAIIAggCEwIDAi4CHgAChQICAgMCBAIFAgYCBwIIAgkCCgILAocCDQIIAggCCAIIAggCCAIIAggCCAIIAggCCAIIAggCCAIIAggCEwIDAsJzcQB+AAAAAAACc3EAfgAE///////////////+/////v////91cQB+AAcAAAAEAlAe6Xh4d0UCHgAChQICAhsCBAIFAgYCBwIIAgkCCgILAocCDQIIAggCCAIIAggCCAIIAggCCAIIAggCCAIIAggCCAIIAggCEwIDAsNzcQB+AAAAAAACc3EAfgAE///////////////+/////v////91cQB+AAcAAAAEAtdnVHh4d0UCHgAChQICAlwCBAIFAgYCBwIIAgkChgILAocCDQIIAggCCAIIAggCCAIIAggCCAIIAggCCAIIAggCCAIIAggCEwIDAsRzcQB+AAAAAAACc3EAfgAE///////////////+/////v////91cQB+AAcAAAADEpq3eHh3RQIeAAKFAgICLQIEAgUCBgIHAggCCQIKAgsChwINAggCCAIIAggCCAIIAggCCAIIAggCCAIIAggCCAIIAggCCAITAgMCxXNxAH4AAAAAAAJzcQB+AAT///////////////7////+/////3VxAH4ABwAAAAQQposkeHh3RQIeAAKFAgICTgIEAgUCBgIHAggCCQKGAgsChwINAggCCAIIAggCCAIIAggCCAIIAggCCAIIAggCCAIIAggCCAITAgMCxnNxAH4AAAAAAAJzcQB+AAT///////////////7////+/////3VxAH4ABwAAAAMSZ2t4eHdFAh4AAoUCAgJcAgQCBQIGAgcCCAIJAiECCwKHAg0CCAIIAggCCAIIAggCCAIIAggCCAIIAggCCAIIAggCCAIIAhMCAwLHc3EAfgAAAAAAAnNxAH4ABP///////////////v////7/////dXEAfgAHAAAABC6RhSt4eHdFAh4AAoUCAgJIAgQCBQIGAgcCCAIJAiECCwKHAg0CCAIIAggCCAIIAggCCAIIAggCCAIIAggCCAIIAggCCAIIAhMCAwLIc3EAfgAAAAAAAnNxAH4ABP///////////////v////7/////dXEAfgAHAAAABENETeB4eHdFAh4AAoUCAgI/AgQCBQIGAgcCCAIJAiECCwKHAg0CCAIIAggCCAIIAggCCAIIAggCCAIIAggCCAIIAggCCAIIAhMCAwLJc3EAfgAAAAAAAnNxAH4ABP///////////////v////7/////dXEAfgAHAAAABDlFLv54eHdFAh4AAoUCAgInAgQCBQIGAgcCCAIJAoYCCwKHAg0CCAIIAggCCAIIAggCCAIIAggCCAIIAggCCAIIAggCCAIIAhMCAwLKc3EAfgAAAAAAAnNxAH4ABP///////////////v////7/////dXEAfgAHAAAAAxJbqXh4d0UCHgAChQICAisCBAIFAgYCBwIIAgkChgILAocCDQIIAggCCAIIAggCCAIIAggCCAIIAggCCAIIAggCCAIIAggCEwIDAstzcQB+AAAAAAACc3EAfgAE///////////////+/////v////91cQB+AAcAAAADEo7UeHh3RQIeAAKFAgICJwIEAgUCBgIHAggCCQIhAgsChwINAggCCAIIAggCCAIIAggCCAIIAggCCAIIAggCCAIIAggCCAITAgMCzHNxAH4AAAAAAAJzcQB+AAT///////////////7////+/////3VxAH4ABwAAAAQerglPeHh3RQIeAAKFAgICPQIEAgUCBgIHAggCCQIhAgsChwINAggCCAIIAggCCAIIAggCCAIIAggCCAIIAggCCAIIAggCCAITAgMCzXNxAH4AAAAAAAJzcQB+AAT///////////////7////+/////3VxAH4ABwAAAAQx77UZeHh3RQIeAAKFAgICNAIEAgUCBgIHAggCCQIKAgsChwINAggCCAIIAggCCAIIAggCCAIIAggCCAIIAggCCAIIAggCCAITAgMCznNxAH4AAAAAAAJzcQB+AAT///////////////7////+/////3VxAH4ABwAAAAQE4d6ZeHh3RQIeAAKFAgICNgIEAgUCBgIHAggCCQIKAgsChwINAggCCAIIAggCCAIIAggCCAIIAggCCAIIAggCCAIIAggCCAITAgMCz3NxAH4AAAAAAAJzcQB+AAT///////////////7////+/////3VxAH4ABwAAAAQOCxxKeHh3RQIeAAKFAgICRgIEAgUCBgIHAggCCQKGAgsChwINAggCCAIIAggCCAIIAggCCAIIAggCCAIIAggCCAIIAggCCAITAgMC0HNxAH4AAAAAAAJzcQB+AAT///////////////7////+/////3VxAH4ABwAAAAMSexV4eHdFAh4AAoUCAgJVAgQCBQIGAgcCCAIJAgoCCwKHAg0CCAIIAggCCAIIAggCCAIIAggCCAIIAggCCAIIAggCCAIIAhMCAwLRc3EAfgAAAAAAAnNxAH4ABP///////////////v////7/////dXEAfgAHAAAABB0QqXR4eHdFAh4AAoUCAgIdAgQCBQIGAgcCCAIJAgoCCwKHAg0CCAIIAggCCAIIAggCCAIIAggCCAIIAggCCAIIAggCCAIIAhMCAwLSc3EAfgAAAAAAAnNxAH4ABP///////////////v////7/////dXEAfgAHAAAAAzL3EXh4d0UCHgAChQICAisCBAIFAgYCBwIIAgkCIQILAocCDQIIAggCCAIIAggCCAIIAggCCAIIAggCCAIIAggCCAIIAggCEwIDAtNzcQB+AAAAAAACc3EAfgAE///////////////+/////v////91cQB+AAcAAAAEKeDlE3h4d0UCHgAChQICAjsCBAIFAgYCBwIIAgkCIQILAocCDQIIAggCCAIIAggCCAIIAggCCAIIAggCCAIIAggCCAIIAggCEwIDAtRzcQB+AAAAAAACc3EAfgAE///////////////+/////v////91cQB+AAcAAAAEL/7GXHh4d0UCHgAChQICAjsCBAIFAgYCBwIIAgkChgILAocCDQIIAggCCAIIAggCCAIIAggCCAIIAggCCAIIAggCCAIIAggCEwIDAi4=]]></xxe4awand>
</file>

<file path=customXml/itemProps1.xml><?xml version="1.0" encoding="utf-8"?>
<ds:datastoreItem xmlns:ds="http://schemas.openxmlformats.org/officeDocument/2006/customXml" ds:itemID="{2329DA4D-099A-4E14-B6FB-DFF5509E8376}">
  <ds:schemaRefs>
    <ds:schemaRef ds:uri="http://www.excel4apps.com"/>
  </ds:schemaRefs>
</ds:datastoreItem>
</file>

<file path=customXml/itemProps10.xml><?xml version="1.0" encoding="utf-8"?>
<ds:datastoreItem xmlns:ds="http://schemas.openxmlformats.org/officeDocument/2006/customXml" ds:itemID="{0E41904E-A357-4416-8590-71D581448854}">
  <ds:schemaRefs>
    <ds:schemaRef ds:uri="http://www.excel4apps.com"/>
  </ds:schemaRefs>
</ds:datastoreItem>
</file>

<file path=customXml/itemProps11.xml><?xml version="1.0" encoding="utf-8"?>
<ds:datastoreItem xmlns:ds="http://schemas.openxmlformats.org/officeDocument/2006/customXml" ds:itemID="{789F1253-DAB0-4508-8573-D49923F1BFC2}">
  <ds:schemaRefs>
    <ds:schemaRef ds:uri="http://www.excel4apps.com"/>
  </ds:schemaRefs>
</ds:datastoreItem>
</file>

<file path=customXml/itemProps12.xml><?xml version="1.0" encoding="utf-8"?>
<ds:datastoreItem xmlns:ds="http://schemas.openxmlformats.org/officeDocument/2006/customXml" ds:itemID="{6E90BAB0-29C8-441B-8BF1-42BF136274B8}">
  <ds:schemaRefs>
    <ds:schemaRef ds:uri="http://www.excel4apps.com"/>
  </ds:schemaRefs>
</ds:datastoreItem>
</file>

<file path=customXml/itemProps13.xml><?xml version="1.0" encoding="utf-8"?>
<ds:datastoreItem xmlns:ds="http://schemas.openxmlformats.org/officeDocument/2006/customXml" ds:itemID="{76F0E88A-4A77-42AE-B225-875207813264}">
  <ds:schemaRefs>
    <ds:schemaRef ds:uri="http://www.excel4apps.com"/>
  </ds:schemaRefs>
</ds:datastoreItem>
</file>

<file path=customXml/itemProps14.xml><?xml version="1.0" encoding="utf-8"?>
<ds:datastoreItem xmlns:ds="http://schemas.openxmlformats.org/officeDocument/2006/customXml" ds:itemID="{25C1BE6E-1FA2-4EBC-9A87-987E94EF4A9A}">
  <ds:schemaRefs>
    <ds:schemaRef ds:uri="http://www.excel4apps.com"/>
  </ds:schemaRefs>
</ds:datastoreItem>
</file>

<file path=customXml/itemProps15.xml><?xml version="1.0" encoding="utf-8"?>
<ds:datastoreItem xmlns:ds="http://schemas.openxmlformats.org/officeDocument/2006/customXml" ds:itemID="{9824D71E-5226-4A26-A4F5-5B4E76517E60}"/>
</file>

<file path=customXml/itemProps16.xml><?xml version="1.0" encoding="utf-8"?>
<ds:datastoreItem xmlns:ds="http://schemas.openxmlformats.org/officeDocument/2006/customXml" ds:itemID="{3AFEBE81-E44A-4F08-9E06-BB7A6D90B1C7}"/>
</file>

<file path=customXml/itemProps17.xml><?xml version="1.0" encoding="utf-8"?>
<ds:datastoreItem xmlns:ds="http://schemas.openxmlformats.org/officeDocument/2006/customXml" ds:itemID="{CD9A9F88-B2E2-4104-BE6F-96E9EABDC06C}"/>
</file>

<file path=customXml/itemProps18.xml><?xml version="1.0" encoding="utf-8"?>
<ds:datastoreItem xmlns:ds="http://schemas.openxmlformats.org/officeDocument/2006/customXml" ds:itemID="{D1EA3FA7-80A0-46AC-A278-45CEC0C36757}"/>
</file>

<file path=customXml/itemProps2.xml><?xml version="1.0" encoding="utf-8"?>
<ds:datastoreItem xmlns:ds="http://schemas.openxmlformats.org/officeDocument/2006/customXml" ds:itemID="{940967D6-2CAA-4DCD-BEA5-4B096611C2BD}">
  <ds:schemaRefs>
    <ds:schemaRef ds:uri="http://www.excel4apps.com"/>
  </ds:schemaRefs>
</ds:datastoreItem>
</file>

<file path=customXml/itemProps3.xml><?xml version="1.0" encoding="utf-8"?>
<ds:datastoreItem xmlns:ds="http://schemas.openxmlformats.org/officeDocument/2006/customXml" ds:itemID="{9D87AD67-5870-4597-932A-01A004A635EA}">
  <ds:schemaRefs>
    <ds:schemaRef ds:uri="http://www.excel4apps.com"/>
  </ds:schemaRefs>
</ds:datastoreItem>
</file>

<file path=customXml/itemProps4.xml><?xml version="1.0" encoding="utf-8"?>
<ds:datastoreItem xmlns:ds="http://schemas.openxmlformats.org/officeDocument/2006/customXml" ds:itemID="{F0FAAFBB-97D0-4C82-82D1-9F3493F8BE3F}">
  <ds:schemaRefs>
    <ds:schemaRef ds:uri="http://www.excel4apps.com"/>
  </ds:schemaRefs>
</ds:datastoreItem>
</file>

<file path=customXml/itemProps5.xml><?xml version="1.0" encoding="utf-8"?>
<ds:datastoreItem xmlns:ds="http://schemas.openxmlformats.org/officeDocument/2006/customXml" ds:itemID="{FA6C103F-D224-4965-BBAC-A289764B9787}">
  <ds:schemaRefs>
    <ds:schemaRef ds:uri="http://www.excel4apps.com"/>
  </ds:schemaRefs>
</ds:datastoreItem>
</file>

<file path=customXml/itemProps6.xml><?xml version="1.0" encoding="utf-8"?>
<ds:datastoreItem xmlns:ds="http://schemas.openxmlformats.org/officeDocument/2006/customXml" ds:itemID="{6690823D-0223-4169-ABE1-25E0D0ADFD1D}">
  <ds:schemaRefs>
    <ds:schemaRef ds:uri="http://www.excel4apps.com"/>
  </ds:schemaRefs>
</ds:datastoreItem>
</file>

<file path=customXml/itemProps7.xml><?xml version="1.0" encoding="utf-8"?>
<ds:datastoreItem xmlns:ds="http://schemas.openxmlformats.org/officeDocument/2006/customXml" ds:itemID="{6474C8C6-BA97-44AA-A393-319ED224C8C6}">
  <ds:schemaRefs>
    <ds:schemaRef ds:uri="http://www.excel4apps.com"/>
  </ds:schemaRefs>
</ds:datastoreItem>
</file>

<file path=customXml/itemProps8.xml><?xml version="1.0" encoding="utf-8"?>
<ds:datastoreItem xmlns:ds="http://schemas.openxmlformats.org/officeDocument/2006/customXml" ds:itemID="{56A51789-B597-4759-A757-8FB03C26349C}">
  <ds:schemaRefs>
    <ds:schemaRef ds:uri="http://www.excel4apps.com"/>
  </ds:schemaRefs>
</ds:datastoreItem>
</file>

<file path=customXml/itemProps9.xml><?xml version="1.0" encoding="utf-8"?>
<ds:datastoreItem xmlns:ds="http://schemas.openxmlformats.org/officeDocument/2006/customXml" ds:itemID="{39EE306C-2CF6-461A-B705-D26B97F7C34F}">
  <ds:schemaRefs>
    <ds:schemaRef ds:uri="http://www.excel4apps.com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42</vt:i4>
      </vt:variant>
    </vt:vector>
  </HeadingPairs>
  <TitlesOfParts>
    <vt:vector size="69" baseType="lpstr">
      <vt:lpstr>PGA Graphs 2012-13</vt:lpstr>
      <vt:lpstr>JE</vt:lpstr>
      <vt:lpstr>191010 WA Summary</vt:lpstr>
      <vt:lpstr>191010 ID Summary</vt:lpstr>
      <vt:lpstr>191000 WA Summary</vt:lpstr>
      <vt:lpstr>191000 ID 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WA - Def-Amtz (current)</vt:lpstr>
      <vt:lpstr>PGA Graphs 2013-14</vt:lpstr>
      <vt:lpstr>ID Amort 191015</vt:lpstr>
      <vt:lpstr>ID Amort 191000</vt:lpstr>
      <vt:lpstr>WA Def 191010</vt:lpstr>
      <vt:lpstr>ID Def 191010</vt:lpstr>
      <vt:lpstr>ID Holdback 191015</vt:lpstr>
      <vt:lpstr>Amortization of JP Deferral</vt:lpstr>
      <vt:lpstr>WA Amort 191000</vt:lpstr>
      <vt:lpstr>'191000 ID Summary'!Print_Area</vt:lpstr>
      <vt:lpstr>'191000 WA Summary'!Print_Area</vt:lpstr>
      <vt:lpstr>'191010 ID Summary'!Print_Area</vt:lpstr>
      <vt:lpstr>'191010 WA Summary'!Print_Area</vt:lpstr>
      <vt:lpstr>'Amortization of JP Deferral'!Print_Area</vt:lpstr>
      <vt:lpstr>Apr!Print_Area</vt:lpstr>
      <vt:lpstr>Aug!Print_Area</vt:lpstr>
      <vt:lpstr>Dec!Print_Area</vt:lpstr>
      <vt:lpstr>Feb!Print_Area</vt:lpstr>
      <vt:lpstr>'ID Amort 191000'!Print_Area</vt:lpstr>
      <vt:lpstr>'ID Amort 191015'!Print_Area</vt:lpstr>
      <vt:lpstr>'ID Def 191010'!Print_Area</vt:lpstr>
      <vt:lpstr>'ID Holdback 191015'!Print_Area</vt:lpstr>
      <vt:lpstr>Jan!Print_Area</vt:lpstr>
      <vt:lpstr>JE!Print_Area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'PGA Graphs 2012-13'!Print_Area</vt:lpstr>
      <vt:lpstr>'PGA Graphs 2013-14'!Print_Area</vt:lpstr>
      <vt:lpstr>Sep!Print_Area</vt:lpstr>
      <vt:lpstr>'WA - Def-Amtz (current)'!Print_Area</vt:lpstr>
      <vt:lpstr>'WA Amort 191000'!Print_Area</vt:lpstr>
      <vt:lpstr>'WA Def 191010'!Print_Area</vt:lpstr>
      <vt:lpstr>Apr!Print_Titles</vt:lpstr>
      <vt:lpstr>Aug!Print_Titles</vt:lpstr>
      <vt:lpstr>Dec!Print_Titles</vt:lpstr>
      <vt:lpstr>Feb!Print_Titles</vt:lpstr>
      <vt:lpstr>'ID Def 191010'!Print_Titles</vt:lpstr>
      <vt:lpstr>'ID Holdback 191015'!Print_Titles</vt:lpstr>
      <vt:lpstr>Jan!Print_Titles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'WA Def 191010'!Print_Titles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annette brandon</cp:lastModifiedBy>
  <cp:lastPrinted>2018-07-05T17:11:01Z</cp:lastPrinted>
  <dcterms:created xsi:type="dcterms:W3CDTF">2003-05-01T14:02:57Z</dcterms:created>
  <dcterms:modified xsi:type="dcterms:W3CDTF">2018-07-17T17:17:13Z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0x0101006E56B4D1795A2E4DB2F0B01679ED314A00A02BCD095027324CAE9E5703D430B589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