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93" activeTab="0"/>
  </bookViews>
  <sheets>
    <sheet name="Summary2009 and 2010" sheetId="1" r:id="rId1"/>
    <sheet name="Summary-2009" sheetId="2" r:id="rId2"/>
    <sheet name="2009" sheetId="3" r:id="rId3"/>
    <sheet name="2010" sheetId="4" r:id="rId4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<sst xmlns="http://schemas.openxmlformats.org/spreadsheetml/2006/main" count="88" uniqueCount="49">
  <si>
    <t>Avista Utilities</t>
  </si>
  <si>
    <t>Date Placed in Service</t>
  </si>
  <si>
    <t>Cost</t>
  </si>
  <si>
    <t>FERC Account</t>
  </si>
  <si>
    <t>Project</t>
  </si>
  <si>
    <t>Deprec Rate</t>
  </si>
  <si>
    <t>Annual Deprec</t>
  </si>
  <si>
    <t>Total</t>
  </si>
  <si>
    <t>Gross plant</t>
  </si>
  <si>
    <t>Washington</t>
  </si>
  <si>
    <t>Amounts</t>
  </si>
  <si>
    <t xml:space="preserve">   Net rate base</t>
  </si>
  <si>
    <t>Depreciation expense</t>
  </si>
  <si>
    <t>Property tax @ 1.5% of gross plant</t>
  </si>
  <si>
    <t>FIT benefit of depreciation and property tax</t>
  </si>
  <si>
    <t>Major Generation Additions</t>
  </si>
  <si>
    <t>Generation tax deprec rates (20 year)</t>
  </si>
  <si>
    <t>ED.NR.333000</t>
  </si>
  <si>
    <t>Major Generation Plant Additions</t>
  </si>
  <si>
    <t>Operating income before FIT</t>
  </si>
  <si>
    <t>Total electric expenses</t>
  </si>
  <si>
    <t>Net operating income</t>
  </si>
  <si>
    <t>System</t>
  </si>
  <si>
    <t>Accum Deprec 12/31/09</t>
  </si>
  <si>
    <t>Accum Deprec 12/31/10</t>
  </si>
  <si>
    <t>2009 Tax Deprec</t>
  </si>
  <si>
    <t>2010 Tax Deprec</t>
  </si>
  <si>
    <t>Accum DFIT 12/31/09</t>
  </si>
  <si>
    <t>Accum DFIT 12/31/10</t>
  </si>
  <si>
    <t>Summary</t>
  </si>
  <si>
    <t>Accum deprec (average 12/31/09 and 12/31/10)</t>
  </si>
  <si>
    <t>Accum DFIT (average 12/31/09 and 12/31/10)</t>
  </si>
  <si>
    <t>For Assets Placed in Service in 2009</t>
  </si>
  <si>
    <t>Noxon Unit 1</t>
  </si>
  <si>
    <t>Assets Placed in Service in 2009</t>
  </si>
  <si>
    <t>Assets Placed in Service in 2009 and 2010</t>
  </si>
  <si>
    <t>For Assets Placed in Service in 2010</t>
  </si>
  <si>
    <t xml:space="preserve">Noxon Unit 3 </t>
  </si>
  <si>
    <t>PUBLIC COUNSEL'S PROPOSAL</t>
  </si>
  <si>
    <t>VARIANCE</t>
  </si>
  <si>
    <t>(Note 1)</t>
  </si>
  <si>
    <t>Notes:</t>
  </si>
  <si>
    <t>(1) Public Counsel's adjustment for 2009 capital included Noxon.  However, Noxon was not identified separately in Public Counsel's</t>
  </si>
  <si>
    <t>exhibit.  Therefore, we determined these numbers using what appears to be Public Counsel's method.  There may be</t>
  </si>
  <si>
    <t>AVISTA'S PROPOSAL</t>
  </si>
  <si>
    <t>Major Generation Plant Additions - Public Counsel's Proposal</t>
  </si>
  <si>
    <t>slight differences, however, they would not materially change the analysis or Avista's conclusion.</t>
  </si>
  <si>
    <t>Noxon</t>
  </si>
  <si>
    <t>WA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</si>
</sst>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/yy;@"/>
    <numFmt numFmtId="166" formatCode="0.0%"/>
    <numFmt numFmtId="167" formatCode="&quot;$&quot;#,##0.00"/>
    <numFmt numFmtId="168" formatCode="&quot;$&quot;#,##0"/>
    <numFmt numFmtId="169" formatCode="&quot;$&quot;#,##0.0000"/>
    <numFmt numFmtId="170" formatCode="&quot;$&quot;#,##0.000"/>
    <numFmt numFmtId="171" formatCode="#,##0.000000"/>
    <numFmt numFmtId="172" formatCode="0.000%"/>
    <numFmt numFmtId="173" formatCode="0.0000%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0" fontId="3" fillId="0" borderId="0" xfId="21" applyNumberFormat="1" applyFont="1" applyAlignment="1">
      <alignment horizontal="center" wrapText="1"/>
    </xf>
    <xf numFmtId="10" fontId="0" fillId="0" borderId="0" xfId="21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21" applyNumberFormat="1" applyFont="1" applyAlignment="1">
      <alignment horizontal="left"/>
    </xf>
    <xf numFmtId="3" fontId="0" fillId="0" borderId="0" xfId="15" applyNumberFormat="1" applyAlignment="1">
      <alignment/>
    </xf>
    <xf numFmtId="3" fontId="3" fillId="0" borderId="0" xfId="15" applyNumberFormat="1" applyFont="1" applyAlignment="1">
      <alignment horizontal="center" wrapText="1"/>
    </xf>
    <xf numFmtId="172" fontId="0" fillId="0" borderId="0" xfId="0" applyNumberFormat="1" applyAlignment="1">
      <alignment/>
    </xf>
    <xf numFmtId="3" fontId="0" fillId="0" borderId="1" xfId="15" applyNumberFormat="1" applyBorder="1" applyAlignment="1">
      <alignment/>
    </xf>
    <xf numFmtId="173" fontId="0" fillId="0" borderId="0" xfId="21" applyNumberFormat="1" applyAlignment="1">
      <alignment horizontal="center"/>
    </xf>
    <xf numFmtId="167" fontId="0" fillId="0" borderId="0" xfId="0" applyNumberFormat="1" applyAlignment="1">
      <alignment/>
    </xf>
    <xf numFmtId="175" fontId="0" fillId="0" borderId="0" xfId="15" applyNumberFormat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5" fontId="0" fillId="0" borderId="1" xfId="15" applyNumberFormat="1" applyBorder="1" applyAlignment="1">
      <alignment/>
    </xf>
    <xf numFmtId="175" fontId="0" fillId="0" borderId="0" xfId="15" applyNumberFormat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4" xfId="15" applyNumberForma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60" workbookViewId="0" topLeftCell="A1">
      <selection activeCell="A1" sqref="A1:K1"/>
    </sheetView>
  </sheetViews>
  <sheetFormatPr defaultColWidth="9.140625" defaultRowHeight="12.75"/>
  <cols>
    <col min="1" max="1" width="41.140625" style="0" bestFit="1" customWidth="1"/>
    <col min="2" max="2" width="12.8515625" style="0" hidden="1" customWidth="1"/>
    <col min="3" max="3" width="13.00390625" style="0" bestFit="1" customWidth="1"/>
    <col min="4" max="4" width="12.00390625" style="0" bestFit="1" customWidth="1"/>
    <col min="5" max="5" width="12.28125" style="0" bestFit="1" customWidth="1"/>
    <col min="6" max="6" width="0.85546875" style="0" customWidth="1"/>
    <col min="7" max="7" width="12.7109375" style="0" customWidth="1"/>
    <col min="8" max="8" width="12.00390625" style="0" bestFit="1" customWidth="1"/>
    <col min="9" max="9" width="12.7109375" style="0" customWidth="1"/>
    <col min="10" max="10" width="1.28515625" style="0" customWidth="1"/>
    <col min="11" max="11" width="13.57421875" style="0" bestFit="1" customWidth="1"/>
  </cols>
  <sheetData>
    <row r="1" spans="1:11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5" ht="12.75">
      <c r="A4" s="38"/>
      <c r="B4" s="38"/>
      <c r="C4" s="38"/>
      <c r="D4" s="38"/>
      <c r="E4" s="38"/>
    </row>
    <row r="5" spans="1:7" ht="13.5" thickBot="1">
      <c r="A5" s="23"/>
      <c r="B5" s="1"/>
      <c r="C5" s="1"/>
      <c r="G5" s="2" t="s">
        <v>40</v>
      </c>
    </row>
    <row r="6" spans="1:11" s="33" customFormat="1" ht="13.5" thickBot="1">
      <c r="A6" s="1"/>
      <c r="B6" s="1"/>
      <c r="C6" s="35" t="s">
        <v>44</v>
      </c>
      <c r="D6" s="36"/>
      <c r="E6" s="37"/>
      <c r="G6" s="35" t="s">
        <v>38</v>
      </c>
      <c r="H6" s="36"/>
      <c r="I6" s="37"/>
      <c r="K6" s="34" t="s">
        <v>39</v>
      </c>
    </row>
    <row r="7" spans="1:8" ht="12.75">
      <c r="A7" s="1"/>
      <c r="B7" s="24"/>
      <c r="C7" s="24">
        <v>2009</v>
      </c>
      <c r="D7" s="24">
        <v>2010</v>
      </c>
      <c r="G7" s="24">
        <v>2009</v>
      </c>
      <c r="H7" s="24">
        <v>2010</v>
      </c>
    </row>
    <row r="8" spans="1:8" ht="12.75">
      <c r="A8" s="1"/>
      <c r="B8" s="24"/>
      <c r="C8" s="24" t="s">
        <v>47</v>
      </c>
      <c r="D8" s="24" t="s">
        <v>47</v>
      </c>
      <c r="G8" s="24" t="s">
        <v>47</v>
      </c>
      <c r="H8" s="24" t="s">
        <v>47</v>
      </c>
    </row>
    <row r="9" spans="1:8" ht="12.75">
      <c r="A9" s="1"/>
      <c r="B9" s="24" t="s">
        <v>7</v>
      </c>
      <c r="C9" s="24" t="s">
        <v>48</v>
      </c>
      <c r="D9" s="24" t="s">
        <v>48</v>
      </c>
      <c r="G9" s="24" t="s">
        <v>48</v>
      </c>
      <c r="H9" s="24" t="s">
        <v>48</v>
      </c>
    </row>
    <row r="10" spans="1:11" ht="12.75">
      <c r="A10" s="1"/>
      <c r="B10" s="25" t="s">
        <v>22</v>
      </c>
      <c r="C10" s="25">
        <v>0.6459</v>
      </c>
      <c r="D10" s="25">
        <v>0.6459</v>
      </c>
      <c r="E10" s="25" t="s">
        <v>7</v>
      </c>
      <c r="G10" s="25">
        <v>0.6459</v>
      </c>
      <c r="H10" s="25">
        <v>0.6459</v>
      </c>
      <c r="I10" s="25" t="s">
        <v>7</v>
      </c>
      <c r="K10" s="25" t="s">
        <v>7</v>
      </c>
    </row>
    <row r="12" spans="1:11" ht="12.75">
      <c r="A12" t="s">
        <v>12</v>
      </c>
      <c r="B12" s="27">
        <f>'2009'!F8</f>
        <v>496005.0645</v>
      </c>
      <c r="C12" s="27">
        <f>C$10*B12</f>
        <v>320369.67116055</v>
      </c>
      <c r="D12" s="18">
        <f>'2010'!F8*'Summary2009 and 2010'!D10</f>
        <v>157918.6746</v>
      </c>
      <c r="E12" s="30">
        <f>SUM(C12:D12)</f>
        <v>478288.34576055</v>
      </c>
      <c r="G12" s="27">
        <v>10000</v>
      </c>
      <c r="H12" s="18">
        <f>D12</f>
        <v>157918.6746</v>
      </c>
      <c r="I12" s="30">
        <f>SUM(G12:H12)</f>
        <v>167918.6746</v>
      </c>
      <c r="K12" s="30">
        <f>E12-I12</f>
        <v>310369.67116055</v>
      </c>
    </row>
    <row r="13" spans="1:11" ht="12.75">
      <c r="A13" t="s">
        <v>13</v>
      </c>
      <c r="B13" s="28">
        <f>0.015*B20</f>
        <v>257442.07499999998</v>
      </c>
      <c r="C13" s="28">
        <f>0.015*C20</f>
        <v>166281.8362425</v>
      </c>
      <c r="D13" s="18">
        <f>D20*0.015</f>
        <v>81964.70999999999</v>
      </c>
      <c r="E13" s="30">
        <f>SUM(C13:D13)</f>
        <v>248246.5462425</v>
      </c>
      <c r="G13" s="28">
        <v>5000</v>
      </c>
      <c r="H13" s="18">
        <f>D13</f>
        <v>81964.70999999999</v>
      </c>
      <c r="I13" s="30">
        <f>SUM(G13:H13)</f>
        <v>86964.70999999999</v>
      </c>
      <c r="K13" s="30">
        <f>E13-I13</f>
        <v>161281.8362425</v>
      </c>
    </row>
    <row r="14" spans="1:11" ht="12.75">
      <c r="A14" t="s">
        <v>20</v>
      </c>
      <c r="B14" s="29">
        <f>B12+B13</f>
        <v>753447.1394999999</v>
      </c>
      <c r="C14" s="29">
        <f>C12+C13</f>
        <v>486651.50740304997</v>
      </c>
      <c r="D14" s="29">
        <f>D12+D13</f>
        <v>239883.3846</v>
      </c>
      <c r="E14" s="29">
        <f>E12+E13</f>
        <v>726534.89200305</v>
      </c>
      <c r="G14" s="29">
        <f>G12+G13</f>
        <v>15000</v>
      </c>
      <c r="H14" s="29">
        <f>H12+H13</f>
        <v>239883.3846</v>
      </c>
      <c r="I14" s="29">
        <f>I12+I13</f>
        <v>254883.3846</v>
      </c>
      <c r="K14" s="29">
        <f>K12+K13</f>
        <v>471651.50740304997</v>
      </c>
    </row>
    <row r="15" spans="1:11" ht="12.75">
      <c r="A15" t="s">
        <v>19</v>
      </c>
      <c r="B15" s="27">
        <f>-B14</f>
        <v>-753447.1394999999</v>
      </c>
      <c r="C15" s="27">
        <f>-C14</f>
        <v>-486651.50740304997</v>
      </c>
      <c r="D15" s="18">
        <v>-239883.3846</v>
      </c>
      <c r="E15" s="30">
        <f>SUM(C15:D15)</f>
        <v>-726534.89200305</v>
      </c>
      <c r="G15" s="27">
        <f>-G14</f>
        <v>-15000</v>
      </c>
      <c r="H15" s="18">
        <v>-239883.3846</v>
      </c>
      <c r="I15" s="30">
        <f>SUM(G15:H15)</f>
        <v>-254883.3846</v>
      </c>
      <c r="K15" s="30">
        <f>E15-I15</f>
        <v>-471651.50740304997</v>
      </c>
    </row>
    <row r="16" spans="1:11" ht="12.75">
      <c r="A16" t="s">
        <v>14</v>
      </c>
      <c r="B16" s="28">
        <f>(B12+B13)*-0.35</f>
        <v>-263706.49882499996</v>
      </c>
      <c r="C16" s="28">
        <f>(C12+C13)*-0.35</f>
        <v>-170328.02759106748</v>
      </c>
      <c r="D16" s="28">
        <f>(D12+D13)*-0.35</f>
        <v>-83959.18461</v>
      </c>
      <c r="E16" s="31">
        <f>SUM(C16:D16)</f>
        <v>-254287.21220106748</v>
      </c>
      <c r="G16" s="28">
        <f>(G12+G13)*-0.35</f>
        <v>-5250</v>
      </c>
      <c r="H16" s="28">
        <f>(H12+H13)*-0.35</f>
        <v>-83959.18461</v>
      </c>
      <c r="I16" s="31">
        <f>SUM(G16:H16)</f>
        <v>-89209.18461</v>
      </c>
      <c r="K16" s="30">
        <f>E16-I16</f>
        <v>-165078.02759106748</v>
      </c>
    </row>
    <row r="17" spans="1:11" ht="13.5" thickBot="1">
      <c r="A17" t="s">
        <v>21</v>
      </c>
      <c r="B17" s="27">
        <f>B15-B16</f>
        <v>-489740.640675</v>
      </c>
      <c r="C17" s="32">
        <f>C15-C16</f>
        <v>-316323.4798119825</v>
      </c>
      <c r="D17" s="32">
        <f>D15-D16</f>
        <v>-155924.19999</v>
      </c>
      <c r="E17" s="32">
        <f>E15-E16</f>
        <v>-472247.6798019825</v>
      </c>
      <c r="G17" s="32">
        <f>G15-G16</f>
        <v>-9750</v>
      </c>
      <c r="H17" s="32">
        <f>H15-H16</f>
        <v>-155924.19999</v>
      </c>
      <c r="I17" s="32">
        <f>I15-I16</f>
        <v>-165674.19999</v>
      </c>
      <c r="K17" s="32">
        <f>K15-K16</f>
        <v>-306573.4798119825</v>
      </c>
    </row>
    <row r="18" spans="2:11" ht="12.75">
      <c r="B18" s="27"/>
      <c r="C18" s="27"/>
      <c r="D18" s="18"/>
      <c r="E18" s="30"/>
      <c r="G18" s="27"/>
      <c r="H18" s="18"/>
      <c r="I18" s="30"/>
      <c r="K18" s="30"/>
    </row>
    <row r="19" spans="2:11" ht="12.75">
      <c r="B19" s="27"/>
      <c r="C19" s="27"/>
      <c r="D19" s="18"/>
      <c r="E19" s="30"/>
      <c r="G19" s="27"/>
      <c r="H19" s="18"/>
      <c r="I19" s="30"/>
      <c r="K19" s="30"/>
    </row>
    <row r="20" spans="1:11" ht="12.75">
      <c r="A20" t="s">
        <v>8</v>
      </c>
      <c r="B20" s="27">
        <f>'2009'!C8</f>
        <v>17162805</v>
      </c>
      <c r="C20" s="27">
        <f>C$10*B20</f>
        <v>11085455.7495</v>
      </c>
      <c r="D20" s="18">
        <f>'2010'!C8*'Summary2009 and 2010'!D10</f>
        <v>5464314</v>
      </c>
      <c r="E20" s="30">
        <f>SUM(C20:D20)</f>
        <v>16549769.7495</v>
      </c>
      <c r="G20" s="27">
        <v>1850000</v>
      </c>
      <c r="H20" s="18">
        <f>D20</f>
        <v>5464314</v>
      </c>
      <c r="I20" s="30">
        <f>SUM(G20:H20)</f>
        <v>7314314</v>
      </c>
      <c r="K20" s="30">
        <f>E20-I20</f>
        <v>9235455.7495</v>
      </c>
    </row>
    <row r="21" spans="1:11" ht="12.75">
      <c r="A21" t="s">
        <v>30</v>
      </c>
      <c r="B21" s="27">
        <f>ROUND(('2009'!G8+'2009'!H8)/2,0)</f>
        <v>558006</v>
      </c>
      <c r="C21" s="27">
        <f>C$10*B21</f>
        <v>360416.07540000003</v>
      </c>
      <c r="D21" s="18">
        <f>('2010'!G8+'2010'!H8)/2*'Summary2009 and 2010'!D10</f>
        <v>55929.530587500005</v>
      </c>
      <c r="E21" s="30">
        <f>SUM(C21:D21)</f>
        <v>416345.60598750005</v>
      </c>
      <c r="G21" s="27">
        <v>5000</v>
      </c>
      <c r="H21" s="18">
        <f>D21</f>
        <v>55929.530587500005</v>
      </c>
      <c r="I21" s="30">
        <f>SUM(G21:H21)</f>
        <v>60929.530587500005</v>
      </c>
      <c r="K21" s="30">
        <f>E21-I21</f>
        <v>355416.07540000003</v>
      </c>
    </row>
    <row r="22" spans="1:11" ht="12.75">
      <c r="A22" t="s">
        <v>31</v>
      </c>
      <c r="B22" s="28">
        <f>ROUND(('2009'!K8+'2009'!L8)/2,0)</f>
        <v>-268482</v>
      </c>
      <c r="C22" s="28">
        <f>C$10*B22</f>
        <v>-173412.5238</v>
      </c>
      <c r="D22" s="19">
        <f>('2010'!K8+'2010'!L8)/2*'Summary2009 and 2010'!D10</f>
        <v>-22041.6765975</v>
      </c>
      <c r="E22" s="31">
        <f>SUM(C22:D22)</f>
        <v>-195454.2003975</v>
      </c>
      <c r="G22" s="28">
        <v>-3000</v>
      </c>
      <c r="H22" s="18">
        <f>D22</f>
        <v>-22041.6765975</v>
      </c>
      <c r="I22" s="31">
        <f>SUM(G22:H22)</f>
        <v>-25041.6765975</v>
      </c>
      <c r="K22" s="30">
        <f>E22-I22</f>
        <v>-170412.52380000002</v>
      </c>
    </row>
    <row r="23" spans="1:11" ht="13.5" thickBot="1">
      <c r="A23" t="s">
        <v>11</v>
      </c>
      <c r="B23" s="27">
        <f>B20-B21+B22</f>
        <v>16336317</v>
      </c>
      <c r="C23" s="32">
        <f>C20-C21+C22</f>
        <v>10551627.1503</v>
      </c>
      <c r="D23" s="32">
        <f>D20-D21+D22</f>
        <v>5386342.792815</v>
      </c>
      <c r="E23" s="32">
        <f>E20-E21+E22</f>
        <v>15937969.943115</v>
      </c>
      <c r="G23" s="32">
        <f>G20-G21+G22</f>
        <v>1842000</v>
      </c>
      <c r="H23" s="32">
        <f>H20-H21+H22</f>
        <v>5386342.792815</v>
      </c>
      <c r="I23" s="32">
        <f>I20-I21+I22</f>
        <v>7228342.792815</v>
      </c>
      <c r="K23" s="32">
        <f>K20-K21+K22</f>
        <v>8709627.1503</v>
      </c>
    </row>
    <row r="27" ht="12.75">
      <c r="A27" s="1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46</v>
      </c>
    </row>
  </sheetData>
  <mergeCells count="6">
    <mergeCell ref="C6:E6"/>
    <mergeCell ref="G6:I6"/>
    <mergeCell ref="A4:E4"/>
    <mergeCell ref="A1:K1"/>
    <mergeCell ref="A2:K2"/>
    <mergeCell ref="A3:K3"/>
  </mergeCells>
  <printOptions/>
  <pageMargins left="0.75" right="0.75" top="1" bottom="1" header="0.5" footer="0.5"/>
  <pageSetup fitToHeight="1" fitToWidth="1" horizontalDpi="600" verticalDpi="600" orientation="landscape" scale="94" r:id="rId1"/>
  <headerFooter alignWithMargins="0">
    <oddHeader>&amp;RExhibit No. ___(DBD-7)</oddHeader>
    <oddFooter>&amp;RPage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3" sqref="A3"/>
    </sheetView>
  </sheetViews>
  <sheetFormatPr defaultColWidth="9.140625" defaultRowHeight="12.75"/>
  <cols>
    <col min="1" max="1" width="41.140625" style="0" bestFit="1" customWidth="1"/>
    <col min="2" max="3" width="12.8515625" style="0" bestFit="1" customWidth="1"/>
    <col min="4" max="4" width="10.140625" style="0" bestFit="1" customWidth="1"/>
  </cols>
  <sheetData>
    <row r="1" spans="1:3" ht="12.75">
      <c r="A1" s="21" t="s">
        <v>0</v>
      </c>
      <c r="B1" s="21"/>
      <c r="C1" s="21"/>
    </row>
    <row r="2" spans="1:3" ht="12.75">
      <c r="A2" s="21" t="s">
        <v>18</v>
      </c>
      <c r="B2" s="21"/>
      <c r="C2" s="21"/>
    </row>
    <row r="3" spans="1:3" ht="12.75">
      <c r="A3" s="21" t="s">
        <v>34</v>
      </c>
      <c r="B3" s="21"/>
      <c r="C3" s="21"/>
    </row>
    <row r="4" spans="1:3" ht="12.75">
      <c r="A4" s="22" t="s">
        <v>29</v>
      </c>
      <c r="B4" s="21"/>
      <c r="C4" s="21"/>
    </row>
    <row r="5" spans="1:3" ht="12.75">
      <c r="A5" s="23"/>
      <c r="B5" s="1"/>
      <c r="C5" s="1"/>
    </row>
    <row r="6" spans="1:3" ht="12.75">
      <c r="A6" s="1"/>
      <c r="B6" s="1"/>
      <c r="C6" s="1"/>
    </row>
    <row r="7" spans="1:3" ht="12.75">
      <c r="A7" s="1"/>
      <c r="B7" s="24"/>
      <c r="C7" s="24"/>
    </row>
    <row r="8" spans="1:3" ht="12.75">
      <c r="A8" s="1"/>
      <c r="B8" s="24"/>
      <c r="C8" s="24" t="s">
        <v>9</v>
      </c>
    </row>
    <row r="9" spans="1:3" ht="12.75">
      <c r="A9" s="1"/>
      <c r="B9" s="24" t="s">
        <v>7</v>
      </c>
      <c r="C9" s="24" t="s">
        <v>10</v>
      </c>
    </row>
    <row r="10" spans="1:3" ht="12.75">
      <c r="A10" s="1"/>
      <c r="B10" s="25" t="s">
        <v>22</v>
      </c>
      <c r="C10" s="25">
        <v>0.6459</v>
      </c>
    </row>
    <row r="12" spans="1:3" ht="12.75">
      <c r="A12" t="s">
        <v>12</v>
      </c>
      <c r="B12" s="18">
        <f>'2009'!F8</f>
        <v>496005.0645</v>
      </c>
      <c r="C12" s="18">
        <f>C$10*B12</f>
        <v>320369.67116055</v>
      </c>
    </row>
    <row r="13" spans="1:3" ht="12.75">
      <c r="A13" t="s">
        <v>13</v>
      </c>
      <c r="B13" s="19">
        <f>0.015*B20</f>
        <v>257442.07499999998</v>
      </c>
      <c r="C13" s="19">
        <f>0.015*C20</f>
        <v>166281.8362425</v>
      </c>
    </row>
    <row r="14" spans="1:3" ht="12.75">
      <c r="A14" t="s">
        <v>20</v>
      </c>
      <c r="B14" s="20">
        <f>B12+B13</f>
        <v>753447.1394999999</v>
      </c>
      <c r="C14" s="20">
        <f>C12+C13</f>
        <v>486651.50740304997</v>
      </c>
    </row>
    <row r="15" spans="1:3" ht="12.75">
      <c r="A15" t="s">
        <v>19</v>
      </c>
      <c r="B15" s="18">
        <f>-B14</f>
        <v>-753447.1394999999</v>
      </c>
      <c r="C15" s="18">
        <f>-C14</f>
        <v>-486651.50740304997</v>
      </c>
    </row>
    <row r="16" spans="1:3" ht="12.75">
      <c r="A16" t="s">
        <v>14</v>
      </c>
      <c r="B16" s="19">
        <f>(B12+B13)*-0.35</f>
        <v>-263706.49882499996</v>
      </c>
      <c r="C16" s="19">
        <f>(C12+C13)*-0.35</f>
        <v>-170328.02759106748</v>
      </c>
    </row>
    <row r="17" spans="1:4" ht="12.75">
      <c r="A17" t="s">
        <v>21</v>
      </c>
      <c r="B17" s="18">
        <f>B15-B16</f>
        <v>-489740.640675</v>
      </c>
      <c r="C17" s="18">
        <f>C15-C16</f>
        <v>-316323.4798119825</v>
      </c>
      <c r="D17" s="17"/>
    </row>
    <row r="18" spans="2:3" ht="12.75">
      <c r="B18" s="18"/>
      <c r="C18" s="18"/>
    </row>
    <row r="19" spans="2:3" ht="12.75">
      <c r="B19" s="18"/>
      <c r="C19" s="18"/>
    </row>
    <row r="20" spans="1:3" ht="12.75">
      <c r="A20" t="s">
        <v>8</v>
      </c>
      <c r="B20" s="18">
        <f>'2009'!C8</f>
        <v>17162805</v>
      </c>
      <c r="C20" s="18">
        <f>C$10*B20</f>
        <v>11085455.7495</v>
      </c>
    </row>
    <row r="21" spans="1:3" ht="12.75">
      <c r="A21" t="s">
        <v>30</v>
      </c>
      <c r="B21" s="18">
        <f>ROUND(('2009'!G8+'2009'!H8)/2,0)</f>
        <v>558006</v>
      </c>
      <c r="C21" s="18">
        <f>C$10*B21</f>
        <v>360416.07540000003</v>
      </c>
    </row>
    <row r="22" spans="1:3" ht="12.75">
      <c r="A22" t="s">
        <v>31</v>
      </c>
      <c r="B22" s="19">
        <f>ROUND(('2009'!K8+'2009'!L8)/2,0)</f>
        <v>-268482</v>
      </c>
      <c r="C22" s="19">
        <f>C$10*B22</f>
        <v>-173412.5238</v>
      </c>
    </row>
    <row r="23" spans="1:4" ht="12.75">
      <c r="A23" t="s">
        <v>11</v>
      </c>
      <c r="B23" s="18">
        <f>B20-B21+B22</f>
        <v>16336317</v>
      </c>
      <c r="C23" s="18">
        <f>C20-C21+C22</f>
        <v>10551627.1503</v>
      </c>
      <c r="D23" s="1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
&amp;A&amp;RPage &amp;P of &amp;N
jmp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G8" sqref="G8:H8"/>
    </sheetView>
  </sheetViews>
  <sheetFormatPr defaultColWidth="9.140625" defaultRowHeight="12.75"/>
  <cols>
    <col min="1" max="1" width="18.421875" style="0" customWidth="1"/>
    <col min="2" max="2" width="12.140625" style="3" customWidth="1"/>
    <col min="3" max="3" width="10.140625" style="12" bestFit="1" customWidth="1"/>
    <col min="4" max="4" width="13.8515625" style="2" bestFit="1" customWidth="1"/>
    <col min="5" max="5" width="8.421875" style="7" customWidth="1"/>
    <col min="6" max="7" width="8.8515625" style="0" bestFit="1" customWidth="1"/>
    <col min="8" max="8" width="8.140625" style="0" bestFit="1" customWidth="1"/>
    <col min="9" max="9" width="10.140625" style="0" bestFit="1" customWidth="1"/>
    <col min="10" max="10" width="10.28125" style="0" bestFit="1" customWidth="1"/>
    <col min="11" max="12" width="9.28125" style="0" bestFit="1" customWidth="1"/>
  </cols>
  <sheetData>
    <row r="1" ht="12.75">
      <c r="A1" s="1" t="s">
        <v>0</v>
      </c>
    </row>
    <row r="2" spans="1:10" ht="12.75">
      <c r="A2" s="1" t="s">
        <v>15</v>
      </c>
      <c r="E2" s="11"/>
      <c r="I2" s="10"/>
      <c r="J2" s="10"/>
    </row>
    <row r="3" spans="1:10" ht="12.75">
      <c r="A3" s="1" t="s">
        <v>32</v>
      </c>
      <c r="E3" s="11"/>
      <c r="I3" s="10"/>
      <c r="J3" s="10"/>
    </row>
    <row r="4" spans="5:10" ht="12.75">
      <c r="E4" s="11" t="s">
        <v>16</v>
      </c>
      <c r="I4" s="14">
        <v>0.0375</v>
      </c>
      <c r="J4" s="14">
        <v>0.07219</v>
      </c>
    </row>
    <row r="6" spans="1:12" s="4" customFormat="1" ht="39" customHeight="1">
      <c r="A6" s="4" t="s">
        <v>4</v>
      </c>
      <c r="B6" s="5" t="s">
        <v>1</v>
      </c>
      <c r="C6" s="13" t="s">
        <v>2</v>
      </c>
      <c r="D6" s="4" t="s">
        <v>3</v>
      </c>
      <c r="E6" s="6" t="s">
        <v>5</v>
      </c>
      <c r="F6" s="4" t="s">
        <v>6</v>
      </c>
      <c r="G6" s="4" t="s">
        <v>23</v>
      </c>
      <c r="H6" s="4" t="s">
        <v>24</v>
      </c>
      <c r="I6" s="4" t="s">
        <v>25</v>
      </c>
      <c r="J6" s="4" t="s">
        <v>26</v>
      </c>
      <c r="K6" s="4" t="s">
        <v>27</v>
      </c>
      <c r="L6" s="4" t="s">
        <v>28</v>
      </c>
    </row>
    <row r="8" spans="1:14" ht="13.5" thickBot="1">
      <c r="A8" t="s">
        <v>33</v>
      </c>
      <c r="B8" s="3">
        <v>39963</v>
      </c>
      <c r="C8" s="15">
        <v>17162805</v>
      </c>
      <c r="D8" s="2" t="s">
        <v>17</v>
      </c>
      <c r="E8" s="16">
        <v>0.0289</v>
      </c>
      <c r="F8" s="9">
        <f>C8*E8</f>
        <v>496005.0645</v>
      </c>
      <c r="G8" s="9">
        <f>F8/12*7.5</f>
        <v>310003.16531250003</v>
      </c>
      <c r="H8" s="9">
        <f>F8+G8</f>
        <v>806008.2298125001</v>
      </c>
      <c r="I8" s="9">
        <f>I4*C8</f>
        <v>643605.1875</v>
      </c>
      <c r="J8" s="9">
        <f>J4*C8</f>
        <v>1238982.89295</v>
      </c>
      <c r="K8" s="26">
        <f>ROUND((I8-(F8*6/12))*-0.35,0)</f>
        <v>-138461</v>
      </c>
      <c r="L8" s="26">
        <f>ROUND(((J8-F8)*-0.35)+K8,0)</f>
        <v>-398503</v>
      </c>
      <c r="N8" s="8"/>
    </row>
    <row r="10" spans="6:12" ht="12.75">
      <c r="F10" s="12"/>
      <c r="G10" s="12"/>
      <c r="H10" s="12"/>
      <c r="I10" s="12"/>
      <c r="J10" s="12"/>
      <c r="K10" s="12"/>
      <c r="L10" s="12"/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
&amp;A&amp;RPage &amp;P of &amp;N
jmp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C8" sqref="C8"/>
    </sheetView>
  </sheetViews>
  <sheetFormatPr defaultColWidth="9.140625" defaultRowHeight="12.75"/>
  <cols>
    <col min="1" max="1" width="18.421875" style="0" customWidth="1"/>
    <col min="2" max="2" width="12.140625" style="3" customWidth="1"/>
    <col min="3" max="3" width="9.140625" style="12" bestFit="1" customWidth="1"/>
    <col min="4" max="4" width="13.8515625" style="2" bestFit="1" customWidth="1"/>
    <col min="5" max="5" width="8.421875" style="7" customWidth="1"/>
    <col min="6" max="7" width="8.8515625" style="0" bestFit="1" customWidth="1"/>
    <col min="8" max="8" width="8.140625" style="0" bestFit="1" customWidth="1"/>
    <col min="9" max="9" width="10.140625" style="0" bestFit="1" customWidth="1"/>
    <col min="10" max="10" width="10.28125" style="0" bestFit="1" customWidth="1"/>
    <col min="11" max="11" width="8.140625" style="0" bestFit="1" customWidth="1"/>
    <col min="12" max="12" width="8.28125" style="0" bestFit="1" customWidth="1"/>
  </cols>
  <sheetData>
    <row r="1" ht="12.75">
      <c r="A1" s="1" t="s">
        <v>0</v>
      </c>
    </row>
    <row r="2" spans="1:10" ht="12.75">
      <c r="A2" s="1" t="s">
        <v>15</v>
      </c>
      <c r="E2" s="11"/>
      <c r="I2" s="10"/>
      <c r="J2" s="10"/>
    </row>
    <row r="3" spans="1:10" ht="12.75">
      <c r="A3" s="1" t="s">
        <v>36</v>
      </c>
      <c r="E3" s="11"/>
      <c r="I3" s="10"/>
      <c r="J3" s="10"/>
    </row>
    <row r="4" spans="5:10" ht="12.75">
      <c r="E4" s="11" t="s">
        <v>16</v>
      </c>
      <c r="I4" s="14">
        <v>0.0375</v>
      </c>
      <c r="J4" s="14">
        <v>0.07219</v>
      </c>
    </row>
    <row r="6" spans="1:12" s="4" customFormat="1" ht="39" customHeight="1">
      <c r="A6" s="4" t="s">
        <v>4</v>
      </c>
      <c r="B6" s="5" t="s">
        <v>1</v>
      </c>
      <c r="C6" s="13" t="s">
        <v>2</v>
      </c>
      <c r="D6" s="4" t="s">
        <v>3</v>
      </c>
      <c r="E6" s="6" t="s">
        <v>5</v>
      </c>
      <c r="F6" s="4" t="s">
        <v>6</v>
      </c>
      <c r="G6" s="4" t="s">
        <v>23</v>
      </c>
      <c r="H6" s="4" t="s">
        <v>24</v>
      </c>
      <c r="I6" s="4" t="s">
        <v>25</v>
      </c>
      <c r="J6" s="4" t="s">
        <v>26</v>
      </c>
      <c r="K6" s="4" t="s">
        <v>27</v>
      </c>
      <c r="L6" s="4" t="s">
        <v>28</v>
      </c>
    </row>
    <row r="8" spans="1:14" ht="13.5" thickBot="1">
      <c r="A8" t="s">
        <v>37</v>
      </c>
      <c r="B8" s="3">
        <v>40298</v>
      </c>
      <c r="C8" s="15">
        <v>8460000</v>
      </c>
      <c r="D8" s="2" t="s">
        <v>17</v>
      </c>
      <c r="E8" s="16">
        <v>0.0289</v>
      </c>
      <c r="F8" s="9">
        <f>C8*E8</f>
        <v>244494</v>
      </c>
      <c r="G8" s="9">
        <v>0</v>
      </c>
      <c r="H8" s="9">
        <f>F8/12*8.5</f>
        <v>173183.25</v>
      </c>
      <c r="I8" s="9">
        <v>0</v>
      </c>
      <c r="J8" s="9">
        <f>C8*I4</f>
        <v>317250</v>
      </c>
      <c r="K8" s="9">
        <v>0</v>
      </c>
      <c r="L8" s="26">
        <f>(-(I8+J8)+(F8/12*6))*0.35</f>
        <v>-68251.05</v>
      </c>
      <c r="N8" s="8"/>
    </row>
    <row r="10" spans="3:12" ht="12.75">
      <c r="C10" s="12">
        <f>C8*9/12</f>
        <v>6345000</v>
      </c>
      <c r="F10" s="12"/>
      <c r="G10" s="12"/>
      <c r="H10" s="12"/>
      <c r="I10" s="12"/>
      <c r="J10" s="12"/>
      <c r="K10" s="12"/>
      <c r="L10" s="12"/>
    </row>
    <row r="12" ht="12.75">
      <c r="C12" s="12">
        <f>C8-C10</f>
        <v>2115000</v>
      </c>
    </row>
    <row r="15" ht="12.75">
      <c r="C15" s="12">
        <v>8460000</v>
      </c>
    </row>
  </sheetData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Footer>&amp;L&amp;F
&amp;A&amp;RPage &amp;P of &amp;N
jmp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fi29</dc:creator>
  <cp:keywords/>
  <dc:description/>
  <cp:lastModifiedBy>vz9tr1</cp:lastModifiedBy>
  <cp:lastPrinted>2009-09-07T15:28:34Z</cp:lastPrinted>
  <dcterms:created xsi:type="dcterms:W3CDTF">2007-01-17T18:44:48Z</dcterms:created>
  <dcterms:modified xsi:type="dcterms:W3CDTF">2009-09-08T14:07:24Z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2009-09-11T00:00:00Z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