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115" windowHeight="8625"/>
  </bookViews>
  <sheets>
    <sheet name="Cost of LTD - New PCBs" sheetId="1" r:id="rId1"/>
    <sheet name="Cost of Capital " sheetId="2" r:id="rId2"/>
  </sheets>
  <externalReferences>
    <externalReference r:id="rId3"/>
    <externalReference r:id="rId4"/>
    <externalReference r:id="rId5"/>
  </externalReferences>
  <definedNames>
    <definedName name="_C_._DOWN_TERM_">'[2]CST STD!'!#REF!</definedName>
    <definedName name="_DOWN___COUPON_">'[2]CST STD!'!#REF!</definedName>
    <definedName name="_END__DOWN__DOW">'[2]CST STD!'!#REF!</definedName>
    <definedName name="_xlnm._FilterDatabase" localSheetId="0" hidden="1">'Cost of LTD - New PCBs'!$B$7:$F$9</definedName>
    <definedName name="_GOTO_TABLE__PR">'[2]CST STD!'!#REF!</definedName>
    <definedName name="_HOME__GOTO_YIE">'[2]CST STD!'!#REF!</definedName>
    <definedName name="_LET_YIELD__IRR">'[2]CST STD!'!#REF!</definedName>
    <definedName name="_RECASHFLOWS_">'[2]CST STD!'!#REF!</definedName>
    <definedName name="_RNCCASHFLOWS__">'[2]CST STD!'!#REF!</definedName>
    <definedName name="_WINDOWSOFF__PA">'[2]CST STD!'!#REF!</definedName>
    <definedName name="a">'[1]STD Cost'!#REF!</definedName>
    <definedName name="CASHFLOWS">'[2]CST STD!'!#REF!</definedName>
    <definedName name="data">#REF!</definedName>
    <definedName name="data12">#REF!</definedName>
    <definedName name="_xlnm.Database">#REF!</definedName>
    <definedName name="MONTH">#REF!</definedName>
    <definedName name="MonthlyInput">#REF!</definedName>
    <definedName name="new">#REF!</definedName>
    <definedName name="_new12">#REF!</definedName>
    <definedName name="NEWYTD">#REF!</definedName>
    <definedName name="P">#REF!</definedName>
    <definedName name="pagea">#REF!</definedName>
    <definedName name="pageb">#REF!</definedName>
    <definedName name="_xlnm.Print_Area" localSheetId="1">'Cost of Capital '!$A$1:$F$39</definedName>
    <definedName name="_xlnm.Print_Area" localSheetId="0">'Cost of LTD - New PCBs'!$A$1:$W$52</definedName>
    <definedName name="_xlnm.Print_Titles" localSheetId="0">'Cost of LTD - New PCBs'!$1:$8</definedName>
    <definedName name="TABLE">'[2]CST STD!'!#REF!</definedName>
    <definedName name="Total_Annual_Charge">[1]BONDRATE!#REF!</definedName>
    <definedName name="Total_OS_Amount">[1]BONDRATE!#REF!</definedName>
    <definedName name="TwelveMoAvg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ytd">#REF!</definedName>
    <definedName name="YTDavg">#REF!</definedName>
  </definedNames>
  <calcPr calcId="125725" fullCalcOnLoad="1"/>
</workbook>
</file>

<file path=xl/calcChain.xml><?xml version="1.0" encoding="utf-8"?>
<calcChain xmlns="http://schemas.openxmlformats.org/spreadsheetml/2006/main">
  <c r="A8" i="2"/>
  <c r="A9"/>
  <c r="A10"/>
  <c r="A11"/>
  <c r="A12"/>
  <c r="A13"/>
  <c r="A14"/>
  <c r="F14"/>
  <c r="A15"/>
  <c r="A16"/>
  <c r="D16"/>
  <c r="F16"/>
  <c r="A17"/>
  <c r="A18"/>
  <c r="F18"/>
  <c r="A19"/>
  <c r="A20"/>
  <c r="D20"/>
  <c r="F20"/>
  <c r="A21"/>
  <c r="A22"/>
  <c r="A23"/>
  <c r="A24"/>
  <c r="A25"/>
  <c r="A26"/>
  <c r="A27"/>
  <c r="A28"/>
  <c r="A29"/>
  <c r="A30"/>
  <c r="F30"/>
  <c r="A31"/>
  <c r="A32"/>
  <c r="D32"/>
  <c r="F32"/>
  <c r="A33"/>
  <c r="A34"/>
  <c r="F34"/>
  <c r="A35"/>
  <c r="A36"/>
  <c r="D36"/>
  <c r="F36"/>
  <c r="A37"/>
  <c r="A38"/>
  <c r="A5" i="1"/>
  <c r="A6"/>
  <c r="A7"/>
  <c r="A8"/>
  <c r="K8"/>
  <c r="L8"/>
  <c r="M8"/>
  <c r="N8"/>
  <c r="O8"/>
  <c r="P8"/>
  <c r="Q8"/>
  <c r="R8"/>
  <c r="S8"/>
  <c r="T8"/>
  <c r="U8"/>
  <c r="V8"/>
  <c r="A9"/>
  <c r="F9"/>
  <c r="H9"/>
  <c r="W9"/>
  <c r="I9"/>
  <c r="A10"/>
  <c r="F10"/>
  <c r="H10"/>
  <c r="W10"/>
  <c r="I10"/>
  <c r="A11"/>
  <c r="F11"/>
  <c r="H11"/>
  <c r="W11"/>
  <c r="I11"/>
  <c r="A12"/>
  <c r="F12"/>
  <c r="H12"/>
  <c r="W12"/>
  <c r="I12"/>
  <c r="A13"/>
  <c r="H13"/>
  <c r="W13"/>
  <c r="I13"/>
  <c r="A14"/>
  <c r="H14"/>
  <c r="W14"/>
  <c r="I14"/>
  <c r="A15"/>
  <c r="H15"/>
  <c r="W15"/>
  <c r="I15"/>
  <c r="A16"/>
  <c r="F16"/>
  <c r="H16"/>
  <c r="W16"/>
  <c r="I16"/>
  <c r="A17"/>
  <c r="F17"/>
  <c r="H17"/>
  <c r="W17"/>
  <c r="I17"/>
  <c r="A18"/>
  <c r="F18"/>
  <c r="H18"/>
  <c r="W18"/>
  <c r="I18"/>
  <c r="A19"/>
  <c r="H19"/>
  <c r="W19"/>
  <c r="I19"/>
  <c r="A20"/>
  <c r="H20"/>
  <c r="W20"/>
  <c r="I20"/>
  <c r="A21"/>
  <c r="H21"/>
  <c r="W21"/>
  <c r="I21"/>
  <c r="A22"/>
  <c r="H22"/>
  <c r="W22"/>
  <c r="I22"/>
  <c r="A23"/>
  <c r="H23"/>
  <c r="W23"/>
  <c r="I23"/>
  <c r="A24"/>
  <c r="H24"/>
  <c r="W24"/>
  <c r="I24"/>
  <c r="A25"/>
  <c r="H25"/>
  <c r="W25"/>
  <c r="I25"/>
  <c r="A26"/>
  <c r="H26"/>
  <c r="W26"/>
  <c r="I26"/>
  <c r="A27"/>
  <c r="D27"/>
  <c r="H27"/>
  <c r="W27"/>
  <c r="I27"/>
  <c r="A28"/>
  <c r="H28"/>
  <c r="W28"/>
  <c r="I28"/>
  <c r="A29"/>
  <c r="H29"/>
  <c r="W29"/>
  <c r="I29"/>
  <c r="A30"/>
  <c r="H30"/>
  <c r="W30"/>
  <c r="I30"/>
  <c r="A31"/>
  <c r="G31"/>
  <c r="H31"/>
  <c r="W31"/>
  <c r="I31"/>
  <c r="A32"/>
  <c r="A33"/>
  <c r="A34"/>
  <c r="J34"/>
  <c r="K34"/>
  <c r="L34"/>
  <c r="M34"/>
  <c r="N34"/>
  <c r="O34"/>
  <c r="P34"/>
  <c r="Q34"/>
  <c r="R34"/>
  <c r="S34"/>
  <c r="T34"/>
  <c r="U34"/>
  <c r="V34"/>
  <c r="W34"/>
  <c r="A35"/>
  <c r="A36"/>
  <c r="I41"/>
  <c r="I43"/>
  <c r="I44"/>
  <c r="I45"/>
  <c r="I46"/>
  <c r="I33"/>
  <c r="I34"/>
  <c r="H34"/>
</calcChain>
</file>

<file path=xl/sharedStrings.xml><?xml version="1.0" encoding="utf-8"?>
<sst xmlns="http://schemas.openxmlformats.org/spreadsheetml/2006/main" count="107" uniqueCount="73">
  <si>
    <t>Puget Sound Energy</t>
  </si>
  <si>
    <t>Cost of LT Debt</t>
  </si>
  <si>
    <t>For the 12 Months Ended April 30, 2013 with effect of refinanced PCB's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</si>
  <si>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</si>
  <si>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</si>
  <si>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</si>
  <si>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</si>
  <si>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</si>
  <si>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</si>
  <si>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</si>
  <si>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</si>
  <si>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</si>
  <si>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</si>
  <si>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</si>
  <si>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</si>
  <si>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</si>
  <si>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</si>
  <si>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</si>
  <si>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</si>
  <si>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</si>
  <si>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</si>
  <si>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</si>
  <si>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</si>
  <si>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</si>
  <si>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</si>
  <si>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Net Proceeds Per $100 (i)</t>
  </si>
  <si>
    <t>Avg Amt Out-standing (in 000's)</t>
  </si>
  <si>
    <t>Principal    in 000's 4/30/2012</t>
  </si>
  <si>
    <t>Interest</t>
  </si>
  <si>
    <t>Issue</t>
  </si>
  <si>
    <t>Maturity</t>
  </si>
  <si>
    <t>Cost Rate (ii)</t>
  </si>
  <si>
    <t>Annual Charge</t>
  </si>
  <si>
    <t>Month-End Balances Rollforward  ($ in millions)</t>
  </si>
  <si>
    <t>Bond</t>
  </si>
  <si>
    <t>Rate</t>
  </si>
  <si>
    <t>Date</t>
  </si>
  <si>
    <t>MTN-B</t>
  </si>
  <si>
    <t>MTN-C</t>
  </si>
  <si>
    <t>SN</t>
  </si>
  <si>
    <t>MTN-A</t>
  </si>
  <si>
    <t>PCB</t>
  </si>
  <si>
    <t>JrSubN</t>
  </si>
  <si>
    <t>Annual Charge on Reaquired 2003 PCB's (iv):</t>
  </si>
  <si>
    <t>Total LT Debt Balances and W. Avg Cost Rate</t>
  </si>
  <si>
    <t>(Iv)</t>
  </si>
  <si>
    <t>Remaining unamortized debt issue costs from 2003 PCB's:</t>
  </si>
  <si>
    <t>1% call premium on 2003 PCB's:</t>
  </si>
  <si>
    <t>Total Reaquired Debt Cost of 2003 PCB's:</t>
  </si>
  <si>
    <t>Number of months to amortize over:</t>
  </si>
  <si>
    <t>Monthly amortization amount:</t>
  </si>
  <si>
    <t>Annual amortization amount:</t>
  </si>
  <si>
    <r>
      <t xml:space="preserve">Annual Charge on Reacquired Debt </t>
    </r>
    <r>
      <rPr>
        <b/>
        <sz val="8"/>
        <rFont val="Arial"/>
        <family val="2"/>
      </rPr>
      <t xml:space="preserve">(iii)  </t>
    </r>
  </si>
  <si>
    <r>
      <t xml:space="preserve">(i) </t>
    </r>
    <r>
      <rPr>
        <sz val="8"/>
        <rFont val="Arial"/>
        <family val="2"/>
      </rPr>
      <t xml:space="preserve">  Net proceeds are face amount less underwriter's fees and issuance expenses.</t>
    </r>
  </si>
  <si>
    <r>
      <t>(ii)</t>
    </r>
    <r>
      <rPr>
        <sz val="8"/>
        <rFont val="Arial"/>
        <family val="2"/>
      </rPr>
      <t xml:space="preserve"> Cost Rate for each bond is the yield to maturity based on net proceeds.</t>
    </r>
  </si>
  <si>
    <r>
      <t>(iii)</t>
    </r>
    <r>
      <rPr>
        <sz val="8"/>
        <rFont val="Arial"/>
        <family val="2"/>
      </rPr>
      <t xml:space="preserve"> For total long term debt, the cost rate is the total annual charge including reacquired debt divided by the average outstanding balance for the period.</t>
    </r>
  </si>
  <si>
    <t>PUGET SOUND ENERGY, INC.</t>
  </si>
  <si>
    <t>Utility Capital Structure</t>
  </si>
  <si>
    <t>Cost of Capital and Rate of Return</t>
  </si>
  <si>
    <t>For Rate Year May 2012 through April 2013</t>
  </si>
  <si>
    <t>Granted in 2011 General Rate Case</t>
  </si>
  <si>
    <t>Cost</t>
  </si>
  <si>
    <t>Cost of</t>
  </si>
  <si>
    <t>Description</t>
  </si>
  <si>
    <t>Ratio</t>
  </si>
  <si>
    <t>Rates</t>
  </si>
  <si>
    <t>Capital</t>
  </si>
  <si>
    <t>Short Term Debt</t>
  </si>
  <si>
    <t>Long Term Debt</t>
  </si>
  <si>
    <t>Common Stock</t>
  </si>
  <si>
    <t>Total and Rate of Return</t>
  </si>
  <si>
    <t>Granted in 2011 General Rate Case with Updated New PCB Costs</t>
  </si>
  <si>
    <r>
      <t>(a)</t>
    </r>
    <r>
      <rPr>
        <sz val="9"/>
        <rFont val="Arial"/>
        <family val="2"/>
      </rPr>
      <t xml:space="preserve"> - Average of Month-End Balances</t>
    </r>
  </si>
</sst>
</file>

<file path=xl/styles.xml><?xml version="1.0" encoding="utf-8"?>
<styleSheet xmlns="http://schemas.openxmlformats.org/spreadsheetml/2006/main">
  <numFmts count="1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6" formatCode="0.0000%"/>
    <numFmt numFmtId="167" formatCode="0.000%"/>
    <numFmt numFmtId="171" formatCode="0.000000%"/>
    <numFmt numFmtId="172" formatCode="#,##0.0000_);\(#,##0.0000\)"/>
    <numFmt numFmtId="174" formatCode="&quot; As of &quot;mmmm\ d\,\ yyyy"/>
    <numFmt numFmtId="176" formatCode="&quot;$&quot;#,##0\ ;\(&quot;$&quot;#,##0\)"/>
    <numFmt numFmtId="177" formatCode="#.0,,;\(&quot;$&quot;#.0,,\)"/>
    <numFmt numFmtId="178" formatCode="&quot;$&quot;#,000,;\(&quot;$&quot;#,000,\)"/>
    <numFmt numFmtId="179" formatCode="mmmmm\-yy"/>
    <numFmt numFmtId="181" formatCode="0.00_);\(0.00\)"/>
    <numFmt numFmtId="185" formatCode="&quot;$&quot;#,000.000,;\(&quot;$&quot;#,000.000,\)"/>
    <numFmt numFmtId="186" formatCode="0.00000%"/>
    <numFmt numFmtId="187" formatCode="#,##0.0000"/>
    <numFmt numFmtId="188" formatCode="0.000000"/>
  </numFmts>
  <fonts count="47">
    <font>
      <sz val="9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color indexed="19"/>
      <name val="Calibri"/>
      <family val="2"/>
    </font>
    <font>
      <sz val="10"/>
      <name val="Geneva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i/>
      <sz val="11"/>
      <color indexed="10"/>
      <name val="Arial"/>
      <family val="2"/>
    </font>
    <font>
      <b/>
      <i/>
      <sz val="9"/>
      <color indexed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b/>
      <sz val="8"/>
      <color indexed="8"/>
      <name val="Arial"/>
      <family val="2"/>
    </font>
    <font>
      <i/>
      <sz val="9"/>
      <color indexed="10"/>
      <name val="Arial"/>
      <family val="2"/>
    </font>
    <font>
      <b/>
      <i/>
      <sz val="10"/>
      <color indexed="10"/>
      <name val="Arial"/>
      <family val="2"/>
    </font>
    <font>
      <i/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0"/>
      <name val="Tahoma"/>
      <family val="2"/>
    </font>
    <font>
      <i/>
      <sz val="9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37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43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181" fontId="15" fillId="0" borderId="0"/>
    <xf numFmtId="0" fontId="16" fillId="7" borderId="0" applyNumberFormat="0" applyBorder="0" applyAlignment="0" applyProtection="0"/>
    <xf numFmtId="0" fontId="17" fillId="0" borderId="0"/>
    <xf numFmtId="37" fontId="17" fillId="0" borderId="0"/>
    <xf numFmtId="37" fontId="17" fillId="0" borderId="0"/>
    <xf numFmtId="37" fontId="17" fillId="0" borderId="0"/>
    <xf numFmtId="3" fontId="18" fillId="0" borderId="0"/>
    <xf numFmtId="10" fontId="17" fillId="0" borderId="0"/>
    <xf numFmtId="37" fontId="15" fillId="0" borderId="0"/>
    <xf numFmtId="0" fontId="18" fillId="4" borderId="7" applyNumberFormat="0" applyFont="0" applyAlignment="0" applyProtection="0"/>
    <xf numFmtId="0" fontId="19" fillId="16" borderId="8" applyNumberFormat="0" applyAlignment="0" applyProtection="0"/>
    <xf numFmtId="188" fontId="1" fillId="0" borderId="0">
      <alignment horizontal="left" wrapText="1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88">
    <xf numFmtId="37" fontId="0" fillId="0" borderId="0" xfId="0"/>
    <xf numFmtId="3" fontId="22" fillId="0" borderId="0" xfId="47" applyFont="1"/>
    <xf numFmtId="37" fontId="23" fillId="0" borderId="0" xfId="0" applyFont="1" applyAlignment="1">
      <alignment horizontal="left"/>
    </xf>
    <xf numFmtId="3" fontId="18" fillId="0" borderId="0" xfId="47" applyFont="1" applyAlignment="1">
      <alignment horizontal="centerContinuous"/>
    </xf>
    <xf numFmtId="3" fontId="18" fillId="0" borderId="0" xfId="47" applyFont="1" applyAlignment="1">
      <alignment horizontal="center"/>
    </xf>
    <xf numFmtId="37" fontId="24" fillId="0" borderId="0" xfId="0" applyFont="1" applyAlignment="1">
      <alignment horizontal="left"/>
    </xf>
    <xf numFmtId="37" fontId="25" fillId="0" borderId="0" xfId="0" applyFont="1" applyFill="1"/>
    <xf numFmtId="3" fontId="22" fillId="0" borderId="0" xfId="47" applyFont="1" applyFill="1"/>
    <xf numFmtId="37" fontId="26" fillId="0" borderId="0" xfId="0" applyFont="1" applyAlignment="1">
      <alignment horizontal="left"/>
    </xf>
    <xf numFmtId="3" fontId="15" fillId="0" borderId="0" xfId="47" applyFont="1"/>
    <xf numFmtId="37" fontId="27" fillId="0" borderId="0" xfId="44" applyFont="1" applyAlignment="1" applyProtection="1">
      <alignment horizontal="center"/>
    </xf>
    <xf numFmtId="37" fontId="27" fillId="0" borderId="0" xfId="0" quotePrefix="1" applyFont="1"/>
    <xf numFmtId="3" fontId="15" fillId="0" borderId="0" xfId="47" applyFont="1" applyAlignment="1">
      <alignment horizontal="center"/>
    </xf>
    <xf numFmtId="1" fontId="15" fillId="0" borderId="0" xfId="47" applyNumberFormat="1" applyFont="1" applyAlignment="1">
      <alignment horizontal="center"/>
    </xf>
    <xf numFmtId="167" fontId="27" fillId="0" borderId="0" xfId="47" applyNumberFormat="1" applyFont="1" applyAlignment="1" applyProtection="1">
      <alignment horizontal="center"/>
    </xf>
    <xf numFmtId="3" fontId="27" fillId="0" borderId="0" xfId="47" applyFont="1" applyAlignment="1">
      <alignment horizontal="center"/>
    </xf>
    <xf numFmtId="1" fontId="15" fillId="0" borderId="0" xfId="47" applyNumberFormat="1" applyFont="1" applyAlignment="1">
      <alignment horizontal="left"/>
    </xf>
    <xf numFmtId="3" fontId="27" fillId="0" borderId="10" xfId="47" applyFont="1" applyBorder="1" applyAlignment="1" applyProtection="1">
      <alignment horizontal="center"/>
    </xf>
    <xf numFmtId="3" fontId="27" fillId="0" borderId="10" xfId="47" quotePrefix="1" applyFont="1" applyBorder="1" applyAlignment="1" applyProtection="1">
      <alignment horizontal="center"/>
    </xf>
    <xf numFmtId="179" fontId="15" fillId="0" borderId="10" xfId="47" applyNumberFormat="1" applyFont="1" applyBorder="1" applyAlignment="1">
      <alignment horizontal="right"/>
    </xf>
    <xf numFmtId="3" fontId="28" fillId="0" borderId="0" xfId="47" applyFont="1" applyFill="1"/>
    <xf numFmtId="5" fontId="15" fillId="0" borderId="0" xfId="43" applyNumberFormat="1" applyFont="1" applyBorder="1" applyProtection="1"/>
    <xf numFmtId="167" fontId="15" fillId="0" borderId="0" xfId="47" applyNumberFormat="1" applyFont="1"/>
    <xf numFmtId="17" fontId="15" fillId="0" borderId="0" xfId="32" applyNumberFormat="1" applyFont="1" applyAlignment="1">
      <alignment horizontal="center"/>
    </xf>
    <xf numFmtId="39" fontId="15" fillId="0" borderId="0" xfId="0" applyNumberFormat="1" applyFont="1" applyFill="1"/>
    <xf numFmtId="10" fontId="15" fillId="0" borderId="0" xfId="0" applyNumberFormat="1" applyFont="1" applyFill="1"/>
    <xf numFmtId="37" fontId="15" fillId="0" borderId="0" xfId="45" applyNumberFormat="1" applyFont="1" applyProtection="1"/>
    <xf numFmtId="177" fontId="15" fillId="0" borderId="0" xfId="43" applyNumberFormat="1" applyFont="1" applyBorder="1" applyProtection="1"/>
    <xf numFmtId="178" fontId="28" fillId="0" borderId="0" xfId="43" applyNumberFormat="1" applyFont="1" applyBorder="1" applyProtection="1"/>
    <xf numFmtId="17" fontId="15" fillId="0" borderId="0" xfId="47" applyNumberFormat="1" applyFont="1" applyAlignment="1">
      <alignment horizontal="center"/>
    </xf>
    <xf numFmtId="167" fontId="15" fillId="0" borderId="0" xfId="28" applyNumberFormat="1" applyFont="1"/>
    <xf numFmtId="37" fontId="15" fillId="0" borderId="0" xfId="0" applyNumberFormat="1" applyFont="1" applyFill="1"/>
    <xf numFmtId="5" fontId="15" fillId="0" borderId="0" xfId="43" applyNumberFormat="1" applyFont="1" applyFill="1" applyBorder="1" applyProtection="1"/>
    <xf numFmtId="167" fontId="15" fillId="0" borderId="0" xfId="28" applyNumberFormat="1" applyFont="1" applyFill="1"/>
    <xf numFmtId="17" fontId="15" fillId="0" borderId="0" xfId="32" applyNumberFormat="1" applyFont="1" applyFill="1" applyAlignment="1">
      <alignment horizontal="center"/>
    </xf>
    <xf numFmtId="17" fontId="15" fillId="0" borderId="0" xfId="47" applyNumberFormat="1" applyFont="1" applyFill="1" applyAlignment="1" applyProtection="1">
      <alignment horizontal="center"/>
    </xf>
    <xf numFmtId="37" fontId="15" fillId="0" borderId="0" xfId="45" applyNumberFormat="1" applyFont="1" applyBorder="1" applyProtection="1"/>
    <xf numFmtId="3" fontId="15" fillId="0" borderId="11" xfId="47" applyFont="1" applyBorder="1"/>
    <xf numFmtId="3" fontId="15" fillId="0" borderId="12" xfId="47" applyFont="1" applyFill="1" applyBorder="1" applyAlignment="1" applyProtection="1">
      <alignment horizontal="left"/>
    </xf>
    <xf numFmtId="5" fontId="15" fillId="0" borderId="12" xfId="43" applyNumberFormat="1" applyFont="1" applyBorder="1" applyProtection="1"/>
    <xf numFmtId="167" fontId="15" fillId="0" borderId="12" xfId="47" applyNumberFormat="1" applyFont="1" applyBorder="1" applyProtection="1"/>
    <xf numFmtId="17" fontId="15" fillId="0" borderId="12" xfId="32" applyNumberFormat="1" applyFont="1" applyBorder="1" applyAlignment="1">
      <alignment horizontal="center"/>
    </xf>
    <xf numFmtId="17" fontId="15" fillId="0" borderId="12" xfId="47" applyNumberFormat="1" applyFont="1" applyBorder="1" applyAlignment="1" applyProtection="1">
      <alignment horizontal="center"/>
    </xf>
    <xf numFmtId="39" fontId="15" fillId="0" borderId="12" xfId="0" applyNumberFormat="1" applyFont="1" applyFill="1" applyBorder="1"/>
    <xf numFmtId="10" fontId="15" fillId="0" borderId="12" xfId="0" applyNumberFormat="1" applyFont="1" applyFill="1" applyBorder="1"/>
    <xf numFmtId="37" fontId="15" fillId="0" borderId="12" xfId="45" applyNumberFormat="1" applyFont="1" applyBorder="1" applyProtection="1"/>
    <xf numFmtId="177" fontId="15" fillId="0" borderId="12" xfId="43" applyNumberFormat="1" applyFont="1" applyBorder="1" applyProtection="1"/>
    <xf numFmtId="178" fontId="28" fillId="0" borderId="13" xfId="43" applyNumberFormat="1" applyFont="1" applyBorder="1" applyProtection="1"/>
    <xf numFmtId="3" fontId="15" fillId="0" borderId="14" xfId="47" applyFont="1" applyBorder="1"/>
    <xf numFmtId="3" fontId="15" fillId="0" borderId="10" xfId="47" applyFont="1" applyFill="1" applyBorder="1" applyAlignment="1" applyProtection="1">
      <alignment horizontal="left"/>
    </xf>
    <xf numFmtId="5" fontId="15" fillId="0" borderId="10" xfId="43" applyNumberFormat="1" applyFont="1" applyBorder="1" applyProtection="1"/>
    <xf numFmtId="167" fontId="15" fillId="0" borderId="10" xfId="47" applyNumberFormat="1" applyFont="1" applyBorder="1" applyProtection="1"/>
    <xf numFmtId="17" fontId="15" fillId="0" borderId="10" xfId="32" applyNumberFormat="1" applyFont="1" applyBorder="1" applyAlignment="1">
      <alignment horizontal="center"/>
    </xf>
    <xf numFmtId="17" fontId="15" fillId="0" borderId="10" xfId="47" applyNumberFormat="1" applyFont="1" applyBorder="1" applyAlignment="1" applyProtection="1">
      <alignment horizontal="center"/>
    </xf>
    <xf numFmtId="39" fontId="15" fillId="0" borderId="10" xfId="0" applyNumberFormat="1" applyFont="1" applyFill="1" applyBorder="1"/>
    <xf numFmtId="10" fontId="15" fillId="0" borderId="10" xfId="0" applyNumberFormat="1" applyFont="1" applyFill="1" applyBorder="1"/>
    <xf numFmtId="37" fontId="15" fillId="0" borderId="10" xfId="45" applyNumberFormat="1" applyFont="1" applyBorder="1" applyProtection="1"/>
    <xf numFmtId="177" fontId="15" fillId="0" borderId="10" xfId="43" applyNumberFormat="1" applyFont="1" applyBorder="1" applyProtection="1"/>
    <xf numFmtId="178" fontId="28" fillId="0" borderId="15" xfId="43" applyNumberFormat="1" applyFont="1" applyBorder="1" applyProtection="1"/>
    <xf numFmtId="167" fontId="15" fillId="0" borderId="0" xfId="47" applyNumberFormat="1" applyFont="1" applyFill="1" applyBorder="1" applyProtection="1"/>
    <xf numFmtId="17" fontId="15" fillId="0" borderId="0" xfId="0" applyNumberFormat="1" applyFont="1" applyFill="1" applyAlignment="1">
      <alignment horizontal="center"/>
    </xf>
    <xf numFmtId="167" fontId="15" fillId="0" borderId="0" xfId="28" applyNumberFormat="1" applyFont="1" applyFill="1" applyBorder="1"/>
    <xf numFmtId="17" fontId="15" fillId="0" borderId="0" xfId="32" applyNumberFormat="1" applyFont="1" applyFill="1" applyBorder="1" applyAlignment="1">
      <alignment horizontal="center"/>
    </xf>
    <xf numFmtId="39" fontId="15" fillId="0" borderId="0" xfId="0" applyNumberFormat="1" applyFont="1" applyFill="1" applyBorder="1"/>
    <xf numFmtId="10" fontId="15" fillId="0" borderId="0" xfId="0" applyNumberFormat="1" applyFont="1" applyFill="1" applyBorder="1"/>
    <xf numFmtId="37" fontId="15" fillId="0" borderId="0" xfId="45" applyNumberFormat="1" applyFont="1" applyFill="1" applyBorder="1" applyProtection="1"/>
    <xf numFmtId="177" fontId="15" fillId="0" borderId="0" xfId="43" applyNumberFormat="1" applyFont="1" applyFill="1" applyBorder="1" applyProtection="1"/>
    <xf numFmtId="178" fontId="28" fillId="0" borderId="0" xfId="43" applyNumberFormat="1" applyFont="1" applyFill="1" applyBorder="1" applyProtection="1"/>
    <xf numFmtId="17" fontId="15" fillId="0" borderId="0" xfId="0" applyNumberFormat="1" applyFont="1" applyAlignment="1">
      <alignment horizontal="center"/>
    </xf>
    <xf numFmtId="37" fontId="15" fillId="0" borderId="0" xfId="49" applyNumberFormat="1" applyFont="1"/>
    <xf numFmtId="167" fontId="15" fillId="0" borderId="0" xfId="49" applyNumberFormat="1" applyFont="1"/>
    <xf numFmtId="17" fontId="15" fillId="0" borderId="0" xfId="49" applyNumberFormat="1" applyFont="1" applyFill="1" applyAlignment="1">
      <alignment horizontal="center"/>
    </xf>
    <xf numFmtId="17" fontId="15" fillId="0" borderId="0" xfId="49" applyNumberFormat="1" applyFont="1" applyAlignment="1">
      <alignment horizontal="center"/>
    </xf>
    <xf numFmtId="37" fontId="15" fillId="0" borderId="0" xfId="0" applyNumberFormat="1" applyFont="1" applyFill="1" applyBorder="1"/>
    <xf numFmtId="178" fontId="15" fillId="0" borderId="0" xfId="43" applyNumberFormat="1" applyFont="1" applyFill="1" applyBorder="1" applyProtection="1"/>
    <xf numFmtId="0" fontId="15" fillId="0" borderId="0" xfId="43" applyFont="1" applyBorder="1" applyProtection="1"/>
    <xf numFmtId="17" fontId="15" fillId="0" borderId="0" xfId="45" applyNumberFormat="1" applyFont="1" applyProtection="1"/>
    <xf numFmtId="3" fontId="22" fillId="0" borderId="0" xfId="47" applyFont="1" applyAlignment="1">
      <alignment horizontal="center"/>
    </xf>
    <xf numFmtId="17" fontId="15" fillId="0" borderId="0" xfId="45" applyNumberFormat="1" applyFont="1" applyAlignment="1" applyProtection="1">
      <alignment horizontal="right"/>
    </xf>
    <xf numFmtId="37" fontId="15" fillId="0" borderId="0" xfId="45" applyNumberFormat="1" applyFont="1" applyFill="1" applyProtection="1"/>
    <xf numFmtId="3" fontId="22" fillId="0" borderId="0" xfId="47" applyFont="1" applyFill="1" applyBorder="1"/>
    <xf numFmtId="3" fontId="29" fillId="0" borderId="0" xfId="47" applyFont="1" applyFill="1" applyBorder="1"/>
    <xf numFmtId="3" fontId="22" fillId="0" borderId="0" xfId="47" applyFont="1" applyBorder="1"/>
    <xf numFmtId="37" fontId="27" fillId="0" borderId="0" xfId="0" applyNumberFormat="1" applyFont="1" applyFill="1" applyBorder="1"/>
    <xf numFmtId="3" fontId="15" fillId="0" borderId="0" xfId="47" applyFont="1" applyBorder="1" applyAlignment="1">
      <alignment horizontal="center"/>
    </xf>
    <xf numFmtId="3" fontId="27" fillId="0" borderId="0" xfId="47" applyFont="1" applyAlignment="1">
      <alignment horizontal="right"/>
    </xf>
    <xf numFmtId="10" fontId="27" fillId="0" borderId="16" xfId="0" applyNumberFormat="1" applyFont="1" applyFill="1" applyBorder="1"/>
    <xf numFmtId="37" fontId="15" fillId="0" borderId="17" xfId="45" applyNumberFormat="1" applyFont="1" applyBorder="1" applyProtection="1"/>
    <xf numFmtId="177" fontId="15" fillId="0" borderId="17" xfId="43" applyNumberFormat="1" applyFont="1" applyFill="1" applyBorder="1" applyProtection="1"/>
    <xf numFmtId="177" fontId="15" fillId="0" borderId="17" xfId="43" applyNumberFormat="1" applyFont="1" applyBorder="1" applyProtection="1"/>
    <xf numFmtId="178" fontId="30" fillId="0" borderId="17" xfId="43" applyNumberFormat="1" applyFont="1" applyBorder="1" applyProtection="1"/>
    <xf numFmtId="3" fontId="22" fillId="0" borderId="0" xfId="47" applyNumberFormat="1" applyFont="1"/>
    <xf numFmtId="3" fontId="15" fillId="0" borderId="0" xfId="47" applyFont="1" applyBorder="1"/>
    <xf numFmtId="3" fontId="15" fillId="0" borderId="0" xfId="47" applyFont="1" applyAlignment="1">
      <alignment horizontal="left"/>
    </xf>
    <xf numFmtId="187" fontId="15" fillId="0" borderId="0" xfId="47" applyNumberFormat="1" applyFont="1" applyFill="1" applyAlignment="1">
      <alignment horizontal="left"/>
    </xf>
    <xf numFmtId="3" fontId="15" fillId="0" borderId="0" xfId="47" applyFont="1" applyFill="1" applyAlignment="1">
      <alignment horizontal="left"/>
    </xf>
    <xf numFmtId="3" fontId="31" fillId="0" borderId="0" xfId="47" applyFont="1" applyFill="1" applyBorder="1"/>
    <xf numFmtId="178" fontId="32" fillId="0" borderId="0" xfId="43" applyNumberFormat="1" applyFont="1" applyFill="1" applyBorder="1" applyProtection="1"/>
    <xf numFmtId="3" fontId="27" fillId="0" borderId="0" xfId="47" quotePrefix="1" applyFont="1"/>
    <xf numFmtId="3" fontId="27" fillId="0" borderId="0" xfId="47" applyFont="1"/>
    <xf numFmtId="187" fontId="15" fillId="0" borderId="0" xfId="47" applyNumberFormat="1" applyFont="1" applyFill="1" applyAlignment="1">
      <alignment horizontal="right"/>
    </xf>
    <xf numFmtId="3" fontId="15" fillId="0" borderId="0" xfId="47" applyFont="1" applyFill="1" applyAlignment="1">
      <alignment horizontal="right"/>
    </xf>
    <xf numFmtId="4" fontId="33" fillId="0" borderId="0" xfId="47" applyNumberFormat="1" applyFont="1" applyFill="1" applyBorder="1"/>
    <xf numFmtId="4" fontId="34" fillId="0" borderId="0" xfId="47" applyNumberFormat="1" applyFont="1" applyAlignment="1">
      <alignment horizontal="right"/>
    </xf>
    <xf numFmtId="3" fontId="35" fillId="0" borderId="0" xfId="47" applyNumberFormat="1" applyFont="1" applyFill="1"/>
    <xf numFmtId="4" fontId="35" fillId="0" borderId="0" xfId="47" applyNumberFormat="1" applyFont="1" applyFill="1"/>
    <xf numFmtId="3" fontId="36" fillId="0" borderId="0" xfId="47" applyFont="1"/>
    <xf numFmtId="3" fontId="37" fillId="0" borderId="0" xfId="47" applyFont="1"/>
    <xf numFmtId="178" fontId="35" fillId="0" borderId="0" xfId="43" applyNumberFormat="1" applyFont="1" applyBorder="1" applyProtection="1"/>
    <xf numFmtId="37" fontId="38" fillId="0" borderId="0" xfId="46" applyFont="1" applyAlignment="1" applyProtection="1">
      <alignment horizontal="left"/>
    </xf>
    <xf numFmtId="37" fontId="22" fillId="0" borderId="0" xfId="47" applyNumberFormat="1" applyFont="1" applyAlignment="1">
      <alignment horizontal="center"/>
    </xf>
    <xf numFmtId="167" fontId="15" fillId="0" borderId="0" xfId="0" applyNumberFormat="1" applyFont="1" applyFill="1"/>
    <xf numFmtId="172" fontId="15" fillId="0" borderId="0" xfId="0" applyNumberFormat="1" applyFont="1" applyFill="1"/>
    <xf numFmtId="185" fontId="28" fillId="0" borderId="0" xfId="43" applyNumberFormat="1" applyFont="1" applyFill="1" applyBorder="1" applyProtection="1"/>
    <xf numFmtId="37" fontId="15" fillId="0" borderId="0" xfId="47" applyNumberFormat="1" applyFont="1" applyFill="1" applyAlignment="1">
      <alignment horizontal="center"/>
    </xf>
    <xf numFmtId="10" fontId="39" fillId="0" borderId="0" xfId="48" applyFont="1"/>
    <xf numFmtId="10" fontId="38" fillId="0" borderId="0" xfId="48" applyFont="1" applyAlignment="1">
      <alignment horizontal="centerContinuous"/>
    </xf>
    <xf numFmtId="10" fontId="39" fillId="0" borderId="0" xfId="48" applyFont="1" applyAlignment="1">
      <alignment horizontal="centerContinuous"/>
    </xf>
    <xf numFmtId="10" fontId="39" fillId="0" borderId="0" xfId="48" applyFont="1" applyAlignment="1" applyProtection="1">
      <alignment horizontal="left"/>
    </xf>
    <xf numFmtId="10" fontId="18" fillId="0" borderId="0" xfId="48" applyFont="1" applyAlignment="1">
      <alignment horizontal="left"/>
    </xf>
    <xf numFmtId="174" fontId="38" fillId="0" borderId="0" xfId="48" applyNumberFormat="1" applyFont="1" applyBorder="1" applyAlignment="1" applyProtection="1">
      <alignment horizontal="centerContinuous" vertical="center" wrapText="1"/>
    </xf>
    <xf numFmtId="10" fontId="39" fillId="0" borderId="0" xfId="48" applyFont="1" applyBorder="1" applyAlignment="1">
      <alignment horizontal="centerContinuous" vertical="center" wrapText="1"/>
    </xf>
    <xf numFmtId="10" fontId="41" fillId="0" borderId="0" xfId="48" applyFont="1"/>
    <xf numFmtId="1" fontId="18" fillId="0" borderId="0" xfId="48" applyNumberFormat="1" applyFont="1" applyAlignment="1" applyProtection="1">
      <alignment horizontal="left"/>
    </xf>
    <xf numFmtId="37" fontId="39" fillId="0" borderId="0" xfId="0" applyFont="1"/>
    <xf numFmtId="10" fontId="41" fillId="0" borderId="0" xfId="48" quotePrefix="1" applyFont="1"/>
    <xf numFmtId="1" fontId="15" fillId="0" borderId="0" xfId="48" applyNumberFormat="1" applyFont="1" applyAlignment="1" applyProtection="1">
      <alignment horizontal="left"/>
    </xf>
    <xf numFmtId="10" fontId="22" fillId="0" borderId="0" xfId="48" applyFont="1" applyFill="1"/>
    <xf numFmtId="10" fontId="22" fillId="0" borderId="0" xfId="48" applyFont="1"/>
    <xf numFmtId="10" fontId="38" fillId="0" borderId="0" xfId="48" applyFont="1" applyBorder="1" applyAlignment="1" applyProtection="1">
      <alignment horizontal="center"/>
    </xf>
    <xf numFmtId="10" fontId="38" fillId="0" borderId="18" xfId="48" applyFont="1" applyFill="1" applyBorder="1" applyAlignment="1" applyProtection="1">
      <alignment horizontal="centerContinuous" wrapText="1"/>
    </xf>
    <xf numFmtId="10" fontId="22" fillId="0" borderId="19" xfId="48" applyFont="1" applyFill="1" applyBorder="1" applyAlignment="1">
      <alignment horizontal="centerContinuous" wrapText="1"/>
    </xf>
    <xf numFmtId="10" fontId="22" fillId="0" borderId="20" xfId="48" applyFont="1" applyFill="1" applyBorder="1" applyAlignment="1">
      <alignment horizontal="centerContinuous" wrapText="1"/>
    </xf>
    <xf numFmtId="10" fontId="38" fillId="0" borderId="0" xfId="48" applyFont="1" applyAlignment="1">
      <alignment horizontal="center"/>
    </xf>
    <xf numFmtId="10" fontId="42" fillId="0" borderId="0" xfId="48" applyFont="1" applyAlignment="1" applyProtection="1">
      <alignment horizontal="right"/>
    </xf>
    <xf numFmtId="10" fontId="38" fillId="0" borderId="0" xfId="48" applyFont="1" applyAlignment="1" applyProtection="1">
      <alignment horizontal="center"/>
    </xf>
    <xf numFmtId="10" fontId="43" fillId="0" borderId="0" xfId="48" applyFont="1" applyAlignment="1" applyProtection="1">
      <alignment horizontal="left"/>
    </xf>
    <xf numFmtId="10" fontId="43" fillId="0" borderId="0" xfId="48" applyFont="1" applyAlignment="1" applyProtection="1">
      <alignment horizontal="right"/>
    </xf>
    <xf numFmtId="10" fontId="43" fillId="0" borderId="0" xfId="48" applyFont="1" applyAlignment="1" applyProtection="1">
      <alignment horizontal="center"/>
    </xf>
    <xf numFmtId="10" fontId="44" fillId="0" borderId="0" xfId="48" applyFont="1" applyFill="1" applyBorder="1" applyAlignment="1" applyProtection="1">
      <alignment horizontal="centerContinuous" wrapText="1"/>
    </xf>
    <xf numFmtId="10" fontId="22" fillId="0" borderId="0" xfId="48" applyFont="1" applyFill="1" applyBorder="1" applyAlignment="1">
      <alignment horizontal="centerContinuous" wrapText="1"/>
    </xf>
    <xf numFmtId="10" fontId="38" fillId="0" borderId="0" xfId="48" applyFont="1" applyFill="1" applyAlignment="1" applyProtection="1">
      <alignment horizontal="left"/>
    </xf>
    <xf numFmtId="10" fontId="39" fillId="0" borderId="0" xfId="48" applyFont="1" applyFill="1"/>
    <xf numFmtId="10" fontId="22" fillId="0" borderId="0" xfId="48" applyNumberFormat="1" applyFont="1" applyFill="1" applyAlignment="1" applyProtection="1">
      <alignment horizontal="center"/>
    </xf>
    <xf numFmtId="10" fontId="22" fillId="0" borderId="0" xfId="48" applyNumberFormat="1" applyFont="1" applyFill="1" applyBorder="1" applyAlignment="1" applyProtection="1">
      <alignment horizontal="center"/>
    </xf>
    <xf numFmtId="10" fontId="22" fillId="0" borderId="0" xfId="48" applyFont="1" applyFill="1" applyAlignment="1" applyProtection="1">
      <alignment horizontal="left"/>
    </xf>
    <xf numFmtId="5" fontId="32" fillId="0" borderId="0" xfId="48" applyNumberFormat="1" applyFont="1" applyFill="1" applyBorder="1" applyAlignment="1" applyProtection="1">
      <alignment horizontal="center"/>
    </xf>
    <xf numFmtId="5" fontId="22" fillId="0" borderId="0" xfId="30" applyNumberFormat="1" applyFont="1" applyFill="1" applyBorder="1" applyAlignment="1">
      <alignment horizontal="right"/>
    </xf>
    <xf numFmtId="10" fontId="38" fillId="0" borderId="0" xfId="48" applyFont="1" applyFill="1"/>
    <xf numFmtId="5" fontId="22" fillId="0" borderId="0" xfId="48" applyNumberFormat="1" applyFont="1" applyFill="1" applyBorder="1" applyAlignment="1">
      <alignment horizontal="right"/>
    </xf>
    <xf numFmtId="10" fontId="22" fillId="0" borderId="0" xfId="48" applyNumberFormat="1" applyFont="1" applyFill="1" applyAlignment="1">
      <alignment horizontal="center"/>
    </xf>
    <xf numFmtId="5" fontId="45" fillId="0" borderId="0" xfId="48" applyNumberFormat="1" applyFont="1" applyFill="1" applyBorder="1" applyAlignment="1" applyProtection="1">
      <alignment horizontal="right"/>
    </xf>
    <xf numFmtId="10" fontId="45" fillId="0" borderId="0" xfId="48" applyNumberFormat="1" applyFont="1" applyFill="1" applyAlignment="1" applyProtection="1">
      <alignment horizontal="center"/>
    </xf>
    <xf numFmtId="10" fontId="45" fillId="0" borderId="0" xfId="48" applyNumberFormat="1" applyFont="1" applyFill="1" applyBorder="1" applyAlignment="1" applyProtection="1">
      <alignment horizontal="center"/>
    </xf>
    <xf numFmtId="10" fontId="22" fillId="0" borderId="0" xfId="48" applyFont="1" applyFill="1" applyBorder="1" applyAlignment="1" applyProtection="1">
      <alignment horizontal="right"/>
    </xf>
    <xf numFmtId="10" fontId="22" fillId="0" borderId="0" xfId="48" applyNumberFormat="1" applyFont="1" applyFill="1" applyBorder="1" applyAlignment="1">
      <alignment horizontal="center"/>
    </xf>
    <xf numFmtId="10" fontId="38" fillId="0" borderId="0" xfId="48" applyFont="1" applyFill="1" applyAlignment="1" applyProtection="1">
      <alignment horizontal="left" indent="1"/>
    </xf>
    <xf numFmtId="5" fontId="46" fillId="0" borderId="0" xfId="48" applyNumberFormat="1" applyFont="1" applyFill="1" applyBorder="1" applyAlignment="1" applyProtection="1">
      <alignment horizontal="right"/>
    </xf>
    <xf numFmtId="10" fontId="46" fillId="0" borderId="0" xfId="48" applyNumberFormat="1" applyFont="1" applyFill="1" applyBorder="1" applyAlignment="1" applyProtection="1">
      <alignment horizontal="center"/>
    </xf>
    <xf numFmtId="10" fontId="46" fillId="0" borderId="0" xfId="48" applyFont="1" applyFill="1" applyBorder="1" applyAlignment="1">
      <alignment horizontal="center"/>
    </xf>
    <xf numFmtId="10" fontId="22" fillId="0" borderId="0" xfId="48" applyFont="1" applyAlignment="1" applyProtection="1">
      <alignment horizontal="left"/>
    </xf>
    <xf numFmtId="171" fontId="22" fillId="0" borderId="0" xfId="48" applyNumberFormat="1" applyFont="1"/>
    <xf numFmtId="10" fontId="22" fillId="0" borderId="0" xfId="48" applyFont="1" applyAlignment="1">
      <alignment horizontal="left"/>
    </xf>
    <xf numFmtId="10" fontId="22" fillId="0" borderId="0" xfId="48" applyNumberFormat="1" applyFont="1" applyAlignment="1" applyProtection="1">
      <alignment horizontal="left"/>
    </xf>
    <xf numFmtId="10" fontId="22" fillId="0" borderId="0" xfId="48" applyNumberFormat="1" applyFont="1" applyBorder="1" applyAlignment="1" applyProtection="1">
      <alignment horizontal="left"/>
    </xf>
    <xf numFmtId="186" fontId="22" fillId="0" borderId="0" xfId="48" applyNumberFormat="1" applyFont="1" applyBorder="1" applyAlignment="1" applyProtection="1">
      <alignment horizontal="center"/>
    </xf>
    <xf numFmtId="10" fontId="22" fillId="0" borderId="0" xfId="48" applyNumberFormat="1" applyFont="1" applyBorder="1" applyAlignment="1" applyProtection="1">
      <alignment horizontal="center"/>
    </xf>
    <xf numFmtId="166" fontId="22" fillId="0" borderId="0" xfId="48" applyNumberFormat="1" applyFont="1" applyBorder="1" applyAlignment="1" applyProtection="1">
      <alignment horizontal="center"/>
    </xf>
    <xf numFmtId="10" fontId="45" fillId="0" borderId="0" xfId="48" applyNumberFormat="1" applyFont="1" applyBorder="1" applyAlignment="1" applyProtection="1">
      <alignment horizontal="center"/>
    </xf>
    <xf numFmtId="10" fontId="46" fillId="0" borderId="0" xfId="48" applyNumberFormat="1" applyFont="1" applyBorder="1" applyAlignment="1" applyProtection="1">
      <alignment horizontal="center"/>
    </xf>
    <xf numFmtId="10" fontId="22" fillId="0" borderId="0" xfId="48" applyFont="1" applyBorder="1"/>
    <xf numFmtId="10" fontId="22" fillId="0" borderId="0" xfId="48" applyNumberFormat="1" applyFont="1" applyBorder="1"/>
    <xf numFmtId="10" fontId="23" fillId="0" borderId="0" xfId="48" applyFont="1" applyAlignment="1" applyProtection="1">
      <alignment horizontal="left"/>
    </xf>
    <xf numFmtId="5" fontId="22" fillId="0" borderId="0" xfId="30" applyNumberFormat="1" applyFont="1" applyAlignment="1">
      <alignment horizontal="right"/>
    </xf>
    <xf numFmtId="38" fontId="22" fillId="0" borderId="0" xfId="48" applyNumberFormat="1" applyFont="1"/>
    <xf numFmtId="10" fontId="39" fillId="0" borderId="0" xfId="48" applyFont="1" applyBorder="1"/>
    <xf numFmtId="10" fontId="39" fillId="0" borderId="0" xfId="48" applyFont="1" applyBorder="1" applyAlignment="1">
      <alignment horizontal="centerContinuous" wrapText="1"/>
    </xf>
    <xf numFmtId="1" fontId="39" fillId="0" borderId="0" xfId="48" applyNumberFormat="1" applyFont="1" applyProtection="1"/>
    <xf numFmtId="166" fontId="22" fillId="0" borderId="0" xfId="48" applyNumberFormat="1" applyFont="1" applyFill="1" applyBorder="1" applyAlignment="1" applyProtection="1">
      <alignment horizontal="center"/>
    </xf>
    <xf numFmtId="5" fontId="39" fillId="0" borderId="0" xfId="48" applyNumberFormat="1" applyFont="1" applyProtection="1"/>
    <xf numFmtId="164" fontId="39" fillId="0" borderId="0" xfId="48" applyNumberFormat="1" applyFont="1" applyProtection="1"/>
    <xf numFmtId="10" fontId="39" fillId="0" borderId="0" xfId="48" applyNumberFormat="1" applyFont="1" applyProtection="1"/>
    <xf numFmtId="37" fontId="23" fillId="0" borderId="0" xfId="0" applyFont="1" applyAlignment="1">
      <alignment horizontal="left"/>
    </xf>
    <xf numFmtId="37" fontId="27" fillId="0" borderId="0" xfId="45" applyNumberFormat="1" applyFont="1" applyBorder="1" applyAlignment="1" applyProtection="1">
      <alignment horizontal="center" wrapText="1"/>
    </xf>
    <xf numFmtId="37" fontId="27" fillId="0" borderId="10" xfId="45" applyNumberFormat="1" applyFont="1" applyBorder="1" applyAlignment="1" applyProtection="1">
      <alignment horizontal="center" wrapText="1"/>
    </xf>
    <xf numFmtId="0" fontId="40" fillId="0" borderId="0" xfId="43" applyFont="1" applyAlignment="1" applyProtection="1">
      <alignment horizontal="center"/>
    </xf>
    <xf numFmtId="174" fontId="40" fillId="0" borderId="0" xfId="48" applyNumberFormat="1" applyFont="1" applyAlignment="1" applyProtection="1">
      <alignment horizontal="center"/>
    </xf>
    <xf numFmtId="10" fontId="40" fillId="0" borderId="0" xfId="48" applyFont="1" applyAlignment="1" applyProtection="1">
      <alignment horizontal="center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" xfId="30" builtinId="4"/>
    <cellStyle name="Currency0" xfId="31"/>
    <cellStyle name="Date" xfId="32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Lisa" xfId="41"/>
    <cellStyle name="Neutral" xfId="42" builtinId="28" customBuiltin="1"/>
    <cellStyle name="Normal" xfId="0" builtinId="0"/>
    <cellStyle name="Normal_AMACAPST" xfId="43"/>
    <cellStyle name="Normal_COSTOF" xfId="44"/>
    <cellStyle name="Normal_COSTOFD" xfId="45"/>
    <cellStyle name="Normal_COSTOFPR" xfId="46"/>
    <cellStyle name="Normal_Psebonds" xfId="47"/>
    <cellStyle name="Normal_RATEOFRE" xfId="48"/>
    <cellStyle name="Normal_WACC FERC Filing Period 2 - Projected 2011" xfId="49"/>
    <cellStyle name="Note" xfId="50" builtinId="10" customBuiltin="1"/>
    <cellStyle name="Output" xfId="51" builtinId="21" customBuiltin="1"/>
    <cellStyle name="Style 1" xfId="52"/>
    <cellStyle name="Title" xfId="53" builtinId="15" customBuiltin="1"/>
    <cellStyle name="Total" xfId="54" builtinId="25" customBuiltin="1"/>
    <cellStyle name="Warning Text" xfId="5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of%20Capital/Cost%20of%20Capital/COC%20Mar%2099/CocJun98/COC%20DEC%2097/AFUDC%20Dec%20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ith/COC%20DEC%2000%20Compa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412/Subsidiary%20Roll-up%20for%20Rate%20Perio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NDRATE"/>
      <sheetName val="CST Reaquired LTD!"/>
      <sheetName val="Cost of Notes"/>
      <sheetName val="Cst Prfd"/>
      <sheetName val="STD Cos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TL CST DEBT! "/>
      <sheetName val="CST Reaquired LTD! "/>
      <sheetName val="MISC LTD!"/>
      <sheetName val="CST STD!"/>
      <sheetName val="CST PRFRD!"/>
      <sheetName val="CST Reaquired PRFD STK!"/>
      <sheetName val="Cost of Cap."/>
      <sheetName val="CAP STRC CALC!"/>
      <sheetName val="Capitalization Rate"/>
      <sheetName val="AFUDC Summary Sheet"/>
      <sheetName val="LTD AFUDC "/>
      <sheetName val="COMMON EQUITY AFUDC "/>
      <sheetName val="AFUDC LTD"/>
      <sheetName val="FERC FORM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bsidiary RE Rollfwrd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0"/>
  <sheetViews>
    <sheetView tabSelected="1" view="pageLayout" topLeftCell="A19" zoomScaleNormal="130" zoomScaleSheetLayoutView="100" workbookViewId="0">
      <selection activeCell="H21" sqref="H21"/>
    </sheetView>
  </sheetViews>
  <sheetFormatPr defaultRowHeight="12.75"/>
  <cols>
    <col min="1" max="1" width="3.7109375" style="1" customWidth="1"/>
    <col min="2" max="2" width="8.85546875" style="1" customWidth="1"/>
    <col min="3" max="3" width="9.7109375" style="1" customWidth="1"/>
    <col min="4" max="4" width="7" style="1" customWidth="1"/>
    <col min="5" max="5" width="6.140625" style="77" customWidth="1"/>
    <col min="6" max="6" width="7.42578125" style="77" customWidth="1"/>
    <col min="7" max="7" width="8.42578125" style="77" customWidth="1"/>
    <col min="8" max="8" width="7.42578125" style="77" customWidth="1"/>
    <col min="9" max="9" width="10.28515625" style="77" customWidth="1"/>
    <col min="10" max="10" width="5.85546875" style="1" customWidth="1"/>
    <col min="11" max="12" width="5.7109375" style="1" customWidth="1"/>
    <col min="13" max="14" width="5.85546875" style="1" customWidth="1"/>
    <col min="15" max="15" width="5.7109375" style="1" customWidth="1"/>
    <col min="16" max="18" width="6.140625" style="1" customWidth="1"/>
    <col min="19" max="22" width="5.7109375" style="1" customWidth="1"/>
    <col min="23" max="23" width="9.28515625" style="1" customWidth="1"/>
    <col min="24" max="25" width="9.140625" style="1"/>
    <col min="26" max="26" width="13.28515625" style="1" customWidth="1"/>
    <col min="27" max="16384" width="9.140625" style="1"/>
  </cols>
  <sheetData>
    <row r="1" spans="1:23">
      <c r="B1" s="182" t="s">
        <v>0</v>
      </c>
      <c r="C1" s="182"/>
      <c r="D1" s="3"/>
      <c r="E1" s="4"/>
      <c r="F1" s="4"/>
      <c r="G1" s="4"/>
      <c r="H1" s="4"/>
      <c r="I1" s="4"/>
    </row>
    <row r="2" spans="1:23" ht="14.25">
      <c r="B2" s="2" t="s">
        <v>1</v>
      </c>
      <c r="C2" s="2"/>
      <c r="D2" s="2" t="s">
        <v>2</v>
      </c>
      <c r="E2" s="2"/>
      <c r="F2" s="2"/>
      <c r="G2" s="5"/>
      <c r="H2" s="4"/>
      <c r="I2" s="6"/>
      <c r="J2" s="7"/>
      <c r="K2" s="7"/>
      <c r="L2" s="7"/>
      <c r="M2" s="7"/>
      <c r="N2" s="7"/>
      <c r="O2" s="7"/>
    </row>
    <row r="3" spans="1:23">
      <c r="B3" s="2"/>
      <c r="C3" s="2"/>
      <c r="D3" s="2"/>
      <c r="E3" s="2"/>
      <c r="F3" s="8"/>
      <c r="G3" s="4"/>
      <c r="H3" s="4"/>
      <c r="I3" s="4"/>
    </row>
    <row r="4" spans="1:23">
      <c r="A4" s="9">
        <v>1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</row>
    <row r="5" spans="1:23" ht="11.85" customHeight="1">
      <c r="A5" s="9">
        <f t="shared" ref="A5:A15" si="0">+A4+1</f>
        <v>2</v>
      </c>
      <c r="B5" s="11"/>
      <c r="C5" s="3"/>
      <c r="D5" s="3"/>
      <c r="E5" s="4"/>
      <c r="F5" s="4"/>
      <c r="G5" s="183" t="s">
        <v>25</v>
      </c>
      <c r="H5" s="1"/>
      <c r="I5" s="1"/>
      <c r="W5" s="183" t="s">
        <v>26</v>
      </c>
    </row>
    <row r="6" spans="1:23" ht="11.85" customHeight="1">
      <c r="A6" s="9">
        <f t="shared" si="0"/>
        <v>3</v>
      </c>
      <c r="B6" s="9"/>
      <c r="C6" s="183" t="s">
        <v>27</v>
      </c>
      <c r="D6" s="9"/>
      <c r="E6" s="12"/>
      <c r="F6" s="12"/>
      <c r="G6" s="183"/>
      <c r="H6" s="1"/>
      <c r="I6" s="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83"/>
    </row>
    <row r="7" spans="1:23" ht="11.85" customHeight="1">
      <c r="A7" s="9">
        <f t="shared" si="0"/>
        <v>4</v>
      </c>
      <c r="B7" s="12"/>
      <c r="C7" s="183"/>
      <c r="D7" s="14" t="s">
        <v>28</v>
      </c>
      <c r="E7" s="14" t="s">
        <v>29</v>
      </c>
      <c r="F7" s="15" t="s">
        <v>30</v>
      </c>
      <c r="G7" s="183"/>
      <c r="H7" s="183" t="s">
        <v>31</v>
      </c>
      <c r="I7" s="183" t="s">
        <v>32</v>
      </c>
      <c r="J7" s="16" t="s">
        <v>33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83"/>
    </row>
    <row r="8" spans="1:23" ht="11.85" customHeight="1">
      <c r="A8" s="9">
        <f t="shared" si="0"/>
        <v>5</v>
      </c>
      <c r="B8" s="17" t="s">
        <v>34</v>
      </c>
      <c r="C8" s="184"/>
      <c r="D8" s="18" t="s">
        <v>35</v>
      </c>
      <c r="E8" s="17" t="s">
        <v>36</v>
      </c>
      <c r="F8" s="17" t="s">
        <v>36</v>
      </c>
      <c r="G8" s="184"/>
      <c r="H8" s="184"/>
      <c r="I8" s="184" t="s">
        <v>32</v>
      </c>
      <c r="J8" s="19">
        <v>41029</v>
      </c>
      <c r="K8" s="19">
        <f>+J8+31</f>
        <v>41060</v>
      </c>
      <c r="L8" s="19">
        <f>+K8+30</f>
        <v>41090</v>
      </c>
      <c r="M8" s="19">
        <f>+L8+31</f>
        <v>41121</v>
      </c>
      <c r="N8" s="19">
        <f>+M8+31</f>
        <v>41152</v>
      </c>
      <c r="O8" s="19">
        <f>+N8+30</f>
        <v>41182</v>
      </c>
      <c r="P8" s="19">
        <f>+O8+31</f>
        <v>41213</v>
      </c>
      <c r="Q8" s="19">
        <f>+P8+30</f>
        <v>41243</v>
      </c>
      <c r="R8" s="19">
        <f>+Q8+31</f>
        <v>41274</v>
      </c>
      <c r="S8" s="19">
        <f>+R8+31</f>
        <v>41305</v>
      </c>
      <c r="T8" s="19">
        <f>+S8+28</f>
        <v>41333</v>
      </c>
      <c r="U8" s="19">
        <f>+T8+31</f>
        <v>41364</v>
      </c>
      <c r="V8" s="19">
        <f>+U8+30</f>
        <v>41394</v>
      </c>
      <c r="W8" s="184"/>
    </row>
    <row r="9" spans="1:23">
      <c r="A9" s="9">
        <f t="shared" si="0"/>
        <v>6</v>
      </c>
      <c r="B9" s="20" t="s">
        <v>37</v>
      </c>
      <c r="C9" s="21">
        <v>3000</v>
      </c>
      <c r="D9" s="22">
        <v>6.83E-2</v>
      </c>
      <c r="E9" s="23">
        <v>34199</v>
      </c>
      <c r="F9" s="23">
        <f>DATE(2013,8,19)</f>
        <v>41505</v>
      </c>
      <c r="G9" s="24">
        <v>98.813919999999996</v>
      </c>
      <c r="H9" s="25">
        <f t="shared" ref="H9:H31" si="1">YIELD(E9,F9,D9,G9,100,2,0)</f>
        <v>6.9405326714617133E-2</v>
      </c>
      <c r="I9" s="26">
        <f t="shared" ref="I9:I31" si="2">+W9*H9</f>
        <v>208215.9801438514</v>
      </c>
      <c r="J9" s="27">
        <v>3000000</v>
      </c>
      <c r="K9" s="27">
        <v>3000000</v>
      </c>
      <c r="L9" s="27">
        <v>3000000</v>
      </c>
      <c r="M9" s="27">
        <v>3000000</v>
      </c>
      <c r="N9" s="27">
        <v>3000000</v>
      </c>
      <c r="O9" s="27">
        <v>3000000</v>
      </c>
      <c r="P9" s="27">
        <v>3000000</v>
      </c>
      <c r="Q9" s="27">
        <v>3000000</v>
      </c>
      <c r="R9" s="27">
        <v>3000000</v>
      </c>
      <c r="S9" s="27">
        <v>3000000</v>
      </c>
      <c r="T9" s="27">
        <v>3000000</v>
      </c>
      <c r="U9" s="27">
        <v>3000000</v>
      </c>
      <c r="V9" s="27">
        <v>3000000</v>
      </c>
      <c r="W9" s="28">
        <f t="shared" ref="W9:W31" si="3">ROUND(((J9+V9)+(SUM(K9:U9)*2))/24,0)</f>
        <v>3000000</v>
      </c>
    </row>
    <row r="10" spans="1:23">
      <c r="A10" s="9">
        <f t="shared" si="0"/>
        <v>7</v>
      </c>
      <c r="B10" s="20" t="s">
        <v>37</v>
      </c>
      <c r="C10" s="21">
        <v>10000</v>
      </c>
      <c r="D10" s="22">
        <v>6.9000000000000006E-2</v>
      </c>
      <c r="E10" s="23">
        <v>34242</v>
      </c>
      <c r="F10" s="29">
        <f>DATE(2013,10,1)</f>
        <v>41548</v>
      </c>
      <c r="G10" s="24">
        <v>98.82208</v>
      </c>
      <c r="H10" s="25">
        <f t="shared" si="1"/>
        <v>7.0103682450003854E-2</v>
      </c>
      <c r="I10" s="26">
        <f t="shared" si="2"/>
        <v>701036.82450003852</v>
      </c>
      <c r="J10" s="27">
        <v>10000000</v>
      </c>
      <c r="K10" s="27">
        <v>10000000</v>
      </c>
      <c r="L10" s="27">
        <v>10000000</v>
      </c>
      <c r="M10" s="27">
        <v>10000000</v>
      </c>
      <c r="N10" s="27">
        <v>10000000</v>
      </c>
      <c r="O10" s="27">
        <v>10000000</v>
      </c>
      <c r="P10" s="27">
        <v>10000000</v>
      </c>
      <c r="Q10" s="27">
        <v>10000000</v>
      </c>
      <c r="R10" s="27">
        <v>10000000</v>
      </c>
      <c r="S10" s="27">
        <v>10000000</v>
      </c>
      <c r="T10" s="27">
        <v>10000000</v>
      </c>
      <c r="U10" s="27">
        <v>10000000</v>
      </c>
      <c r="V10" s="27">
        <v>10000000</v>
      </c>
      <c r="W10" s="28">
        <f t="shared" si="3"/>
        <v>10000000</v>
      </c>
    </row>
    <row r="11" spans="1:23">
      <c r="A11" s="9">
        <f t="shared" si="0"/>
        <v>8</v>
      </c>
      <c r="B11" s="20" t="s">
        <v>38</v>
      </c>
      <c r="C11" s="21">
        <v>10000</v>
      </c>
      <c r="D11" s="30">
        <v>7.3499999999999996E-2</v>
      </c>
      <c r="E11" s="23">
        <v>34953</v>
      </c>
      <c r="F11" s="29">
        <f>DATE(2015,9,11)</f>
        <v>42258</v>
      </c>
      <c r="G11" s="24">
        <v>98.84387199999999</v>
      </c>
      <c r="H11" s="25">
        <f t="shared" si="1"/>
        <v>7.462190157240832E-2</v>
      </c>
      <c r="I11" s="26">
        <f t="shared" si="2"/>
        <v>746219.01572408318</v>
      </c>
      <c r="J11" s="27">
        <v>10000000</v>
      </c>
      <c r="K11" s="27">
        <v>10000000</v>
      </c>
      <c r="L11" s="27">
        <v>10000000</v>
      </c>
      <c r="M11" s="27">
        <v>10000000</v>
      </c>
      <c r="N11" s="27">
        <v>10000000</v>
      </c>
      <c r="O11" s="27">
        <v>10000000</v>
      </c>
      <c r="P11" s="27">
        <v>10000000</v>
      </c>
      <c r="Q11" s="27">
        <v>10000000</v>
      </c>
      <c r="R11" s="27">
        <v>10000000</v>
      </c>
      <c r="S11" s="27">
        <v>10000000</v>
      </c>
      <c r="T11" s="27">
        <v>10000000</v>
      </c>
      <c r="U11" s="27">
        <v>10000000</v>
      </c>
      <c r="V11" s="27">
        <v>10000000</v>
      </c>
      <c r="W11" s="28">
        <f t="shared" si="3"/>
        <v>10000000</v>
      </c>
    </row>
    <row r="12" spans="1:23">
      <c r="A12" s="9">
        <f t="shared" si="0"/>
        <v>9</v>
      </c>
      <c r="B12" s="20" t="s">
        <v>38</v>
      </c>
      <c r="C12" s="21">
        <v>2000</v>
      </c>
      <c r="D12" s="30">
        <v>7.3599999999999999E-2</v>
      </c>
      <c r="E12" s="23">
        <v>34953</v>
      </c>
      <c r="F12" s="29">
        <f>DATE(2015,9,15)</f>
        <v>42262</v>
      </c>
      <c r="G12" s="24">
        <v>98.843919999999997</v>
      </c>
      <c r="H12" s="25">
        <f t="shared" si="1"/>
        <v>7.4720994845611843E-2</v>
      </c>
      <c r="I12" s="26">
        <f t="shared" si="2"/>
        <v>149441.98969122369</v>
      </c>
      <c r="J12" s="27">
        <v>2000000</v>
      </c>
      <c r="K12" s="27">
        <v>2000000</v>
      </c>
      <c r="L12" s="27">
        <v>2000000</v>
      </c>
      <c r="M12" s="27">
        <v>2000000</v>
      </c>
      <c r="N12" s="27">
        <v>2000000</v>
      </c>
      <c r="O12" s="27">
        <v>2000000</v>
      </c>
      <c r="P12" s="27">
        <v>2000000</v>
      </c>
      <c r="Q12" s="27">
        <v>2000000</v>
      </c>
      <c r="R12" s="27">
        <v>2000000</v>
      </c>
      <c r="S12" s="27">
        <v>2000000</v>
      </c>
      <c r="T12" s="27">
        <v>2000000</v>
      </c>
      <c r="U12" s="27">
        <v>2000000</v>
      </c>
      <c r="V12" s="27">
        <v>2000000</v>
      </c>
      <c r="W12" s="28">
        <f t="shared" si="3"/>
        <v>2000000</v>
      </c>
    </row>
    <row r="13" spans="1:23">
      <c r="A13" s="9">
        <f t="shared" si="0"/>
        <v>10</v>
      </c>
      <c r="B13" s="31" t="s">
        <v>39</v>
      </c>
      <c r="C13" s="32">
        <v>150000</v>
      </c>
      <c r="D13" s="33">
        <v>5.1970000000000002E-2</v>
      </c>
      <c r="E13" s="34">
        <v>38637</v>
      </c>
      <c r="F13" s="35">
        <v>42278</v>
      </c>
      <c r="G13" s="24">
        <v>99.193039993333343</v>
      </c>
      <c r="H13" s="25">
        <f t="shared" si="1"/>
        <v>5.3020023148243563E-2</v>
      </c>
      <c r="I13" s="36">
        <f t="shared" si="2"/>
        <v>7953003.4722365346</v>
      </c>
      <c r="J13" s="27">
        <v>150000000</v>
      </c>
      <c r="K13" s="27">
        <v>150000000</v>
      </c>
      <c r="L13" s="27">
        <v>150000000</v>
      </c>
      <c r="M13" s="27">
        <v>150000000</v>
      </c>
      <c r="N13" s="27">
        <v>150000000</v>
      </c>
      <c r="O13" s="27">
        <v>150000000</v>
      </c>
      <c r="P13" s="27">
        <v>150000000</v>
      </c>
      <c r="Q13" s="27">
        <v>150000000</v>
      </c>
      <c r="R13" s="27">
        <v>150000000</v>
      </c>
      <c r="S13" s="27">
        <v>150000000</v>
      </c>
      <c r="T13" s="27">
        <v>150000000</v>
      </c>
      <c r="U13" s="27">
        <v>150000000</v>
      </c>
      <c r="V13" s="27">
        <v>150000000</v>
      </c>
      <c r="W13" s="28">
        <f t="shared" si="3"/>
        <v>150000000</v>
      </c>
    </row>
    <row r="14" spans="1:23">
      <c r="A14" s="9">
        <f t="shared" si="0"/>
        <v>11</v>
      </c>
      <c r="B14" s="31" t="s">
        <v>39</v>
      </c>
      <c r="C14" s="32">
        <v>250000</v>
      </c>
      <c r="D14" s="33">
        <v>6.7500000000000004E-2</v>
      </c>
      <c r="E14" s="34">
        <v>39836</v>
      </c>
      <c r="F14" s="35">
        <v>42384</v>
      </c>
      <c r="G14" s="24">
        <v>99.28</v>
      </c>
      <c r="H14" s="25">
        <f t="shared" si="1"/>
        <v>6.8812230514760653E-2</v>
      </c>
      <c r="I14" s="36">
        <f t="shared" si="2"/>
        <v>17203057.628690165</v>
      </c>
      <c r="J14" s="27">
        <v>250000000</v>
      </c>
      <c r="K14" s="27">
        <v>250000000</v>
      </c>
      <c r="L14" s="27">
        <v>250000000</v>
      </c>
      <c r="M14" s="27">
        <v>250000000</v>
      </c>
      <c r="N14" s="27">
        <v>250000000</v>
      </c>
      <c r="O14" s="27">
        <v>250000000</v>
      </c>
      <c r="P14" s="27">
        <v>250000000</v>
      </c>
      <c r="Q14" s="27">
        <v>250000000</v>
      </c>
      <c r="R14" s="27">
        <v>250000000</v>
      </c>
      <c r="S14" s="27">
        <v>250000000</v>
      </c>
      <c r="T14" s="27">
        <v>250000000</v>
      </c>
      <c r="U14" s="27">
        <v>250000000</v>
      </c>
      <c r="V14" s="27">
        <v>250000000</v>
      </c>
      <c r="W14" s="28">
        <f t="shared" si="3"/>
        <v>250000000</v>
      </c>
    </row>
    <row r="15" spans="1:23">
      <c r="A15" s="9">
        <f t="shared" si="0"/>
        <v>12</v>
      </c>
      <c r="B15" s="20" t="s">
        <v>40</v>
      </c>
      <c r="C15" s="21">
        <v>200000</v>
      </c>
      <c r="D15" s="30">
        <v>6.7400000000000002E-2</v>
      </c>
      <c r="E15" s="23">
        <v>35961</v>
      </c>
      <c r="F15" s="29">
        <v>43266</v>
      </c>
      <c r="G15" s="24">
        <v>98.98509159000001</v>
      </c>
      <c r="H15" s="25">
        <f t="shared" si="1"/>
        <v>6.8338294947754424E-2</v>
      </c>
      <c r="I15" s="26">
        <f t="shared" si="2"/>
        <v>13667658.989550885</v>
      </c>
      <c r="J15" s="27">
        <v>200000000</v>
      </c>
      <c r="K15" s="27">
        <v>200000000</v>
      </c>
      <c r="L15" s="27">
        <v>200000000</v>
      </c>
      <c r="M15" s="27">
        <v>200000000</v>
      </c>
      <c r="N15" s="27">
        <v>200000000</v>
      </c>
      <c r="O15" s="27">
        <v>200000000</v>
      </c>
      <c r="P15" s="27">
        <v>200000000</v>
      </c>
      <c r="Q15" s="27">
        <v>200000000</v>
      </c>
      <c r="R15" s="27">
        <v>200000000</v>
      </c>
      <c r="S15" s="27">
        <v>200000000</v>
      </c>
      <c r="T15" s="27">
        <v>200000000</v>
      </c>
      <c r="U15" s="27">
        <v>200000000</v>
      </c>
      <c r="V15" s="27">
        <v>200000000</v>
      </c>
      <c r="W15" s="28">
        <f t="shared" si="3"/>
        <v>200000000</v>
      </c>
    </row>
    <row r="16" spans="1:23">
      <c r="A16" s="9">
        <f>A15+1</f>
        <v>13</v>
      </c>
      <c r="B16" s="20" t="s">
        <v>38</v>
      </c>
      <c r="C16" s="21">
        <v>15000</v>
      </c>
      <c r="D16" s="30">
        <v>7.1499999999999994E-2</v>
      </c>
      <c r="E16" s="23">
        <v>35053</v>
      </c>
      <c r="F16" s="29">
        <f>DATE(2025,12,19)</f>
        <v>46010</v>
      </c>
      <c r="G16" s="24">
        <v>99.211911999999998</v>
      </c>
      <c r="H16" s="25">
        <f t="shared" si="1"/>
        <v>7.2145308569589034E-2</v>
      </c>
      <c r="I16" s="26">
        <f t="shared" si="2"/>
        <v>1082179.6285438356</v>
      </c>
      <c r="J16" s="27">
        <v>15000000</v>
      </c>
      <c r="K16" s="27">
        <v>15000000</v>
      </c>
      <c r="L16" s="27">
        <v>15000000</v>
      </c>
      <c r="M16" s="27">
        <v>15000000</v>
      </c>
      <c r="N16" s="27">
        <v>15000000</v>
      </c>
      <c r="O16" s="27">
        <v>15000000</v>
      </c>
      <c r="P16" s="27">
        <v>15000000</v>
      </c>
      <c r="Q16" s="27">
        <v>15000000</v>
      </c>
      <c r="R16" s="27">
        <v>15000000</v>
      </c>
      <c r="S16" s="27">
        <v>15000000</v>
      </c>
      <c r="T16" s="27">
        <v>15000000</v>
      </c>
      <c r="U16" s="27">
        <v>15000000</v>
      </c>
      <c r="V16" s="27">
        <v>15000000</v>
      </c>
      <c r="W16" s="28">
        <f t="shared" si="3"/>
        <v>15000000</v>
      </c>
    </row>
    <row r="17" spans="1:23">
      <c r="A17" s="9">
        <f t="shared" ref="A17:A36" si="4">+A16+1</f>
        <v>14</v>
      </c>
      <c r="B17" s="20" t="s">
        <v>38</v>
      </c>
      <c r="C17" s="21">
        <v>2000</v>
      </c>
      <c r="D17" s="30">
        <v>7.1999999999999995E-2</v>
      </c>
      <c r="E17" s="23">
        <v>35054</v>
      </c>
      <c r="F17" s="29">
        <f>DATE(2025,12,22)</f>
        <v>46013</v>
      </c>
      <c r="G17" s="24">
        <v>99.211600000000004</v>
      </c>
      <c r="H17" s="25">
        <f t="shared" si="1"/>
        <v>7.2648755674317195E-2</v>
      </c>
      <c r="I17" s="26">
        <f t="shared" si="2"/>
        <v>145297.51134863438</v>
      </c>
      <c r="J17" s="27">
        <v>2000000</v>
      </c>
      <c r="K17" s="27">
        <v>2000000</v>
      </c>
      <c r="L17" s="27">
        <v>2000000</v>
      </c>
      <c r="M17" s="27">
        <v>2000000</v>
      </c>
      <c r="N17" s="27">
        <v>2000000</v>
      </c>
      <c r="O17" s="27">
        <v>2000000</v>
      </c>
      <c r="P17" s="27">
        <v>2000000</v>
      </c>
      <c r="Q17" s="27">
        <v>2000000</v>
      </c>
      <c r="R17" s="27">
        <v>2000000</v>
      </c>
      <c r="S17" s="27">
        <v>2000000</v>
      </c>
      <c r="T17" s="27">
        <v>2000000</v>
      </c>
      <c r="U17" s="27">
        <v>2000000</v>
      </c>
      <c r="V17" s="27">
        <v>2000000</v>
      </c>
      <c r="W17" s="28">
        <f t="shared" si="3"/>
        <v>2000000</v>
      </c>
    </row>
    <row r="18" spans="1:23">
      <c r="A18" s="9">
        <f t="shared" si="4"/>
        <v>15</v>
      </c>
      <c r="B18" s="20" t="s">
        <v>40</v>
      </c>
      <c r="C18" s="21">
        <v>300000</v>
      </c>
      <c r="D18" s="30">
        <v>7.0199999999999999E-2</v>
      </c>
      <c r="E18" s="23">
        <v>35786</v>
      </c>
      <c r="F18" s="29">
        <f>DATE(2027,12,1)</f>
        <v>46722</v>
      </c>
      <c r="G18" s="24">
        <v>98.985735776666658</v>
      </c>
      <c r="H18" s="25">
        <f t="shared" si="1"/>
        <v>7.1016934071538085E-2</v>
      </c>
      <c r="I18" s="26">
        <f t="shared" si="2"/>
        <v>21305080.221461426</v>
      </c>
      <c r="J18" s="27">
        <v>300000000</v>
      </c>
      <c r="K18" s="27">
        <v>300000000</v>
      </c>
      <c r="L18" s="27">
        <v>300000000</v>
      </c>
      <c r="M18" s="27">
        <v>300000000</v>
      </c>
      <c r="N18" s="27">
        <v>300000000</v>
      </c>
      <c r="O18" s="27">
        <v>300000000</v>
      </c>
      <c r="P18" s="27">
        <v>300000000</v>
      </c>
      <c r="Q18" s="27">
        <v>300000000</v>
      </c>
      <c r="R18" s="27">
        <v>300000000</v>
      </c>
      <c r="S18" s="27">
        <v>300000000</v>
      </c>
      <c r="T18" s="27">
        <v>300000000</v>
      </c>
      <c r="U18" s="27">
        <v>300000000</v>
      </c>
      <c r="V18" s="27">
        <v>300000000</v>
      </c>
      <c r="W18" s="28">
        <f t="shared" si="3"/>
        <v>300000000</v>
      </c>
    </row>
    <row r="19" spans="1:23">
      <c r="A19" s="9">
        <f t="shared" si="4"/>
        <v>16</v>
      </c>
      <c r="B19" s="20" t="s">
        <v>37</v>
      </c>
      <c r="C19" s="21">
        <v>100000</v>
      </c>
      <c r="D19" s="30">
        <v>7.0000000000000007E-2</v>
      </c>
      <c r="E19" s="23">
        <v>36228</v>
      </c>
      <c r="F19" s="29">
        <v>47186</v>
      </c>
      <c r="G19" s="24">
        <v>99.042870549999989</v>
      </c>
      <c r="H19" s="25">
        <f t="shared" si="1"/>
        <v>7.0773386416413064E-2</v>
      </c>
      <c r="I19" s="26">
        <f t="shared" si="2"/>
        <v>7077338.6416413067</v>
      </c>
      <c r="J19" s="27">
        <v>100000000</v>
      </c>
      <c r="K19" s="27">
        <v>100000000</v>
      </c>
      <c r="L19" s="27">
        <v>100000000</v>
      </c>
      <c r="M19" s="27">
        <v>100000000</v>
      </c>
      <c r="N19" s="27">
        <v>100000000</v>
      </c>
      <c r="O19" s="27">
        <v>100000000</v>
      </c>
      <c r="P19" s="27">
        <v>100000000</v>
      </c>
      <c r="Q19" s="27">
        <v>100000000</v>
      </c>
      <c r="R19" s="27">
        <v>100000000</v>
      </c>
      <c r="S19" s="27">
        <v>100000000</v>
      </c>
      <c r="T19" s="27">
        <v>100000000</v>
      </c>
      <c r="U19" s="27">
        <v>100000000</v>
      </c>
      <c r="V19" s="27">
        <v>100000000</v>
      </c>
      <c r="W19" s="28">
        <f t="shared" si="3"/>
        <v>100000000</v>
      </c>
    </row>
    <row r="20" spans="1:23">
      <c r="A20" s="37">
        <f t="shared" si="4"/>
        <v>17</v>
      </c>
      <c r="B20" s="38" t="s">
        <v>41</v>
      </c>
      <c r="C20" s="39">
        <v>23400</v>
      </c>
      <c r="D20" s="40">
        <v>0.04</v>
      </c>
      <c r="E20" s="41">
        <v>41423</v>
      </c>
      <c r="F20" s="42">
        <v>47908</v>
      </c>
      <c r="G20" s="43">
        <v>98.933000000000007</v>
      </c>
      <c r="H20" s="44">
        <f t="shared" si="1"/>
        <v>4.084679860270013E-2</v>
      </c>
      <c r="I20" s="45">
        <f t="shared" si="2"/>
        <v>955815.08730318304</v>
      </c>
      <c r="J20" s="46">
        <v>23400000</v>
      </c>
      <c r="K20" s="46">
        <v>23400000</v>
      </c>
      <c r="L20" s="46">
        <v>23400000</v>
      </c>
      <c r="M20" s="46">
        <v>23400000</v>
      </c>
      <c r="N20" s="46">
        <v>23400000</v>
      </c>
      <c r="O20" s="46">
        <v>23400000</v>
      </c>
      <c r="P20" s="46">
        <v>23400000</v>
      </c>
      <c r="Q20" s="46">
        <v>23400000</v>
      </c>
      <c r="R20" s="46">
        <v>23400000</v>
      </c>
      <c r="S20" s="46">
        <v>23400000</v>
      </c>
      <c r="T20" s="46">
        <v>23400000</v>
      </c>
      <c r="U20" s="46">
        <v>23400000</v>
      </c>
      <c r="V20" s="46">
        <v>23400000</v>
      </c>
      <c r="W20" s="47">
        <f t="shared" si="3"/>
        <v>23400000</v>
      </c>
    </row>
    <row r="21" spans="1:23">
      <c r="A21" s="48">
        <f t="shared" si="4"/>
        <v>18</v>
      </c>
      <c r="B21" s="49" t="s">
        <v>41</v>
      </c>
      <c r="C21" s="50">
        <v>138460</v>
      </c>
      <c r="D21" s="51">
        <v>3.9E-2</v>
      </c>
      <c r="E21" s="52">
        <v>41423</v>
      </c>
      <c r="F21" s="53">
        <v>47908</v>
      </c>
      <c r="G21" s="54">
        <v>98.933000000000007</v>
      </c>
      <c r="H21" s="55">
        <f t="shared" si="1"/>
        <v>3.9840263123582055E-2</v>
      </c>
      <c r="I21" s="56">
        <f t="shared" si="2"/>
        <v>5516282.8320911713</v>
      </c>
      <c r="J21" s="57">
        <v>138460000</v>
      </c>
      <c r="K21" s="57">
        <v>138460000</v>
      </c>
      <c r="L21" s="57">
        <v>138460000</v>
      </c>
      <c r="M21" s="57">
        <v>138460000</v>
      </c>
      <c r="N21" s="57">
        <v>138460000</v>
      </c>
      <c r="O21" s="57">
        <v>138460000</v>
      </c>
      <c r="P21" s="57">
        <v>138460000</v>
      </c>
      <c r="Q21" s="57">
        <v>138460000</v>
      </c>
      <c r="R21" s="57">
        <v>138460000</v>
      </c>
      <c r="S21" s="57">
        <v>138460000</v>
      </c>
      <c r="T21" s="57">
        <v>138460000</v>
      </c>
      <c r="U21" s="57">
        <v>138460000</v>
      </c>
      <c r="V21" s="57">
        <v>138460000</v>
      </c>
      <c r="W21" s="58">
        <f t="shared" si="3"/>
        <v>138460000</v>
      </c>
    </row>
    <row r="22" spans="1:23">
      <c r="A22" s="9">
        <f t="shared" si="4"/>
        <v>19</v>
      </c>
      <c r="B22" s="31" t="s">
        <v>39</v>
      </c>
      <c r="C22" s="32">
        <v>250000</v>
      </c>
      <c r="D22" s="59">
        <v>5.4829999999999997E-2</v>
      </c>
      <c r="E22" s="60">
        <v>38499</v>
      </c>
      <c r="F22" s="60">
        <v>49461</v>
      </c>
      <c r="G22" s="24">
        <v>84.886606835999999</v>
      </c>
      <c r="H22" s="25">
        <f t="shared" si="1"/>
        <v>6.652406172991969E-2</v>
      </c>
      <c r="I22" s="36">
        <f t="shared" si="2"/>
        <v>16631015.432479922</v>
      </c>
      <c r="J22" s="27">
        <v>250000000</v>
      </c>
      <c r="K22" s="27">
        <v>250000000</v>
      </c>
      <c r="L22" s="27">
        <v>250000000</v>
      </c>
      <c r="M22" s="27">
        <v>250000000</v>
      </c>
      <c r="N22" s="27">
        <v>250000000</v>
      </c>
      <c r="O22" s="27">
        <v>250000000</v>
      </c>
      <c r="P22" s="27">
        <v>250000000</v>
      </c>
      <c r="Q22" s="27">
        <v>250000000</v>
      </c>
      <c r="R22" s="27">
        <v>250000000</v>
      </c>
      <c r="S22" s="27">
        <v>250000000</v>
      </c>
      <c r="T22" s="27">
        <v>250000000</v>
      </c>
      <c r="U22" s="27">
        <v>250000000</v>
      </c>
      <c r="V22" s="27">
        <v>250000000</v>
      </c>
      <c r="W22" s="28">
        <f t="shared" si="3"/>
        <v>250000000</v>
      </c>
    </row>
    <row r="23" spans="1:23">
      <c r="A23" s="9">
        <f t="shared" si="4"/>
        <v>20</v>
      </c>
      <c r="B23" s="31" t="s">
        <v>39</v>
      </c>
      <c r="C23" s="32">
        <v>250000</v>
      </c>
      <c r="D23" s="59">
        <v>6.7239999999999994E-2</v>
      </c>
      <c r="E23" s="60">
        <v>38898</v>
      </c>
      <c r="F23" s="60">
        <v>49841</v>
      </c>
      <c r="G23" s="24">
        <v>107.515271756</v>
      </c>
      <c r="H23" s="25">
        <f t="shared" si="1"/>
        <v>6.1703942128420383E-2</v>
      </c>
      <c r="I23" s="36">
        <f t="shared" si="2"/>
        <v>15425985.532105096</v>
      </c>
      <c r="J23" s="27">
        <v>250000000</v>
      </c>
      <c r="K23" s="27">
        <v>250000000</v>
      </c>
      <c r="L23" s="27">
        <v>250000000</v>
      </c>
      <c r="M23" s="27">
        <v>250000000</v>
      </c>
      <c r="N23" s="27">
        <v>250000000</v>
      </c>
      <c r="O23" s="27">
        <v>250000000</v>
      </c>
      <c r="P23" s="27">
        <v>250000000</v>
      </c>
      <c r="Q23" s="27">
        <v>250000000</v>
      </c>
      <c r="R23" s="27">
        <v>250000000</v>
      </c>
      <c r="S23" s="27">
        <v>250000000</v>
      </c>
      <c r="T23" s="27">
        <v>250000000</v>
      </c>
      <c r="U23" s="27">
        <v>250000000</v>
      </c>
      <c r="V23" s="27">
        <v>250000000</v>
      </c>
      <c r="W23" s="28">
        <f t="shared" si="3"/>
        <v>250000000</v>
      </c>
    </row>
    <row r="24" spans="1:23">
      <c r="A24" s="9">
        <f t="shared" si="4"/>
        <v>21</v>
      </c>
      <c r="B24" s="31" t="s">
        <v>39</v>
      </c>
      <c r="C24" s="32">
        <v>300000</v>
      </c>
      <c r="D24" s="59">
        <v>6.2740000000000004E-2</v>
      </c>
      <c r="E24" s="60">
        <v>38978</v>
      </c>
      <c r="F24" s="60">
        <v>50114</v>
      </c>
      <c r="G24" s="24">
        <v>98.810174309999994</v>
      </c>
      <c r="H24" s="25">
        <f t="shared" si="1"/>
        <v>6.3628072230476146E-2</v>
      </c>
      <c r="I24" s="36">
        <f t="shared" si="2"/>
        <v>19088421.669142842</v>
      </c>
      <c r="J24" s="27">
        <v>300000000</v>
      </c>
      <c r="K24" s="27">
        <v>300000000</v>
      </c>
      <c r="L24" s="27">
        <v>300000000</v>
      </c>
      <c r="M24" s="27">
        <v>300000000</v>
      </c>
      <c r="N24" s="27">
        <v>300000000</v>
      </c>
      <c r="O24" s="27">
        <v>300000000</v>
      </c>
      <c r="P24" s="27">
        <v>300000000</v>
      </c>
      <c r="Q24" s="27">
        <v>300000000</v>
      </c>
      <c r="R24" s="27">
        <v>300000000</v>
      </c>
      <c r="S24" s="27">
        <v>300000000</v>
      </c>
      <c r="T24" s="27">
        <v>300000000</v>
      </c>
      <c r="U24" s="27">
        <v>300000000</v>
      </c>
      <c r="V24" s="27">
        <v>300000000</v>
      </c>
      <c r="W24" s="28">
        <f t="shared" si="3"/>
        <v>300000000</v>
      </c>
    </row>
    <row r="25" spans="1:23">
      <c r="A25" s="9">
        <f t="shared" si="4"/>
        <v>22</v>
      </c>
      <c r="B25" s="31" t="s">
        <v>39</v>
      </c>
      <c r="C25" s="32">
        <v>350000</v>
      </c>
      <c r="D25" s="61">
        <v>5.7570000000000003E-2</v>
      </c>
      <c r="E25" s="62">
        <v>40067</v>
      </c>
      <c r="F25" s="62">
        <v>51058</v>
      </c>
      <c r="G25" s="63">
        <v>98.983699999999999</v>
      </c>
      <c r="H25" s="64">
        <f t="shared" si="1"/>
        <v>5.8285655510475071E-2</v>
      </c>
      <c r="I25" s="65">
        <f t="shared" si="2"/>
        <v>20399979.428666275</v>
      </c>
      <c r="J25" s="66">
        <v>350000000</v>
      </c>
      <c r="K25" s="66">
        <v>350000000</v>
      </c>
      <c r="L25" s="66">
        <v>350000000</v>
      </c>
      <c r="M25" s="66">
        <v>350000000</v>
      </c>
      <c r="N25" s="66">
        <v>350000000</v>
      </c>
      <c r="O25" s="66">
        <v>350000000</v>
      </c>
      <c r="P25" s="66">
        <v>350000000</v>
      </c>
      <c r="Q25" s="66">
        <v>350000000</v>
      </c>
      <c r="R25" s="66">
        <v>350000000</v>
      </c>
      <c r="S25" s="66">
        <v>350000000</v>
      </c>
      <c r="T25" s="66">
        <v>350000000</v>
      </c>
      <c r="U25" s="66">
        <v>350000000</v>
      </c>
      <c r="V25" s="66">
        <v>350000000</v>
      </c>
      <c r="W25" s="67">
        <f t="shared" si="3"/>
        <v>350000000</v>
      </c>
    </row>
    <row r="26" spans="1:23">
      <c r="A26" s="9">
        <f t="shared" si="4"/>
        <v>23</v>
      </c>
      <c r="B26" s="31" t="s">
        <v>39</v>
      </c>
      <c r="C26" s="32">
        <v>325000</v>
      </c>
      <c r="D26" s="61">
        <v>5.7950000000000002E-2</v>
      </c>
      <c r="E26" s="68">
        <v>40245</v>
      </c>
      <c r="F26" s="68">
        <v>51210</v>
      </c>
      <c r="G26" s="63">
        <v>98.96</v>
      </c>
      <c r="H26" s="64">
        <f t="shared" si="1"/>
        <v>5.868974934036638E-2</v>
      </c>
      <c r="I26" s="65">
        <f t="shared" si="2"/>
        <v>19074168.535619073</v>
      </c>
      <c r="J26" s="66">
        <v>325000000</v>
      </c>
      <c r="K26" s="66">
        <v>325000000</v>
      </c>
      <c r="L26" s="66">
        <v>325000000</v>
      </c>
      <c r="M26" s="66">
        <v>325000000</v>
      </c>
      <c r="N26" s="66">
        <v>325000000</v>
      </c>
      <c r="O26" s="66">
        <v>325000000</v>
      </c>
      <c r="P26" s="66">
        <v>325000000</v>
      </c>
      <c r="Q26" s="66">
        <v>325000000</v>
      </c>
      <c r="R26" s="66">
        <v>325000000</v>
      </c>
      <c r="S26" s="66">
        <v>325000000</v>
      </c>
      <c r="T26" s="66">
        <v>325000000</v>
      </c>
      <c r="U26" s="66">
        <v>325000000</v>
      </c>
      <c r="V26" s="66">
        <v>325000000</v>
      </c>
      <c r="W26" s="67">
        <f t="shared" si="3"/>
        <v>325000000</v>
      </c>
    </row>
    <row r="27" spans="1:23">
      <c r="A27" s="9">
        <f t="shared" si="4"/>
        <v>24</v>
      </c>
      <c r="B27" s="69" t="s">
        <v>39</v>
      </c>
      <c r="C27" s="32">
        <v>250000</v>
      </c>
      <c r="D27" s="61">
        <f>6.86%-1.096%</f>
        <v>5.7640000000000011E-2</v>
      </c>
      <c r="E27" s="62">
        <v>40358</v>
      </c>
      <c r="F27" s="62">
        <v>51332</v>
      </c>
      <c r="G27" s="63">
        <v>98.97</v>
      </c>
      <c r="H27" s="64">
        <f t="shared" si="1"/>
        <v>5.83685831133215E-2</v>
      </c>
      <c r="I27" s="65">
        <f t="shared" si="2"/>
        <v>14592145.778330375</v>
      </c>
      <c r="J27" s="27">
        <v>250000000</v>
      </c>
      <c r="K27" s="27">
        <v>250000000</v>
      </c>
      <c r="L27" s="27">
        <v>250000000</v>
      </c>
      <c r="M27" s="27">
        <v>250000000</v>
      </c>
      <c r="N27" s="27">
        <v>250000000</v>
      </c>
      <c r="O27" s="27">
        <v>250000000</v>
      </c>
      <c r="P27" s="27">
        <v>250000000</v>
      </c>
      <c r="Q27" s="27">
        <v>250000000</v>
      </c>
      <c r="R27" s="27">
        <v>250000000</v>
      </c>
      <c r="S27" s="27">
        <v>250000000</v>
      </c>
      <c r="T27" s="27">
        <v>250000000</v>
      </c>
      <c r="U27" s="27">
        <v>250000000</v>
      </c>
      <c r="V27" s="27">
        <v>250000000</v>
      </c>
      <c r="W27" s="67">
        <f t="shared" si="3"/>
        <v>250000000</v>
      </c>
    </row>
    <row r="28" spans="1:23">
      <c r="A28" s="9">
        <f t="shared" si="4"/>
        <v>25</v>
      </c>
      <c r="B28" s="69" t="s">
        <v>39</v>
      </c>
      <c r="C28" s="32">
        <v>300000</v>
      </c>
      <c r="D28" s="70">
        <v>5.638E-2</v>
      </c>
      <c r="E28" s="71">
        <v>40627</v>
      </c>
      <c r="F28" s="72">
        <v>51606</v>
      </c>
      <c r="G28" s="63">
        <v>98.944999999999993</v>
      </c>
      <c r="H28" s="64">
        <f t="shared" si="1"/>
        <v>5.7115729191407956E-2</v>
      </c>
      <c r="I28" s="65">
        <f t="shared" si="2"/>
        <v>17134718.757422388</v>
      </c>
      <c r="J28" s="27">
        <v>300000000</v>
      </c>
      <c r="K28" s="27">
        <v>300000000</v>
      </c>
      <c r="L28" s="27">
        <v>300000000</v>
      </c>
      <c r="M28" s="27">
        <v>300000000</v>
      </c>
      <c r="N28" s="27">
        <v>300000000</v>
      </c>
      <c r="O28" s="27">
        <v>300000000</v>
      </c>
      <c r="P28" s="27">
        <v>300000000</v>
      </c>
      <c r="Q28" s="27">
        <v>300000000</v>
      </c>
      <c r="R28" s="27">
        <v>300000000</v>
      </c>
      <c r="S28" s="27">
        <v>300000000</v>
      </c>
      <c r="T28" s="27">
        <v>300000000</v>
      </c>
      <c r="U28" s="27">
        <v>300000000</v>
      </c>
      <c r="V28" s="27">
        <v>300000000</v>
      </c>
      <c r="W28" s="67">
        <f t="shared" si="3"/>
        <v>300000000</v>
      </c>
    </row>
    <row r="29" spans="1:23">
      <c r="A29" s="9">
        <f t="shared" si="4"/>
        <v>26</v>
      </c>
      <c r="B29" s="31" t="s">
        <v>42</v>
      </c>
      <c r="C29" s="32">
        <v>250000</v>
      </c>
      <c r="D29" s="59">
        <v>6.9739999999999996E-2</v>
      </c>
      <c r="E29" s="60">
        <v>39237</v>
      </c>
      <c r="F29" s="60">
        <v>42887</v>
      </c>
      <c r="G29" s="24">
        <v>98.226799999999997</v>
      </c>
      <c r="H29" s="25">
        <f t="shared" si="1"/>
        <v>7.2260886393425011E-2</v>
      </c>
      <c r="I29" s="36">
        <f t="shared" si="2"/>
        <v>18065221.598356254</v>
      </c>
      <c r="J29" s="27">
        <v>250000000</v>
      </c>
      <c r="K29" s="27">
        <v>250000000</v>
      </c>
      <c r="L29" s="27">
        <v>250000000</v>
      </c>
      <c r="M29" s="27">
        <v>250000000</v>
      </c>
      <c r="N29" s="27">
        <v>250000000</v>
      </c>
      <c r="O29" s="27">
        <v>250000000</v>
      </c>
      <c r="P29" s="27">
        <v>250000000</v>
      </c>
      <c r="Q29" s="27">
        <v>250000000</v>
      </c>
      <c r="R29" s="27">
        <v>250000000</v>
      </c>
      <c r="S29" s="27">
        <v>250000000</v>
      </c>
      <c r="T29" s="27">
        <v>250000000</v>
      </c>
      <c r="U29" s="27">
        <v>250000000</v>
      </c>
      <c r="V29" s="27">
        <v>250000000</v>
      </c>
      <c r="W29" s="28">
        <f t="shared" si="3"/>
        <v>250000000</v>
      </c>
    </row>
    <row r="30" spans="1:23">
      <c r="A30" s="9">
        <f t="shared" si="4"/>
        <v>27</v>
      </c>
      <c r="B30" s="73" t="s">
        <v>39</v>
      </c>
      <c r="C30" s="32">
        <v>250000</v>
      </c>
      <c r="D30" s="61">
        <v>4.4339999999999997E-2</v>
      </c>
      <c r="E30" s="62">
        <v>40862</v>
      </c>
      <c r="F30" s="62">
        <v>51820</v>
      </c>
      <c r="G30" s="63">
        <v>98.96</v>
      </c>
      <c r="H30" s="64">
        <f t="shared" si="1"/>
        <v>4.4974947957797821E-2</v>
      </c>
      <c r="I30" s="65">
        <f t="shared" si="2"/>
        <v>11243736.989449454</v>
      </c>
      <c r="J30" s="66">
        <v>250000000</v>
      </c>
      <c r="K30" s="66">
        <v>250000000</v>
      </c>
      <c r="L30" s="66">
        <v>250000000</v>
      </c>
      <c r="M30" s="66">
        <v>250000000</v>
      </c>
      <c r="N30" s="66">
        <v>250000000</v>
      </c>
      <c r="O30" s="66">
        <v>250000000</v>
      </c>
      <c r="P30" s="66">
        <v>250000000</v>
      </c>
      <c r="Q30" s="66">
        <v>250000000</v>
      </c>
      <c r="R30" s="66">
        <v>250000000</v>
      </c>
      <c r="S30" s="66">
        <v>250000000</v>
      </c>
      <c r="T30" s="66">
        <v>250000000</v>
      </c>
      <c r="U30" s="66">
        <v>250000000</v>
      </c>
      <c r="V30" s="66">
        <v>250000000</v>
      </c>
      <c r="W30" s="67">
        <f t="shared" si="3"/>
        <v>250000000</v>
      </c>
    </row>
    <row r="31" spans="1:23">
      <c r="A31" s="9">
        <f t="shared" si="4"/>
        <v>28</v>
      </c>
      <c r="B31" s="73" t="s">
        <v>39</v>
      </c>
      <c r="C31" s="32">
        <v>45000</v>
      </c>
      <c r="D31" s="61">
        <v>4.7E-2</v>
      </c>
      <c r="E31" s="62">
        <v>40869</v>
      </c>
      <c r="F31" s="62">
        <v>55472</v>
      </c>
      <c r="G31" s="63">
        <f>100-1.5</f>
        <v>98.5</v>
      </c>
      <c r="H31" s="64">
        <f t="shared" si="1"/>
        <v>4.7844751292528805E-2</v>
      </c>
      <c r="I31" s="65">
        <f t="shared" si="2"/>
        <v>2153013.8081637961</v>
      </c>
      <c r="J31" s="66">
        <v>45000000</v>
      </c>
      <c r="K31" s="66">
        <v>45000000</v>
      </c>
      <c r="L31" s="66">
        <v>45000000</v>
      </c>
      <c r="M31" s="66">
        <v>45000000</v>
      </c>
      <c r="N31" s="66">
        <v>45000000</v>
      </c>
      <c r="O31" s="66">
        <v>45000000</v>
      </c>
      <c r="P31" s="66">
        <v>45000000</v>
      </c>
      <c r="Q31" s="66">
        <v>45000000</v>
      </c>
      <c r="R31" s="66">
        <v>45000000</v>
      </c>
      <c r="S31" s="66">
        <v>45000000</v>
      </c>
      <c r="T31" s="66">
        <v>45000000</v>
      </c>
      <c r="U31" s="66">
        <v>45000000</v>
      </c>
      <c r="V31" s="66">
        <v>45000000</v>
      </c>
      <c r="W31" s="74">
        <f t="shared" si="3"/>
        <v>45000000</v>
      </c>
    </row>
    <row r="32" spans="1:23">
      <c r="A32" s="9">
        <f t="shared" si="4"/>
        <v>29</v>
      </c>
      <c r="C32" s="75"/>
      <c r="E32" s="76"/>
      <c r="G32" s="78" t="s">
        <v>52</v>
      </c>
      <c r="H32" s="79"/>
      <c r="I32" s="65">
        <v>1586065.51</v>
      </c>
      <c r="J32" s="80"/>
      <c r="K32" s="80"/>
      <c r="L32" s="80"/>
      <c r="M32" s="81"/>
      <c r="N32" s="80"/>
      <c r="P32" s="82"/>
      <c r="Q32" s="82"/>
      <c r="R32" s="82"/>
      <c r="S32" s="82"/>
      <c r="T32" s="82"/>
      <c r="U32" s="82"/>
      <c r="V32" s="82"/>
      <c r="W32" s="28"/>
    </row>
    <row r="33" spans="1:26">
      <c r="A33" s="9">
        <f t="shared" si="4"/>
        <v>30</v>
      </c>
      <c r="C33" s="75"/>
      <c r="E33" s="76"/>
      <c r="G33" s="78" t="s">
        <v>43</v>
      </c>
      <c r="H33" s="79"/>
      <c r="I33" s="65">
        <f>I46</f>
        <v>350565.14084507042</v>
      </c>
      <c r="J33" s="80"/>
      <c r="K33" s="80"/>
      <c r="L33" s="80"/>
      <c r="M33" s="81"/>
      <c r="N33" s="80"/>
      <c r="P33" s="82"/>
      <c r="Q33" s="82"/>
      <c r="R33" s="82"/>
      <c r="S33" s="82"/>
      <c r="T33" s="82"/>
      <c r="U33" s="82"/>
      <c r="V33" s="82"/>
      <c r="W33" s="28"/>
    </row>
    <row r="34" spans="1:26" ht="13.5" thickBot="1">
      <c r="A34" s="9">
        <f t="shared" si="4"/>
        <v>31</v>
      </c>
      <c r="B34" s="83" t="s">
        <v>44</v>
      </c>
      <c r="C34" s="84"/>
      <c r="D34" s="9"/>
      <c r="E34" s="29"/>
      <c r="F34" s="29"/>
      <c r="G34" s="85"/>
      <c r="H34" s="86">
        <f>+I34/W34</f>
        <v>6.1596261123493409E-2</v>
      </c>
      <c r="I34" s="87">
        <f>SUM(I9:I33)</f>
        <v>232455666.00350684</v>
      </c>
      <c r="J34" s="88">
        <f t="shared" ref="J34:W34" si="5">SUM(J9:J32)</f>
        <v>3773860000</v>
      </c>
      <c r="K34" s="88">
        <f t="shared" si="5"/>
        <v>3773860000</v>
      </c>
      <c r="L34" s="88">
        <f t="shared" si="5"/>
        <v>3773860000</v>
      </c>
      <c r="M34" s="88">
        <f t="shared" si="5"/>
        <v>3773860000</v>
      </c>
      <c r="N34" s="88">
        <f t="shared" si="5"/>
        <v>3773860000</v>
      </c>
      <c r="O34" s="88">
        <f t="shared" si="5"/>
        <v>3773860000</v>
      </c>
      <c r="P34" s="89">
        <f t="shared" si="5"/>
        <v>3773860000</v>
      </c>
      <c r="Q34" s="89">
        <f t="shared" si="5"/>
        <v>3773860000</v>
      </c>
      <c r="R34" s="89">
        <f t="shared" si="5"/>
        <v>3773860000</v>
      </c>
      <c r="S34" s="89">
        <f t="shared" si="5"/>
        <v>3773860000</v>
      </c>
      <c r="T34" s="89">
        <f t="shared" si="5"/>
        <v>3773860000</v>
      </c>
      <c r="U34" s="89">
        <f t="shared" si="5"/>
        <v>3773860000</v>
      </c>
      <c r="V34" s="89">
        <f t="shared" si="5"/>
        <v>3773860000</v>
      </c>
      <c r="W34" s="90">
        <f t="shared" si="5"/>
        <v>3773860000</v>
      </c>
      <c r="Z34" s="91"/>
    </row>
    <row r="35" spans="1:26" ht="13.5" thickTop="1">
      <c r="A35" s="9">
        <f t="shared" si="4"/>
        <v>32</v>
      </c>
      <c r="B35" s="9"/>
      <c r="C35" s="92"/>
      <c r="D35" s="9"/>
      <c r="E35" s="29"/>
      <c r="F35" s="29"/>
      <c r="G35" s="93"/>
      <c r="H35" s="94"/>
      <c r="I35" s="95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7"/>
      <c r="Z35" s="91"/>
    </row>
    <row r="36" spans="1:26">
      <c r="A36" s="9">
        <f t="shared" si="4"/>
        <v>33</v>
      </c>
      <c r="B36" s="9"/>
      <c r="C36" s="92"/>
      <c r="D36" s="9"/>
      <c r="E36" s="29"/>
      <c r="F36" s="29"/>
      <c r="G36" s="93"/>
      <c r="H36" s="94"/>
      <c r="I36" s="95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7"/>
      <c r="Z36" s="91"/>
    </row>
    <row r="37" spans="1:26">
      <c r="A37" s="98" t="s">
        <v>53</v>
      </c>
      <c r="C37" s="92"/>
      <c r="D37" s="9"/>
      <c r="E37" s="29"/>
      <c r="F37" s="29"/>
      <c r="G37" s="93"/>
      <c r="H37" s="94"/>
      <c r="I37" s="95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7"/>
      <c r="Z37" s="91"/>
    </row>
    <row r="38" spans="1:26">
      <c r="A38" s="98" t="s">
        <v>54</v>
      </c>
      <c r="C38" s="92"/>
      <c r="D38" s="9"/>
      <c r="E38" s="29"/>
      <c r="F38" s="29"/>
      <c r="G38" s="93"/>
      <c r="H38" s="94"/>
      <c r="I38" s="95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7"/>
      <c r="Z38" s="91"/>
    </row>
    <row r="39" spans="1:26">
      <c r="A39" s="99" t="s">
        <v>55</v>
      </c>
      <c r="C39" s="92"/>
      <c r="D39" s="9"/>
      <c r="E39" s="29"/>
      <c r="F39" s="29"/>
      <c r="G39" s="93"/>
      <c r="H39" s="94"/>
      <c r="I39" s="95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7"/>
      <c r="Z39" s="91"/>
    </row>
    <row r="40" spans="1:26">
      <c r="A40" s="99"/>
      <c r="C40" s="92"/>
      <c r="D40" s="9"/>
      <c r="E40" s="29"/>
      <c r="F40" s="29"/>
      <c r="G40" s="93"/>
      <c r="H40" s="94"/>
      <c r="I40" s="95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7"/>
      <c r="Z40" s="91"/>
    </row>
    <row r="41" spans="1:26">
      <c r="A41" s="9" t="s">
        <v>45</v>
      </c>
      <c r="B41" s="9"/>
      <c r="C41" s="92"/>
      <c r="D41" s="9"/>
      <c r="E41" s="29"/>
      <c r="F41" s="29"/>
      <c r="G41" s="93"/>
      <c r="H41" s="100" t="s">
        <v>46</v>
      </c>
      <c r="I41" s="36">
        <f>3938343.78+665587.47</f>
        <v>4603931.25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7"/>
      <c r="Z41" s="91"/>
    </row>
    <row r="42" spans="1:26">
      <c r="A42" s="9"/>
      <c r="B42" s="9"/>
      <c r="C42" s="92"/>
      <c r="D42" s="9"/>
      <c r="E42" s="29"/>
      <c r="F42" s="29"/>
      <c r="G42" s="93"/>
      <c r="H42" s="100" t="s">
        <v>47</v>
      </c>
      <c r="I42" s="36">
        <v>1618600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7"/>
      <c r="Z42" s="91"/>
    </row>
    <row r="43" spans="1:26">
      <c r="A43" s="9"/>
      <c r="B43" s="9"/>
      <c r="C43" s="92"/>
      <c r="D43" s="9"/>
      <c r="E43" s="29"/>
      <c r="F43" s="29"/>
      <c r="G43" s="93"/>
      <c r="H43" s="100" t="s">
        <v>48</v>
      </c>
      <c r="I43" s="45">
        <f>SUM(I41:I42)</f>
        <v>6222531.25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7"/>
      <c r="Z43" s="91"/>
    </row>
    <row r="44" spans="1:26">
      <c r="A44" s="9"/>
      <c r="B44" s="9"/>
      <c r="C44" s="92"/>
      <c r="D44" s="9"/>
      <c r="E44" s="29"/>
      <c r="F44" s="29"/>
      <c r="G44" s="93"/>
      <c r="H44" s="100" t="s">
        <v>49</v>
      </c>
      <c r="I44" s="101">
        <f>(18*12)-3</f>
        <v>213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7"/>
      <c r="Z44" s="91"/>
    </row>
    <row r="45" spans="1:26">
      <c r="A45" s="9"/>
      <c r="B45" s="9"/>
      <c r="C45" s="92"/>
      <c r="D45" s="9"/>
      <c r="E45" s="29"/>
      <c r="F45" s="29"/>
      <c r="G45" s="93"/>
      <c r="H45" s="100" t="s">
        <v>50</v>
      </c>
      <c r="I45" s="101">
        <f>I43/I44</f>
        <v>29213.7617370892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7"/>
      <c r="Z45" s="91"/>
    </row>
    <row r="46" spans="1:26">
      <c r="A46" s="9"/>
      <c r="B46" s="9"/>
      <c r="C46" s="92"/>
      <c r="D46" s="9"/>
      <c r="E46" s="29"/>
      <c r="F46" s="29"/>
      <c r="G46" s="93"/>
      <c r="H46" s="100" t="s">
        <v>51</v>
      </c>
      <c r="I46" s="101">
        <f>I45*12</f>
        <v>350565.14084507042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7"/>
      <c r="Z46" s="91"/>
    </row>
    <row r="47" spans="1:26">
      <c r="B47" s="9"/>
      <c r="C47" s="92"/>
      <c r="D47" s="9"/>
      <c r="E47" s="29"/>
      <c r="F47" s="29"/>
      <c r="G47" s="93"/>
      <c r="H47" s="94"/>
      <c r="I47" s="95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7"/>
      <c r="Z47" s="91"/>
    </row>
    <row r="48" spans="1:26">
      <c r="B48" s="9"/>
      <c r="C48" s="92"/>
      <c r="D48" s="9"/>
      <c r="E48" s="29"/>
      <c r="F48" s="29"/>
      <c r="G48" s="93"/>
      <c r="H48" s="94"/>
      <c r="I48" s="95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7"/>
      <c r="Z48" s="91"/>
    </row>
    <row r="49" spans="2:23">
      <c r="C49" s="8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</row>
    <row r="50" spans="2:23">
      <c r="C50" s="82"/>
      <c r="J50" s="104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6"/>
    </row>
    <row r="51" spans="2:23">
      <c r="C51" s="82"/>
      <c r="J51" s="104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8"/>
      <c r="W51" s="107"/>
    </row>
    <row r="52" spans="2:23">
      <c r="V52" s="28"/>
    </row>
    <row r="53" spans="2:23" ht="15.75" customHeight="1">
      <c r="B53" s="109"/>
      <c r="I53" s="110"/>
      <c r="V53" s="28"/>
    </row>
    <row r="54" spans="2:23">
      <c r="G54" s="111"/>
      <c r="H54" s="112"/>
      <c r="I54" s="110"/>
      <c r="W54" s="113"/>
    </row>
    <row r="56" spans="2:23">
      <c r="G56" s="111"/>
      <c r="H56" s="112"/>
    </row>
    <row r="57" spans="2:23">
      <c r="H57" s="112"/>
      <c r="I57" s="114"/>
    </row>
    <row r="58" spans="2:23">
      <c r="H58" s="112"/>
      <c r="I58" s="114"/>
    </row>
    <row r="59" spans="2:23">
      <c r="H59" s="112"/>
    </row>
    <row r="60" spans="2:23">
      <c r="H60" s="112"/>
    </row>
  </sheetData>
  <mergeCells count="6">
    <mergeCell ref="B1:C1"/>
    <mergeCell ref="C6:C8"/>
    <mergeCell ref="W5:W8"/>
    <mergeCell ref="H7:H8"/>
    <mergeCell ref="I7:I8"/>
    <mergeCell ref="G5:G8"/>
  </mergeCells>
  <phoneticPr fontId="15" type="noConversion"/>
  <printOptions horizontalCentered="1"/>
  <pageMargins left="0.28000000000000003" right="0.25" top="0.61" bottom="0.77" header="0.27" footer="0.27"/>
  <pageSetup scale="78" orientation="landscape" verticalDpi="300" r:id="rId1"/>
  <headerFooter alignWithMargins="0"/>
  <rowBreaks count="1" manualBreakCount="1">
    <brk id="52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58"/>
  <sheetViews>
    <sheetView showGridLines="0" zoomScaleNormal="100" workbookViewId="0">
      <selection activeCell="E19" sqref="E19"/>
    </sheetView>
  </sheetViews>
  <sheetFormatPr defaultColWidth="11.42578125" defaultRowHeight="12.75"/>
  <cols>
    <col min="1" max="1" width="4.28515625" style="115" customWidth="1"/>
    <col min="2" max="2" width="31.140625" style="115" customWidth="1"/>
    <col min="3" max="3" width="11.85546875" style="115" customWidth="1"/>
    <col min="4" max="4" width="12.5703125" style="115" customWidth="1"/>
    <col min="5" max="5" width="10.5703125" style="115" customWidth="1"/>
    <col min="6" max="6" width="11.85546875" style="115" customWidth="1"/>
    <col min="7" max="7" width="4.28515625" style="115" customWidth="1"/>
    <col min="8" max="16384" width="11.42578125" style="115"/>
  </cols>
  <sheetData>
    <row r="1" spans="1:19" ht="15.75">
      <c r="B1" s="185" t="s">
        <v>56</v>
      </c>
      <c r="C1" s="185"/>
      <c r="D1" s="185"/>
      <c r="E1" s="185"/>
      <c r="F1" s="185"/>
    </row>
    <row r="2" spans="1:19">
      <c r="A2" s="116"/>
      <c r="B2" s="117"/>
      <c r="C2" s="117"/>
      <c r="D2" s="117"/>
      <c r="E2" s="117"/>
      <c r="F2" s="117"/>
      <c r="R2" s="118"/>
      <c r="S2" s="118"/>
    </row>
    <row r="3" spans="1:19" ht="17.25" customHeight="1">
      <c r="B3" s="187" t="s">
        <v>57</v>
      </c>
      <c r="C3" s="187"/>
      <c r="D3" s="187"/>
      <c r="E3" s="187"/>
      <c r="F3" s="187"/>
      <c r="S3" s="118"/>
    </row>
    <row r="4" spans="1:19" ht="19.5" customHeight="1">
      <c r="A4" s="119"/>
      <c r="B4" s="186" t="s">
        <v>58</v>
      </c>
      <c r="C4" s="186"/>
      <c r="D4" s="186"/>
      <c r="E4" s="186"/>
      <c r="F4" s="186"/>
      <c r="S4" s="118"/>
    </row>
    <row r="5" spans="1:19" ht="20.25" customHeight="1">
      <c r="A5" s="120" t="s">
        <v>59</v>
      </c>
      <c r="B5" s="121"/>
      <c r="C5" s="120"/>
      <c r="D5" s="120"/>
      <c r="E5" s="120"/>
      <c r="F5" s="120"/>
      <c r="H5" s="122"/>
    </row>
    <row r="6" spans="1:19">
      <c r="A6" s="123"/>
      <c r="C6" s="124"/>
      <c r="H6" s="125"/>
    </row>
    <row r="7" spans="1:19">
      <c r="A7" s="126">
        <v>1</v>
      </c>
      <c r="B7" s="10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H7" s="125"/>
    </row>
    <row r="8" spans="1:19">
      <c r="A8" s="126">
        <f t="shared" ref="A8:A38" si="0">+A7+1</f>
        <v>2</v>
      </c>
      <c r="B8" s="127"/>
      <c r="C8" s="128"/>
      <c r="D8" s="128"/>
      <c r="E8" s="128"/>
      <c r="F8" s="129"/>
      <c r="H8" s="125"/>
    </row>
    <row r="9" spans="1:19">
      <c r="A9" s="126">
        <f t="shared" si="0"/>
        <v>3</v>
      </c>
      <c r="B9" s="130" t="s">
        <v>60</v>
      </c>
      <c r="C9" s="131"/>
      <c r="D9" s="131"/>
      <c r="E9" s="131"/>
      <c r="F9" s="132"/>
      <c r="H9" s="125"/>
    </row>
    <row r="10" spans="1:19">
      <c r="A10" s="126">
        <f t="shared" si="0"/>
        <v>4</v>
      </c>
      <c r="H10" s="125"/>
    </row>
    <row r="11" spans="1:19">
      <c r="A11" s="126">
        <f t="shared" si="0"/>
        <v>5</v>
      </c>
      <c r="B11" s="133"/>
      <c r="C11" s="134"/>
      <c r="D11" s="133"/>
      <c r="E11" s="135" t="s">
        <v>61</v>
      </c>
      <c r="F11" s="129" t="s">
        <v>62</v>
      </c>
      <c r="H11" s="122"/>
    </row>
    <row r="12" spans="1:19">
      <c r="A12" s="126">
        <f t="shared" si="0"/>
        <v>6</v>
      </c>
      <c r="B12" s="136" t="s">
        <v>63</v>
      </c>
      <c r="C12" s="137"/>
      <c r="D12" s="138" t="s">
        <v>64</v>
      </c>
      <c r="E12" s="138" t="s">
        <v>65</v>
      </c>
      <c r="F12" s="138" t="s">
        <v>66</v>
      </c>
      <c r="H12" s="122"/>
    </row>
    <row r="13" spans="1:19">
      <c r="A13" s="126">
        <f t="shared" si="0"/>
        <v>7</v>
      </c>
      <c r="B13" s="139"/>
      <c r="C13" s="140"/>
      <c r="D13" s="140"/>
      <c r="E13" s="140"/>
      <c r="F13" s="140"/>
      <c r="H13" s="122"/>
    </row>
    <row r="14" spans="1:19">
      <c r="A14" s="126">
        <f t="shared" si="0"/>
        <v>8</v>
      </c>
      <c r="B14" s="141" t="s">
        <v>67</v>
      </c>
      <c r="C14" s="142"/>
      <c r="D14" s="143">
        <v>0.04</v>
      </c>
      <c r="E14" s="143">
        <v>2.6800000000000001E-2</v>
      </c>
      <c r="F14" s="144">
        <f>ROUND(+D14*E14,4)</f>
        <v>1.1000000000000001E-3</v>
      </c>
      <c r="H14" s="122"/>
    </row>
    <row r="15" spans="1:19">
      <c r="A15" s="126">
        <f t="shared" si="0"/>
        <v>9</v>
      </c>
      <c r="B15" s="145"/>
      <c r="C15" s="146"/>
      <c r="D15" s="143"/>
      <c r="E15" s="143"/>
      <c r="F15" s="144"/>
      <c r="H15" s="122"/>
    </row>
    <row r="16" spans="1:19">
      <c r="A16" s="126">
        <f t="shared" si="0"/>
        <v>10</v>
      </c>
      <c r="B16" s="141" t="s">
        <v>68</v>
      </c>
      <c r="C16" s="147"/>
      <c r="D16" s="143">
        <f>1-D18-D14</f>
        <v>0.48000000000000004</v>
      </c>
      <c r="E16" s="144">
        <v>6.2199999999999998E-2</v>
      </c>
      <c r="F16" s="144">
        <f>ROUND(+D16*E16,4)</f>
        <v>2.9899999999999999E-2</v>
      </c>
      <c r="H16" s="122"/>
    </row>
    <row r="17" spans="1:8">
      <c r="A17" s="126">
        <f t="shared" si="0"/>
        <v>11</v>
      </c>
      <c r="B17" s="148"/>
      <c r="C17" s="149"/>
      <c r="D17" s="143"/>
      <c r="E17" s="150"/>
      <c r="F17" s="144"/>
      <c r="H17" s="122"/>
    </row>
    <row r="18" spans="1:8">
      <c r="A18" s="126">
        <f t="shared" si="0"/>
        <v>12</v>
      </c>
      <c r="B18" s="141" t="s">
        <v>69</v>
      </c>
      <c r="C18" s="151"/>
      <c r="D18" s="152">
        <v>0.48</v>
      </c>
      <c r="E18" s="144">
        <v>9.8000000000000004E-2</v>
      </c>
      <c r="F18" s="153">
        <f>ROUND(+D18*E18,4)</f>
        <v>4.7E-2</v>
      </c>
      <c r="H18" s="122"/>
    </row>
    <row r="19" spans="1:8">
      <c r="A19" s="126">
        <f t="shared" si="0"/>
        <v>13</v>
      </c>
      <c r="B19" s="148"/>
      <c r="C19" s="154"/>
      <c r="D19" s="144"/>
      <c r="E19" s="155"/>
      <c r="F19" s="144"/>
      <c r="H19" s="122"/>
    </row>
    <row r="20" spans="1:8">
      <c r="A20" s="126">
        <f t="shared" si="0"/>
        <v>14</v>
      </c>
      <c r="B20" s="156" t="s">
        <v>70</v>
      </c>
      <c r="C20" s="157"/>
      <c r="D20" s="158">
        <f>SUM(D14:D18)</f>
        <v>1</v>
      </c>
      <c r="E20" s="159"/>
      <c r="F20" s="158">
        <f>SUM(F14:F18)</f>
        <v>7.8E-2</v>
      </c>
      <c r="G20" s="160"/>
      <c r="H20" s="122"/>
    </row>
    <row r="21" spans="1:8">
      <c r="A21" s="126">
        <f t="shared" si="0"/>
        <v>15</v>
      </c>
      <c r="B21" s="156"/>
      <c r="C21" s="157"/>
      <c r="D21" s="158"/>
      <c r="E21" s="159"/>
      <c r="F21" s="158"/>
      <c r="G21" s="160"/>
      <c r="H21" s="122"/>
    </row>
    <row r="22" spans="1:8">
      <c r="A22" s="126">
        <f t="shared" si="0"/>
        <v>16</v>
      </c>
      <c r="B22" s="128"/>
      <c r="C22" s="128"/>
      <c r="D22" s="161"/>
      <c r="E22" s="128"/>
      <c r="F22" s="128"/>
      <c r="H22" s="122"/>
    </row>
    <row r="23" spans="1:8">
      <c r="A23" s="126">
        <f t="shared" si="0"/>
        <v>17</v>
      </c>
      <c r="B23" s="128"/>
      <c r="D23" s="161"/>
      <c r="E23" s="128"/>
      <c r="F23" s="128"/>
      <c r="H23" s="122"/>
    </row>
    <row r="24" spans="1:8">
      <c r="A24" s="126">
        <f t="shared" si="0"/>
        <v>18</v>
      </c>
      <c r="B24" s="162"/>
      <c r="C24" s="147"/>
      <c r="D24" s="161"/>
      <c r="E24" s="128"/>
      <c r="F24" s="128"/>
      <c r="H24" s="122"/>
    </row>
    <row r="25" spans="1:8">
      <c r="A25" s="126">
        <f t="shared" si="0"/>
        <v>19</v>
      </c>
      <c r="B25" s="130" t="s">
        <v>71</v>
      </c>
      <c r="C25" s="131"/>
      <c r="D25" s="131"/>
      <c r="E25" s="131"/>
      <c r="F25" s="132"/>
      <c r="H25" s="122"/>
    </row>
    <row r="26" spans="1:8">
      <c r="A26" s="126">
        <f t="shared" si="0"/>
        <v>20</v>
      </c>
      <c r="H26" s="122"/>
    </row>
    <row r="27" spans="1:8">
      <c r="A27" s="126">
        <f t="shared" si="0"/>
        <v>21</v>
      </c>
      <c r="B27" s="133"/>
      <c r="C27" s="134"/>
      <c r="D27" s="133"/>
      <c r="E27" s="135" t="s">
        <v>61</v>
      </c>
      <c r="F27" s="135" t="s">
        <v>62</v>
      </c>
      <c r="H27" s="122"/>
    </row>
    <row r="28" spans="1:8">
      <c r="A28" s="126">
        <f t="shared" si="0"/>
        <v>22</v>
      </c>
      <c r="B28" s="136" t="s">
        <v>63</v>
      </c>
      <c r="C28" s="137"/>
      <c r="D28" s="138" t="s">
        <v>64</v>
      </c>
      <c r="E28" s="138" t="s">
        <v>65</v>
      </c>
      <c r="F28" s="138" t="s">
        <v>66</v>
      </c>
      <c r="H28" s="122"/>
    </row>
    <row r="29" spans="1:8">
      <c r="A29" s="126">
        <f t="shared" si="0"/>
        <v>23</v>
      </c>
      <c r="B29" s="160"/>
      <c r="C29" s="160"/>
      <c r="D29" s="163"/>
      <c r="E29" s="160"/>
      <c r="F29" s="164"/>
    </row>
    <row r="30" spans="1:8">
      <c r="A30" s="126">
        <f t="shared" si="0"/>
        <v>24</v>
      </c>
      <c r="B30" s="141" t="s">
        <v>67</v>
      </c>
      <c r="C30" s="142"/>
      <c r="D30" s="143">
        <v>0.04</v>
      </c>
      <c r="E30" s="143">
        <v>2.6800000000000001E-2</v>
      </c>
      <c r="F30" s="144">
        <f>ROUND(+D30*E30,4)</f>
        <v>1.1000000000000001E-3</v>
      </c>
      <c r="G30" s="165"/>
    </row>
    <row r="31" spans="1:8">
      <c r="A31" s="126">
        <f t="shared" si="0"/>
        <v>25</v>
      </c>
      <c r="B31" s="145"/>
      <c r="C31" s="146"/>
      <c r="D31" s="143"/>
      <c r="E31" s="143"/>
      <c r="F31" s="144"/>
      <c r="G31" s="166"/>
    </row>
    <row r="32" spans="1:8">
      <c r="A32" s="126">
        <f t="shared" si="0"/>
        <v>26</v>
      </c>
      <c r="B32" s="141" t="s">
        <v>68</v>
      </c>
      <c r="C32" s="147"/>
      <c r="D32" s="143">
        <f>1-D34-D30</f>
        <v>0.48000000000000004</v>
      </c>
      <c r="E32" s="144">
        <v>6.1596261123493409E-2</v>
      </c>
      <c r="F32" s="144">
        <f>ROUND(+D32*E32,4)</f>
        <v>2.9600000000000001E-2</v>
      </c>
      <c r="G32" s="167"/>
    </row>
    <row r="33" spans="1:10">
      <c r="A33" s="126">
        <f t="shared" si="0"/>
        <v>27</v>
      </c>
      <c r="B33" s="148"/>
      <c r="C33" s="149"/>
      <c r="D33" s="143"/>
      <c r="E33" s="150"/>
      <c r="F33" s="144"/>
      <c r="G33" s="166"/>
    </row>
    <row r="34" spans="1:10">
      <c r="A34" s="126">
        <f t="shared" si="0"/>
        <v>28</v>
      </c>
      <c r="B34" s="141" t="s">
        <v>69</v>
      </c>
      <c r="C34" s="151"/>
      <c r="D34" s="152">
        <v>0.48</v>
      </c>
      <c r="E34" s="144">
        <v>9.8000000000000004E-2</v>
      </c>
      <c r="F34" s="153">
        <f>ROUND(+D34*E34,4)</f>
        <v>4.7E-2</v>
      </c>
      <c r="G34" s="168"/>
    </row>
    <row r="35" spans="1:10">
      <c r="A35" s="126">
        <f t="shared" si="0"/>
        <v>29</v>
      </c>
      <c r="B35" s="148"/>
      <c r="C35" s="154"/>
      <c r="D35" s="144"/>
      <c r="E35" s="155"/>
      <c r="F35" s="144"/>
      <c r="G35" s="166"/>
    </row>
    <row r="36" spans="1:10">
      <c r="A36" s="126">
        <f t="shared" si="0"/>
        <v>30</v>
      </c>
      <c r="B36" s="156" t="s">
        <v>70</v>
      </c>
      <c r="C36" s="157"/>
      <c r="D36" s="158">
        <f>SUM(D30:D34)</f>
        <v>1</v>
      </c>
      <c r="E36" s="159"/>
      <c r="F36" s="158">
        <f>SUM(F30:F34)</f>
        <v>7.7700000000000005E-2</v>
      </c>
      <c r="G36" s="169"/>
    </row>
    <row r="37" spans="1:10">
      <c r="A37" s="126">
        <f t="shared" si="0"/>
        <v>31</v>
      </c>
      <c r="B37" s="128"/>
      <c r="C37" s="170"/>
      <c r="D37" s="171"/>
      <c r="E37" s="170"/>
      <c r="F37" s="171"/>
      <c r="G37" s="171"/>
    </row>
    <row r="38" spans="1:10">
      <c r="A38" s="126">
        <f t="shared" si="0"/>
        <v>32</v>
      </c>
      <c r="B38" s="172" t="s">
        <v>72</v>
      </c>
      <c r="C38" s="173"/>
      <c r="D38" s="128"/>
      <c r="E38" s="174"/>
      <c r="F38" s="174"/>
    </row>
    <row r="39" spans="1:10">
      <c r="A39" s="126"/>
      <c r="B39" s="172"/>
      <c r="G39" s="175"/>
      <c r="H39" s="139"/>
      <c r="I39" s="176"/>
      <c r="J39" s="176"/>
    </row>
    <row r="40" spans="1:10" ht="12.75" customHeight="1">
      <c r="A40" s="177"/>
      <c r="G40" s="175"/>
      <c r="H40" s="175"/>
      <c r="I40" s="175"/>
      <c r="J40" s="175"/>
    </row>
    <row r="41" spans="1:10">
      <c r="A41" s="177"/>
      <c r="G41" s="175"/>
      <c r="H41" s="144"/>
      <c r="I41" s="144"/>
      <c r="J41" s="166"/>
    </row>
    <row r="42" spans="1:10">
      <c r="A42" s="177"/>
      <c r="G42" s="175"/>
      <c r="H42" s="178"/>
      <c r="I42" s="144"/>
      <c r="J42" s="166"/>
    </row>
    <row r="43" spans="1:10" ht="13.5" customHeight="1">
      <c r="A43" s="109"/>
      <c r="G43" s="175"/>
      <c r="H43" s="144"/>
      <c r="I43" s="144"/>
      <c r="J43" s="166"/>
    </row>
    <row r="44" spans="1:10">
      <c r="A44" s="177"/>
      <c r="G44" s="175"/>
      <c r="H44" s="144"/>
      <c r="I44" s="155"/>
      <c r="J44" s="166"/>
    </row>
    <row r="45" spans="1:10">
      <c r="A45" s="177"/>
      <c r="G45" s="175"/>
      <c r="H45" s="153"/>
      <c r="I45" s="144"/>
      <c r="J45" s="168"/>
    </row>
    <row r="46" spans="1:10">
      <c r="G46" s="175"/>
      <c r="H46" s="175"/>
      <c r="I46" s="175"/>
      <c r="J46" s="166"/>
    </row>
    <row r="47" spans="1:10">
      <c r="G47" s="175"/>
      <c r="H47" s="169"/>
      <c r="I47" s="175"/>
      <c r="J47" s="169"/>
    </row>
    <row r="50" spans="3:4">
      <c r="C50" s="179"/>
      <c r="D50" s="180"/>
    </row>
    <row r="51" spans="3:4">
      <c r="D51" s="180"/>
    </row>
    <row r="52" spans="3:4">
      <c r="C52" s="179"/>
      <c r="D52" s="180"/>
    </row>
    <row r="53" spans="3:4">
      <c r="C53" s="179"/>
      <c r="D53" s="180"/>
    </row>
    <row r="54" spans="3:4">
      <c r="C54" s="179"/>
      <c r="D54" s="180"/>
    </row>
    <row r="55" spans="3:4">
      <c r="C55" s="179"/>
      <c r="D55" s="180"/>
    </row>
    <row r="56" spans="3:4">
      <c r="D56" s="180"/>
    </row>
    <row r="57" spans="3:4">
      <c r="C57" s="179"/>
      <c r="D57" s="180"/>
    </row>
    <row r="58" spans="3:4">
      <c r="D58" s="181"/>
    </row>
  </sheetData>
  <mergeCells count="3">
    <mergeCell ref="B1:F1"/>
    <mergeCell ref="B4:F4"/>
    <mergeCell ref="B3:F3"/>
  </mergeCells>
  <phoneticPr fontId="15" type="noConversion"/>
  <printOptions horizontalCentered="1"/>
  <pageMargins left="0.5" right="0.53" top="0.61" bottom="0.77" header="0.27" footer="0.27"/>
  <pageSetup scale="95" orientation="landscape" verticalDpi="300" r:id="rId1"/>
  <headerFooter alignWithMargins="0">
    <oddFooter>&amp;R&amp;"Times New Roman,Regular"&amp;10Attachment A, page 2, Bench Request 004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2013-06-18T07:00:00+00:00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9001EEB-D683-497A-BA5D-52C356008A92}"/>
</file>

<file path=customXml/itemProps2.xml><?xml version="1.0" encoding="utf-8"?>
<ds:datastoreItem xmlns:ds="http://schemas.openxmlformats.org/officeDocument/2006/customXml" ds:itemID="{CFB19122-E904-422A-A29D-738EB1AEC0BB}"/>
</file>

<file path=customXml/itemProps3.xml><?xml version="1.0" encoding="utf-8"?>
<ds:datastoreItem xmlns:ds="http://schemas.openxmlformats.org/officeDocument/2006/customXml" ds:itemID="{FE97429B-C775-4F4D-BF5F-350F7D0839F2}"/>
</file>

<file path=customXml/itemProps4.xml><?xml version="1.0" encoding="utf-8"?>
<ds:datastoreItem xmlns:ds="http://schemas.openxmlformats.org/officeDocument/2006/customXml" ds:itemID="{76F6EF89-8C8E-410C-B494-EC7E668FB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Cost of LTD - New PCBs</vt:lpstr>
      <vt:lpstr>Cost of Capital </vt:lpstr>
      <vt:lpstr>'Cost of Capital '!Print_Area</vt:lpstr>
      <vt:lpstr>'Cost of LTD - New PCBs'!Print_Area</vt:lpstr>
      <vt:lpstr>'Cost of LTD - New PCBs'!Print_Titles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No Name</cp:lastModifiedBy>
  <dcterms:created xsi:type="dcterms:W3CDTF">2013-06-14T21:16:45Z</dcterms:created>
  <dcterms:modified xsi:type="dcterms:W3CDTF">2013-06-18T22:39:44Z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