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480" windowHeight="10170"/>
  </bookViews>
  <sheets>
    <sheet name="Adjustment" sheetId="3" r:id="rId1"/>
    <sheet name="2008 Q4" sheetId="1" r:id="rId2"/>
    <sheet name="2009 " sheetId="4" r:id="rId3"/>
    <sheet name="TOTAL" sheetId="7" r:id="rId4"/>
    <sheet name="Savings" sheetId="5" r:id="rId5"/>
  </sheets>
  <definedNames>
    <definedName name="_xlnm._FilterDatabase" localSheetId="1" hidden="1">'2008 Q4'!$A$5:$A$5</definedName>
    <definedName name="_xlnm._FilterDatabase" localSheetId="2" hidden="1">'2009 '!$A$5:$A$5</definedName>
    <definedName name="_xlnm.Print_Area" localSheetId="1">'2008 Q4'!$A$1:$S$14</definedName>
    <definedName name="_xlnm.Print_Area" localSheetId="2">'2009 '!$A$1:$U$14</definedName>
    <definedName name="_xlnm.Print_Area" localSheetId="0">Adjustment!$A$1:$D$18</definedName>
    <definedName name="_xlnm.Print_Titles" localSheetId="0">Adjustment!$4:$5</definedName>
  </definedNames>
  <calcPr calcId="125725"/>
</workbook>
</file>

<file path=xl/calcChain.xml><?xml version="1.0" encoding="utf-8"?>
<calcChain xmlns="http://schemas.openxmlformats.org/spreadsheetml/2006/main">
  <c r="H7" i="4"/>
  <c r="H8"/>
  <c r="H9"/>
  <c r="H10"/>
  <c r="H11"/>
  <c r="H12"/>
  <c r="H6"/>
  <c r="F7" i="7"/>
  <c r="F8"/>
  <c r="F9"/>
  <c r="F10"/>
  <c r="F11"/>
  <c r="F12"/>
  <c r="F6"/>
  <c r="D12"/>
  <c r="D11"/>
  <c r="D10"/>
  <c r="F12" i="4"/>
  <c r="F11"/>
  <c r="F10"/>
  <c r="D12" i="1"/>
  <c r="D11"/>
  <c r="D10"/>
  <c r="E6"/>
  <c r="G6" s="1"/>
  <c r="G6" i="4"/>
  <c r="I6"/>
  <c r="N6" s="1"/>
  <c r="L6"/>
  <c r="P6"/>
  <c r="Q6"/>
  <c r="R6"/>
  <c r="T6"/>
  <c r="U6"/>
  <c r="E7" i="1"/>
  <c r="G7" s="1"/>
  <c r="G7" i="4"/>
  <c r="I7" s="1"/>
  <c r="E8" i="1"/>
  <c r="G8"/>
  <c r="K8" s="1"/>
  <c r="K8" i="7" s="1"/>
  <c r="G8" i="4"/>
  <c r="I8"/>
  <c r="N8" s="1"/>
  <c r="L8"/>
  <c r="P8"/>
  <c r="O8" i="1"/>
  <c r="R8" i="4"/>
  <c r="E9" i="1"/>
  <c r="G9" s="1"/>
  <c r="G9" i="4"/>
  <c r="I9" s="1"/>
  <c r="E10" i="1"/>
  <c r="G10"/>
  <c r="K10" s="1"/>
  <c r="E10" i="4"/>
  <c r="G10"/>
  <c r="I10" s="1"/>
  <c r="N10" i="1"/>
  <c r="P10"/>
  <c r="C11"/>
  <c r="E11"/>
  <c r="G11" s="1"/>
  <c r="G11" i="4"/>
  <c r="I11" s="1"/>
  <c r="C12" i="1"/>
  <c r="E12"/>
  <c r="G12" s="1"/>
  <c r="G12" i="4"/>
  <c r="I12" s="1"/>
  <c r="C7" i="7"/>
  <c r="C13" s="1"/>
  <c r="C6"/>
  <c r="C8"/>
  <c r="C9"/>
  <c r="C10"/>
  <c r="C11"/>
  <c r="C12"/>
  <c r="E9"/>
  <c r="G9" s="1"/>
  <c r="E12"/>
  <c r="G12" s="1"/>
  <c r="E10"/>
  <c r="G10" s="1"/>
  <c r="G17" s="1"/>
  <c r="E8"/>
  <c r="G8" s="1"/>
  <c r="E7"/>
  <c r="G7" s="1"/>
  <c r="E6"/>
  <c r="G6" s="1"/>
  <c r="C25" i="5"/>
  <c r="C6" s="1"/>
  <c r="C8" s="1"/>
  <c r="B8"/>
  <c r="M16" i="4"/>
  <c r="M18" s="1"/>
  <c r="S16"/>
  <c r="M17"/>
  <c r="S17"/>
  <c r="S18"/>
  <c r="D13"/>
  <c r="E13"/>
  <c r="C13"/>
  <c r="C13" i="1"/>
  <c r="C54" i="3"/>
  <c r="D54"/>
  <c r="C55"/>
  <c r="D55"/>
  <c r="B54"/>
  <c r="B55"/>
  <c r="M13" i="4"/>
  <c r="S13"/>
  <c r="E11" i="7"/>
  <c r="G11" s="1"/>
  <c r="C14" i="5"/>
  <c r="C13"/>
  <c r="E13" i="1"/>
  <c r="G13" i="4"/>
  <c r="B14" i="5"/>
  <c r="B13"/>
  <c r="L12" i="4" l="1"/>
  <c r="P12"/>
  <c r="R12"/>
  <c r="N12"/>
  <c r="Q12"/>
  <c r="T12" s="1"/>
  <c r="O11" i="1"/>
  <c r="G17"/>
  <c r="B42" i="3" s="1"/>
  <c r="K11" i="1"/>
  <c r="K11" i="7" s="1"/>
  <c r="J11" i="1"/>
  <c r="N11"/>
  <c r="P11"/>
  <c r="L10" i="4"/>
  <c r="P10"/>
  <c r="R10"/>
  <c r="I17"/>
  <c r="C42" i="3" s="1"/>
  <c r="N10" i="4"/>
  <c r="Q10"/>
  <c r="G13" i="7"/>
  <c r="G16"/>
  <c r="G18" s="1"/>
  <c r="O12" i="1"/>
  <c r="K12"/>
  <c r="K12" i="7" s="1"/>
  <c r="J12" i="1"/>
  <c r="N12"/>
  <c r="P12"/>
  <c r="L11" i="4"/>
  <c r="P11"/>
  <c r="R11"/>
  <c r="N11"/>
  <c r="Q11"/>
  <c r="T11" s="1"/>
  <c r="O9" i="1"/>
  <c r="K9"/>
  <c r="K9" i="7" s="1"/>
  <c r="J9" i="1"/>
  <c r="N9"/>
  <c r="P9"/>
  <c r="O7"/>
  <c r="K7"/>
  <c r="K7" i="7" s="1"/>
  <c r="J7" i="1"/>
  <c r="N7"/>
  <c r="P7"/>
  <c r="O8" i="4"/>
  <c r="O6"/>
  <c r="K17" i="1"/>
  <c r="K10" i="7"/>
  <c r="L9" i="4"/>
  <c r="O9" s="1"/>
  <c r="P9"/>
  <c r="R9"/>
  <c r="N9"/>
  <c r="Q9"/>
  <c r="T9" s="1"/>
  <c r="L7"/>
  <c r="P7"/>
  <c r="R7"/>
  <c r="I13"/>
  <c r="C14" i="3" s="1"/>
  <c r="N7" i="4"/>
  <c r="Q7"/>
  <c r="I16"/>
  <c r="N16"/>
  <c r="K6" i="1"/>
  <c r="J6"/>
  <c r="N6"/>
  <c r="P6"/>
  <c r="G16"/>
  <c r="G13"/>
  <c r="B14" i="3" s="1"/>
  <c r="O6" i="1"/>
  <c r="E13" i="7"/>
  <c r="O10" i="1"/>
  <c r="J10"/>
  <c r="P8"/>
  <c r="Q8" i="4"/>
  <c r="N8" i="1"/>
  <c r="J8"/>
  <c r="N8" i="7" l="1"/>
  <c r="Q8" i="1"/>
  <c r="Q8" i="7" s="1"/>
  <c r="P8"/>
  <c r="O10"/>
  <c r="O17" i="1"/>
  <c r="O13"/>
  <c r="O6" i="7"/>
  <c r="O16" i="1"/>
  <c r="O18" s="1"/>
  <c r="G18"/>
  <c r="B28" i="3"/>
  <c r="N6" i="7"/>
  <c r="N16" i="1"/>
  <c r="Q6"/>
  <c r="N13"/>
  <c r="K13"/>
  <c r="K6" i="7"/>
  <c r="K16" i="1"/>
  <c r="K18" s="1"/>
  <c r="Q13" i="4"/>
  <c r="T7"/>
  <c r="Q16"/>
  <c r="C7" i="3"/>
  <c r="P16" i="4"/>
  <c r="P13"/>
  <c r="Q7" i="1"/>
  <c r="Q7" i="7" s="1"/>
  <c r="N7"/>
  <c r="P9"/>
  <c r="L9" i="1"/>
  <c r="L9" i="7" s="1"/>
  <c r="J9"/>
  <c r="M9" i="1"/>
  <c r="M9" i="7" s="1"/>
  <c r="O9"/>
  <c r="P12"/>
  <c r="L12" i="1"/>
  <c r="L12" i="7" s="1"/>
  <c r="B11" i="5"/>
  <c r="M12" i="1"/>
  <c r="J12" i="7"/>
  <c r="O12"/>
  <c r="P10"/>
  <c r="R17" i="4"/>
  <c r="C12" i="5"/>
  <c r="C15" s="1"/>
  <c r="C18" s="1"/>
  <c r="L17" i="4"/>
  <c r="C34" i="3" s="1"/>
  <c r="O10" i="4"/>
  <c r="Q11" i="1"/>
  <c r="Q11" i="7" s="1"/>
  <c r="N17" i="1"/>
  <c r="N11" i="7"/>
  <c r="O11"/>
  <c r="R11" i="1"/>
  <c r="R11" i="7" s="1"/>
  <c r="M8" i="1"/>
  <c r="M8" i="7" s="1"/>
  <c r="L8" i="1"/>
  <c r="L8" i="7" s="1"/>
  <c r="R8" i="1"/>
  <c r="J8" i="7"/>
  <c r="T8" i="4"/>
  <c r="U8" s="1"/>
  <c r="O8" i="7"/>
  <c r="L10" i="1"/>
  <c r="J10" i="7"/>
  <c r="J17" i="1"/>
  <c r="B34" i="3" s="1"/>
  <c r="B7"/>
  <c r="D14"/>
  <c r="B56"/>
  <c r="P6" i="7"/>
  <c r="P13" i="1"/>
  <c r="P16"/>
  <c r="J6" i="7"/>
  <c r="J16" i="1"/>
  <c r="J13"/>
  <c r="B6" i="3" s="1"/>
  <c r="L6" i="1"/>
  <c r="C28" i="3"/>
  <c r="I18" i="4"/>
  <c r="U7"/>
  <c r="R13"/>
  <c r="R16"/>
  <c r="R18" s="1"/>
  <c r="L16"/>
  <c r="O7"/>
  <c r="O16" s="1"/>
  <c r="L13"/>
  <c r="C6" i="3" s="1"/>
  <c r="P7" i="7"/>
  <c r="L7" i="1"/>
  <c r="L7" i="7" s="1"/>
  <c r="J7"/>
  <c r="M7" i="1"/>
  <c r="M7" i="7" s="1"/>
  <c r="O7"/>
  <c r="R7" i="1"/>
  <c r="R7" i="7" s="1"/>
  <c r="Q9" i="1"/>
  <c r="Q9" i="7" s="1"/>
  <c r="N9"/>
  <c r="Q12" i="1"/>
  <c r="Q12" i="7" s="1"/>
  <c r="N12"/>
  <c r="T10" i="4"/>
  <c r="T17" s="1"/>
  <c r="Q17"/>
  <c r="C35" i="3"/>
  <c r="P17" i="4"/>
  <c r="N10" i="7"/>
  <c r="N17" s="1"/>
  <c r="P11"/>
  <c r="S11" i="1"/>
  <c r="S11" i="7" s="1"/>
  <c r="P17" i="1"/>
  <c r="L11"/>
  <c r="L11" i="7" s="1"/>
  <c r="J11"/>
  <c r="M11" i="1"/>
  <c r="D42" i="3"/>
  <c r="B35"/>
  <c r="D35" s="1"/>
  <c r="O12" i="4"/>
  <c r="B12" i="5"/>
  <c r="U9" i="4"/>
  <c r="N17"/>
  <c r="N18" s="1"/>
  <c r="N13"/>
  <c r="K17" i="7"/>
  <c r="Q10" i="1"/>
  <c r="U11" i="4"/>
  <c r="O11"/>
  <c r="O13" s="1"/>
  <c r="U12"/>
  <c r="C29" i="3" l="1"/>
  <c r="U16" i="4"/>
  <c r="C21" i="3"/>
  <c r="B10"/>
  <c r="D6"/>
  <c r="B8"/>
  <c r="J13" i="7"/>
  <c r="J16"/>
  <c r="D34" i="3"/>
  <c r="D36" s="1"/>
  <c r="D37" s="1"/>
  <c r="B38"/>
  <c r="B36"/>
  <c r="B37" s="1"/>
  <c r="B39" s="1"/>
  <c r="L10" i="7"/>
  <c r="L17" s="1"/>
  <c r="L17" i="1"/>
  <c r="K13" i="7"/>
  <c r="K16"/>
  <c r="K18" s="1"/>
  <c r="B21" i="3"/>
  <c r="D21" s="1"/>
  <c r="D28"/>
  <c r="O16" i="7"/>
  <c r="O13"/>
  <c r="M11"/>
  <c r="P18" i="1"/>
  <c r="R8" i="7"/>
  <c r="O17" i="4"/>
  <c r="O18" s="1"/>
  <c r="P17" i="7"/>
  <c r="R12" i="1"/>
  <c r="B15" i="5"/>
  <c r="B18" s="1"/>
  <c r="R9" i="1"/>
  <c r="P18" i="4"/>
  <c r="C49" i="3"/>
  <c r="Q18" i="4"/>
  <c r="N18" i="1"/>
  <c r="O17" i="7"/>
  <c r="Q10"/>
  <c r="Q17" s="1"/>
  <c r="Q17" i="1"/>
  <c r="C8" i="3"/>
  <c r="C10"/>
  <c r="L18" i="4"/>
  <c r="C20" i="3"/>
  <c r="L16" i="1"/>
  <c r="L6" i="7"/>
  <c r="L13" i="1"/>
  <c r="B20" i="3"/>
  <c r="B48" s="1"/>
  <c r="J18" i="1"/>
  <c r="P16" i="7"/>
  <c r="P13"/>
  <c r="D7" i="3"/>
  <c r="D49" s="1"/>
  <c r="B49"/>
  <c r="C36"/>
  <c r="C37" s="1"/>
  <c r="C38"/>
  <c r="T16" i="4"/>
  <c r="T13"/>
  <c r="Q6" i="7"/>
  <c r="Q13" i="1"/>
  <c r="Q16"/>
  <c r="N13" i="7"/>
  <c r="N16"/>
  <c r="N18" s="1"/>
  <c r="C15" i="3"/>
  <c r="C43"/>
  <c r="S7" i="1"/>
  <c r="S7" i="7" s="1"/>
  <c r="M6" i="1"/>
  <c r="J17" i="7"/>
  <c r="M10" i="1"/>
  <c r="U10" i="4"/>
  <c r="U17" s="1"/>
  <c r="C44" i="3" s="1"/>
  <c r="M12" i="7"/>
  <c r="C56" i="3"/>
  <c r="R6" i="1"/>
  <c r="R10"/>
  <c r="S8"/>
  <c r="S8" i="7" s="1"/>
  <c r="L18" i="1" l="1"/>
  <c r="C9" i="3"/>
  <c r="D8"/>
  <c r="O18" i="7"/>
  <c r="D56" i="3"/>
  <c r="U18" i="4"/>
  <c r="R10" i="7"/>
  <c r="R17" i="1"/>
  <c r="S10"/>
  <c r="C57" i="3"/>
  <c r="R13" i="1"/>
  <c r="R6" i="7"/>
  <c r="R16" i="1"/>
  <c r="S6"/>
  <c r="M10" i="7"/>
  <c r="M17" s="1"/>
  <c r="M17" i="1"/>
  <c r="B43" i="3" s="1"/>
  <c r="M16" i="1"/>
  <c r="B29" i="3" s="1"/>
  <c r="M6" i="7"/>
  <c r="M13" i="1"/>
  <c r="B15" i="3" s="1"/>
  <c r="Q16" i="7"/>
  <c r="Q18" s="1"/>
  <c r="Q13"/>
  <c r="C30" i="3"/>
  <c r="C31" s="1"/>
  <c r="T18" i="4"/>
  <c r="B24" i="3"/>
  <c r="D20"/>
  <c r="D22" s="1"/>
  <c r="D23" s="1"/>
  <c r="B22"/>
  <c r="B23" s="1"/>
  <c r="B25" s="1"/>
  <c r="L13" i="7"/>
  <c r="L16"/>
  <c r="L18" s="1"/>
  <c r="C22" i="3"/>
  <c r="C23" s="1"/>
  <c r="C24"/>
  <c r="C52" s="1"/>
  <c r="R9" i="7"/>
  <c r="S9" i="1"/>
  <c r="S9" i="7" s="1"/>
  <c r="R12"/>
  <c r="S12" i="1"/>
  <c r="S12" i="7" s="1"/>
  <c r="B9" i="3"/>
  <c r="D10"/>
  <c r="B52"/>
  <c r="C45"/>
  <c r="Q18" i="1"/>
  <c r="C39" i="3"/>
  <c r="P18" i="7"/>
  <c r="C48" i="3"/>
  <c r="D38"/>
  <c r="D39" s="1"/>
  <c r="J18" i="7"/>
  <c r="U13" i="4"/>
  <c r="C16" i="3" s="1"/>
  <c r="C58" l="1"/>
  <c r="C17"/>
  <c r="C59" s="1"/>
  <c r="B57"/>
  <c r="D15"/>
  <c r="D29"/>
  <c r="D43"/>
  <c r="B11"/>
  <c r="B53" s="1"/>
  <c r="B51"/>
  <c r="M13" i="7"/>
  <c r="M16"/>
  <c r="M18" s="1"/>
  <c r="S6"/>
  <c r="S13" i="1"/>
  <c r="S16"/>
  <c r="S18" s="1"/>
  <c r="R16" i="7"/>
  <c r="R13"/>
  <c r="S17" i="1"/>
  <c r="S10" i="7"/>
  <c r="S17" s="1"/>
  <c r="D9" i="3"/>
  <c r="D50"/>
  <c r="C51"/>
  <c r="C11"/>
  <c r="C53" s="1"/>
  <c r="D24"/>
  <c r="R17" i="7"/>
  <c r="B30" i="3"/>
  <c r="D30" s="1"/>
  <c r="R18" i="1"/>
  <c r="D52" i="3"/>
  <c r="B50"/>
  <c r="C25"/>
  <c r="D25"/>
  <c r="M18" i="1"/>
  <c r="B16" i="3"/>
  <c r="B44"/>
  <c r="D44" s="1"/>
  <c r="D48"/>
  <c r="C50"/>
  <c r="D16" l="1"/>
  <c r="D58" s="1"/>
  <c r="B58"/>
  <c r="D51"/>
  <c r="D11"/>
  <c r="D53" s="1"/>
  <c r="R18" i="7"/>
  <c r="B45" i="3"/>
  <c r="B31"/>
  <c r="B17"/>
  <c r="B59" s="1"/>
  <c r="S16" i="7"/>
  <c r="S18" s="1"/>
  <c r="S13"/>
  <c r="D57" i="3"/>
  <c r="D17"/>
  <c r="D45"/>
  <c r="D31"/>
  <c r="D59" l="1"/>
</calcChain>
</file>

<file path=xl/sharedStrings.xml><?xml version="1.0" encoding="utf-8"?>
<sst xmlns="http://schemas.openxmlformats.org/spreadsheetml/2006/main" count="167" uniqueCount="71">
  <si>
    <t>Total</t>
  </si>
  <si>
    <t>Rate</t>
  </si>
  <si>
    <t>In Service Date</t>
  </si>
  <si>
    <t>Accum Deprec 12/31/09</t>
  </si>
  <si>
    <t>Accum Deprec 12/31/10</t>
  </si>
  <si>
    <t>Accum DFIT 12/31/09</t>
  </si>
  <si>
    <t>Accum DFIT 12/31/10</t>
  </si>
  <si>
    <t>1st Year Rate</t>
  </si>
  <si>
    <t>2nd Year Rate</t>
  </si>
  <si>
    <t>AVISTA UTILITIES</t>
  </si>
  <si>
    <t>Depreciation Expense</t>
  </si>
  <si>
    <t>Property Tax @ 1.5% of Gross Plant</t>
  </si>
  <si>
    <t>Total Expenses</t>
  </si>
  <si>
    <t>Net Operating Income Before FIT</t>
  </si>
  <si>
    <t>FIT Benefit of Depreciation and Property Tax</t>
  </si>
  <si>
    <t xml:space="preserve">   Net Operating Income</t>
  </si>
  <si>
    <t xml:space="preserve">   Net Rate Base</t>
  </si>
  <si>
    <t>Plant Cost</t>
  </si>
  <si>
    <t>Description</t>
  </si>
  <si>
    <t>Cost</t>
  </si>
  <si>
    <t>Accum Deprec 12/31/08</t>
  </si>
  <si>
    <t>3rd Year Rate</t>
  </si>
  <si>
    <t>Accum DFIT 12/31/08</t>
  </si>
  <si>
    <t>Tax Deprec. Rate</t>
  </si>
  <si>
    <t>Accumulated Depreciation (AMA 12/31/2010)</t>
  </si>
  <si>
    <t>Accumulated DFIT (AMA 12/31/2010)</t>
  </si>
  <si>
    <t>Q4</t>
  </si>
  <si>
    <t>Distribution</t>
  </si>
  <si>
    <t>ER</t>
  </si>
  <si>
    <t>HVAC Renovation Project 2008</t>
  </si>
  <si>
    <t>EVP Enterprise Voice Portal</t>
  </si>
  <si>
    <t>Spokane Valley Facility Purch</t>
  </si>
  <si>
    <t>WA %</t>
  </si>
  <si>
    <t>Efficiency Offset %</t>
  </si>
  <si>
    <t>WA Cost</t>
  </si>
  <si>
    <t>System Cost</t>
  </si>
  <si>
    <t>Tax Deprec. Rate - Dist</t>
  </si>
  <si>
    <t>Tax Deprec. Rate - GP</t>
  </si>
  <si>
    <t>Q1 &amp; Q2</t>
  </si>
  <si>
    <t>General Plant</t>
  </si>
  <si>
    <t>Check</t>
  </si>
  <si>
    <t>GP</t>
  </si>
  <si>
    <t>HVAC Savings - System</t>
  </si>
  <si>
    <t>WA Allocation</t>
  </si>
  <si>
    <t>WA Savings</t>
  </si>
  <si>
    <t>Cost of HVAC System</t>
  </si>
  <si>
    <t>Depreciation - 2008</t>
  </si>
  <si>
    <t>Depreciation - 2009</t>
  </si>
  <si>
    <t>Return</t>
  </si>
  <si>
    <t>Total Cost</t>
  </si>
  <si>
    <t>Savings as % of Costs</t>
  </si>
  <si>
    <t>Property Taxes</t>
  </si>
  <si>
    <t>EVP</t>
  </si>
  <si>
    <t>Cost Avoided with Existing IVR</t>
  </si>
  <si>
    <t>5% increase in calls</t>
  </si>
  <si>
    <t>Savings</t>
  </si>
  <si>
    <t>HVAC System</t>
  </si>
  <si>
    <t>2008 Tax Deprec</t>
  </si>
  <si>
    <t>2009 Tax Deprec</t>
  </si>
  <si>
    <t>2010 Tax Deprec</t>
  </si>
  <si>
    <t>Estimated Annual Deprec Expense</t>
  </si>
  <si>
    <t>October 1, 2008 through December 31, 2008</t>
  </si>
  <si>
    <t>January 1, 2009 through July 31, 2009</t>
  </si>
  <si>
    <t>October 1, 2008 through July 31, 2009</t>
  </si>
  <si>
    <t>Gas Distribution Minor Blanket</t>
  </si>
  <si>
    <t>Nine Mile Gate Station</t>
  </si>
  <si>
    <t>Qualchan Reinforcement</t>
  </si>
  <si>
    <t>Replace Gas ERTs WA</t>
  </si>
  <si>
    <t>2008 Capital Additions - Natural Gas</t>
  </si>
  <si>
    <t>Capital Additions - Natural Gas</t>
  </si>
  <si>
    <t>2009 Capital Additions - Natural Gas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</si>
</sst>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##&quot;/2009&quot;"/>
    <numFmt numFmtId="165" formatCode="_(* #,##0_);_(* \(#,##0\);_(* &quot;-&quot;??_);_(@_)"/>
    <numFmt numFmtId="166" formatCode="0.000%"/>
    <numFmt numFmtId="167" formatCode="##&quot;/2008&quot;"/>
  </numFmts>
  <fonts count="10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9" fontId="2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4" applyFont="1" applyFill="1" applyBorder="1" applyAlignment="1">
      <alignment wrapText="1"/>
    </xf>
    <xf numFmtId="0" fontId="0" fillId="0" borderId="0" xfId="0" applyBorder="1"/>
    <xf numFmtId="165" fontId="0" fillId="0" borderId="2" xfId="1" applyNumberFormat="1" applyFont="1" applyBorder="1"/>
    <xf numFmtId="165" fontId="4" fillId="0" borderId="0" xfId="1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165" fontId="0" fillId="0" borderId="2" xfId="0" applyNumberFormat="1" applyBorder="1"/>
    <xf numFmtId="0" fontId="6" fillId="0" borderId="0" xfId="4" applyFont="1" applyFill="1" applyBorder="1" applyAlignment="1">
      <alignment horizontal="center" wrapText="1"/>
    </xf>
    <xf numFmtId="10" fontId="6" fillId="0" borderId="0" xfId="5" applyNumberFormat="1" applyFont="1" applyFill="1" applyBorder="1" applyAlignment="1">
      <alignment horizontal="center" wrapText="1"/>
    </xf>
    <xf numFmtId="0" fontId="7" fillId="0" borderId="0" xfId="0" applyFont="1" applyBorder="1"/>
    <xf numFmtId="165" fontId="2" fillId="0" borderId="0" xfId="1" applyNumberFormat="1" applyBorder="1"/>
    <xf numFmtId="165" fontId="2" fillId="0" borderId="0" xfId="1" applyNumberFormat="1" applyFont="1" applyBorder="1"/>
    <xf numFmtId="10" fontId="0" fillId="0" borderId="0" xfId="0" applyNumberFormat="1" applyBorder="1"/>
    <xf numFmtId="0" fontId="4" fillId="0" borderId="0" xfId="0" applyFont="1" applyBorder="1"/>
    <xf numFmtId="164" fontId="0" fillId="0" borderId="0" xfId="0" applyNumberFormat="1" applyBorder="1" applyAlignment="1">
      <alignment horizontal="center"/>
    </xf>
    <xf numFmtId="165" fontId="0" fillId="0" borderId="0" xfId="0" applyNumberFormat="1" applyBorder="1"/>
    <xf numFmtId="165" fontId="0" fillId="0" borderId="0" xfId="1" applyNumberFormat="1" applyFont="1" applyBorder="1"/>
    <xf numFmtId="3" fontId="0" fillId="0" borderId="0" xfId="1" applyNumberFormat="1" applyFont="1" applyBorder="1"/>
    <xf numFmtId="3" fontId="0" fillId="0" borderId="2" xfId="0" applyNumberFormat="1" applyBorder="1"/>
    <xf numFmtId="10" fontId="0" fillId="0" borderId="0" xfId="5" applyNumberFormat="1" applyFont="1" applyBorder="1" applyAlignment="1">
      <alignment horizontal="center"/>
    </xf>
    <xf numFmtId="10" fontId="0" fillId="0" borderId="0" xfId="5" applyNumberFormat="1" applyFont="1" applyAlignment="1">
      <alignment horizontal="center"/>
    </xf>
    <xf numFmtId="0" fontId="4" fillId="0" borderId="0" xfId="0" applyFont="1"/>
    <xf numFmtId="0" fontId="4" fillId="0" borderId="3" xfId="0" applyFont="1" applyBorder="1" applyAlignment="1">
      <alignment horizontal="center"/>
    </xf>
    <xf numFmtId="165" fontId="0" fillId="0" borderId="0" xfId="1" applyNumberFormat="1" applyFont="1"/>
    <xf numFmtId="165" fontId="0" fillId="0" borderId="4" xfId="1" applyNumberFormat="1" applyFont="1" applyBorder="1"/>
    <xf numFmtId="165" fontId="0" fillId="0" borderId="5" xfId="1" applyNumberFormat="1" applyFont="1" applyBorder="1"/>
    <xf numFmtId="0" fontId="4" fillId="0" borderId="0" xfId="0" applyFont="1" applyAlignment="1">
      <alignment horizontal="left"/>
    </xf>
    <xf numFmtId="166" fontId="0" fillId="0" borderId="0" xfId="0" applyNumberFormat="1" applyBorder="1"/>
    <xf numFmtId="10" fontId="2" fillId="0" borderId="0" xfId="5" applyNumberFormat="1" applyBorder="1" applyAlignment="1">
      <alignment horizontal="center"/>
    </xf>
    <xf numFmtId="10" fontId="2" fillId="0" borderId="0" xfId="5" applyNumberFormat="1" applyAlignment="1">
      <alignment horizontal="center"/>
    </xf>
    <xf numFmtId="167" fontId="0" fillId="0" borderId="0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9" fontId="3" fillId="0" borderId="0" xfId="5" applyFont="1" applyFill="1" applyBorder="1" applyAlignment="1">
      <alignment wrapText="1"/>
    </xf>
    <xf numFmtId="165" fontId="3" fillId="0" borderId="0" xfId="1" applyNumberFormat="1" applyFont="1" applyFill="1" applyBorder="1" applyAlignment="1">
      <alignment wrapText="1"/>
    </xf>
    <xf numFmtId="17" fontId="6" fillId="0" borderId="0" xfId="4" applyNumberFormat="1" applyFont="1" applyFill="1" applyBorder="1" applyAlignment="1">
      <alignment horizontal="center" wrapText="1"/>
    </xf>
    <xf numFmtId="43" fontId="0" fillId="0" borderId="0" xfId="1" applyFont="1"/>
    <xf numFmtId="43" fontId="0" fillId="0" borderId="2" xfId="1" applyFont="1" applyBorder="1"/>
    <xf numFmtId="9" fontId="0" fillId="0" borderId="0" xfId="0" applyNumberFormat="1"/>
    <xf numFmtId="9" fontId="0" fillId="0" borderId="0" xfId="5" applyFont="1"/>
    <xf numFmtId="0" fontId="3" fillId="0" borderId="1" xfId="3" applyFont="1" applyFill="1" applyBorder="1" applyAlignment="1">
      <alignment wrapText="1"/>
    </xf>
    <xf numFmtId="0" fontId="9" fillId="0" borderId="0" xfId="0" applyFont="1" applyFill="1"/>
    <xf numFmtId="0" fontId="0" fillId="0" borderId="0" xfId="0" applyFill="1"/>
    <xf numFmtId="0" fontId="7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10" fontId="0" fillId="0" borderId="0" xfId="5" applyNumberFormat="1" applyFont="1" applyBorder="1" applyAlignment="1">
      <alignment horizontal="center" wrapText="1"/>
    </xf>
    <xf numFmtId="165" fontId="2" fillId="0" borderId="0" xfId="1" applyNumberFormat="1" applyBorder="1" applyAlignment="1">
      <alignment wrapText="1"/>
    </xf>
    <xf numFmtId="0" fontId="5" fillId="0" borderId="4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10" fontId="2" fillId="0" borderId="0" xfId="5" applyNumberFormat="1" applyBorder="1" applyAlignment="1">
      <alignment horizontal="center" wrapText="1"/>
    </xf>
    <xf numFmtId="164" fontId="0" fillId="0" borderId="0" xfId="0" applyNumberFormat="1" applyFill="1" applyBorder="1" applyAlignment="1">
      <alignment horizontal="center"/>
    </xf>
    <xf numFmtId="0" fontId="3" fillId="0" borderId="0" xfId="3" applyFont="1" applyFill="1" applyBorder="1" applyAlignment="1">
      <alignment wrapText="1"/>
    </xf>
    <xf numFmtId="0" fontId="9" fillId="0" borderId="0" xfId="0" applyFont="1" applyFill="1" applyBorder="1"/>
  </cellXfs>
  <cellStyles count="6">
    <cellStyle name="Comma" xfId="1" builtinId="3"/>
    <cellStyle name="Normal" xfId="0" builtinId="0"/>
    <cellStyle name="Normal 2" xfId="2"/>
    <cellStyle name="Normal_Pro forma Rates" xfId="3"/>
    <cellStyle name="Normal_Sheet1" xfId="4"/>
    <cellStyle name="Percent" xfId="5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9"/>
  <sheetViews>
    <sheetView tabSelected="1" zoomScaleNormal="100" workbookViewId="0"/>
  </sheetViews>
  <sheetFormatPr defaultRowHeight="12.75"/>
  <cols>
    <col min="1" max="1" width="42.140625" customWidth="1"/>
    <col min="2" max="2" width="13.140625" bestFit="1" customWidth="1"/>
    <col min="3" max="3" width="12.28515625" bestFit="1" customWidth="1"/>
    <col min="4" max="4" width="13.5703125" bestFit="1" customWidth="1"/>
  </cols>
  <sheetData>
    <row r="1" spans="1:4">
      <c r="A1" s="22"/>
    </row>
    <row r="2" spans="1:4">
      <c r="A2" s="22"/>
    </row>
    <row r="3" spans="1:4">
      <c r="A3" s="22"/>
    </row>
    <row r="4" spans="1:4">
      <c r="B4" s="32" t="s">
        <v>26</v>
      </c>
    </row>
    <row r="5" spans="1:4" ht="13.5" thickBot="1">
      <c r="A5" s="27"/>
      <c r="B5" s="23">
        <v>2008</v>
      </c>
      <c r="C5" s="23">
        <v>2009</v>
      </c>
      <c r="D5" s="23" t="s">
        <v>0</v>
      </c>
    </row>
    <row r="6" spans="1:4">
      <c r="A6" t="s">
        <v>10</v>
      </c>
      <c r="B6" s="24">
        <f>'2008 Q4'!J13</f>
        <v>106156</v>
      </c>
      <c r="C6" s="24">
        <f>'2009 '!L13</f>
        <v>63566</v>
      </c>
      <c r="D6" s="24">
        <f>SUM(B6:C6)</f>
        <v>169722</v>
      </c>
    </row>
    <row r="7" spans="1:4">
      <c r="A7" t="s">
        <v>11</v>
      </c>
      <c r="B7" s="25">
        <f>ROUND(B14*0.015,0)</f>
        <v>50631</v>
      </c>
      <c r="C7" s="25">
        <f>ROUND(C14*0.015,0)</f>
        <v>39571</v>
      </c>
      <c r="D7" s="25">
        <f>SUM(B7:C7)</f>
        <v>90202</v>
      </c>
    </row>
    <row r="8" spans="1:4">
      <c r="A8" t="s">
        <v>12</v>
      </c>
      <c r="B8" s="26">
        <f>SUM(B6:B7)</f>
        <v>156787</v>
      </c>
      <c r="C8" s="26">
        <f>SUM(C6:C7)</f>
        <v>103137</v>
      </c>
      <c r="D8" s="26">
        <f>SUM(D6:D7)</f>
        <v>259924</v>
      </c>
    </row>
    <row r="9" spans="1:4">
      <c r="A9" t="s">
        <v>13</v>
      </c>
      <c r="B9" s="24">
        <f>-B8</f>
        <v>-156787</v>
      </c>
      <c r="C9" s="24">
        <f>-C8</f>
        <v>-103137</v>
      </c>
      <c r="D9" s="24">
        <f>-D8</f>
        <v>-259924</v>
      </c>
    </row>
    <row r="10" spans="1:4">
      <c r="A10" t="s">
        <v>14</v>
      </c>
      <c r="B10" s="17">
        <f>(B6+B7)*0.35</f>
        <v>54875.45</v>
      </c>
      <c r="C10" s="17">
        <f>(C6+C7)*0.35</f>
        <v>36097.949999999997</v>
      </c>
      <c r="D10" s="17">
        <f>SUM(B10:C10)</f>
        <v>90973.4</v>
      </c>
    </row>
    <row r="11" spans="1:4" ht="13.5" thickBot="1">
      <c r="A11" t="s">
        <v>15</v>
      </c>
      <c r="B11" s="3">
        <f>SUM(B9:B10)</f>
        <v>-101911.55</v>
      </c>
      <c r="C11" s="3">
        <f>SUM(C9:C10)</f>
        <v>-67039.05</v>
      </c>
      <c r="D11" s="3">
        <f>SUM(D9:D10)</f>
        <v>-168950.6</v>
      </c>
    </row>
    <row r="12" spans="1:4">
      <c r="B12" s="24"/>
      <c r="C12" s="24"/>
      <c r="D12" s="24"/>
    </row>
    <row r="13" spans="1:4">
      <c r="B13" s="24"/>
      <c r="C13" s="24"/>
      <c r="D13" s="24"/>
    </row>
    <row r="14" spans="1:4">
      <c r="A14" t="s">
        <v>17</v>
      </c>
      <c r="B14" s="24">
        <f>'2008 Q4'!G13</f>
        <v>3375424.9282210898</v>
      </c>
      <c r="C14" s="24">
        <f>'2009 '!I13</f>
        <v>2638072.8222421408</v>
      </c>
      <c r="D14" s="24">
        <f>SUM(B14:C14)</f>
        <v>6013497.7504632305</v>
      </c>
    </row>
    <row r="15" spans="1:4">
      <c r="A15" t="s">
        <v>24</v>
      </c>
      <c r="B15" s="24">
        <f>('2008 Q4'!L13+'2008 Q4'!M13)/2</f>
        <v>170369</v>
      </c>
      <c r="C15" s="24">
        <f>('2009 '!N13+'2009 '!O13)/2</f>
        <v>79841</v>
      </c>
      <c r="D15" s="24">
        <f>SUM(B15:C15)</f>
        <v>250210</v>
      </c>
    </row>
    <row r="16" spans="1:4">
      <c r="A16" t="s">
        <v>25</v>
      </c>
      <c r="B16" s="24">
        <f>('2008 Q4'!R13+'2008 Q4'!S13)/2</f>
        <v>-191285</v>
      </c>
      <c r="C16" s="24">
        <f>('2009 '!T13+'2009 '!U13)/2</f>
        <v>-55717</v>
      </c>
      <c r="D16" s="24">
        <f>SUM(B16:C16)</f>
        <v>-247002</v>
      </c>
    </row>
    <row r="17" spans="1:4" ht="13.5" thickBot="1">
      <c r="A17" t="s">
        <v>16</v>
      </c>
      <c r="B17" s="3">
        <f>B14-B15+B16</f>
        <v>3013770.9282210898</v>
      </c>
      <c r="C17" s="3">
        <f>C14-C15+C16</f>
        <v>2502514.8222421408</v>
      </c>
      <c r="D17" s="3">
        <f>D14-D15+D16</f>
        <v>5516285.7504632305</v>
      </c>
    </row>
    <row r="19" spans="1:4">
      <c r="A19" s="22" t="s">
        <v>27</v>
      </c>
    </row>
    <row r="20" spans="1:4">
      <c r="A20" t="s">
        <v>10</v>
      </c>
      <c r="B20" s="24">
        <f>'2008 Q4'!J16</f>
        <v>55727</v>
      </c>
      <c r="C20" s="24">
        <f>'2009 '!L16</f>
        <v>54506</v>
      </c>
      <c r="D20" s="24">
        <f>SUM(B20:C20)</f>
        <v>110233</v>
      </c>
    </row>
    <row r="21" spans="1:4">
      <c r="A21" t="s">
        <v>11</v>
      </c>
      <c r="B21" s="25">
        <f>ROUND(B28*0.015,0)</f>
        <v>38169</v>
      </c>
      <c r="C21" s="25">
        <f>ROUND(C28*0.015,0)</f>
        <v>37332</v>
      </c>
      <c r="D21" s="25">
        <f>SUM(B21:C21)</f>
        <v>75501</v>
      </c>
    </row>
    <row r="22" spans="1:4">
      <c r="A22" t="s">
        <v>12</v>
      </c>
      <c r="B22" s="26">
        <f>SUM(B20:B21)</f>
        <v>93896</v>
      </c>
      <c r="C22" s="26">
        <f>SUM(C20:C21)</f>
        <v>91838</v>
      </c>
      <c r="D22" s="26">
        <f>SUM(D20:D21)</f>
        <v>185734</v>
      </c>
    </row>
    <row r="23" spans="1:4">
      <c r="A23" t="s">
        <v>13</v>
      </c>
      <c r="B23" s="24">
        <f>-B22</f>
        <v>-93896</v>
      </c>
      <c r="C23" s="24">
        <f>-C22</f>
        <v>-91838</v>
      </c>
      <c r="D23" s="24">
        <f>-D22</f>
        <v>-185734</v>
      </c>
    </row>
    <row r="24" spans="1:4">
      <c r="A24" t="s">
        <v>14</v>
      </c>
      <c r="B24" s="17">
        <f>(B20+B21)*0.35</f>
        <v>32863.599999999999</v>
      </c>
      <c r="C24" s="17">
        <f>(C20+C21)*0.35</f>
        <v>32143.3</v>
      </c>
      <c r="D24" s="17">
        <f>SUM(B24:C24)</f>
        <v>65006.899999999994</v>
      </c>
    </row>
    <row r="25" spans="1:4" ht="13.5" thickBot="1">
      <c r="A25" t="s">
        <v>15</v>
      </c>
      <c r="B25" s="3">
        <f>SUM(B23:B24)</f>
        <v>-61032.4</v>
      </c>
      <c r="C25" s="3">
        <f>SUM(C23:C24)</f>
        <v>-59694.7</v>
      </c>
      <c r="D25" s="3">
        <f>SUM(D23:D24)</f>
        <v>-120727.1</v>
      </c>
    </row>
    <row r="26" spans="1:4">
      <c r="B26" s="24"/>
      <c r="C26" s="24"/>
      <c r="D26" s="24"/>
    </row>
    <row r="27" spans="1:4">
      <c r="B27" s="24"/>
      <c r="C27" s="24"/>
      <c r="D27" s="24"/>
    </row>
    <row r="28" spans="1:4">
      <c r="A28" t="s">
        <v>17</v>
      </c>
      <c r="B28" s="24">
        <f>'2008 Q4'!G16</f>
        <v>2544623.4</v>
      </c>
      <c r="C28" s="24">
        <f>'2009 '!I16</f>
        <v>2488811.2000000002</v>
      </c>
      <c r="D28" s="24">
        <f>SUM(B28:C28)</f>
        <v>5033434.5999999996</v>
      </c>
    </row>
    <row r="29" spans="1:4">
      <c r="A29" t="s">
        <v>24</v>
      </c>
      <c r="B29" s="24">
        <f>('2008 Q4'!L16+'2008 Q4'!M16)/2</f>
        <v>90556.5</v>
      </c>
      <c r="C29" s="24">
        <f>('2009 '!N16+'2009 '!O16)/2</f>
        <v>70403</v>
      </c>
      <c r="D29" s="24">
        <f>SUM(B29:C29)</f>
        <v>160959.5</v>
      </c>
    </row>
    <row r="30" spans="1:4">
      <c r="A30" t="s">
        <v>25</v>
      </c>
      <c r="B30" s="24">
        <f>('2008 Q4'!R16+'2008 Q4'!S16)/2</f>
        <v>-88416</v>
      </c>
      <c r="C30" s="24">
        <f>('2009 '!T16+'2009 '!U16)/2</f>
        <v>-45030.5</v>
      </c>
      <c r="D30" s="24">
        <f>SUM(B30:C30)</f>
        <v>-133446.5</v>
      </c>
    </row>
    <row r="31" spans="1:4" ht="13.5" thickBot="1">
      <c r="A31" t="s">
        <v>16</v>
      </c>
      <c r="B31" s="3">
        <f>B28-B29+B30</f>
        <v>2365650.9</v>
      </c>
      <c r="C31" s="3">
        <f>C28-C29+C30</f>
        <v>2373377.7000000002</v>
      </c>
      <c r="D31" s="3">
        <f>D28-D29+D30</f>
        <v>4739028.5999999996</v>
      </c>
    </row>
    <row r="33" spans="1:4">
      <c r="A33" s="22" t="s">
        <v>39</v>
      </c>
    </row>
    <row r="34" spans="1:4">
      <c r="A34" t="s">
        <v>10</v>
      </c>
      <c r="B34" s="24">
        <f>'2008 Q4'!J17</f>
        <v>50429</v>
      </c>
      <c r="C34" s="24">
        <f>'2009 '!L17</f>
        <v>9060</v>
      </c>
      <c r="D34" s="24">
        <f>SUM(B34:C34)</f>
        <v>59489</v>
      </c>
    </row>
    <row r="35" spans="1:4">
      <c r="A35" t="s">
        <v>11</v>
      </c>
      <c r="B35" s="25">
        <f>ROUND(B42*0.015,0)</f>
        <v>12462</v>
      </c>
      <c r="C35" s="25">
        <f>ROUND(C42*0.015,0)</f>
        <v>2239</v>
      </c>
      <c r="D35" s="25">
        <f>SUM(B35:C35)</f>
        <v>14701</v>
      </c>
    </row>
    <row r="36" spans="1:4">
      <c r="A36" t="s">
        <v>12</v>
      </c>
      <c r="B36" s="26">
        <f>SUM(B34:B35)</f>
        <v>62891</v>
      </c>
      <c r="C36" s="26">
        <f>SUM(C34:C35)</f>
        <v>11299</v>
      </c>
      <c r="D36" s="26">
        <f>SUM(D34:D35)</f>
        <v>74190</v>
      </c>
    </row>
    <row r="37" spans="1:4">
      <c r="A37" t="s">
        <v>13</v>
      </c>
      <c r="B37" s="24">
        <f>-B36</f>
        <v>-62891</v>
      </c>
      <c r="C37" s="24">
        <f>-C36</f>
        <v>-11299</v>
      </c>
      <c r="D37" s="24">
        <f>-D36</f>
        <v>-74190</v>
      </c>
    </row>
    <row r="38" spans="1:4">
      <c r="A38" t="s">
        <v>14</v>
      </c>
      <c r="B38" s="17">
        <f>(B34+B35)*0.35</f>
        <v>22011.85</v>
      </c>
      <c r="C38" s="17">
        <f>(C34+C35)*0.35</f>
        <v>3954.6499999999996</v>
      </c>
      <c r="D38" s="17">
        <f>SUM(B38:C38)</f>
        <v>25966.5</v>
      </c>
    </row>
    <row r="39" spans="1:4" ht="13.5" thickBot="1">
      <c r="A39" t="s">
        <v>15</v>
      </c>
      <c r="B39" s="3">
        <f>SUM(B37:B38)</f>
        <v>-40879.15</v>
      </c>
      <c r="C39" s="3">
        <f>SUM(C37:C38)</f>
        <v>-7344.35</v>
      </c>
      <c r="D39" s="3">
        <f>SUM(D37:D38)</f>
        <v>-48223.5</v>
      </c>
    </row>
    <row r="40" spans="1:4">
      <c r="B40" s="24"/>
      <c r="C40" s="24"/>
      <c r="D40" s="24"/>
    </row>
    <row r="41" spans="1:4">
      <c r="B41" s="24"/>
      <c r="C41" s="24"/>
      <c r="D41" s="24"/>
    </row>
    <row r="42" spans="1:4">
      <c r="A42" t="s">
        <v>17</v>
      </c>
      <c r="B42" s="24">
        <f>'2008 Q4'!G17</f>
        <v>830801.52822108951</v>
      </c>
      <c r="C42" s="24">
        <f>'2009 '!I17</f>
        <v>149261.62224214079</v>
      </c>
      <c r="D42" s="24">
        <f>SUM(B42:C42)</f>
        <v>980063.15046323033</v>
      </c>
    </row>
    <row r="43" spans="1:4">
      <c r="A43" t="s">
        <v>24</v>
      </c>
      <c r="B43" s="24">
        <f>('2008 Q4'!L17+'2008 Q4'!M17)/2</f>
        <v>79812.5</v>
      </c>
      <c r="C43" s="24">
        <f>('2009 '!N17+'2009 '!O17)/2</f>
        <v>9438</v>
      </c>
      <c r="D43" s="24">
        <f>SUM(B43:C43)</f>
        <v>89250.5</v>
      </c>
    </row>
    <row r="44" spans="1:4">
      <c r="A44" t="s">
        <v>25</v>
      </c>
      <c r="B44" s="24">
        <f>('2008 Q4'!R17+'2008 Q4'!S17)/2</f>
        <v>-102869</v>
      </c>
      <c r="C44" s="24">
        <f>('2009 '!T17+'2009 '!U17)/2</f>
        <v>-10686.5</v>
      </c>
      <c r="D44" s="24">
        <f>SUM(B44:C44)</f>
        <v>-113555.5</v>
      </c>
    </row>
    <row r="45" spans="1:4" ht="13.5" thickBot="1">
      <c r="A45" t="s">
        <v>16</v>
      </c>
      <c r="B45" s="3">
        <f>B42-B43+B44</f>
        <v>648120.02822108951</v>
      </c>
      <c r="C45" s="3">
        <f>C42-C43+C44</f>
        <v>129137.12224214079</v>
      </c>
      <c r="D45" s="3">
        <f>D42-D43+D44</f>
        <v>777257.15046323033</v>
      </c>
    </row>
    <row r="47" spans="1:4">
      <c r="A47" s="22" t="s">
        <v>40</v>
      </c>
    </row>
    <row r="48" spans="1:4">
      <c r="A48" t="s">
        <v>10</v>
      </c>
      <c r="B48" s="24">
        <f>B6-B20-B34</f>
        <v>0</v>
      </c>
      <c r="C48" s="24">
        <f>C6-C20-C34</f>
        <v>0</v>
      </c>
      <c r="D48" s="24">
        <f>D6-D20-D34</f>
        <v>0</v>
      </c>
    </row>
    <row r="49" spans="1:4">
      <c r="A49" t="s">
        <v>11</v>
      </c>
      <c r="B49" s="24">
        <f t="shared" ref="B49:D59" si="0">B7-B21-B35</f>
        <v>0</v>
      </c>
      <c r="C49" s="24">
        <f t="shared" si="0"/>
        <v>0</v>
      </c>
      <c r="D49" s="24">
        <f t="shared" si="0"/>
        <v>0</v>
      </c>
    </row>
    <row r="50" spans="1:4">
      <c r="A50" t="s">
        <v>12</v>
      </c>
      <c r="B50" s="26">
        <f t="shared" si="0"/>
        <v>0</v>
      </c>
      <c r="C50" s="26">
        <f t="shared" si="0"/>
        <v>0</v>
      </c>
      <c r="D50" s="26">
        <f t="shared" si="0"/>
        <v>0</v>
      </c>
    </row>
    <row r="51" spans="1:4">
      <c r="A51" t="s">
        <v>13</v>
      </c>
      <c r="B51" s="24">
        <f t="shared" si="0"/>
        <v>0</v>
      </c>
      <c r="C51" s="24">
        <f t="shared" si="0"/>
        <v>0</v>
      </c>
      <c r="D51" s="24">
        <f t="shared" si="0"/>
        <v>0</v>
      </c>
    </row>
    <row r="52" spans="1:4">
      <c r="A52" t="s">
        <v>14</v>
      </c>
      <c r="B52" s="24">
        <f t="shared" si="0"/>
        <v>0</v>
      </c>
      <c r="C52" s="24">
        <f t="shared" si="0"/>
        <v>0</v>
      </c>
      <c r="D52" s="24">
        <f t="shared" si="0"/>
        <v>0</v>
      </c>
    </row>
    <row r="53" spans="1:4" ht="13.5" thickBot="1">
      <c r="A53" t="s">
        <v>15</v>
      </c>
      <c r="B53" s="3">
        <f t="shared" si="0"/>
        <v>0</v>
      </c>
      <c r="C53" s="3">
        <f t="shared" si="0"/>
        <v>0</v>
      </c>
      <c r="D53" s="3">
        <f t="shared" si="0"/>
        <v>0</v>
      </c>
    </row>
    <row r="54" spans="1:4">
      <c r="B54" s="24">
        <f t="shared" si="0"/>
        <v>0</v>
      </c>
      <c r="C54" s="24">
        <f t="shared" si="0"/>
        <v>0</v>
      </c>
      <c r="D54" s="24">
        <f t="shared" si="0"/>
        <v>0</v>
      </c>
    </row>
    <row r="55" spans="1:4">
      <c r="B55" s="24">
        <f t="shared" si="0"/>
        <v>0</v>
      </c>
      <c r="C55" s="24">
        <f t="shared" si="0"/>
        <v>0</v>
      </c>
      <c r="D55" s="24">
        <f t="shared" si="0"/>
        <v>0</v>
      </c>
    </row>
    <row r="56" spans="1:4">
      <c r="A56" t="s">
        <v>17</v>
      </c>
      <c r="B56" s="24">
        <f t="shared" si="0"/>
        <v>0</v>
      </c>
      <c r="C56" s="24">
        <f t="shared" si="0"/>
        <v>0</v>
      </c>
      <c r="D56" s="24">
        <f t="shared" si="0"/>
        <v>0</v>
      </c>
    </row>
    <row r="57" spans="1:4">
      <c r="A57" t="s">
        <v>24</v>
      </c>
      <c r="B57" s="24">
        <f t="shared" si="0"/>
        <v>0</v>
      </c>
      <c r="C57" s="24">
        <f t="shared" si="0"/>
        <v>0</v>
      </c>
      <c r="D57" s="24">
        <f t="shared" si="0"/>
        <v>0</v>
      </c>
    </row>
    <row r="58" spans="1:4">
      <c r="A58" t="s">
        <v>25</v>
      </c>
      <c r="B58" s="24">
        <f t="shared" si="0"/>
        <v>0</v>
      </c>
      <c r="C58" s="24">
        <f t="shared" si="0"/>
        <v>0</v>
      </c>
      <c r="D58" s="24">
        <f t="shared" si="0"/>
        <v>0</v>
      </c>
    </row>
    <row r="59" spans="1:4" ht="13.5" thickBot="1">
      <c r="A59" t="s">
        <v>16</v>
      </c>
      <c r="B59" s="3">
        <f t="shared" si="0"/>
        <v>0</v>
      </c>
      <c r="C59" s="3">
        <f t="shared" si="0"/>
        <v>-2.0372681319713593E-10</v>
      </c>
      <c r="D59" s="3">
        <f t="shared" si="0"/>
        <v>0</v>
      </c>
    </row>
  </sheetData>
  <phoneticPr fontId="8" type="noConversion"/>
  <pageMargins left="0.75" right="0.75" top="1" bottom="1" header="0.5" footer="0.5"/>
  <pageSetup fitToHeight="2" orientation="portrait" r:id="rId1"/>
  <headerFooter alignWithMargins="0">
    <oddHeader>&amp;C
&amp;"Arial,Bold"&amp;12Avista Utilities&amp;"Arial,Regular"&amp;10
Natural Gas Plant - Proposed by Avista
October 1, 2008 through July 31, 2009&amp;RExhibit No. ___(DBD-10)</oddHeader>
    <oddFooter>&amp;RPage 1 of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tabSelected="1" workbookViewId="0">
      <pane ySplit="5" topLeftCell="A6" activePane="bottomLeft" state="frozen"/>
      <selection pane="bottomLeft"/>
    </sheetView>
  </sheetViews>
  <sheetFormatPr defaultRowHeight="12.75"/>
  <cols>
    <col min="1" max="1" width="30.85546875" bestFit="1" customWidth="1"/>
    <col min="2" max="2" width="5" bestFit="1" customWidth="1"/>
    <col min="3" max="3" width="11.28515625" bestFit="1" customWidth="1"/>
    <col min="4" max="4" width="6.140625" bestFit="1" customWidth="1"/>
    <col min="5" max="5" width="11.28515625" bestFit="1" customWidth="1"/>
    <col min="6" max="6" width="9.85546875" bestFit="1" customWidth="1"/>
    <col min="7" max="7" width="11.85546875" bestFit="1" customWidth="1"/>
    <col min="8" max="8" width="6.5703125" style="21" bestFit="1" customWidth="1"/>
    <col min="9" max="9" width="8.42578125" bestFit="1" customWidth="1"/>
    <col min="10" max="10" width="10.85546875" customWidth="1"/>
    <col min="11" max="11" width="9.42578125" bestFit="1" customWidth="1"/>
    <col min="12" max="12" width="10.5703125" bestFit="1" customWidth="1"/>
    <col min="13" max="13" width="10.42578125" bestFit="1" customWidth="1"/>
    <col min="14" max="14" width="10.28515625" customWidth="1"/>
    <col min="15" max="15" width="10.5703125" bestFit="1" customWidth="1"/>
    <col min="16" max="16" width="11" customWidth="1"/>
    <col min="17" max="17" width="10.5703125" bestFit="1" customWidth="1"/>
    <col min="18" max="19" width="11.28515625" bestFit="1" customWidth="1"/>
  </cols>
  <sheetData>
    <row r="1" spans="1:19" s="44" customFormat="1" ht="24.75">
      <c r="A1" s="43"/>
      <c r="B1" s="43"/>
      <c r="C1" s="43"/>
      <c r="D1" s="43"/>
      <c r="E1" s="43"/>
      <c r="F1" s="43"/>
      <c r="H1" s="45"/>
      <c r="J1" s="46"/>
      <c r="N1" s="47" t="s">
        <v>7</v>
      </c>
      <c r="O1" s="47" t="s">
        <v>8</v>
      </c>
      <c r="P1" s="47" t="s">
        <v>21</v>
      </c>
      <c r="Q1" s="48"/>
    </row>
    <row r="2" spans="1:19" s="2" customFormat="1" ht="15.75">
      <c r="A2" s="10" t="s">
        <v>68</v>
      </c>
      <c r="B2" s="10"/>
      <c r="C2" s="10"/>
      <c r="D2" s="10"/>
      <c r="E2" s="10"/>
      <c r="F2" s="10"/>
      <c r="H2" s="20"/>
      <c r="J2" s="12" t="s">
        <v>36</v>
      </c>
      <c r="N2" s="28">
        <v>3.7499999999999999E-2</v>
      </c>
      <c r="O2" s="28">
        <v>7.2190000000000004E-2</v>
      </c>
      <c r="P2" s="28">
        <v>6.6769999999999996E-2</v>
      </c>
      <c r="Q2" s="13"/>
    </row>
    <row r="3" spans="1:19" s="2" customFormat="1">
      <c r="A3" s="14" t="s">
        <v>61</v>
      </c>
      <c r="B3" s="14"/>
      <c r="C3" s="14"/>
      <c r="D3" s="14"/>
      <c r="E3" s="14"/>
      <c r="F3" s="14"/>
      <c r="H3" s="20"/>
      <c r="J3" s="12" t="s">
        <v>37</v>
      </c>
      <c r="N3" s="13">
        <v>0.14280000000000001</v>
      </c>
      <c r="O3" s="13">
        <v>0.24490000000000001</v>
      </c>
      <c r="P3" s="13">
        <v>0.17493</v>
      </c>
      <c r="Q3" s="13"/>
    </row>
    <row r="4" spans="1:19" s="2" customFormat="1">
      <c r="H4" s="20"/>
    </row>
    <row r="5" spans="1:19" s="6" customFormat="1" ht="51">
      <c r="A5" s="8" t="s">
        <v>18</v>
      </c>
      <c r="B5" s="8" t="s">
        <v>28</v>
      </c>
      <c r="C5" s="8" t="s">
        <v>35</v>
      </c>
      <c r="D5" s="8" t="s">
        <v>32</v>
      </c>
      <c r="E5" s="8" t="s">
        <v>34</v>
      </c>
      <c r="F5" s="8" t="s">
        <v>33</v>
      </c>
      <c r="G5" s="8" t="s">
        <v>19</v>
      </c>
      <c r="H5" s="9" t="s">
        <v>1</v>
      </c>
      <c r="I5" s="5" t="s">
        <v>2</v>
      </c>
      <c r="J5" s="4" t="s">
        <v>60</v>
      </c>
      <c r="K5" s="5" t="s">
        <v>20</v>
      </c>
      <c r="L5" s="5" t="s">
        <v>3</v>
      </c>
      <c r="M5" s="5" t="s">
        <v>4</v>
      </c>
      <c r="N5" s="5" t="s">
        <v>57</v>
      </c>
      <c r="O5" s="5" t="s">
        <v>58</v>
      </c>
      <c r="P5" s="5" t="s">
        <v>59</v>
      </c>
      <c r="Q5" s="5" t="s">
        <v>22</v>
      </c>
      <c r="R5" s="5" t="s">
        <v>5</v>
      </c>
      <c r="S5" s="5" t="s">
        <v>6</v>
      </c>
    </row>
    <row r="6" spans="1:19" s="2" customFormat="1">
      <c r="A6" s="51" t="s">
        <v>64</v>
      </c>
      <c r="B6" s="1">
        <v>3005</v>
      </c>
      <c r="C6" s="34">
        <v>278788</v>
      </c>
      <c r="D6" s="33">
        <v>1</v>
      </c>
      <c r="E6" s="34">
        <f>C6*D6</f>
        <v>278788</v>
      </c>
      <c r="F6" s="33">
        <v>0.1</v>
      </c>
      <c r="G6" s="18">
        <f>E6*(1-F6)</f>
        <v>250909.2</v>
      </c>
      <c r="H6" s="20">
        <v>2.1899999999999999E-2</v>
      </c>
      <c r="I6" s="31">
        <v>11</v>
      </c>
      <c r="J6" s="16">
        <f t="shared" ref="J6:J12" si="0">ROUND(G6*H6,0)</f>
        <v>5495</v>
      </c>
      <c r="K6" s="11">
        <f t="shared" ref="K6:K12" si="1">ROUND(G6*H6*((12-I6+0.5)/12),0)</f>
        <v>687</v>
      </c>
      <c r="L6" s="11">
        <f t="shared" ref="L6:L12" si="2">SUM(J6:K6)</f>
        <v>6182</v>
      </c>
      <c r="M6" s="11">
        <f t="shared" ref="M6:M12" si="3">SUM(J6,L6)</f>
        <v>11677</v>
      </c>
      <c r="N6" s="11">
        <f>ROUND(G6*$N$2,0)</f>
        <v>9409</v>
      </c>
      <c r="O6" s="11">
        <f>ROUND(G6*$O$2,0)</f>
        <v>18113</v>
      </c>
      <c r="P6" s="11">
        <f>ROUND(G6*$P$2,0)</f>
        <v>16753</v>
      </c>
      <c r="Q6" s="11">
        <f t="shared" ref="Q6:Q12" si="4">ROUND((N6-(J6*6/12))*-0.35,0)</f>
        <v>-2332</v>
      </c>
      <c r="R6" s="11">
        <f t="shared" ref="R6:R12" si="5">ROUND(((O6-J6)*-0.35)+Q6,0)</f>
        <v>-6748</v>
      </c>
      <c r="S6" s="11">
        <f t="shared" ref="S6:S12" si="6">ROUND(((P6-J6)*-0.35)+R6,0)</f>
        <v>-10688</v>
      </c>
    </row>
    <row r="7" spans="1:19" s="2" customFormat="1">
      <c r="A7" s="51" t="s">
        <v>65</v>
      </c>
      <c r="B7" s="1">
        <v>3112</v>
      </c>
      <c r="C7" s="34">
        <v>0</v>
      </c>
      <c r="D7" s="33">
        <v>1</v>
      </c>
      <c r="E7" s="34">
        <f t="shared" ref="E7:E12" si="7">C7*D7</f>
        <v>0</v>
      </c>
      <c r="F7" s="33">
        <v>0</v>
      </c>
      <c r="G7" s="18">
        <f t="shared" ref="G7:G12" si="8">E7*(1-F7)</f>
        <v>0</v>
      </c>
      <c r="H7" s="20">
        <v>2.1899999999999999E-2</v>
      </c>
      <c r="I7" s="31"/>
      <c r="J7" s="16">
        <f t="shared" si="0"/>
        <v>0</v>
      </c>
      <c r="K7" s="11">
        <f t="shared" si="1"/>
        <v>0</v>
      </c>
      <c r="L7" s="11">
        <f t="shared" si="2"/>
        <v>0</v>
      </c>
      <c r="M7" s="11">
        <f t="shared" si="3"/>
        <v>0</v>
      </c>
      <c r="N7" s="11">
        <f>ROUND(G7*$N$2,0)</f>
        <v>0</v>
      </c>
      <c r="O7" s="11">
        <f>ROUND(G7*$O$2,0)</f>
        <v>0</v>
      </c>
      <c r="P7" s="11">
        <f>ROUND(G7*$P$2,0)</f>
        <v>0</v>
      </c>
      <c r="Q7" s="11">
        <f t="shared" si="4"/>
        <v>0</v>
      </c>
      <c r="R7" s="11">
        <f t="shared" si="5"/>
        <v>0</v>
      </c>
      <c r="S7" s="11">
        <f t="shared" si="6"/>
        <v>0</v>
      </c>
    </row>
    <row r="8" spans="1:19" s="2" customFormat="1">
      <c r="A8" s="2" t="s">
        <v>66</v>
      </c>
      <c r="B8" s="1">
        <v>3122</v>
      </c>
      <c r="C8" s="34">
        <v>2414436</v>
      </c>
      <c r="D8" s="33">
        <v>1</v>
      </c>
      <c r="E8" s="34">
        <f t="shared" si="7"/>
        <v>2414436</v>
      </c>
      <c r="F8" s="33">
        <v>0.05</v>
      </c>
      <c r="G8" s="18">
        <f t="shared" si="8"/>
        <v>2293714.1999999997</v>
      </c>
      <c r="H8" s="20">
        <v>2.1899999999999999E-2</v>
      </c>
      <c r="I8" s="31">
        <v>11</v>
      </c>
      <c r="J8" s="16">
        <f t="shared" si="0"/>
        <v>50232</v>
      </c>
      <c r="K8" s="11">
        <f t="shared" si="1"/>
        <v>6279</v>
      </c>
      <c r="L8" s="11">
        <f t="shared" si="2"/>
        <v>56511</v>
      </c>
      <c r="M8" s="11">
        <f t="shared" si="3"/>
        <v>106743</v>
      </c>
      <c r="N8" s="11">
        <f>ROUND(G8*$N$2,0)</f>
        <v>86014</v>
      </c>
      <c r="O8" s="11">
        <f>ROUND(G8*$O$2,0)</f>
        <v>165583</v>
      </c>
      <c r="P8" s="11">
        <f>ROUND(G8*$P$2,0)</f>
        <v>153151</v>
      </c>
      <c r="Q8" s="11">
        <f t="shared" si="4"/>
        <v>-21314</v>
      </c>
      <c r="R8" s="11">
        <f t="shared" si="5"/>
        <v>-61687</v>
      </c>
      <c r="S8" s="11">
        <f t="shared" si="6"/>
        <v>-97709</v>
      </c>
    </row>
    <row r="9" spans="1:19" s="2" customFormat="1">
      <c r="A9" s="41" t="s">
        <v>67</v>
      </c>
      <c r="B9" s="1">
        <v>3265</v>
      </c>
      <c r="C9" s="34">
        <v>0</v>
      </c>
      <c r="D9" s="33">
        <v>1</v>
      </c>
      <c r="E9" s="34">
        <f t="shared" si="7"/>
        <v>0</v>
      </c>
      <c r="F9" s="33">
        <v>0.1</v>
      </c>
      <c r="G9" s="18">
        <f t="shared" si="8"/>
        <v>0</v>
      </c>
      <c r="H9" s="20">
        <v>2.1899999999999999E-2</v>
      </c>
      <c r="I9" s="31"/>
      <c r="J9" s="16">
        <f t="shared" si="0"/>
        <v>0</v>
      </c>
      <c r="K9" s="11">
        <f t="shared" si="1"/>
        <v>0</v>
      </c>
      <c r="L9" s="11">
        <f t="shared" si="2"/>
        <v>0</v>
      </c>
      <c r="M9" s="11">
        <f t="shared" si="3"/>
        <v>0</v>
      </c>
      <c r="N9" s="11">
        <f>ROUND(G9*$N$2,0)</f>
        <v>0</v>
      </c>
      <c r="O9" s="11">
        <f>ROUND(G9*$O$2,0)</f>
        <v>0</v>
      </c>
      <c r="P9" s="11">
        <f>ROUND(G9*$P$2,0)</f>
        <v>0</v>
      </c>
      <c r="Q9" s="11">
        <f t="shared" si="4"/>
        <v>0</v>
      </c>
      <c r="R9" s="11">
        <f t="shared" si="5"/>
        <v>0</v>
      </c>
      <c r="S9" s="11">
        <f t="shared" si="6"/>
        <v>0</v>
      </c>
    </row>
    <row r="10" spans="1:19" s="2" customFormat="1">
      <c r="A10" t="s">
        <v>30</v>
      </c>
      <c r="B10" s="1">
        <v>5118</v>
      </c>
      <c r="C10" s="34">
        <v>0</v>
      </c>
      <c r="D10" s="33">
        <f>0.1918*0.70212</f>
        <v>0.13466661599999999</v>
      </c>
      <c r="E10" s="34">
        <f t="shared" si="7"/>
        <v>0</v>
      </c>
      <c r="F10" s="33">
        <v>0.4</v>
      </c>
      <c r="G10" s="18">
        <f t="shared" si="8"/>
        <v>0</v>
      </c>
      <c r="H10" s="20">
        <v>6.0699999999999997E-2</v>
      </c>
      <c r="I10" s="31"/>
      <c r="J10" s="16">
        <f t="shared" si="0"/>
        <v>0</v>
      </c>
      <c r="K10" s="11">
        <f t="shared" si="1"/>
        <v>0</v>
      </c>
      <c r="L10" s="11">
        <f t="shared" si="2"/>
        <v>0</v>
      </c>
      <c r="M10" s="11">
        <f t="shared" si="3"/>
        <v>0</v>
      </c>
      <c r="N10" s="11">
        <f>ROUND(G10*$N$3,0)</f>
        <v>0</v>
      </c>
      <c r="O10" s="11">
        <f>ROUND(G10*$O$3,0)</f>
        <v>0</v>
      </c>
      <c r="P10" s="11">
        <f>ROUND(G10*$P$3,0)</f>
        <v>0</v>
      </c>
      <c r="Q10" s="11">
        <f t="shared" si="4"/>
        <v>0</v>
      </c>
      <c r="R10" s="11">
        <f t="shared" si="5"/>
        <v>0</v>
      </c>
      <c r="S10" s="11">
        <f t="shared" si="6"/>
        <v>0</v>
      </c>
    </row>
    <row r="11" spans="1:19" s="2" customFormat="1">
      <c r="A11" t="s">
        <v>29</v>
      </c>
      <c r="B11" s="1">
        <v>7101</v>
      </c>
      <c r="C11" s="34">
        <f>3330084+587918</f>
        <v>3918002</v>
      </c>
      <c r="D11" s="33">
        <f>0.1918*0.70212</f>
        <v>0.13466661599999999</v>
      </c>
      <c r="E11" s="34">
        <f t="shared" si="7"/>
        <v>527624.07082123193</v>
      </c>
      <c r="F11" s="33">
        <v>0.2</v>
      </c>
      <c r="G11" s="18">
        <f t="shared" si="8"/>
        <v>422099.25665698556</v>
      </c>
      <c r="H11" s="20">
        <v>6.0699999999999997E-2</v>
      </c>
      <c r="I11" s="31">
        <v>12</v>
      </c>
      <c r="J11" s="16">
        <f t="shared" si="0"/>
        <v>25621</v>
      </c>
      <c r="K11" s="11">
        <f t="shared" si="1"/>
        <v>1068</v>
      </c>
      <c r="L11" s="11">
        <f t="shared" si="2"/>
        <v>26689</v>
      </c>
      <c r="M11" s="11">
        <f t="shared" si="3"/>
        <v>52310</v>
      </c>
      <c r="N11" s="11">
        <f>ROUND(G11*$N$3,0)</f>
        <v>60276</v>
      </c>
      <c r="O11" s="11">
        <f>ROUND(G11*$O$3,0)</f>
        <v>103372</v>
      </c>
      <c r="P11" s="11">
        <f>ROUND(G11*$P$3,0)</f>
        <v>73838</v>
      </c>
      <c r="Q11" s="11">
        <f t="shared" si="4"/>
        <v>-16613</v>
      </c>
      <c r="R11" s="11">
        <f t="shared" si="5"/>
        <v>-43826</v>
      </c>
      <c r="S11" s="11">
        <f t="shared" si="6"/>
        <v>-60702</v>
      </c>
    </row>
    <row r="12" spans="1:19" s="2" customFormat="1">
      <c r="A12" t="s">
        <v>31</v>
      </c>
      <c r="B12" s="1">
        <v>7106</v>
      </c>
      <c r="C12" s="34">
        <f>2388983+645936</f>
        <v>3034919</v>
      </c>
      <c r="D12" s="33">
        <f>0.1918*0.70212</f>
        <v>0.13466661599999999</v>
      </c>
      <c r="E12" s="34">
        <f t="shared" si="7"/>
        <v>408702.27156410395</v>
      </c>
      <c r="F12" s="33">
        <v>0</v>
      </c>
      <c r="G12" s="18">
        <f t="shared" si="8"/>
        <v>408702.27156410395</v>
      </c>
      <c r="H12" s="20">
        <v>6.0699999999999997E-2</v>
      </c>
      <c r="I12" s="31">
        <v>11</v>
      </c>
      <c r="J12" s="16">
        <f t="shared" si="0"/>
        <v>24808</v>
      </c>
      <c r="K12" s="11">
        <f t="shared" si="1"/>
        <v>3101</v>
      </c>
      <c r="L12" s="11">
        <f t="shared" si="2"/>
        <v>27909</v>
      </c>
      <c r="M12" s="11">
        <f t="shared" si="3"/>
        <v>52717</v>
      </c>
      <c r="N12" s="11">
        <f>ROUND(G12*$N$3,0)</f>
        <v>58363</v>
      </c>
      <c r="O12" s="11">
        <f>ROUND(G12*$O$3,0)</f>
        <v>100091</v>
      </c>
      <c r="P12" s="11">
        <f>ROUND(G12*$P$3,0)</f>
        <v>71494</v>
      </c>
      <c r="Q12" s="11">
        <f t="shared" si="4"/>
        <v>-16086</v>
      </c>
      <c r="R12" s="11">
        <f t="shared" si="5"/>
        <v>-42435</v>
      </c>
      <c r="S12" s="11">
        <f t="shared" si="6"/>
        <v>-58775</v>
      </c>
    </row>
    <row r="13" spans="1:19" s="2" customFormat="1" ht="13.5" thickBot="1">
      <c r="C13" s="7">
        <f>SUM(C6:C12)</f>
        <v>9646145</v>
      </c>
      <c r="E13" s="7">
        <f>SUM(E6:E12)</f>
        <v>3629550.3423853363</v>
      </c>
      <c r="G13" s="19">
        <f>SUM(G6:G12)</f>
        <v>3375424.9282210898</v>
      </c>
      <c r="H13" s="20"/>
      <c r="J13" s="7">
        <f t="shared" ref="J13:S13" si="9">SUM(J6:J12)</f>
        <v>106156</v>
      </c>
      <c r="K13" s="7">
        <f t="shared" si="9"/>
        <v>11135</v>
      </c>
      <c r="L13" s="7">
        <f t="shared" si="9"/>
        <v>117291</v>
      </c>
      <c r="M13" s="7">
        <f t="shared" si="9"/>
        <v>223447</v>
      </c>
      <c r="N13" s="7">
        <f t="shared" si="9"/>
        <v>214062</v>
      </c>
      <c r="O13" s="7">
        <f t="shared" si="9"/>
        <v>387159</v>
      </c>
      <c r="P13" s="7">
        <f t="shared" si="9"/>
        <v>315236</v>
      </c>
      <c r="Q13" s="7">
        <f t="shared" si="9"/>
        <v>-56345</v>
      </c>
      <c r="R13" s="7">
        <f t="shared" si="9"/>
        <v>-154696</v>
      </c>
      <c r="S13" s="7">
        <f t="shared" si="9"/>
        <v>-227874</v>
      </c>
    </row>
    <row r="14" spans="1:19" s="2" customFormat="1">
      <c r="H14" s="20"/>
    </row>
    <row r="16" spans="1:19">
      <c r="A16" t="s">
        <v>27</v>
      </c>
      <c r="G16" s="24">
        <f>SUM(G6:G9)</f>
        <v>2544623.4</v>
      </c>
      <c r="H16" s="17"/>
      <c r="I16" s="17"/>
      <c r="J16" s="24">
        <f t="shared" ref="J16:S16" si="10">SUM(J6:J9)</f>
        <v>55727</v>
      </c>
      <c r="K16" s="24">
        <f t="shared" si="10"/>
        <v>6966</v>
      </c>
      <c r="L16" s="24">
        <f t="shared" si="10"/>
        <v>62693</v>
      </c>
      <c r="M16" s="24">
        <f t="shared" si="10"/>
        <v>118420</v>
      </c>
      <c r="N16" s="24">
        <f t="shared" si="10"/>
        <v>95423</v>
      </c>
      <c r="O16" s="24">
        <f t="shared" si="10"/>
        <v>183696</v>
      </c>
      <c r="P16" s="24">
        <f t="shared" si="10"/>
        <v>169904</v>
      </c>
      <c r="Q16" s="24">
        <f t="shared" si="10"/>
        <v>-23646</v>
      </c>
      <c r="R16" s="24">
        <f t="shared" si="10"/>
        <v>-68435</v>
      </c>
      <c r="S16" s="24">
        <f t="shared" si="10"/>
        <v>-108397</v>
      </c>
    </row>
    <row r="17" spans="1:19">
      <c r="A17" t="s">
        <v>41</v>
      </c>
      <c r="G17" s="24">
        <f>SUM(G10:G12)</f>
        <v>830801.52822108951</v>
      </c>
      <c r="H17" s="17"/>
      <c r="I17" s="17"/>
      <c r="J17" s="24">
        <f t="shared" ref="J17:S17" si="11">SUM(J10:J12)</f>
        <v>50429</v>
      </c>
      <c r="K17" s="24">
        <f t="shared" si="11"/>
        <v>4169</v>
      </c>
      <c r="L17" s="24">
        <f t="shared" si="11"/>
        <v>54598</v>
      </c>
      <c r="M17" s="24">
        <f t="shared" si="11"/>
        <v>105027</v>
      </c>
      <c r="N17" s="24">
        <f t="shared" si="11"/>
        <v>118639</v>
      </c>
      <c r="O17" s="24">
        <f t="shared" si="11"/>
        <v>203463</v>
      </c>
      <c r="P17" s="24">
        <f t="shared" si="11"/>
        <v>145332</v>
      </c>
      <c r="Q17" s="24">
        <f t="shared" si="11"/>
        <v>-32699</v>
      </c>
      <c r="R17" s="24">
        <f t="shared" si="11"/>
        <v>-86261</v>
      </c>
      <c r="S17" s="24">
        <f t="shared" si="11"/>
        <v>-119477</v>
      </c>
    </row>
    <row r="18" spans="1:19" ht="13.5" thickBot="1">
      <c r="G18" s="3">
        <f>SUM(G16:G17)</f>
        <v>3375424.9282210893</v>
      </c>
      <c r="H18" s="17"/>
      <c r="I18" s="17"/>
      <c r="J18" s="3">
        <f t="shared" ref="J18:S18" si="12">SUM(J16:J17)</f>
        <v>106156</v>
      </c>
      <c r="K18" s="3">
        <f t="shared" si="12"/>
        <v>11135</v>
      </c>
      <c r="L18" s="3">
        <f t="shared" si="12"/>
        <v>117291</v>
      </c>
      <c r="M18" s="3">
        <f t="shared" si="12"/>
        <v>223447</v>
      </c>
      <c r="N18" s="3">
        <f t="shared" si="12"/>
        <v>214062</v>
      </c>
      <c r="O18" s="3">
        <f t="shared" si="12"/>
        <v>387159</v>
      </c>
      <c r="P18" s="3">
        <f t="shared" si="12"/>
        <v>315236</v>
      </c>
      <c r="Q18" s="3">
        <f t="shared" si="12"/>
        <v>-56345</v>
      </c>
      <c r="R18" s="3">
        <f t="shared" si="12"/>
        <v>-154696</v>
      </c>
      <c r="S18" s="3">
        <f t="shared" si="12"/>
        <v>-227874</v>
      </c>
    </row>
  </sheetData>
  <phoneticPr fontId="0" type="noConversion"/>
  <pageMargins left="0.75" right="0.75" top="1.5" bottom="1" header="0.5" footer="0.5"/>
  <pageSetup scale="59" orientation="landscape" r:id="rId1"/>
  <headerFooter alignWithMargins="0">
    <oddHeader>&amp;C
&amp;"Arial,Bold"&amp;12Avista Utilities&amp;"Arial,Regular"&amp;10
Natural Gas Plant - Proposed by Avista
October 1, 2008 through July 31, 2009&amp;RExhibit No. ___(DBD-10)</oddHeader>
    <oddFooter>&amp;RPage 2 of 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"/>
  <sheetViews>
    <sheetView tabSelected="1" workbookViewId="0">
      <pane ySplit="5" topLeftCell="A6" activePane="bottomLeft" state="frozen"/>
      <selection pane="bottomLeft"/>
    </sheetView>
  </sheetViews>
  <sheetFormatPr defaultRowHeight="12.75"/>
  <cols>
    <col min="1" max="1" width="29.85546875" bestFit="1" customWidth="1"/>
    <col min="2" max="2" width="6.28515625" bestFit="1" customWidth="1"/>
    <col min="3" max="3" width="11.28515625" hidden="1" customWidth="1"/>
    <col min="4" max="4" width="8.7109375" hidden="1" customWidth="1"/>
    <col min="5" max="5" width="12.7109375" bestFit="1" customWidth="1"/>
    <col min="6" max="6" width="6.28515625" bestFit="1" customWidth="1"/>
    <col min="7" max="7" width="11.85546875" bestFit="1" customWidth="1"/>
    <col min="8" max="8" width="9.85546875" bestFit="1" customWidth="1"/>
    <col min="9" max="9" width="12" bestFit="1" customWidth="1"/>
    <col min="10" max="10" width="7" style="30" bestFit="1" customWidth="1"/>
    <col min="11" max="11" width="8.140625" customWidth="1"/>
    <col min="12" max="12" width="10.7109375" customWidth="1"/>
    <col min="13" max="13" width="8.28515625" bestFit="1" customWidth="1"/>
    <col min="14" max="14" width="9.85546875" bestFit="1" customWidth="1"/>
    <col min="15" max="15" width="10.5703125" bestFit="1" customWidth="1"/>
    <col min="16" max="18" width="9.42578125" customWidth="1"/>
    <col min="19" max="21" width="9.28515625" bestFit="1" customWidth="1"/>
  </cols>
  <sheetData>
    <row r="1" spans="1:21" s="44" customFormat="1" ht="24.75">
      <c r="A1" s="43"/>
      <c r="B1" s="43"/>
      <c r="C1" s="43"/>
      <c r="D1" s="43"/>
      <c r="E1" s="43"/>
      <c r="F1" s="43"/>
      <c r="G1" s="43"/>
      <c r="H1" s="43"/>
      <c r="J1" s="49"/>
      <c r="L1" s="46"/>
      <c r="P1" s="47" t="s">
        <v>7</v>
      </c>
      <c r="Q1" s="47" t="s">
        <v>8</v>
      </c>
      <c r="R1" s="47" t="s">
        <v>21</v>
      </c>
      <c r="S1" s="48"/>
    </row>
    <row r="2" spans="1:21" s="2" customFormat="1" ht="15.75">
      <c r="A2" s="10" t="s">
        <v>70</v>
      </c>
      <c r="B2" s="10"/>
      <c r="C2" s="10"/>
      <c r="D2" s="10"/>
      <c r="E2" s="10"/>
      <c r="F2" s="10"/>
      <c r="G2" s="10"/>
      <c r="H2" s="10"/>
      <c r="J2" s="29"/>
      <c r="L2" s="12" t="s">
        <v>23</v>
      </c>
      <c r="P2" s="28">
        <v>0</v>
      </c>
      <c r="Q2" s="28">
        <v>3.7499999999999999E-2</v>
      </c>
      <c r="R2" s="28">
        <v>7.2190000000000004E-2</v>
      </c>
      <c r="S2" s="13"/>
    </row>
    <row r="3" spans="1:21" s="2" customFormat="1">
      <c r="A3" s="14" t="s">
        <v>62</v>
      </c>
      <c r="B3" s="14"/>
      <c r="C3" s="14"/>
      <c r="D3" s="14"/>
      <c r="E3" s="14"/>
      <c r="F3" s="14"/>
      <c r="G3" s="14"/>
      <c r="H3" s="14"/>
      <c r="J3" s="29"/>
      <c r="L3" s="12" t="s">
        <v>37</v>
      </c>
      <c r="P3" s="28">
        <v>0</v>
      </c>
      <c r="Q3" s="13">
        <v>0.14280000000000001</v>
      </c>
      <c r="R3" s="13">
        <v>0.24490000000000001</v>
      </c>
      <c r="S3" s="13"/>
    </row>
    <row r="4" spans="1:21" s="2" customFormat="1">
      <c r="J4" s="29"/>
    </row>
    <row r="5" spans="1:21" s="6" customFormat="1" ht="51">
      <c r="A5" s="8" t="s">
        <v>18</v>
      </c>
      <c r="B5" s="8" t="s">
        <v>28</v>
      </c>
      <c r="C5" s="8" t="s">
        <v>38</v>
      </c>
      <c r="D5" s="35">
        <v>39995</v>
      </c>
      <c r="E5" s="8" t="s">
        <v>35</v>
      </c>
      <c r="F5" s="8" t="s">
        <v>32</v>
      </c>
      <c r="G5" s="8" t="s">
        <v>34</v>
      </c>
      <c r="H5" s="8" t="s">
        <v>33</v>
      </c>
      <c r="I5" s="8" t="s">
        <v>19</v>
      </c>
      <c r="J5" s="9" t="s">
        <v>1</v>
      </c>
      <c r="K5" s="5" t="s">
        <v>2</v>
      </c>
      <c r="L5" s="4" t="s">
        <v>60</v>
      </c>
      <c r="M5" s="5" t="s">
        <v>20</v>
      </c>
      <c r="N5" s="5" t="s">
        <v>3</v>
      </c>
      <c r="O5" s="5" t="s">
        <v>4</v>
      </c>
      <c r="P5" s="5" t="s">
        <v>57</v>
      </c>
      <c r="Q5" s="5" t="s">
        <v>58</v>
      </c>
      <c r="R5" s="5" t="s">
        <v>59</v>
      </c>
      <c r="S5" s="5" t="s">
        <v>22</v>
      </c>
      <c r="T5" s="5" t="s">
        <v>5</v>
      </c>
      <c r="U5" s="5" t="s">
        <v>6</v>
      </c>
    </row>
    <row r="6" spans="1:21" s="2" customFormat="1">
      <c r="A6" s="51" t="s">
        <v>64</v>
      </c>
      <c r="B6" s="1">
        <v>3005</v>
      </c>
      <c r="C6" s="34">
        <v>931747</v>
      </c>
      <c r="D6" s="34">
        <v>368961</v>
      </c>
      <c r="E6" s="34">
        <v>438389</v>
      </c>
      <c r="F6" s="33">
        <v>1</v>
      </c>
      <c r="G6" s="34">
        <f>E6*F6</f>
        <v>438389</v>
      </c>
      <c r="H6" s="33">
        <f>'2008 Q4'!F6</f>
        <v>0.1</v>
      </c>
      <c r="I6" s="18">
        <f>G6*(1-H6)</f>
        <v>394550.10000000003</v>
      </c>
      <c r="J6" s="20">
        <v>2.1899999999999999E-2</v>
      </c>
      <c r="K6" s="15">
        <v>3</v>
      </c>
      <c r="L6" s="16">
        <f t="shared" ref="L6:L12" si="0">ROUND(I6*J6,0)</f>
        <v>8641</v>
      </c>
      <c r="M6" s="11">
        <v>0</v>
      </c>
      <c r="N6" s="11">
        <f t="shared" ref="N6:N12" si="1">ROUND(I6*J6*((12-K6+0.5)/12),0)</f>
        <v>6841</v>
      </c>
      <c r="O6" s="11">
        <f t="shared" ref="O6:O12" si="2">SUM(L6,N6)</f>
        <v>15482</v>
      </c>
      <c r="P6" s="11">
        <f>ROUND(I6*$P$2,0)</f>
        <v>0</v>
      </c>
      <c r="Q6" s="11">
        <f>ROUND(I6*$Q$2,0)</f>
        <v>14796</v>
      </c>
      <c r="R6" s="11">
        <f>ROUND(I6*$R$2,0)</f>
        <v>28483</v>
      </c>
      <c r="S6" s="11">
        <v>0</v>
      </c>
      <c r="T6" s="11">
        <f t="shared" ref="T6:T12" si="3">ROUND((Q6-(L6*6/12))*-0.35,0)</f>
        <v>-3666</v>
      </c>
      <c r="U6" s="11">
        <f t="shared" ref="U6:U12" si="4">ROUND(((R6-L6)*-0.35)+T6,0)</f>
        <v>-10611</v>
      </c>
    </row>
    <row r="7" spans="1:21" s="2" customFormat="1">
      <c r="A7" s="51" t="s">
        <v>65</v>
      </c>
      <c r="B7" s="1">
        <v>3112</v>
      </c>
      <c r="C7" s="34">
        <v>2352201</v>
      </c>
      <c r="D7" s="34">
        <v>441734</v>
      </c>
      <c r="E7" s="34">
        <v>1434184</v>
      </c>
      <c r="F7" s="33">
        <v>1</v>
      </c>
      <c r="G7" s="34">
        <f t="shared" ref="G7:G12" si="5">E7*F7</f>
        <v>1434184</v>
      </c>
      <c r="H7" s="33">
        <f>'2008 Q4'!F7</f>
        <v>0</v>
      </c>
      <c r="I7" s="18">
        <f t="shared" ref="I7:I12" si="6">G7*(1-H7)</f>
        <v>1434184</v>
      </c>
      <c r="J7" s="20">
        <v>2.1899999999999999E-2</v>
      </c>
      <c r="K7" s="15">
        <v>3</v>
      </c>
      <c r="L7" s="16">
        <f t="shared" si="0"/>
        <v>31409</v>
      </c>
      <c r="M7" s="11">
        <v>0</v>
      </c>
      <c r="N7" s="11">
        <f t="shared" si="1"/>
        <v>24865</v>
      </c>
      <c r="O7" s="11">
        <f t="shared" si="2"/>
        <v>56274</v>
      </c>
      <c r="P7" s="11">
        <f>ROUND(I7*$P$2,0)</f>
        <v>0</v>
      </c>
      <c r="Q7" s="11">
        <f>ROUND(I7*$Q$2,0)</f>
        <v>53782</v>
      </c>
      <c r="R7" s="11">
        <f>ROUND(I7*$R$2,0)</f>
        <v>103534</v>
      </c>
      <c r="S7" s="11">
        <v>0</v>
      </c>
      <c r="T7" s="11">
        <f t="shared" si="3"/>
        <v>-13327</v>
      </c>
      <c r="U7" s="11">
        <f t="shared" si="4"/>
        <v>-38571</v>
      </c>
    </row>
    <row r="8" spans="1:21" s="2" customFormat="1">
      <c r="A8" s="2" t="s">
        <v>66</v>
      </c>
      <c r="B8" s="1">
        <v>3122</v>
      </c>
      <c r="C8" s="34">
        <v>1522077</v>
      </c>
      <c r="D8" s="34">
        <v>0</v>
      </c>
      <c r="E8" s="34">
        <v>0</v>
      </c>
      <c r="F8" s="33">
        <v>1</v>
      </c>
      <c r="G8" s="34">
        <f t="shared" si="5"/>
        <v>0</v>
      </c>
      <c r="H8" s="33">
        <f>'2008 Q4'!F8</f>
        <v>0.05</v>
      </c>
      <c r="I8" s="18">
        <f t="shared" si="6"/>
        <v>0</v>
      </c>
      <c r="J8" s="20">
        <v>2.1899999999999999E-2</v>
      </c>
      <c r="K8" s="50"/>
      <c r="L8" s="16">
        <f t="shared" si="0"/>
        <v>0</v>
      </c>
      <c r="M8" s="11">
        <v>0</v>
      </c>
      <c r="N8" s="11">
        <f t="shared" si="1"/>
        <v>0</v>
      </c>
      <c r="O8" s="11">
        <f t="shared" si="2"/>
        <v>0</v>
      </c>
      <c r="P8" s="11">
        <f>ROUND(I8*$P$2,0)</f>
        <v>0</v>
      </c>
      <c r="Q8" s="11">
        <f>ROUND(I8*$Q$2,0)</f>
        <v>0</v>
      </c>
      <c r="R8" s="11">
        <f>ROUND(I8*$R$2,0)</f>
        <v>0</v>
      </c>
      <c r="S8" s="11">
        <v>0</v>
      </c>
      <c r="T8" s="11">
        <f t="shared" si="3"/>
        <v>0</v>
      </c>
      <c r="U8" s="11">
        <f t="shared" si="4"/>
        <v>0</v>
      </c>
    </row>
    <row r="9" spans="1:21" s="2" customFormat="1">
      <c r="A9" s="52" t="s">
        <v>67</v>
      </c>
      <c r="B9" s="1">
        <v>3265</v>
      </c>
      <c r="C9" s="34">
        <v>220865</v>
      </c>
      <c r="D9" s="34">
        <v>0</v>
      </c>
      <c r="E9" s="34">
        <v>733419</v>
      </c>
      <c r="F9" s="33">
        <v>1</v>
      </c>
      <c r="G9" s="34">
        <f t="shared" si="5"/>
        <v>733419</v>
      </c>
      <c r="H9" s="33">
        <f>'2008 Q4'!F9</f>
        <v>0.1</v>
      </c>
      <c r="I9" s="18">
        <f t="shared" si="6"/>
        <v>660077.1</v>
      </c>
      <c r="J9" s="20">
        <v>2.1899999999999999E-2</v>
      </c>
      <c r="K9" s="50">
        <v>3</v>
      </c>
      <c r="L9" s="16">
        <f t="shared" si="0"/>
        <v>14456</v>
      </c>
      <c r="M9" s="11">
        <v>0</v>
      </c>
      <c r="N9" s="11">
        <f t="shared" si="1"/>
        <v>11444</v>
      </c>
      <c r="O9" s="11">
        <f t="shared" si="2"/>
        <v>25900</v>
      </c>
      <c r="P9" s="11">
        <f>ROUND(I9*$P$2,0)</f>
        <v>0</v>
      </c>
      <c r="Q9" s="11">
        <f>ROUND(I9*$Q$2,0)</f>
        <v>24753</v>
      </c>
      <c r="R9" s="11">
        <f>ROUND(I9*$R$2,0)</f>
        <v>47651</v>
      </c>
      <c r="S9" s="11">
        <v>0</v>
      </c>
      <c r="T9" s="11">
        <f t="shared" si="3"/>
        <v>-6134</v>
      </c>
      <c r="U9" s="11">
        <f t="shared" si="4"/>
        <v>-17752</v>
      </c>
    </row>
    <row r="10" spans="1:21" s="2" customFormat="1">
      <c r="A10" s="42" t="s">
        <v>30</v>
      </c>
      <c r="B10" s="1">
        <v>5118</v>
      </c>
      <c r="C10" s="34">
        <v>1847298</v>
      </c>
      <c r="D10" s="34">
        <v>0</v>
      </c>
      <c r="E10" s="34">
        <f>SUM(C10:D10)</f>
        <v>1847298</v>
      </c>
      <c r="F10" s="33">
        <f>0.1918*0.70212</f>
        <v>0.13466661599999999</v>
      </c>
      <c r="G10" s="34">
        <f t="shared" si="5"/>
        <v>248769.37040356797</v>
      </c>
      <c r="H10" s="33">
        <f>'2008 Q4'!F10</f>
        <v>0.4</v>
      </c>
      <c r="I10" s="18">
        <f t="shared" si="6"/>
        <v>149261.62224214079</v>
      </c>
      <c r="J10" s="20">
        <v>6.0699999999999997E-2</v>
      </c>
      <c r="K10" s="15">
        <v>6</v>
      </c>
      <c r="L10" s="16">
        <f t="shared" si="0"/>
        <v>9060</v>
      </c>
      <c r="M10" s="11">
        <v>0</v>
      </c>
      <c r="N10" s="11">
        <f t="shared" si="1"/>
        <v>4908</v>
      </c>
      <c r="O10" s="11">
        <f t="shared" si="2"/>
        <v>13968</v>
      </c>
      <c r="P10" s="11">
        <f>ROUND(I10*$P$3,0)</f>
        <v>0</v>
      </c>
      <c r="Q10" s="11">
        <f>ROUND(I10*$Q$3,0)</f>
        <v>21315</v>
      </c>
      <c r="R10" s="11">
        <f>ROUND(I10*$R$3,0)</f>
        <v>36554</v>
      </c>
      <c r="S10" s="11">
        <v>0</v>
      </c>
      <c r="T10" s="11">
        <f t="shared" si="3"/>
        <v>-5875</v>
      </c>
      <c r="U10" s="11">
        <f t="shared" si="4"/>
        <v>-15498</v>
      </c>
    </row>
    <row r="11" spans="1:21" s="2" customFormat="1">
      <c r="A11" s="42" t="s">
        <v>29</v>
      </c>
      <c r="B11" s="1">
        <v>7101</v>
      </c>
      <c r="C11" s="34">
        <v>587918</v>
      </c>
      <c r="D11" s="34">
        <v>0</v>
      </c>
      <c r="E11" s="34">
        <v>0</v>
      </c>
      <c r="F11" s="33">
        <f>0.1918*0.70212</f>
        <v>0.13466661599999999</v>
      </c>
      <c r="G11" s="34">
        <f t="shared" si="5"/>
        <v>0</v>
      </c>
      <c r="H11" s="33">
        <f>'2008 Q4'!F11</f>
        <v>0.2</v>
      </c>
      <c r="I11" s="18">
        <f t="shared" si="6"/>
        <v>0</v>
      </c>
      <c r="J11" s="20">
        <v>6.0699999999999997E-2</v>
      </c>
      <c r="K11" s="15"/>
      <c r="L11" s="16">
        <f t="shared" si="0"/>
        <v>0</v>
      </c>
      <c r="M11" s="11">
        <v>0</v>
      </c>
      <c r="N11" s="11">
        <f t="shared" si="1"/>
        <v>0</v>
      </c>
      <c r="O11" s="11">
        <f t="shared" si="2"/>
        <v>0</v>
      </c>
      <c r="P11" s="11">
        <f>ROUND(I11*$P$3,0)</f>
        <v>0</v>
      </c>
      <c r="Q11" s="11">
        <f>ROUND(I11*$Q$3,0)</f>
        <v>0</v>
      </c>
      <c r="R11" s="11">
        <f>ROUND(I11*$R$3,0)</f>
        <v>0</v>
      </c>
      <c r="S11" s="11">
        <v>0</v>
      </c>
      <c r="T11" s="11">
        <f t="shared" si="3"/>
        <v>0</v>
      </c>
      <c r="U11" s="11">
        <f t="shared" si="4"/>
        <v>0</v>
      </c>
    </row>
    <row r="12" spans="1:21" s="2" customFormat="1">
      <c r="A12" s="42" t="s">
        <v>31</v>
      </c>
      <c r="B12" s="1">
        <v>7106</v>
      </c>
      <c r="C12" s="34">
        <v>645936</v>
      </c>
      <c r="D12" s="34">
        <v>0</v>
      </c>
      <c r="E12" s="34">
        <v>0</v>
      </c>
      <c r="F12" s="33">
        <f>0.1918*0.70212</f>
        <v>0.13466661599999999</v>
      </c>
      <c r="G12" s="34">
        <f t="shared" si="5"/>
        <v>0</v>
      </c>
      <c r="H12" s="33">
        <f>'2008 Q4'!F12</f>
        <v>0</v>
      </c>
      <c r="I12" s="18">
        <f t="shared" si="6"/>
        <v>0</v>
      </c>
      <c r="J12" s="20">
        <v>6.0699999999999997E-2</v>
      </c>
      <c r="K12" s="15"/>
      <c r="L12" s="16">
        <f t="shared" si="0"/>
        <v>0</v>
      </c>
      <c r="M12" s="11">
        <v>0</v>
      </c>
      <c r="N12" s="11">
        <f t="shared" si="1"/>
        <v>0</v>
      </c>
      <c r="O12" s="11">
        <f t="shared" si="2"/>
        <v>0</v>
      </c>
      <c r="P12" s="11">
        <f>ROUND(I12*$P$3,0)</f>
        <v>0</v>
      </c>
      <c r="Q12" s="11">
        <f>ROUND(I12*$Q$3,0)</f>
        <v>0</v>
      </c>
      <c r="R12" s="11">
        <f>ROUND(I12*$R$3,0)</f>
        <v>0</v>
      </c>
      <c r="S12" s="11">
        <v>0</v>
      </c>
      <c r="T12" s="11">
        <f t="shared" si="3"/>
        <v>0</v>
      </c>
      <c r="U12" s="11">
        <f t="shared" si="4"/>
        <v>0</v>
      </c>
    </row>
    <row r="13" spans="1:21" s="2" customFormat="1" ht="13.5" thickBot="1">
      <c r="C13" s="3">
        <f>SUM(C6:C12)</f>
        <v>8108042</v>
      </c>
      <c r="D13" s="3">
        <f>SUM(D6:D12)</f>
        <v>810695</v>
      </c>
      <c r="E13" s="3">
        <f>SUM(E6:E12)</f>
        <v>4453290</v>
      </c>
      <c r="G13" s="7">
        <f>SUM(G6:G12)</f>
        <v>2854761.3704035678</v>
      </c>
      <c r="I13" s="19">
        <f>SUM(I6:I12)</f>
        <v>2638072.8222421408</v>
      </c>
      <c r="J13" s="29"/>
      <c r="L13" s="7">
        <f t="shared" ref="L13:U13" si="7">SUM(L6:L12)</f>
        <v>63566</v>
      </c>
      <c r="M13" s="7">
        <f t="shared" si="7"/>
        <v>0</v>
      </c>
      <c r="N13" s="7">
        <f t="shared" si="7"/>
        <v>48058</v>
      </c>
      <c r="O13" s="7">
        <f t="shared" si="7"/>
        <v>111624</v>
      </c>
      <c r="P13" s="7">
        <f t="shared" si="7"/>
        <v>0</v>
      </c>
      <c r="Q13" s="7">
        <f t="shared" si="7"/>
        <v>114646</v>
      </c>
      <c r="R13" s="7">
        <f t="shared" si="7"/>
        <v>216222</v>
      </c>
      <c r="S13" s="7">
        <f t="shared" si="7"/>
        <v>0</v>
      </c>
      <c r="T13" s="7">
        <f t="shared" si="7"/>
        <v>-29002</v>
      </c>
      <c r="U13" s="7">
        <f t="shared" si="7"/>
        <v>-82432</v>
      </c>
    </row>
    <row r="14" spans="1:21" s="2" customFormat="1">
      <c r="J14" s="29"/>
    </row>
    <row r="16" spans="1:21">
      <c r="A16" t="s">
        <v>27</v>
      </c>
      <c r="I16" s="24">
        <f>SUM(I6:I9)</f>
        <v>2488811.2000000002</v>
      </c>
      <c r="J16" s="24"/>
      <c r="K16" s="24"/>
      <c r="L16" s="24">
        <f t="shared" ref="L16:U16" si="8">SUM(L6:L9)</f>
        <v>54506</v>
      </c>
      <c r="M16" s="24">
        <f t="shared" si="8"/>
        <v>0</v>
      </c>
      <c r="N16" s="24">
        <f t="shared" si="8"/>
        <v>43150</v>
      </c>
      <c r="O16" s="24">
        <f t="shared" si="8"/>
        <v>97656</v>
      </c>
      <c r="P16" s="24">
        <f t="shared" si="8"/>
        <v>0</v>
      </c>
      <c r="Q16" s="24">
        <f t="shared" si="8"/>
        <v>93331</v>
      </c>
      <c r="R16" s="24">
        <f t="shared" si="8"/>
        <v>179668</v>
      </c>
      <c r="S16" s="24">
        <f t="shared" si="8"/>
        <v>0</v>
      </c>
      <c r="T16" s="24">
        <f t="shared" si="8"/>
        <v>-23127</v>
      </c>
      <c r="U16" s="24">
        <f t="shared" si="8"/>
        <v>-66934</v>
      </c>
    </row>
    <row r="17" spans="1:21">
      <c r="A17" t="s">
        <v>41</v>
      </c>
      <c r="I17" s="24">
        <f>SUM(I10:I12)</f>
        <v>149261.62224214079</v>
      </c>
      <c r="J17" s="24"/>
      <c r="K17" s="24"/>
      <c r="L17" s="24">
        <f t="shared" ref="L17:U17" si="9">SUM(L10:L12)</f>
        <v>9060</v>
      </c>
      <c r="M17" s="24">
        <f t="shared" si="9"/>
        <v>0</v>
      </c>
      <c r="N17" s="24">
        <f t="shared" si="9"/>
        <v>4908</v>
      </c>
      <c r="O17" s="24">
        <f t="shared" si="9"/>
        <v>13968</v>
      </c>
      <c r="P17" s="24">
        <f t="shared" si="9"/>
        <v>0</v>
      </c>
      <c r="Q17" s="24">
        <f t="shared" si="9"/>
        <v>21315</v>
      </c>
      <c r="R17" s="24">
        <f t="shared" si="9"/>
        <v>36554</v>
      </c>
      <c r="S17" s="24">
        <f t="shared" si="9"/>
        <v>0</v>
      </c>
      <c r="T17" s="24">
        <f t="shared" si="9"/>
        <v>-5875</v>
      </c>
      <c r="U17" s="24">
        <f t="shared" si="9"/>
        <v>-15498</v>
      </c>
    </row>
    <row r="18" spans="1:21" ht="13.5" thickBot="1">
      <c r="I18" s="3">
        <f>SUM(I16:I17)</f>
        <v>2638072.8222421408</v>
      </c>
      <c r="J18" s="17"/>
      <c r="K18" s="17"/>
      <c r="L18" s="3">
        <f t="shared" ref="L18:U18" si="10">SUM(L16:L17)</f>
        <v>63566</v>
      </c>
      <c r="M18" s="3">
        <f t="shared" si="10"/>
        <v>0</v>
      </c>
      <c r="N18" s="3">
        <f t="shared" si="10"/>
        <v>48058</v>
      </c>
      <c r="O18" s="3">
        <f t="shared" si="10"/>
        <v>111624</v>
      </c>
      <c r="P18" s="3">
        <f t="shared" si="10"/>
        <v>0</v>
      </c>
      <c r="Q18" s="3">
        <f t="shared" si="10"/>
        <v>114646</v>
      </c>
      <c r="R18" s="3">
        <f t="shared" si="10"/>
        <v>216222</v>
      </c>
      <c r="S18" s="3">
        <f t="shared" si="10"/>
        <v>0</v>
      </c>
      <c r="T18" s="3">
        <f t="shared" si="10"/>
        <v>-29002</v>
      </c>
      <c r="U18" s="3">
        <f t="shared" si="10"/>
        <v>-82432</v>
      </c>
    </row>
  </sheetData>
  <phoneticPr fontId="0" type="noConversion"/>
  <pageMargins left="0.75" right="0.75" top="1.5" bottom="1" header="0.5" footer="0.5"/>
  <pageSetup scale="61" orientation="landscape" r:id="rId1"/>
  <headerFooter alignWithMargins="0">
    <oddHeader>&amp;C
&amp;"Arial,Bold"&amp;12Avista Utilities&amp;"Arial,Regular"&amp;10
Natural Gas Plant - Proposed by Avista
October 1, 2008 through July 31, 2009&amp;RExhibit No. ___(DBD-10)</oddHeader>
    <oddFooter>&amp;RPage 3 of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workbookViewId="0">
      <selection activeCell="A3" sqref="A3"/>
    </sheetView>
  </sheetViews>
  <sheetFormatPr defaultRowHeight="12.75"/>
  <cols>
    <col min="1" max="1" width="30.85546875" bestFit="1" customWidth="1"/>
    <col min="2" max="2" width="5" bestFit="1" customWidth="1"/>
    <col min="3" max="3" width="11.28515625" bestFit="1" customWidth="1"/>
    <col min="4" max="4" width="6.140625" bestFit="1" customWidth="1"/>
    <col min="5" max="5" width="11.28515625" bestFit="1" customWidth="1"/>
    <col min="6" max="6" width="9.85546875" bestFit="1" customWidth="1"/>
    <col min="7" max="7" width="11.85546875" bestFit="1" customWidth="1"/>
    <col min="8" max="8" width="6.5703125" style="21" bestFit="1" customWidth="1"/>
    <col min="9" max="9" width="8.42578125" bestFit="1" customWidth="1"/>
    <col min="10" max="10" width="10.85546875" customWidth="1"/>
    <col min="11" max="11" width="9.42578125" bestFit="1" customWidth="1"/>
    <col min="12" max="12" width="10.5703125" bestFit="1" customWidth="1"/>
    <col min="13" max="13" width="10.42578125" bestFit="1" customWidth="1"/>
    <col min="14" max="14" width="10.28515625" customWidth="1"/>
    <col min="15" max="15" width="10.5703125" bestFit="1" customWidth="1"/>
    <col min="16" max="16" width="11" customWidth="1"/>
    <col min="17" max="17" width="10.5703125" bestFit="1" customWidth="1"/>
    <col min="18" max="19" width="11.28515625" bestFit="1" customWidth="1"/>
  </cols>
  <sheetData>
    <row r="1" spans="1:19" s="44" customFormat="1" ht="24.75">
      <c r="A1" s="43" t="s">
        <v>9</v>
      </c>
      <c r="B1" s="43"/>
      <c r="C1" s="43"/>
      <c r="D1" s="43"/>
      <c r="E1" s="43"/>
      <c r="F1" s="43"/>
      <c r="H1" s="45"/>
      <c r="J1" s="46"/>
      <c r="N1" s="47" t="s">
        <v>7</v>
      </c>
      <c r="O1" s="47" t="s">
        <v>8</v>
      </c>
      <c r="P1" s="47" t="s">
        <v>21</v>
      </c>
      <c r="Q1" s="48"/>
    </row>
    <row r="2" spans="1:19" s="2" customFormat="1" ht="15.75">
      <c r="A2" s="10" t="s">
        <v>69</v>
      </c>
      <c r="B2" s="10"/>
      <c r="C2" s="10"/>
      <c r="D2" s="10"/>
      <c r="E2" s="10"/>
      <c r="F2" s="10"/>
      <c r="H2" s="20"/>
      <c r="J2" s="12" t="s">
        <v>36</v>
      </c>
      <c r="N2" s="28">
        <v>3.7499999999999999E-2</v>
      </c>
      <c r="O2" s="28">
        <v>7.2190000000000004E-2</v>
      </c>
      <c r="P2" s="28">
        <v>6.6769999999999996E-2</v>
      </c>
      <c r="Q2" s="13"/>
    </row>
    <row r="3" spans="1:19" s="2" customFormat="1">
      <c r="A3" s="14" t="s">
        <v>63</v>
      </c>
      <c r="B3" s="14"/>
      <c r="C3" s="14"/>
      <c r="D3" s="14"/>
      <c r="E3" s="14"/>
      <c r="F3" s="14"/>
      <c r="H3" s="20"/>
      <c r="J3" s="12" t="s">
        <v>37</v>
      </c>
      <c r="N3" s="13">
        <v>0.14280000000000001</v>
      </c>
      <c r="O3" s="13">
        <v>0.24490000000000001</v>
      </c>
      <c r="P3" s="13">
        <v>0.17493</v>
      </c>
      <c r="Q3" s="13"/>
    </row>
    <row r="4" spans="1:19" s="2" customFormat="1">
      <c r="H4" s="20"/>
    </row>
    <row r="5" spans="1:19" s="6" customFormat="1" ht="51">
      <c r="A5" s="8" t="s">
        <v>18</v>
      </c>
      <c r="B5" s="8" t="s">
        <v>28</v>
      </c>
      <c r="C5" s="8" t="s">
        <v>35</v>
      </c>
      <c r="D5" s="8" t="s">
        <v>32</v>
      </c>
      <c r="E5" s="8" t="s">
        <v>34</v>
      </c>
      <c r="F5" s="8" t="s">
        <v>33</v>
      </c>
      <c r="G5" s="8" t="s">
        <v>19</v>
      </c>
      <c r="H5" s="9" t="s">
        <v>1</v>
      </c>
      <c r="I5" s="5" t="s">
        <v>2</v>
      </c>
      <c r="J5" s="4" t="s">
        <v>60</v>
      </c>
      <c r="K5" s="5" t="s">
        <v>20</v>
      </c>
      <c r="L5" s="5" t="s">
        <v>3</v>
      </c>
      <c r="M5" s="5" t="s">
        <v>4</v>
      </c>
      <c r="N5" s="5" t="s">
        <v>57</v>
      </c>
      <c r="O5" s="5" t="s">
        <v>58</v>
      </c>
      <c r="P5" s="5" t="s">
        <v>59</v>
      </c>
      <c r="Q5" s="5" t="s">
        <v>22</v>
      </c>
      <c r="R5" s="5" t="s">
        <v>5</v>
      </c>
      <c r="S5" s="5" t="s">
        <v>6</v>
      </c>
    </row>
    <row r="6" spans="1:19" s="2" customFormat="1">
      <c r="A6" s="40" t="s">
        <v>64</v>
      </c>
      <c r="B6" s="1">
        <v>3005</v>
      </c>
      <c r="C6" s="34">
        <f>'2008 Q4'!C6+'2009 '!E6</f>
        <v>717177</v>
      </c>
      <c r="D6" s="33">
        <v>1</v>
      </c>
      <c r="E6" s="34">
        <f>C6*D6</f>
        <v>717177</v>
      </c>
      <c r="F6" s="33">
        <f>'2008 Q4'!F6</f>
        <v>0.1</v>
      </c>
      <c r="G6" s="18">
        <f>E6*(1-F6)</f>
        <v>645459.30000000005</v>
      </c>
      <c r="H6" s="20">
        <v>2.1899999999999999E-2</v>
      </c>
      <c r="I6" s="31"/>
      <c r="J6" s="34">
        <f>'2008 Q4'!J6+'2009 '!L6</f>
        <v>14136</v>
      </c>
      <c r="K6" s="34">
        <f>'2008 Q4'!K6+'2009 '!M6</f>
        <v>687</v>
      </c>
      <c r="L6" s="34">
        <f>'2008 Q4'!L6+'2009 '!N6</f>
        <v>13023</v>
      </c>
      <c r="M6" s="34">
        <f>'2008 Q4'!M6+'2009 '!O6</f>
        <v>27159</v>
      </c>
      <c r="N6" s="34">
        <f>'2008 Q4'!N6+'2009 '!P6</f>
        <v>9409</v>
      </c>
      <c r="O6" s="34">
        <f>'2008 Q4'!O6+'2009 '!Q6</f>
        <v>32909</v>
      </c>
      <c r="P6" s="34">
        <f>'2008 Q4'!P6+'2009 '!R6</f>
        <v>45236</v>
      </c>
      <c r="Q6" s="34">
        <f>'2008 Q4'!Q6+'2009 '!S6</f>
        <v>-2332</v>
      </c>
      <c r="R6" s="34">
        <f>'2008 Q4'!R6+'2009 '!T6</f>
        <v>-10414</v>
      </c>
      <c r="S6" s="34">
        <f>'2008 Q4'!S6+'2009 '!U6</f>
        <v>-21299</v>
      </c>
    </row>
    <row r="7" spans="1:19" s="2" customFormat="1">
      <c r="A7" s="40" t="s">
        <v>65</v>
      </c>
      <c r="B7" s="1">
        <v>3112</v>
      </c>
      <c r="C7" s="34">
        <f>'2008 Q4'!C7+'2009 '!E7</f>
        <v>1434184</v>
      </c>
      <c r="D7" s="33">
        <v>1</v>
      </c>
      <c r="E7" s="34">
        <f t="shared" ref="E7:E12" si="0">C7*D7</f>
        <v>1434184</v>
      </c>
      <c r="F7" s="33">
        <f>'2008 Q4'!F7</f>
        <v>0</v>
      </c>
      <c r="G7" s="18">
        <f t="shared" ref="G7:G12" si="1">E7*(1-F7)</f>
        <v>1434184</v>
      </c>
      <c r="H7" s="20">
        <v>2.1899999999999999E-2</v>
      </c>
      <c r="I7" s="31"/>
      <c r="J7" s="34">
        <f>'2008 Q4'!J7+'2009 '!L7</f>
        <v>31409</v>
      </c>
      <c r="K7" s="34">
        <f>'2008 Q4'!K7+'2009 '!M7</f>
        <v>0</v>
      </c>
      <c r="L7" s="34">
        <f>'2008 Q4'!L7+'2009 '!N7</f>
        <v>24865</v>
      </c>
      <c r="M7" s="34">
        <f>'2008 Q4'!M7+'2009 '!O7</f>
        <v>56274</v>
      </c>
      <c r="N7" s="34">
        <f>'2008 Q4'!N7+'2009 '!P7</f>
        <v>0</v>
      </c>
      <c r="O7" s="34">
        <f>'2008 Q4'!O7+'2009 '!Q7</f>
        <v>53782</v>
      </c>
      <c r="P7" s="34">
        <f>'2008 Q4'!P7+'2009 '!R7</f>
        <v>103534</v>
      </c>
      <c r="Q7" s="34">
        <f>'2008 Q4'!Q7+'2009 '!S7</f>
        <v>0</v>
      </c>
      <c r="R7" s="34">
        <f>'2008 Q4'!R7+'2009 '!T7</f>
        <v>-13327</v>
      </c>
      <c r="S7" s="34">
        <f>'2008 Q4'!S7+'2009 '!U7</f>
        <v>-38571</v>
      </c>
    </row>
    <row r="8" spans="1:19" s="2" customFormat="1">
      <c r="A8" t="s">
        <v>66</v>
      </c>
      <c r="B8" s="1">
        <v>3122</v>
      </c>
      <c r="C8" s="34">
        <f>'2008 Q4'!C8+'2009 '!E8</f>
        <v>2414436</v>
      </c>
      <c r="D8" s="33">
        <v>1</v>
      </c>
      <c r="E8" s="34">
        <f t="shared" si="0"/>
        <v>2414436</v>
      </c>
      <c r="F8" s="33">
        <f>'2008 Q4'!F8</f>
        <v>0.05</v>
      </c>
      <c r="G8" s="18">
        <f t="shared" si="1"/>
        <v>2293714.1999999997</v>
      </c>
      <c r="H8" s="20">
        <v>2.1899999999999999E-2</v>
      </c>
      <c r="I8" s="31"/>
      <c r="J8" s="34">
        <f>'2008 Q4'!J8+'2009 '!L8</f>
        <v>50232</v>
      </c>
      <c r="K8" s="34">
        <f>'2008 Q4'!K8+'2009 '!M8</f>
        <v>6279</v>
      </c>
      <c r="L8" s="34">
        <f>'2008 Q4'!L8+'2009 '!N8</f>
        <v>56511</v>
      </c>
      <c r="M8" s="34">
        <f>'2008 Q4'!M8+'2009 '!O8</f>
        <v>106743</v>
      </c>
      <c r="N8" s="34">
        <f>'2008 Q4'!N8+'2009 '!P8</f>
        <v>86014</v>
      </c>
      <c r="O8" s="34">
        <f>'2008 Q4'!O8+'2009 '!Q8</f>
        <v>165583</v>
      </c>
      <c r="P8" s="34">
        <f>'2008 Q4'!P8+'2009 '!R8</f>
        <v>153151</v>
      </c>
      <c r="Q8" s="34">
        <f>'2008 Q4'!Q8+'2009 '!S8</f>
        <v>-21314</v>
      </c>
      <c r="R8" s="34">
        <f>'2008 Q4'!R8+'2009 '!T8</f>
        <v>-61687</v>
      </c>
      <c r="S8" s="34">
        <f>'2008 Q4'!S8+'2009 '!U8</f>
        <v>-97709</v>
      </c>
    </row>
    <row r="9" spans="1:19" s="2" customFormat="1">
      <c r="A9" s="41" t="s">
        <v>67</v>
      </c>
      <c r="B9" s="1">
        <v>3265</v>
      </c>
      <c r="C9" s="34">
        <f>'2008 Q4'!C9+'2009 '!E9</f>
        <v>733419</v>
      </c>
      <c r="D9" s="33">
        <v>1</v>
      </c>
      <c r="E9" s="34">
        <f t="shared" si="0"/>
        <v>733419</v>
      </c>
      <c r="F9" s="33">
        <f>'2008 Q4'!F9</f>
        <v>0.1</v>
      </c>
      <c r="G9" s="18">
        <f t="shared" si="1"/>
        <v>660077.1</v>
      </c>
      <c r="H9" s="20">
        <v>2.1899999999999999E-2</v>
      </c>
      <c r="I9" s="31"/>
      <c r="J9" s="34">
        <f>'2008 Q4'!J9+'2009 '!L9</f>
        <v>14456</v>
      </c>
      <c r="K9" s="34">
        <f>'2008 Q4'!K9+'2009 '!M9</f>
        <v>0</v>
      </c>
      <c r="L9" s="34">
        <f>'2008 Q4'!L9+'2009 '!N9</f>
        <v>11444</v>
      </c>
      <c r="M9" s="34">
        <f>'2008 Q4'!M9+'2009 '!O9</f>
        <v>25900</v>
      </c>
      <c r="N9" s="34">
        <f>'2008 Q4'!N9+'2009 '!P9</f>
        <v>0</v>
      </c>
      <c r="O9" s="34">
        <f>'2008 Q4'!O9+'2009 '!Q9</f>
        <v>24753</v>
      </c>
      <c r="P9" s="34">
        <f>'2008 Q4'!P9+'2009 '!R9</f>
        <v>47651</v>
      </c>
      <c r="Q9" s="34">
        <f>'2008 Q4'!Q9+'2009 '!S9</f>
        <v>0</v>
      </c>
      <c r="R9" s="34">
        <f>'2008 Q4'!R9+'2009 '!T9</f>
        <v>-6134</v>
      </c>
      <c r="S9" s="34">
        <f>'2008 Q4'!S9+'2009 '!U9</f>
        <v>-17752</v>
      </c>
    </row>
    <row r="10" spans="1:19" s="2" customFormat="1">
      <c r="A10" t="s">
        <v>30</v>
      </c>
      <c r="B10" s="1">
        <v>5118</v>
      </c>
      <c r="C10" s="34">
        <f>'2008 Q4'!C10+'2009 '!E10</f>
        <v>1847298</v>
      </c>
      <c r="D10" s="33">
        <f>0.1918*0.70212</f>
        <v>0.13466661599999999</v>
      </c>
      <c r="E10" s="34">
        <f t="shared" si="0"/>
        <v>248769.37040356797</v>
      </c>
      <c r="F10" s="33">
        <f>'2008 Q4'!F10</f>
        <v>0.4</v>
      </c>
      <c r="G10" s="18">
        <f t="shared" si="1"/>
        <v>149261.62224214079</v>
      </c>
      <c r="H10" s="20">
        <v>6.0699999999999997E-2</v>
      </c>
      <c r="I10" s="31"/>
      <c r="J10" s="34">
        <f>'2008 Q4'!J10+'2009 '!L10</f>
        <v>9060</v>
      </c>
      <c r="K10" s="34">
        <f>'2008 Q4'!K10+'2009 '!M10</f>
        <v>0</v>
      </c>
      <c r="L10" s="34">
        <f>'2008 Q4'!L10+'2009 '!N10</f>
        <v>4908</v>
      </c>
      <c r="M10" s="34">
        <f>'2008 Q4'!M10+'2009 '!O10</f>
        <v>13968</v>
      </c>
      <c r="N10" s="34">
        <f>'2008 Q4'!N10+'2009 '!P10</f>
        <v>0</v>
      </c>
      <c r="O10" s="34">
        <f>'2008 Q4'!O10+'2009 '!Q10</f>
        <v>21315</v>
      </c>
      <c r="P10" s="34">
        <f>'2008 Q4'!P10+'2009 '!R10</f>
        <v>36554</v>
      </c>
      <c r="Q10" s="34">
        <f>'2008 Q4'!Q10+'2009 '!S10</f>
        <v>0</v>
      </c>
      <c r="R10" s="34">
        <f>'2008 Q4'!R10+'2009 '!T10</f>
        <v>-5875</v>
      </c>
      <c r="S10" s="34">
        <f>'2008 Q4'!S10+'2009 '!U10</f>
        <v>-15498</v>
      </c>
    </row>
    <row r="11" spans="1:19" s="2" customFormat="1">
      <c r="A11" t="s">
        <v>29</v>
      </c>
      <c r="B11" s="1">
        <v>7101</v>
      </c>
      <c r="C11" s="34">
        <f>'2008 Q4'!C11+'2009 '!E11</f>
        <v>3918002</v>
      </c>
      <c r="D11" s="33">
        <f>0.1918*0.70212</f>
        <v>0.13466661599999999</v>
      </c>
      <c r="E11" s="34">
        <f t="shared" si="0"/>
        <v>527624.07082123193</v>
      </c>
      <c r="F11" s="33">
        <f>'2008 Q4'!F11</f>
        <v>0.2</v>
      </c>
      <c r="G11" s="18">
        <f t="shared" si="1"/>
        <v>422099.25665698556</v>
      </c>
      <c r="H11" s="20">
        <v>6.0699999999999997E-2</v>
      </c>
      <c r="I11" s="31"/>
      <c r="J11" s="34">
        <f>'2008 Q4'!J11+'2009 '!L11</f>
        <v>25621</v>
      </c>
      <c r="K11" s="34">
        <f>'2008 Q4'!K11+'2009 '!M11</f>
        <v>1068</v>
      </c>
      <c r="L11" s="34">
        <f>'2008 Q4'!L11+'2009 '!N11</f>
        <v>26689</v>
      </c>
      <c r="M11" s="34">
        <f>'2008 Q4'!M11+'2009 '!O11</f>
        <v>52310</v>
      </c>
      <c r="N11" s="34">
        <f>'2008 Q4'!N11+'2009 '!P11</f>
        <v>60276</v>
      </c>
      <c r="O11" s="34">
        <f>'2008 Q4'!O11+'2009 '!Q11</f>
        <v>103372</v>
      </c>
      <c r="P11" s="34">
        <f>'2008 Q4'!P11+'2009 '!R11</f>
        <v>73838</v>
      </c>
      <c r="Q11" s="34">
        <f>'2008 Q4'!Q11+'2009 '!S11</f>
        <v>-16613</v>
      </c>
      <c r="R11" s="34">
        <f>'2008 Q4'!R11+'2009 '!T11</f>
        <v>-43826</v>
      </c>
      <c r="S11" s="34">
        <f>'2008 Q4'!S11+'2009 '!U11</f>
        <v>-60702</v>
      </c>
    </row>
    <row r="12" spans="1:19" s="2" customFormat="1">
      <c r="A12" t="s">
        <v>31</v>
      </c>
      <c r="B12" s="1">
        <v>7106</v>
      </c>
      <c r="C12" s="34">
        <f>'2008 Q4'!C12+'2009 '!E12</f>
        <v>3034919</v>
      </c>
      <c r="D12" s="33">
        <f>0.1918*0.70212</f>
        <v>0.13466661599999999</v>
      </c>
      <c r="E12" s="34">
        <f t="shared" si="0"/>
        <v>408702.27156410395</v>
      </c>
      <c r="F12" s="33">
        <f>'2008 Q4'!F12</f>
        <v>0</v>
      </c>
      <c r="G12" s="18">
        <f t="shared" si="1"/>
        <v>408702.27156410395</v>
      </c>
      <c r="H12" s="20">
        <v>6.0699999999999997E-2</v>
      </c>
      <c r="I12" s="31"/>
      <c r="J12" s="34">
        <f>'2008 Q4'!J12+'2009 '!L12</f>
        <v>24808</v>
      </c>
      <c r="K12" s="34">
        <f>'2008 Q4'!K12+'2009 '!M12</f>
        <v>3101</v>
      </c>
      <c r="L12" s="34">
        <f>'2008 Q4'!L12+'2009 '!N12</f>
        <v>27909</v>
      </c>
      <c r="M12" s="34">
        <f>'2008 Q4'!M12+'2009 '!O12</f>
        <v>52717</v>
      </c>
      <c r="N12" s="34">
        <f>'2008 Q4'!N12+'2009 '!P12</f>
        <v>58363</v>
      </c>
      <c r="O12" s="34">
        <f>'2008 Q4'!O12+'2009 '!Q12</f>
        <v>100091</v>
      </c>
      <c r="P12" s="34">
        <f>'2008 Q4'!P12+'2009 '!R12</f>
        <v>71494</v>
      </c>
      <c r="Q12" s="34">
        <f>'2008 Q4'!Q12+'2009 '!S12</f>
        <v>-16086</v>
      </c>
      <c r="R12" s="34">
        <f>'2008 Q4'!R12+'2009 '!T12</f>
        <v>-42435</v>
      </c>
      <c r="S12" s="34">
        <f>'2008 Q4'!S12+'2009 '!U12</f>
        <v>-58775</v>
      </c>
    </row>
    <row r="13" spans="1:19" s="2" customFormat="1" ht="13.5" thickBot="1">
      <c r="C13" s="7">
        <f>SUM(C6:C12)</f>
        <v>14099435</v>
      </c>
      <c r="E13" s="7">
        <f>SUM(E6:E12)</f>
        <v>6484311.7127889041</v>
      </c>
      <c r="G13" s="19">
        <f>SUM(G6:G12)</f>
        <v>6013497.7504632296</v>
      </c>
      <c r="H13" s="20"/>
      <c r="J13" s="7">
        <f t="shared" ref="J13:S13" si="2">SUM(J6:J12)</f>
        <v>169722</v>
      </c>
      <c r="K13" s="7">
        <f t="shared" si="2"/>
        <v>11135</v>
      </c>
      <c r="L13" s="7">
        <f t="shared" si="2"/>
        <v>165349</v>
      </c>
      <c r="M13" s="7">
        <f t="shared" si="2"/>
        <v>335071</v>
      </c>
      <c r="N13" s="7">
        <f t="shared" si="2"/>
        <v>214062</v>
      </c>
      <c r="O13" s="7">
        <f t="shared" si="2"/>
        <v>501805</v>
      </c>
      <c r="P13" s="7">
        <f t="shared" si="2"/>
        <v>531458</v>
      </c>
      <c r="Q13" s="7">
        <f t="shared" si="2"/>
        <v>-56345</v>
      </c>
      <c r="R13" s="7">
        <f t="shared" si="2"/>
        <v>-183698</v>
      </c>
      <c r="S13" s="7">
        <f t="shared" si="2"/>
        <v>-310306</v>
      </c>
    </row>
    <row r="14" spans="1:19" s="2" customFormat="1">
      <c r="H14" s="20"/>
    </row>
    <row r="16" spans="1:19">
      <c r="A16" t="s">
        <v>27</v>
      </c>
      <c r="G16" s="24">
        <f>SUM(G6:G9)</f>
        <v>5033434.5999999996</v>
      </c>
      <c r="H16" s="17"/>
      <c r="I16" s="17"/>
      <c r="J16" s="24">
        <f t="shared" ref="J16:S16" si="3">SUM(J6:J9)</f>
        <v>110233</v>
      </c>
      <c r="K16" s="24">
        <f t="shared" si="3"/>
        <v>6966</v>
      </c>
      <c r="L16" s="24">
        <f t="shared" si="3"/>
        <v>105843</v>
      </c>
      <c r="M16" s="24">
        <f t="shared" si="3"/>
        <v>216076</v>
      </c>
      <c r="N16" s="24">
        <f t="shared" si="3"/>
        <v>95423</v>
      </c>
      <c r="O16" s="24">
        <f t="shared" si="3"/>
        <v>277027</v>
      </c>
      <c r="P16" s="24">
        <f t="shared" si="3"/>
        <v>349572</v>
      </c>
      <c r="Q16" s="24">
        <f t="shared" si="3"/>
        <v>-23646</v>
      </c>
      <c r="R16" s="24">
        <f t="shared" si="3"/>
        <v>-91562</v>
      </c>
      <c r="S16" s="24">
        <f t="shared" si="3"/>
        <v>-175331</v>
      </c>
    </row>
    <row r="17" spans="1:19">
      <c r="A17" t="s">
        <v>41</v>
      </c>
      <c r="G17" s="24">
        <f>SUM(G10:G12)</f>
        <v>980063.15046323021</v>
      </c>
      <c r="H17" s="17"/>
      <c r="I17" s="17"/>
      <c r="J17" s="24">
        <f t="shared" ref="J17:S17" si="4">SUM(J10:J12)</f>
        <v>59489</v>
      </c>
      <c r="K17" s="24">
        <f t="shared" si="4"/>
        <v>4169</v>
      </c>
      <c r="L17" s="24">
        <f t="shared" si="4"/>
        <v>59506</v>
      </c>
      <c r="M17" s="24">
        <f t="shared" si="4"/>
        <v>118995</v>
      </c>
      <c r="N17" s="24">
        <f t="shared" si="4"/>
        <v>118639</v>
      </c>
      <c r="O17" s="24">
        <f t="shared" si="4"/>
        <v>224778</v>
      </c>
      <c r="P17" s="24">
        <f t="shared" si="4"/>
        <v>181886</v>
      </c>
      <c r="Q17" s="24">
        <f t="shared" si="4"/>
        <v>-32699</v>
      </c>
      <c r="R17" s="24">
        <f t="shared" si="4"/>
        <v>-92136</v>
      </c>
      <c r="S17" s="24">
        <f t="shared" si="4"/>
        <v>-134975</v>
      </c>
    </row>
    <row r="18" spans="1:19" ht="13.5" thickBot="1">
      <c r="G18" s="3">
        <f>SUM(G16:G17)</f>
        <v>6013497.7504632296</v>
      </c>
      <c r="H18" s="17"/>
      <c r="I18" s="17"/>
      <c r="J18" s="3">
        <f t="shared" ref="J18:S18" si="5">SUM(J16:J17)</f>
        <v>169722</v>
      </c>
      <c r="K18" s="3">
        <f t="shared" si="5"/>
        <v>11135</v>
      </c>
      <c r="L18" s="3">
        <f t="shared" si="5"/>
        <v>165349</v>
      </c>
      <c r="M18" s="3">
        <f t="shared" si="5"/>
        <v>335071</v>
      </c>
      <c r="N18" s="3">
        <f t="shared" si="5"/>
        <v>214062</v>
      </c>
      <c r="O18" s="3">
        <f t="shared" si="5"/>
        <v>501805</v>
      </c>
      <c r="P18" s="3">
        <f t="shared" si="5"/>
        <v>531458</v>
      </c>
      <c r="Q18" s="3">
        <f t="shared" si="5"/>
        <v>-56345</v>
      </c>
      <c r="R18" s="3">
        <f t="shared" si="5"/>
        <v>-183698</v>
      </c>
      <c r="S18" s="3">
        <f t="shared" si="5"/>
        <v>-310306</v>
      </c>
    </row>
  </sheetData>
  <phoneticPr fontId="8" type="noConversion"/>
  <pageMargins left="0" right="0" top="0.75" bottom="0.75" header="0.3" footer="0.3"/>
  <pageSetup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C25"/>
  <sheetViews>
    <sheetView workbookViewId="0">
      <selection activeCell="B5" sqref="B5"/>
    </sheetView>
  </sheetViews>
  <sheetFormatPr defaultRowHeight="12.75"/>
  <cols>
    <col min="1" max="1" width="34.42578125" customWidth="1"/>
    <col min="2" max="2" width="13.42578125" bestFit="1" customWidth="1"/>
    <col min="3" max="3" width="11.5703125" customWidth="1"/>
  </cols>
  <sheetData>
    <row r="4" spans="1:3">
      <c r="A4" s="22"/>
      <c r="B4" s="22" t="s">
        <v>56</v>
      </c>
      <c r="C4" s="32" t="s">
        <v>52</v>
      </c>
    </row>
    <row r="6" spans="1:3">
      <c r="A6" t="s">
        <v>42</v>
      </c>
      <c r="B6" s="36">
        <v>95000</v>
      </c>
      <c r="C6" s="36">
        <f>C25</f>
        <v>117441.1</v>
      </c>
    </row>
    <row r="7" spans="1:3">
      <c r="A7" t="s">
        <v>43</v>
      </c>
      <c r="B7" s="38">
        <v>0.47</v>
      </c>
      <c r="C7" s="38">
        <v>0.47</v>
      </c>
    </row>
    <row r="8" spans="1:3" ht="13.5" thickBot="1">
      <c r="A8" t="s">
        <v>44</v>
      </c>
      <c r="B8" s="37">
        <f>B6*B7</f>
        <v>44650</v>
      </c>
      <c r="C8" s="37">
        <f>C6*C7</f>
        <v>55197.317000000003</v>
      </c>
    </row>
    <row r="9" spans="1:3">
      <c r="B9" s="36"/>
      <c r="C9" s="36"/>
    </row>
    <row r="10" spans="1:3">
      <c r="A10" t="s">
        <v>45</v>
      </c>
      <c r="B10" s="36"/>
      <c r="C10" s="36"/>
    </row>
    <row r="11" spans="1:3">
      <c r="A11" t="s">
        <v>46</v>
      </c>
      <c r="B11" s="36">
        <f>'2008 Q4'!J12</f>
        <v>24808</v>
      </c>
      <c r="C11" s="36">
        <v>0</v>
      </c>
    </row>
    <row r="12" spans="1:3">
      <c r="A12" t="s">
        <v>47</v>
      </c>
      <c r="B12" s="36">
        <f>'2009 '!L12</f>
        <v>0</v>
      </c>
      <c r="C12" s="36">
        <f>'2009 '!L10</f>
        <v>9060</v>
      </c>
    </row>
    <row r="13" spans="1:3">
      <c r="A13" t="s">
        <v>51</v>
      </c>
      <c r="B13" s="36">
        <f>('2008 Q4'!E12+'2009 '!G12)*0.015</f>
        <v>6130.5340734615593</v>
      </c>
      <c r="C13" s="36">
        <f>('2009 '!G10)*0.015</f>
        <v>3731.5405560535196</v>
      </c>
    </row>
    <row r="14" spans="1:3">
      <c r="A14" t="s">
        <v>48</v>
      </c>
      <c r="B14" s="36">
        <f>('2008 Q4'!E12+'2009 '!G12)*0.082</f>
        <v>33513.586268256528</v>
      </c>
      <c r="C14" s="36">
        <f>('2009 '!G10)*0.082</f>
        <v>20399.088373092574</v>
      </c>
    </row>
    <row r="15" spans="1:3" ht="13.5" thickBot="1">
      <c r="A15" t="s">
        <v>49</v>
      </c>
      <c r="B15" s="37">
        <f>SUM(B11:B14)</f>
        <v>64452.120341718088</v>
      </c>
      <c r="C15" s="37">
        <f>SUM(C11:C14)</f>
        <v>33190.628929146093</v>
      </c>
    </row>
    <row r="18" spans="1:3">
      <c r="A18" t="s">
        <v>50</v>
      </c>
      <c r="B18" s="39">
        <f>B8/B15</f>
        <v>0.69276231353244222</v>
      </c>
      <c r="C18" s="39">
        <f>C8/C15</f>
        <v>1.6630392005476253</v>
      </c>
    </row>
    <row r="23" spans="1:3">
      <c r="A23" t="s">
        <v>53</v>
      </c>
      <c r="C23" s="24">
        <v>2348822</v>
      </c>
    </row>
    <row r="24" spans="1:3">
      <c r="A24" t="s">
        <v>54</v>
      </c>
      <c r="C24" s="39">
        <v>0.05</v>
      </c>
    </row>
    <row r="25" spans="1:3">
      <c r="A25" t="s">
        <v>55</v>
      </c>
      <c r="C25" s="36">
        <f>C23*C24</f>
        <v>117441.1</v>
      </c>
    </row>
  </sheetData>
  <phoneticPr fontId="8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CEE90129439E84DA799E573E626D7C9" ma:contentTypeVersion="123" ma:contentTypeDescription="" ma:contentTypeScope="" ma:versionID="2c61966dbd9e2250be38591c4b9692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2009-01-23T08:00:00+00:00</OpenedDate>
    <Date1 xmlns="dc463f71-b30c-4ab2-9473-d307f9d35888">2009-09-11T07:00:00+00:00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DocketNumber xmlns="dc463f71-b30c-4ab2-9473-d307f9d35888">090134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0A32D267-1D8D-4A15-8E74-ED49A6E29F7D}"/>
</file>

<file path=customXml/itemProps2.xml><?xml version="1.0" encoding="utf-8"?>
<ds:datastoreItem xmlns:ds="http://schemas.openxmlformats.org/officeDocument/2006/customXml" ds:itemID="{404DFDC8-4EA2-4F56-83D3-E1E594DFFC1A}"/>
</file>

<file path=customXml/itemProps3.xml><?xml version="1.0" encoding="utf-8"?>
<ds:datastoreItem xmlns:ds="http://schemas.openxmlformats.org/officeDocument/2006/customXml" ds:itemID="{85345ADE-2505-4AA1-A880-3935DA4DC0EA}"/>
</file>

<file path=customXml/itemProps4.xml><?xml version="1.0" encoding="utf-8"?>
<ds:datastoreItem xmlns:ds="http://schemas.openxmlformats.org/officeDocument/2006/customXml" ds:itemID="{5ECE86E5-378C-4876-AA70-787C1CC5BD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Adjustment</vt:lpstr>
      <vt:lpstr>2008 Q4</vt:lpstr>
      <vt:lpstr>2009 </vt:lpstr>
      <vt:lpstr>TOTAL</vt:lpstr>
      <vt:lpstr>Savings</vt:lpstr>
      <vt:lpstr>'2008 Q4'!Print_Area</vt:lpstr>
      <vt:lpstr>'2009 '!Print_Area</vt:lpstr>
      <vt:lpstr>Adjustment!Print_Area</vt:lpstr>
      <vt:lpstr>Adjustment!Print_Titles</vt:lpstr>
    </vt:vector>
  </TitlesOfParts>
  <Company>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vz9tr1</dc:creator>
  <cp:lastModifiedBy>Patrick Ehrbar</cp:lastModifiedBy>
  <cp:lastPrinted>2009-09-11T02:59:48Z</cp:lastPrinted>
  <dcterms:created xsi:type="dcterms:W3CDTF">2009-02-25T21:21:21Z</dcterms:created>
  <dcterms:modified xsi:type="dcterms:W3CDTF">2009-09-11T03:00:42Z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0x0101006E56B4D1795A2E4DB2F0B01679ED314A00ACEE90129439E84DA799E573E626D7C9</vt:lpwstr>
  </property>
  <property fmtid="{D5CDD505-2E9C-101B-9397-08002B2CF9AE}" pid="3" name="_docset_NoMedatataSyncRequired">
    <vt:lpwstr>False</vt:lpwstr>
  </property>
</Properties>
</file>