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6600" windowWidth="14316" windowHeight="6396"/>
  </bookViews>
  <sheets>
    <sheet name="Lead E" sheetId="6" r:id="rId1"/>
    <sheet name="WH Solar Balance SEpt 16" sheetId="8" r:id="rId2"/>
    <sheet name="WH deferred Tax Sept 2016" sheetId="9" r:id="rId3"/>
    <sheet name="Sept 16 PP Report" sheetId="10" r:id="rId4"/>
  </sheets>
  <externalReferences>
    <externalReference r:id="rId5"/>
    <externalReference r:id="rId6"/>
  </externalReferences>
  <definedNames>
    <definedName name="__123Graph_ECURRENT" hidden="1">#N/A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qqq" hidden="1">{#N/A,#N/A,FALSE,"schA"}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20" i="6" l="1"/>
  <c r="A29" i="6" l="1"/>
  <c r="A30" i="6" s="1"/>
  <c r="A31" i="6" s="1"/>
  <c r="S9" i="9" l="1"/>
  <c r="T9" i="9"/>
  <c r="U9" i="9"/>
  <c r="V9" i="9"/>
  <c r="W9" i="9"/>
  <c r="X9" i="9"/>
  <c r="Y9" i="9"/>
  <c r="Z9" i="9"/>
  <c r="R9" i="9"/>
  <c r="O9" i="9"/>
  <c r="P9" i="9"/>
  <c r="Q9" i="9"/>
  <c r="N9" i="9"/>
  <c r="G8" i="8" l="1"/>
  <c r="F8" i="8"/>
  <c r="G7" i="8"/>
  <c r="F7" i="8"/>
  <c r="G6" i="8"/>
  <c r="F6" i="8"/>
  <c r="G5" i="8"/>
  <c r="F5" i="8"/>
  <c r="G4" i="8"/>
  <c r="F4" i="8"/>
  <c r="X4" i="9"/>
  <c r="E21" i="6" l="1"/>
  <c r="H6" i="8" l="1"/>
  <c r="I6" i="8" s="1"/>
  <c r="J6" i="8" s="1"/>
  <c r="H7" i="8"/>
  <c r="I7" i="8" s="1"/>
  <c r="J7" i="8" s="1"/>
  <c r="H5" i="8"/>
  <c r="I5" i="8" s="1"/>
  <c r="J5" i="8" s="1"/>
  <c r="H8" i="8"/>
  <c r="I8" i="8" s="1"/>
  <c r="J8" i="8" s="1"/>
  <c r="H4" i="8"/>
  <c r="I4" i="8" s="1"/>
  <c r="I9" i="8" l="1"/>
  <c r="J9" i="8" s="1"/>
  <c r="J4" i="8"/>
  <c r="C29" i="8" l="1"/>
  <c r="C30" i="8"/>
  <c r="D30" i="8" s="1"/>
  <c r="C31" i="8"/>
  <c r="D31" i="8" s="1"/>
  <c r="C32" i="8"/>
  <c r="D32" i="8" s="1"/>
  <c r="C33" i="8"/>
  <c r="D33" i="8" s="1"/>
  <c r="E38" i="10"/>
  <c r="F38" i="10"/>
  <c r="G38" i="10"/>
  <c r="H38" i="10"/>
  <c r="I38" i="10"/>
  <c r="J38" i="10"/>
  <c r="J32" i="10"/>
  <c r="J33" i="10"/>
  <c r="J34" i="10"/>
  <c r="J35" i="10"/>
  <c r="J36" i="10"/>
  <c r="J37" i="10"/>
  <c r="J31" i="10"/>
  <c r="J30" i="10"/>
  <c r="C38" i="10"/>
  <c r="C34" i="8" l="1"/>
  <c r="D29" i="8"/>
  <c r="C24" i="10"/>
  <c r="D24" i="10"/>
  <c r="E24" i="10"/>
  <c r="F24" i="10"/>
  <c r="G24" i="10"/>
  <c r="H24" i="10"/>
  <c r="I24" i="10"/>
  <c r="J24" i="10"/>
  <c r="K24" i="10"/>
  <c r="L24" i="10"/>
  <c r="Y11" i="9" l="1"/>
  <c r="X11" i="9"/>
  <c r="W11" i="9"/>
  <c r="Z11" i="9" l="1"/>
  <c r="Z13" i="9" l="1"/>
  <c r="D19" i="6" s="1"/>
  <c r="Y13" i="9"/>
  <c r="X13" i="9" l="1"/>
  <c r="W13" i="9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M24" i="10"/>
  <c r="N24" i="10"/>
  <c r="O24" i="10"/>
  <c r="P24" i="10"/>
  <c r="D38" i="10"/>
  <c r="N13" i="9"/>
  <c r="O20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O28" i="9"/>
  <c r="P28" i="9"/>
  <c r="Q28" i="9"/>
  <c r="R28" i="9"/>
  <c r="S28" i="9"/>
  <c r="U11" i="9" s="1"/>
  <c r="T28" i="9"/>
  <c r="U28" i="9"/>
  <c r="V28" i="9"/>
  <c r="W28" i="9"/>
  <c r="X28" i="9"/>
  <c r="Y28" i="9"/>
  <c r="Z28" i="9"/>
  <c r="AA28" i="9"/>
  <c r="B13" i="8"/>
  <c r="B18" i="8" s="1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C4" i="8" s="1"/>
  <c r="B14" i="8"/>
  <c r="C14" i="8"/>
  <c r="D14" i="8"/>
  <c r="E14" i="8"/>
  <c r="F14" i="8"/>
  <c r="G14" i="8"/>
  <c r="H14" i="8"/>
  <c r="I14" i="8"/>
  <c r="J14" i="8"/>
  <c r="K14" i="8"/>
  <c r="L14" i="8"/>
  <c r="L18" i="8" s="1"/>
  <c r="M14" i="8"/>
  <c r="N14" i="8"/>
  <c r="O14" i="8"/>
  <c r="C5" i="8" s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C6" i="8" s="1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C7" i="8" s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C8" i="8" s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D4" i="8" s="1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D5" i="8" s="1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D6" i="8" s="1"/>
  <c r="B24" i="8"/>
  <c r="C24" i="8"/>
  <c r="D24" i="8"/>
  <c r="E24" i="8"/>
  <c r="F24" i="8"/>
  <c r="G24" i="8"/>
  <c r="H24" i="8"/>
  <c r="H26" i="8" s="1"/>
  <c r="I24" i="8"/>
  <c r="J24" i="8"/>
  <c r="K24" i="8"/>
  <c r="L24" i="8"/>
  <c r="M24" i="8"/>
  <c r="N24" i="8"/>
  <c r="O24" i="8"/>
  <c r="D7" i="8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D8" i="8" s="1"/>
  <c r="E30" i="8"/>
  <c r="F30" i="8" s="1"/>
  <c r="G30" i="8" s="1"/>
  <c r="H30" i="8" s="1"/>
  <c r="I30" i="8" s="1"/>
  <c r="J30" i="8" s="1"/>
  <c r="K30" i="8" s="1"/>
  <c r="L30" i="8" s="1"/>
  <c r="M30" i="8" s="1"/>
  <c r="N30" i="8" s="1"/>
  <c r="E32" i="8"/>
  <c r="F32" i="8" s="1"/>
  <c r="G32" i="8" s="1"/>
  <c r="H32" i="8" s="1"/>
  <c r="I32" i="8" s="1"/>
  <c r="J32" i="8" s="1"/>
  <c r="K32" i="8" s="1"/>
  <c r="L32" i="8" s="1"/>
  <c r="M32" i="8" s="1"/>
  <c r="N32" i="8" s="1"/>
  <c r="AB22" i="9" l="1"/>
  <c r="AB26" i="9"/>
  <c r="AB28" i="9"/>
  <c r="AB24" i="9"/>
  <c r="K18" i="8"/>
  <c r="G18" i="8"/>
  <c r="F26" i="8"/>
  <c r="C18" i="8"/>
  <c r="I26" i="8"/>
  <c r="D26" i="8"/>
  <c r="J26" i="8"/>
  <c r="B26" i="8"/>
  <c r="N18" i="8"/>
  <c r="J18" i="8"/>
  <c r="F18" i="8"/>
  <c r="H18" i="8"/>
  <c r="D18" i="8"/>
  <c r="AB25" i="9"/>
  <c r="AC28" i="9"/>
  <c r="AB27" i="9"/>
  <c r="AC27" i="9"/>
  <c r="AB23" i="9"/>
  <c r="AB21" i="9"/>
  <c r="E26" i="8"/>
  <c r="O18" i="8"/>
  <c r="D16" i="6" s="1"/>
  <c r="M18" i="8"/>
  <c r="I18" i="8"/>
  <c r="E18" i="8"/>
  <c r="C9" i="8"/>
  <c r="L26" i="8"/>
  <c r="K26" i="8"/>
  <c r="G26" i="8"/>
  <c r="C26" i="8"/>
  <c r="O26" i="8"/>
  <c r="D17" i="6" s="1"/>
  <c r="D9" i="8"/>
  <c r="N26" i="8"/>
  <c r="M26" i="8"/>
  <c r="V11" i="9"/>
  <c r="V13" i="9"/>
  <c r="R11" i="9"/>
  <c r="R13" i="9"/>
  <c r="O13" i="9"/>
  <c r="O11" i="9"/>
  <c r="T11" i="9"/>
  <c r="T13" i="9"/>
  <c r="S11" i="9"/>
  <c r="P11" i="9"/>
  <c r="P13" i="9"/>
  <c r="S13" i="9"/>
  <c r="E31" i="8"/>
  <c r="F31" i="8" s="1"/>
  <c r="G31" i="8" s="1"/>
  <c r="H31" i="8" s="1"/>
  <c r="I31" i="8" s="1"/>
  <c r="J31" i="8" s="1"/>
  <c r="K31" i="8" s="1"/>
  <c r="L31" i="8" s="1"/>
  <c r="M31" i="8" s="1"/>
  <c r="N31" i="8" s="1"/>
  <c r="E33" i="8"/>
  <c r="F33" i="8" s="1"/>
  <c r="G33" i="8" s="1"/>
  <c r="H33" i="8" s="1"/>
  <c r="I33" i="8" s="1"/>
  <c r="J33" i="8" s="1"/>
  <c r="K33" i="8" s="1"/>
  <c r="L33" i="8" s="1"/>
  <c r="M33" i="8" s="1"/>
  <c r="N33" i="8" s="1"/>
  <c r="E29" i="8"/>
  <c r="D34" i="8"/>
  <c r="U13" i="9"/>
  <c r="Q13" i="9"/>
  <c r="Q11" i="9"/>
  <c r="AA9" i="9"/>
  <c r="O32" i="8"/>
  <c r="E7" i="8" s="1"/>
  <c r="K7" i="8" s="1"/>
  <c r="L7" i="8" s="1"/>
  <c r="P24" i="8" s="1"/>
  <c r="O30" i="8"/>
  <c r="E5" i="8" s="1"/>
  <c r="K5" i="8" s="1"/>
  <c r="L5" i="8" s="1"/>
  <c r="P22" i="8" s="1"/>
  <c r="AA11" i="9" l="1"/>
  <c r="O33" i="8"/>
  <c r="E8" i="8" s="1"/>
  <c r="K8" i="8" s="1"/>
  <c r="L8" i="8" s="1"/>
  <c r="P25" i="8" s="1"/>
  <c r="O31" i="8"/>
  <c r="E6" i="8" s="1"/>
  <c r="K6" i="8" s="1"/>
  <c r="L6" i="8" s="1"/>
  <c r="P23" i="8" s="1"/>
  <c r="F29" i="8"/>
  <c r="E34" i="8"/>
  <c r="F34" i="8" l="1"/>
  <c r="G29" i="8"/>
  <c r="H29" i="8" l="1"/>
  <c r="G34" i="8"/>
  <c r="I29" i="8" l="1"/>
  <c r="H34" i="8"/>
  <c r="I34" i="8" l="1"/>
  <c r="J29" i="8"/>
  <c r="J34" i="8" l="1"/>
  <c r="K29" i="8"/>
  <c r="L29" i="8" l="1"/>
  <c r="K34" i="8"/>
  <c r="M29" i="8" l="1"/>
  <c r="N29" i="8" s="1"/>
  <c r="L34" i="8"/>
  <c r="M34" i="8" l="1"/>
  <c r="N34" i="8" l="1"/>
  <c r="O29" i="8"/>
  <c r="O34" i="8" l="1"/>
  <c r="D26" i="6" s="1"/>
  <c r="E4" i="8"/>
  <c r="E9" i="8" l="1"/>
  <c r="K4" i="8"/>
  <c r="E28" i="6"/>
  <c r="A15" i="6"/>
  <c r="A16" i="6" s="1"/>
  <c r="A17" i="6" s="1"/>
  <c r="A18" i="6" l="1"/>
  <c r="A19" i="6" s="1"/>
  <c r="L4" i="8"/>
  <c r="P21" i="8" s="1"/>
  <c r="K9" i="8"/>
  <c r="L9" i="8" s="1"/>
  <c r="D27" i="6" s="1"/>
  <c r="F16" i="6"/>
  <c r="A25" i="6" l="1"/>
  <c r="A26" i="6" s="1"/>
  <c r="A27" i="6" s="1"/>
  <c r="A28" i="6" s="1"/>
  <c r="A20" i="6"/>
  <c r="A21" i="6" s="1"/>
  <c r="A22" i="6" s="1"/>
  <c r="A23" i="6" s="1"/>
  <c r="A24" i="6" s="1"/>
  <c r="D18" i="6"/>
  <c r="F27" i="6"/>
  <c r="D28" i="6"/>
  <c r="F26" i="6"/>
  <c r="F18" i="6" l="1"/>
  <c r="F20" i="6"/>
  <c r="F28" i="6"/>
  <c r="F17" i="6"/>
  <c r="F30" i="6" l="1"/>
  <c r="D21" i="6"/>
  <c r="F19" i="6"/>
  <c r="F21" i="6" s="1"/>
  <c r="F31" i="6" l="1"/>
</calcChain>
</file>

<file path=xl/sharedStrings.xml><?xml version="1.0" encoding="utf-8"?>
<sst xmlns="http://schemas.openxmlformats.org/spreadsheetml/2006/main" count="178" uniqueCount="115">
  <si>
    <t>E3440 PRD Gen, Wild Horse Solar</t>
  </si>
  <si>
    <t>E3640 DST Poles, Wildhorse Solar</t>
  </si>
  <si>
    <t>E345 PRD Accessory, WildHorse Solar</t>
  </si>
  <si>
    <t>E3650 DST O/H Cond, WildHorse Solar</t>
  </si>
  <si>
    <t>E3620 DST Sub Eq,Wld Hrs Solar</t>
  </si>
  <si>
    <t>Total</t>
  </si>
  <si>
    <t>Deferred Tax</t>
  </si>
  <si>
    <t>AMA</t>
  </si>
  <si>
    <t>Depreciation Expense</t>
  </si>
  <si>
    <t>Deferred Tax Wild Horse Solar</t>
  </si>
  <si>
    <t>INCREASE (DECREASE ) EXPENSE</t>
  </si>
  <si>
    <t>SOLAR OPERATING EXPENSE</t>
  </si>
  <si>
    <t>NET WH SOLAR PLANT RATEBASE</t>
  </si>
  <si>
    <t>DEFERRED INCOME TAX LIABILITY</t>
  </si>
  <si>
    <t>PLANT BALANCE</t>
  </si>
  <si>
    <t>UTILITY PLANT RATEBASE</t>
  </si>
  <si>
    <t>WILD HORSE SOLAR RATEBASE (AMA)</t>
  </si>
  <si>
    <t>ADJUSTMENT</t>
  </si>
  <si>
    <t>TEST YEAR</t>
  </si>
  <si>
    <t>DESCRIPTION</t>
  </si>
  <si>
    <t>NO.</t>
  </si>
  <si>
    <t>LINE</t>
  </si>
  <si>
    <t>WILD HORSE SOLAR</t>
  </si>
  <si>
    <t>PUGET SOUND ENERGY-ELECTRIC</t>
  </si>
  <si>
    <t>E344</t>
  </si>
  <si>
    <t>E345</t>
  </si>
  <si>
    <t>E362</t>
  </si>
  <si>
    <t>E365</t>
  </si>
  <si>
    <t>E364</t>
  </si>
  <si>
    <t>Plant</t>
  </si>
  <si>
    <t>Reserve</t>
  </si>
  <si>
    <t>Expense</t>
  </si>
  <si>
    <t xml:space="preserve"> </t>
  </si>
  <si>
    <t>Total Plant</t>
  </si>
  <si>
    <t>Total Reserve</t>
  </si>
  <si>
    <t>Plant-In-Service</t>
  </si>
  <si>
    <t>Accumulated Depreciation</t>
  </si>
  <si>
    <t>Total Expense</t>
  </si>
  <si>
    <t>RESTATED</t>
  </si>
  <si>
    <t>INCREASE (DECREASE) FIT @</t>
  </si>
  <si>
    <t>INCREASE (DECREASE) NOI</t>
  </si>
  <si>
    <t>depr_group</t>
  </si>
  <si>
    <t>E3536 TSM Sta Eq, Wild Horse Solar</t>
  </si>
  <si>
    <t>E3537 TSM Sta Eq, Wild Horse Solar</t>
  </si>
  <si>
    <t>E3620 DST Sub Eq Wild Horse Solar</t>
  </si>
  <si>
    <t>E3640 DST Poles, Wild Horse Solar</t>
  </si>
  <si>
    <t>E3660 DST U/G Cond,Wild Horse Solar</t>
  </si>
  <si>
    <t>retirements</t>
  </si>
  <si>
    <t>cost_of_removal</t>
  </si>
  <si>
    <t>salv_credits</t>
  </si>
  <si>
    <t>transfers</t>
  </si>
  <si>
    <t>gain_loss</t>
  </si>
  <si>
    <t>GENERAL RATE CASE</t>
  </si>
  <si>
    <t>Power Plant Report 1302-FC</t>
  </si>
  <si>
    <t>Power Plant Report 1301-FC</t>
  </si>
  <si>
    <t>AMA Dec 15</t>
  </si>
  <si>
    <t>Wild Horse Solar</t>
  </si>
  <si>
    <t>AMA TEST YEAR</t>
  </si>
  <si>
    <t>AMA Dec to Dec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</si>
  <si>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</si>
  <si>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</si>
  <si>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</si>
  <si>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</si>
  <si>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</si>
  <si>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</si>
  <si>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</si>
  <si>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</si>
  <si>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</si>
  <si>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</si>
  <si>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</si>
  <si>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</si>
  <si>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EOY</t>
  </si>
  <si>
    <t>Total Depr Expense</t>
  </si>
  <si>
    <t>end_bal</t>
  </si>
  <si>
    <t>begin_bal</t>
  </si>
  <si>
    <t>depr_summary2</t>
  </si>
  <si>
    <t>Depreciation Account</t>
  </si>
  <si>
    <t>Depreciation</t>
  </si>
  <si>
    <t>Depreciation Expense Wild Horse Solar July 2015 to June 2016</t>
  </si>
  <si>
    <t>Distribution Plant - Electric</t>
  </si>
  <si>
    <t>Transmission Plant - Electric</t>
  </si>
  <si>
    <t>Other Production Plant</t>
  </si>
  <si>
    <t>Description</t>
  </si>
  <si>
    <t>In Thousands</t>
  </si>
  <si>
    <t>Report 1302</t>
  </si>
  <si>
    <t>Wild Horse Solar Depreciation Reserve</t>
  </si>
  <si>
    <t>Totals</t>
  </si>
  <si>
    <t>description</t>
  </si>
  <si>
    <t>Report 1301</t>
  </si>
  <si>
    <t>Wild Horse Solar Plant In Service</t>
  </si>
  <si>
    <t>link to the file</t>
  </si>
  <si>
    <t>Sept 2016 AMA</t>
  </si>
  <si>
    <t>FOR THE TWELVE MONTHS ENDED SEPTEMBER 30, 2016</t>
  </si>
  <si>
    <t>PRD</t>
  </si>
  <si>
    <t>TSM</t>
  </si>
  <si>
    <t>DST Sub</t>
  </si>
  <si>
    <t>DST Poles</t>
  </si>
  <si>
    <t>DST OH Cond</t>
  </si>
  <si>
    <t>DST UG Cond</t>
  </si>
  <si>
    <t>Total Sept 2016</t>
  </si>
  <si>
    <t>Depr 1085- Combined</t>
  </si>
  <si>
    <t>DEPRECIATION EXPENSE AT THE CURRENT LEVEL</t>
  </si>
  <si>
    <t>Difference</t>
  </si>
  <si>
    <t>Rate</t>
  </si>
  <si>
    <t xml:space="preserve">Current </t>
  </si>
  <si>
    <t>Proposed</t>
  </si>
  <si>
    <t>Effect</t>
  </si>
  <si>
    <t>PORTION INCLUDED IN DEPRECIATION STUDY ADJ</t>
  </si>
  <si>
    <t>Escalated Rate</t>
  </si>
  <si>
    <t>Escalated Amount</t>
  </si>
  <si>
    <t>ACCUM DEPRECIATION, CURRENT LEVEL</t>
  </si>
  <si>
    <t>A/D PORTION INCLUDED IN DEPRECIATION STUDY ADJ</t>
  </si>
  <si>
    <t>ADFIT PORTION INCLUDED IN DEPRECIATION STUDY ADJ</t>
  </si>
  <si>
    <t>Page 7.03</t>
  </si>
  <si>
    <t>DFIT RATE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</si>
</sst>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* #,##0.00000_);_(* \(#,##0.00000\);_(* &quot;-&quot;??_);_(@_)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&quot;$&quot;#,##0;\-&quot;$&quot;#,##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_(&quot;$&quot;* #,##0.000_);_(&quot;$&quot;* \(#,##0.000\);_(&quot;$&quot;* &quot;-&quot;??_);_(@_)"/>
    <numFmt numFmtId="179" formatCode="[$-409]d\-mmm\-yy;@"/>
    <numFmt numFmtId="180" formatCode="&quot;$&quot;#,##0.00"/>
    <numFmt numFmtId="181" formatCode="&quot;PAGE&quot;\ 0.00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color indexed="24"/>
      <name val="Arial"/>
      <family val="2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b/>
      <u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b/>
      <i/>
      <sz val="11"/>
      <color theme="1"/>
      <name val="Calibri"/>
      <family val="2"/>
      <scheme val="minor"/>
    </font>
    <font>
      <u/>
      <sz val="11"/>
      <color theme="1"/>
      <name val="Times New Roman"/>
      <family val="2"/>
    </font>
    <font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2">
    <xf numFmtId="0" fontId="0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9" fillId="0" borderId="0"/>
    <xf numFmtId="0" fontId="9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9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9" fillId="0" borderId="0"/>
    <xf numFmtId="0" fontId="9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9" fillId="0" borderId="0"/>
    <xf numFmtId="0" fontId="9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9" fillId="0" borderId="0"/>
    <xf numFmtId="0" fontId="5" fillId="2" borderId="0" applyNumberFormat="0" applyBorder="0" applyAlignment="0" applyProtection="0"/>
    <xf numFmtId="0" fontId="39" fillId="21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39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39" fillId="2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39" fillId="2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9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39" fillId="2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39" fillId="2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39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9" fillId="2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39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39" fillId="31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39" fillId="32" borderId="0" applyNumberFormat="0" applyBorder="0" applyAlignment="0" applyProtection="0"/>
    <xf numFmtId="0" fontId="5" fillId="11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1" fillId="45" borderId="0" applyNumberFormat="0" applyBorder="0" applyAlignment="0" applyProtection="0"/>
    <xf numFmtId="169" fontId="10" fillId="0" borderId="0" applyFill="0" applyBorder="0" applyAlignment="0"/>
    <xf numFmtId="0" fontId="42" fillId="46" borderId="15" applyNumberFormat="0" applyAlignment="0" applyProtection="0"/>
    <xf numFmtId="0" fontId="43" fillId="47" borderId="16" applyNumberFormat="0" applyAlignment="0" applyProtection="0"/>
    <xf numFmtId="41" fontId="3" fillId="12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70" fontId="16" fillId="0" borderId="0">
      <protection locked="0"/>
    </xf>
    <xf numFmtId="0" fontId="14" fillId="0" borderId="0"/>
    <xf numFmtId="0" fontId="17" fillId="0" borderId="0" applyNumberFormat="0" applyAlignment="0">
      <alignment horizontal="left"/>
    </xf>
    <xf numFmtId="0" fontId="18" fillId="0" borderId="0" applyNumberFormat="0" applyAlignment="0"/>
    <xf numFmtId="0" fontId="12" fillId="0" borderId="0"/>
    <xf numFmtId="0" fontId="14" fillId="0" borderId="0"/>
    <xf numFmtId="0" fontId="12" fillId="0" borderId="0"/>
    <xf numFmtId="0" fontId="14" fillId="0" borderId="0"/>
    <xf numFmtId="8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3" fillId="0" borderId="0"/>
    <xf numFmtId="172" fontId="3" fillId="0" borderId="0" applyFont="0" applyFill="0" applyBorder="0" applyAlignment="0" applyProtection="0">
      <alignment horizontal="left" wrapText="1"/>
    </xf>
    <xf numFmtId="0" fontId="4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2" fillId="0" borderId="0"/>
    <xf numFmtId="0" fontId="45" fillId="48" borderId="0" applyNumberFormat="0" applyBorder="0" applyAlignment="0" applyProtection="0"/>
    <xf numFmtId="38" fontId="8" fillId="12" borderId="0" applyNumberFormat="0" applyBorder="0" applyAlignment="0" applyProtection="0"/>
    <xf numFmtId="38" fontId="8" fillId="12" borderId="0" applyNumberFormat="0" applyBorder="0" applyAlignment="0" applyProtection="0"/>
    <xf numFmtId="38" fontId="8" fillId="12" borderId="0" applyNumberFormat="0" applyBorder="0" applyAlignment="0" applyProtection="0"/>
    <xf numFmtId="38" fontId="8" fillId="12" borderId="0" applyNumberFormat="0" applyBorder="0" applyAlignment="0" applyProtection="0"/>
    <xf numFmtId="38" fontId="8" fillId="12" borderId="0" applyNumberFormat="0" applyBorder="0" applyAlignment="0" applyProtection="0"/>
    <xf numFmtId="0" fontId="19" fillId="0" borderId="1" applyNumberFormat="0" applyAlignment="0" applyProtection="0">
      <alignment horizontal="left"/>
    </xf>
    <xf numFmtId="0" fontId="19" fillId="0" borderId="2">
      <alignment horizontal="left"/>
    </xf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8" fillId="0" borderId="0" applyNumberFormat="0" applyFill="0" applyBorder="0" applyAlignment="0" applyProtection="0"/>
    <xf numFmtId="38" fontId="20" fillId="0" borderId="0"/>
    <xf numFmtId="40" fontId="20" fillId="0" borderId="0"/>
    <xf numFmtId="10" fontId="8" fillId="13" borderId="3" applyNumberFormat="0" applyBorder="0" applyAlignment="0" applyProtection="0"/>
    <xf numFmtId="10" fontId="8" fillId="13" borderId="3" applyNumberFormat="0" applyBorder="0" applyAlignment="0" applyProtection="0"/>
    <xf numFmtId="10" fontId="8" fillId="13" borderId="3" applyNumberFormat="0" applyBorder="0" applyAlignment="0" applyProtection="0"/>
    <xf numFmtId="10" fontId="8" fillId="13" borderId="3" applyNumberFormat="0" applyBorder="0" applyAlignment="0" applyProtection="0"/>
    <xf numFmtId="10" fontId="8" fillId="13" borderId="3" applyNumberFormat="0" applyBorder="0" applyAlignment="0" applyProtection="0"/>
    <xf numFmtId="0" fontId="49" fillId="49" borderId="15" applyNumberFormat="0" applyAlignment="0" applyProtection="0"/>
    <xf numFmtId="41" fontId="21" fillId="14" borderId="4">
      <alignment horizontal="left"/>
      <protection locked="0"/>
    </xf>
    <xf numFmtId="10" fontId="21" fillId="14" borderId="4">
      <alignment horizontal="right"/>
      <protection locked="0"/>
    </xf>
    <xf numFmtId="41" fontId="21" fillId="14" borderId="4">
      <alignment horizontal="left"/>
      <protection locked="0"/>
    </xf>
    <xf numFmtId="0" fontId="8" fillId="12" borderId="0"/>
    <xf numFmtId="3" fontId="22" fillId="0" borderId="0" applyFill="0" applyBorder="0" applyAlignment="0" applyProtection="0"/>
    <xf numFmtId="0" fontId="50" fillId="0" borderId="20" applyNumberFormat="0" applyFill="0" applyAlignment="0" applyProtection="0"/>
    <xf numFmtId="44" fontId="4" fillId="0" borderId="5" applyNumberFormat="0" applyFont="0" applyAlignment="0">
      <alignment horizontal="center"/>
    </xf>
    <xf numFmtId="44" fontId="4" fillId="0" borderId="5" applyNumberFormat="0" applyFont="0" applyAlignment="0">
      <alignment horizontal="center"/>
    </xf>
    <xf numFmtId="44" fontId="4" fillId="0" borderId="5" applyNumberFormat="0" applyFont="0" applyAlignment="0">
      <alignment horizontal="center"/>
    </xf>
    <xf numFmtId="44" fontId="4" fillId="0" borderId="5" applyNumberFormat="0" applyFont="0" applyAlignment="0">
      <alignment horizontal="center"/>
    </xf>
    <xf numFmtId="44" fontId="4" fillId="0" borderId="5" applyNumberFormat="0" applyFont="0" applyAlignment="0">
      <alignment horizontal="center"/>
    </xf>
    <xf numFmtId="44" fontId="4" fillId="0" borderId="6" applyNumberFormat="0" applyFont="0" applyAlignment="0">
      <alignment horizontal="center"/>
    </xf>
    <xf numFmtId="44" fontId="4" fillId="0" borderId="6" applyNumberFormat="0" applyFont="0" applyAlignment="0">
      <alignment horizontal="center"/>
    </xf>
    <xf numFmtId="44" fontId="4" fillId="0" borderId="6" applyNumberFormat="0" applyFont="0" applyAlignment="0">
      <alignment horizontal="center"/>
    </xf>
    <xf numFmtId="44" fontId="4" fillId="0" borderId="6" applyNumberFormat="0" applyFont="0" applyAlignment="0">
      <alignment horizontal="center"/>
    </xf>
    <xf numFmtId="44" fontId="4" fillId="0" borderId="6" applyNumberFormat="0" applyFont="0" applyAlignment="0">
      <alignment horizontal="center"/>
    </xf>
    <xf numFmtId="0" fontId="51" fillId="50" borderId="0" applyNumberFormat="0" applyBorder="0" applyAlignment="0" applyProtection="0"/>
    <xf numFmtId="37" fontId="23" fillId="0" borderId="0"/>
    <xf numFmtId="173" fontId="24" fillId="0" borderId="0"/>
    <xf numFmtId="174" fontId="3" fillId="0" borderId="0"/>
    <xf numFmtId="174" fontId="3" fillId="0" borderId="0"/>
    <xf numFmtId="174" fontId="3" fillId="0" borderId="0"/>
    <xf numFmtId="173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25" fillId="0" borderId="0">
      <alignment horizontal="left" wrapText="1"/>
    </xf>
    <xf numFmtId="174" fontId="25" fillId="0" borderId="0">
      <alignment horizontal="left" wrapText="1"/>
    </xf>
    <xf numFmtId="174" fontId="25" fillId="0" borderId="0">
      <alignment horizontal="left" wrapText="1"/>
    </xf>
    <xf numFmtId="174" fontId="25" fillId="0" borderId="0">
      <alignment horizontal="left" wrapText="1"/>
    </xf>
    <xf numFmtId="174" fontId="25" fillId="0" borderId="0">
      <alignment horizontal="left" wrapText="1"/>
    </xf>
    <xf numFmtId="174" fontId="25" fillId="0" borderId="0">
      <alignment horizontal="left" wrapText="1"/>
    </xf>
    <xf numFmtId="174" fontId="25" fillId="0" borderId="0">
      <alignment horizontal="left" wrapText="1"/>
    </xf>
    <xf numFmtId="166" fontId="7" fillId="0" borderId="0">
      <alignment horizontal="left" wrapText="1"/>
    </xf>
    <xf numFmtId="0" fontId="3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165" fontId="3" fillId="0" borderId="0">
      <alignment horizontal="left" wrapText="1"/>
    </xf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17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15" borderId="7" applyNumberFormat="0" applyFont="0" applyAlignment="0" applyProtection="0"/>
    <xf numFmtId="0" fontId="5" fillId="51" borderId="21" applyNumberFormat="0" applyFont="0" applyAlignment="0" applyProtection="0"/>
    <xf numFmtId="0" fontId="5" fillId="15" borderId="7" applyNumberFormat="0" applyFont="0" applyAlignment="0" applyProtection="0"/>
    <xf numFmtId="0" fontId="5" fillId="15" borderId="7" applyNumberFormat="0" applyFont="0" applyAlignment="0" applyProtection="0"/>
    <xf numFmtId="0" fontId="5" fillId="15" borderId="7" applyNumberFormat="0" applyFont="0" applyAlignment="0" applyProtection="0"/>
    <xf numFmtId="0" fontId="5" fillId="15" borderId="7" applyNumberFormat="0" applyFont="0" applyAlignment="0" applyProtection="0"/>
    <xf numFmtId="0" fontId="5" fillId="15" borderId="7" applyNumberFormat="0" applyFont="0" applyAlignment="0" applyProtection="0"/>
    <xf numFmtId="0" fontId="5" fillId="15" borderId="7" applyNumberFormat="0" applyFont="0" applyAlignment="0" applyProtection="0"/>
    <xf numFmtId="0" fontId="5" fillId="15" borderId="7" applyNumberFormat="0" applyFont="0" applyAlignment="0" applyProtection="0"/>
    <xf numFmtId="0" fontId="52" fillId="46" borderId="22" applyNumberFormat="0" applyAlignment="0" applyProtection="0"/>
    <xf numFmtId="0" fontId="12" fillId="0" borderId="0"/>
    <xf numFmtId="0" fontId="12" fillId="0" borderId="0"/>
    <xf numFmtId="0" fontId="14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16" borderId="4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9">
      <alignment horizontal="center"/>
    </xf>
    <xf numFmtId="3" fontId="26" fillId="0" borderId="0" applyFont="0" applyFill="0" applyBorder="0" applyAlignment="0" applyProtection="0"/>
    <xf numFmtId="0" fontId="26" fillId="17" borderId="0" applyNumberFormat="0" applyFont="0" applyBorder="0" applyAlignment="0" applyProtection="0"/>
    <xf numFmtId="0" fontId="14" fillId="0" borderId="0"/>
    <xf numFmtId="3" fontId="28" fillId="0" borderId="0" applyFill="0" applyBorder="0" applyAlignment="0" applyProtection="0"/>
    <xf numFmtId="0" fontId="29" fillId="0" borderId="0"/>
    <xf numFmtId="3" fontId="28" fillId="0" borderId="0" applyFill="0" applyBorder="0" applyAlignment="0" applyProtection="0"/>
    <xf numFmtId="42" fontId="3" fillId="13" borderId="0"/>
    <xf numFmtId="42" fontId="3" fillId="13" borderId="10">
      <alignment vertical="center"/>
    </xf>
    <xf numFmtId="0" fontId="4" fillId="13" borderId="11" applyNumberFormat="0">
      <alignment horizontal="center" vertical="center" wrapText="1"/>
    </xf>
    <xf numFmtId="10" fontId="3" fillId="13" borderId="0"/>
    <xf numFmtId="176" fontId="3" fillId="13" borderId="0"/>
    <xf numFmtId="42" fontId="3" fillId="13" borderId="0"/>
    <xf numFmtId="164" fontId="20" fillId="0" borderId="0" applyBorder="0" applyAlignment="0"/>
    <xf numFmtId="42" fontId="3" fillId="13" borderId="12">
      <alignment horizontal="left"/>
    </xf>
    <xf numFmtId="176" fontId="30" fillId="13" borderId="12">
      <alignment horizontal="left"/>
    </xf>
    <xf numFmtId="164" fontId="20" fillId="0" borderId="0" applyBorder="0" applyAlignment="0"/>
    <xf numFmtId="14" fontId="25" fillId="0" borderId="0" applyNumberFormat="0" applyFill="0" applyBorder="0" applyAlignment="0" applyProtection="0">
      <alignment horizontal="left"/>
    </xf>
    <xf numFmtId="177" fontId="3" fillId="0" borderId="0" applyFont="0" applyFill="0" applyAlignment="0">
      <alignment horizontal="right"/>
    </xf>
    <xf numFmtId="4" fontId="31" fillId="18" borderId="8" applyNumberFormat="0" applyProtection="0">
      <alignment horizontal="right" vertical="center"/>
    </xf>
    <xf numFmtId="39" fontId="3" fillId="19" borderId="0"/>
    <xf numFmtId="38" fontId="8" fillId="0" borderId="13"/>
    <xf numFmtId="38" fontId="8" fillId="0" borderId="13"/>
    <xf numFmtId="38" fontId="8" fillId="0" borderId="13"/>
    <xf numFmtId="38" fontId="8" fillId="0" borderId="13"/>
    <xf numFmtId="38" fontId="8" fillId="0" borderId="13"/>
    <xf numFmtId="38" fontId="20" fillId="0" borderId="12"/>
    <xf numFmtId="39" fontId="25" fillId="20" borderId="0"/>
    <xf numFmtId="167" fontId="3" fillId="0" borderId="0">
      <alignment horizontal="left" wrapText="1"/>
    </xf>
    <xf numFmtId="164" fontId="3" fillId="0" borderId="0">
      <alignment horizontal="left" wrapText="1"/>
    </xf>
    <xf numFmtId="178" fontId="3" fillId="0" borderId="0">
      <alignment horizontal="left" wrapText="1"/>
    </xf>
    <xf numFmtId="166" fontId="3" fillId="0" borderId="0">
      <alignment horizontal="left" wrapText="1"/>
    </xf>
    <xf numFmtId="178" fontId="3" fillId="0" borderId="0">
      <alignment horizontal="left" wrapText="1"/>
    </xf>
    <xf numFmtId="179" fontId="3" fillId="0" borderId="0">
      <alignment horizontal="left" wrapText="1"/>
    </xf>
    <xf numFmtId="40" fontId="32" fillId="0" borderId="0" applyBorder="0">
      <alignment horizontal="right"/>
    </xf>
    <xf numFmtId="41" fontId="33" fillId="13" borderId="0">
      <alignment horizontal="left"/>
    </xf>
    <xf numFmtId="0" fontId="53" fillId="0" borderId="0" applyNumberFormat="0" applyFill="0" applyBorder="0" applyAlignment="0" applyProtection="0"/>
    <xf numFmtId="180" fontId="34" fillId="13" borderId="0">
      <alignment horizontal="left" vertical="center"/>
    </xf>
    <xf numFmtId="0" fontId="4" fillId="13" borderId="0">
      <alignment horizontal="left" wrapText="1"/>
    </xf>
    <xf numFmtId="0" fontId="35" fillId="0" borderId="0">
      <alignment horizontal="left" vertical="center"/>
    </xf>
    <xf numFmtId="0" fontId="54" fillId="0" borderId="23" applyNumberFormat="0" applyFill="0" applyAlignment="0" applyProtection="0"/>
    <xf numFmtId="0" fontId="14" fillId="0" borderId="14"/>
    <xf numFmtId="0" fontId="5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65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372" applyNumberFormat="1" applyFont="1"/>
    <xf numFmtId="164" fontId="0" fillId="0" borderId="0" xfId="0" applyNumberFormat="1"/>
    <xf numFmtId="17" fontId="0" fillId="0" borderId="0" xfId="0" applyNumberFormat="1"/>
    <xf numFmtId="0" fontId="3" fillId="0" borderId="0" xfId="507"/>
    <xf numFmtId="41" fontId="6" fillId="0" borderId="0" xfId="381" applyNumberFormat="1" applyFont="1" applyFill="1" applyBorder="1"/>
    <xf numFmtId="9" fontId="3" fillId="0" borderId="0" xfId="523"/>
    <xf numFmtId="0" fontId="6" fillId="0" borderId="0" xfId="508" applyFont="1" applyFill="1" applyBorder="1" applyAlignment="1">
      <alignment horizontal="left"/>
    </xf>
    <xf numFmtId="0" fontId="6" fillId="0" borderId="0" xfId="507" applyFont="1" applyFill="1" applyAlignment="1">
      <alignment horizontal="center"/>
    </xf>
    <xf numFmtId="10" fontId="3" fillId="0" borderId="0" xfId="507" applyNumberFormat="1"/>
    <xf numFmtId="0" fontId="3" fillId="0" borderId="0" xfId="507" applyFill="1"/>
    <xf numFmtId="0" fontId="36" fillId="0" borderId="0" xfId="507" applyFont="1"/>
    <xf numFmtId="0" fontId="19" fillId="0" borderId="0" xfId="507" applyFont="1"/>
    <xf numFmtId="166" fontId="37" fillId="0" borderId="0" xfId="484" applyFont="1" applyFill="1" applyAlignment="1">
      <alignment horizontal="centerContinuous"/>
    </xf>
    <xf numFmtId="15" fontId="37" fillId="0" borderId="0" xfId="484" applyNumberFormat="1" applyFont="1" applyFill="1" applyAlignment="1">
      <alignment horizontal="centerContinuous"/>
    </xf>
    <xf numFmtId="18" fontId="37" fillId="0" borderId="0" xfId="484" applyNumberFormat="1" applyFont="1" applyFill="1" applyAlignment="1">
      <alignment horizontal="centerContinuous"/>
    </xf>
    <xf numFmtId="0" fontId="37" fillId="0" borderId="0" xfId="507" applyFont="1" applyFill="1"/>
    <xf numFmtId="166" fontId="36" fillId="0" borderId="0" xfId="484" applyFont="1" applyFill="1" applyAlignment="1">
      <alignment horizontal="left"/>
    </xf>
    <xf numFmtId="0" fontId="9" fillId="0" borderId="0" xfId="507" applyFont="1" applyFill="1" applyAlignment="1">
      <alignment horizontal="center"/>
    </xf>
    <xf numFmtId="0" fontId="37" fillId="0" borderId="0" xfId="507" applyFont="1" applyFill="1" applyAlignment="1" applyProtection="1">
      <alignment horizontal="center"/>
      <protection locked="0"/>
    </xf>
    <xf numFmtId="0" fontId="37" fillId="0" borderId="11" xfId="507" applyFont="1" applyFill="1" applyBorder="1" applyAlignment="1">
      <alignment horizontal="center"/>
    </xf>
    <xf numFmtId="0" fontId="37" fillId="0" borderId="11" xfId="507" applyFont="1" applyFill="1" applyBorder="1"/>
    <xf numFmtId="0" fontId="9" fillId="0" borderId="0" xfId="507" applyFont="1" applyFill="1"/>
    <xf numFmtId="166" fontId="38" fillId="0" borderId="0" xfId="484" applyFont="1" applyAlignment="1">
      <alignment horizontal="left"/>
    </xf>
    <xf numFmtId="0" fontId="36" fillId="0" borderId="0" xfId="507" applyFont="1" applyFill="1"/>
    <xf numFmtId="166" fontId="9" fillId="0" borderId="0" xfId="484" applyFont="1" applyAlignment="1">
      <alignment horizontal="left" indent="2"/>
    </xf>
    <xf numFmtId="166" fontId="9" fillId="0" borderId="0" xfId="484" applyFont="1" applyAlignment="1">
      <alignment horizontal="left"/>
    </xf>
    <xf numFmtId="0" fontId="9" fillId="0" borderId="0" xfId="507" applyFont="1" applyFill="1" applyAlignment="1">
      <alignment horizontal="left" indent="2"/>
    </xf>
    <xf numFmtId="166" fontId="9" fillId="0" borderId="0" xfId="484" applyFont="1" applyAlignment="1">
      <alignment horizontal="left" indent="1"/>
    </xf>
    <xf numFmtId="166" fontId="9" fillId="0" borderId="0" xfId="484" quotePrefix="1" applyFont="1" applyFill="1" applyAlignment="1">
      <alignment horizontal="left"/>
    </xf>
    <xf numFmtId="41" fontId="9" fillId="0" borderId="0" xfId="507" applyNumberFormat="1" applyFont="1" applyFill="1" applyBorder="1"/>
    <xf numFmtId="0" fontId="9" fillId="0" borderId="0" xfId="508" applyFont="1" applyFill="1" applyBorder="1" applyAlignment="1">
      <alignment horizontal="left"/>
    </xf>
    <xf numFmtId="166" fontId="37" fillId="0" borderId="0" xfId="484" applyFont="1" applyFill="1" applyAlignment="1">
      <alignment horizontal="left" indent="1"/>
    </xf>
    <xf numFmtId="165" fontId="36" fillId="0" borderId="0" xfId="507" applyNumberFormat="1" applyFont="1"/>
    <xf numFmtId="42" fontId="0" fillId="0" borderId="0" xfId="0" applyNumberFormat="1"/>
    <xf numFmtId="42" fontId="3" fillId="0" borderId="0" xfId="507" applyNumberFormat="1"/>
    <xf numFmtId="0" fontId="9" fillId="0" borderId="0" xfId="507" applyFont="1" applyFill="1" applyAlignment="1"/>
    <xf numFmtId="10" fontId="9" fillId="0" borderId="0" xfId="507" applyNumberFormat="1" applyFont="1" applyFill="1" applyBorder="1"/>
    <xf numFmtId="0" fontId="56" fillId="0" borderId="0" xfId="0" applyFont="1"/>
    <xf numFmtId="41" fontId="0" fillId="0" borderId="0" xfId="0" applyNumberFormat="1"/>
    <xf numFmtId="41" fontId="0" fillId="0" borderId="10" xfId="0" applyNumberFormat="1" applyBorder="1"/>
    <xf numFmtId="0" fontId="57" fillId="0" borderId="0" xfId="0" applyFont="1"/>
    <xf numFmtId="17" fontId="4" fillId="0" borderId="0" xfId="0" applyNumberFormat="1" applyFont="1"/>
    <xf numFmtId="0" fontId="58" fillId="0" borderId="0" xfId="507" applyFont="1"/>
    <xf numFmtId="17" fontId="0" fillId="0" borderId="0" xfId="0" applyNumberFormat="1" applyFill="1"/>
    <xf numFmtId="41" fontId="0" fillId="0" borderId="0" xfId="0" applyNumberFormat="1" applyFill="1"/>
    <xf numFmtId="41" fontId="0" fillId="0" borderId="10" xfId="0" applyNumberFormat="1" applyFill="1" applyBorder="1"/>
    <xf numFmtId="0" fontId="0" fillId="0" borderId="0" xfId="0" applyFill="1"/>
    <xf numFmtId="42" fontId="2" fillId="0" borderId="10" xfId="507" applyNumberFormat="1" applyFont="1" applyFill="1" applyBorder="1"/>
    <xf numFmtId="0" fontId="59" fillId="0" borderId="0" xfId="0" applyFont="1"/>
    <xf numFmtId="0" fontId="59" fillId="0" borderId="0" xfId="0" applyFont="1" applyAlignment="1">
      <alignment horizontal="center"/>
    </xf>
    <xf numFmtId="164" fontId="0" fillId="0" borderId="0" xfId="0" applyNumberFormat="1" applyFill="1"/>
    <xf numFmtId="164" fontId="0" fillId="0" borderId="0" xfId="372" applyNumberFormat="1" applyFont="1" applyFill="1"/>
    <xf numFmtId="0" fontId="60" fillId="0" borderId="0" xfId="507" applyFont="1" applyFill="1"/>
    <xf numFmtId="0" fontId="60" fillId="0" borderId="0" xfId="507" applyFont="1"/>
    <xf numFmtId="17" fontId="54" fillId="0" borderId="0" xfId="0" applyNumberFormat="1" applyFont="1" applyFill="1" applyAlignment="1">
      <alignment horizontal="center"/>
    </xf>
    <xf numFmtId="42" fontId="3" fillId="0" borderId="0" xfId="507" applyNumberFormat="1" applyFill="1"/>
    <xf numFmtId="42" fontId="3" fillId="0" borderId="10" xfId="507" applyNumberFormat="1" applyFill="1" applyBorder="1"/>
    <xf numFmtId="0" fontId="62" fillId="0" borderId="0" xfId="0" applyNumberFormat="1" applyFont="1" applyFill="1" applyAlignment="1">
      <alignment horizontal="right"/>
    </xf>
    <xf numFmtId="181" fontId="62" fillId="0" borderId="24" xfId="0" applyNumberFormat="1" applyFont="1" applyFill="1" applyBorder="1" applyAlignment="1"/>
    <xf numFmtId="17" fontId="59" fillId="0" borderId="11" xfId="0" applyNumberFormat="1" applyFont="1" applyBorder="1" applyAlignment="1">
      <alignment horizontal="center"/>
    </xf>
    <xf numFmtId="164" fontId="0" fillId="52" borderId="0" xfId="372" applyNumberFormat="1" applyFont="1" applyFill="1"/>
    <xf numFmtId="0" fontId="0" fillId="0" borderId="0" xfId="0" applyFont="1"/>
    <xf numFmtId="0" fontId="0" fillId="52" borderId="0" xfId="0" applyFill="1" applyAlignment="1">
      <alignment horizontal="right"/>
    </xf>
    <xf numFmtId="0" fontId="63" fillId="0" borderId="0" xfId="0" applyFont="1"/>
    <xf numFmtId="17" fontId="54" fillId="52" borderId="0" xfId="0" applyNumberFormat="1" applyFont="1" applyFill="1" applyAlignment="1">
      <alignment horizontal="center"/>
    </xf>
    <xf numFmtId="0" fontId="54" fillId="52" borderId="0" xfId="0" applyFont="1" applyFill="1" applyAlignment="1">
      <alignment horizontal="right"/>
    </xf>
    <xf numFmtId="164" fontId="54" fillId="52" borderId="0" xfId="372" applyNumberFormat="1" applyFont="1" applyFill="1" applyAlignment="1">
      <alignment horizontal="right"/>
    </xf>
    <xf numFmtId="164" fontId="0" fillId="0" borderId="0" xfId="580" applyNumberFormat="1" applyFont="1"/>
    <xf numFmtId="41" fontId="59" fillId="0" borderId="10" xfId="0" applyNumberFormat="1" applyFont="1" applyBorder="1"/>
    <xf numFmtId="0" fontId="59" fillId="0" borderId="10" xfId="0" applyFont="1" applyBorder="1"/>
    <xf numFmtId="41" fontId="59" fillId="0" borderId="0" xfId="0" applyNumberFormat="1" applyFont="1"/>
    <xf numFmtId="0" fontId="64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1" xfId="0" applyBorder="1"/>
    <xf numFmtId="164" fontId="0" fillId="53" borderId="0" xfId="372" applyNumberFormat="1" applyFont="1" applyFill="1"/>
    <xf numFmtId="0" fontId="0" fillId="53" borderId="0" xfId="0" applyFill="1"/>
    <xf numFmtId="17" fontId="59" fillId="0" borderId="1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6" fontId="6" fillId="0" borderId="0" xfId="0" applyNumberFormat="1" applyFont="1" applyFill="1" applyAlignment="1">
      <alignment horizontal="left" indent="1"/>
    </xf>
    <xf numFmtId="10" fontId="0" fillId="0" borderId="0" xfId="0" applyNumberFormat="1"/>
    <xf numFmtId="10" fontId="0" fillId="0" borderId="0" xfId="581" applyNumberFormat="1" applyFont="1"/>
    <xf numFmtId="0" fontId="0" fillId="0" borderId="25" xfId="0" applyBorder="1"/>
    <xf numFmtId="0" fontId="0" fillId="0" borderId="26" xfId="0" applyBorder="1"/>
    <xf numFmtId="42" fontId="0" fillId="0" borderId="27" xfId="0" applyNumberFormat="1" applyBorder="1"/>
    <xf numFmtId="42" fontId="0" fillId="0" borderId="28" xfId="0" applyNumberFormat="1" applyBorder="1"/>
    <xf numFmtId="42" fontId="0" fillId="0" borderId="29" xfId="0" applyNumberFormat="1" applyBorder="1"/>
    <xf numFmtId="42" fontId="0" fillId="0" borderId="30" xfId="0" applyNumberFormat="1" applyBorder="1"/>
    <xf numFmtId="0" fontId="0" fillId="0" borderId="0" xfId="0" applyAlignment="1">
      <alignment wrapText="1"/>
    </xf>
    <xf numFmtId="42" fontId="61" fillId="0" borderId="0" xfId="507" applyNumberFormat="1" applyFont="1" applyFill="1"/>
    <xf numFmtId="44" fontId="0" fillId="0" borderId="0" xfId="0" applyNumberFormat="1"/>
    <xf numFmtId="9" fontId="36" fillId="0" borderId="0" xfId="507" applyNumberFormat="1" applyFont="1"/>
    <xf numFmtId="9" fontId="9" fillId="0" borderId="0" xfId="484" applyNumberFormat="1" applyFont="1" applyFill="1" applyBorder="1" applyAlignment="1"/>
    <xf numFmtId="41" fontId="9" fillId="0" borderId="0" xfId="484" applyNumberFormat="1" applyFont="1" applyFill="1" applyBorder="1" applyAlignment="1" applyProtection="1">
      <protection locked="0"/>
    </xf>
    <xf numFmtId="41" fontId="2" fillId="0" borderId="0" xfId="484" applyNumberFormat="1" applyFont="1" applyFill="1" applyBorder="1" applyAlignment="1" applyProtection="1">
      <protection locked="0"/>
    </xf>
    <xf numFmtId="166" fontId="9" fillId="0" borderId="0" xfId="484" applyFont="1" applyFill="1" applyAlignment="1">
      <alignment horizontal="left"/>
    </xf>
    <xf numFmtId="165" fontId="9" fillId="0" borderId="0" xfId="484" applyNumberFormat="1" applyFont="1" applyFill="1" applyBorder="1" applyAlignment="1"/>
    <xf numFmtId="165" fontId="2" fillId="0" borderId="10" xfId="484" applyNumberFormat="1" applyFont="1" applyFill="1" applyBorder="1" applyAlignment="1"/>
    <xf numFmtId="166" fontId="37" fillId="0" borderId="0" xfId="484" applyFont="1" applyFill="1" applyAlignment="1" applyProtection="1">
      <alignment horizontal="center"/>
      <protection locked="0"/>
    </xf>
    <xf numFmtId="0" fontId="37" fillId="0" borderId="0" xfId="507" applyFont="1" applyFill="1" applyAlignment="1">
      <alignment horizontal="center"/>
    </xf>
    <xf numFmtId="0" fontId="0" fillId="0" borderId="0" xfId="0" applyAlignment="1">
      <alignment horizontal="center" wrapText="1"/>
    </xf>
    <xf numFmtId="0" fontId="59" fillId="0" borderId="0" xfId="0" applyFont="1" applyAlignment="1">
      <alignment horizontal="center"/>
    </xf>
  </cellXfs>
  <cellStyles count="582">
    <cellStyle name="_x0013_" xfId="1"/>
    <cellStyle name="_09GRC Gas Transport For Review" xfId="2"/>
    <cellStyle name="_09GRC Gas Transport For Review_Book4" xfId="3"/>
    <cellStyle name="_x0013__16.37E Wild Horse Expansion DeferralRevwrkingfile SF" xfId="4"/>
    <cellStyle name="_4.06E Pass Throughs" xfId="5"/>
    <cellStyle name="_4.06E Pass Throughs_04 07E Wild Horse Wind Expansion (C) (2)" xfId="6"/>
    <cellStyle name="_4.06E Pass Throughs_04 07E Wild Horse Wind Expansion (C) (2)_Electric Rev Req Model (2009 GRC) " xfId="7"/>
    <cellStyle name="_4.06E Pass Throughs_16.37E Wild Horse Expansion DeferralRevwrkingfile SF" xfId="8"/>
    <cellStyle name="_4.06E Pass Throughs_4 31 Regulatory Assets and Liabilities  7 06- Exhibit D" xfId="9"/>
    <cellStyle name="_4.06E Pass Throughs_4 32 Regulatory Assets and Liabilities  7 06- Exhibit D" xfId="10"/>
    <cellStyle name="_4.06E Pass Throughs_Book2" xfId="11"/>
    <cellStyle name="_4.06E Pass Throughs_Book4" xfId="12"/>
    <cellStyle name="_4.06E Pass Throughs_Book9" xfId="13"/>
    <cellStyle name="_4.06E Pass Throughs_Power Costs - Comparison bx Rbtl-Staff-Jt-PC" xfId="14"/>
    <cellStyle name="_4.06E Pass Throughs_Rebuttal Power Costs" xfId="15"/>
    <cellStyle name="_4.13E Montana Energy Tax" xfId="16"/>
    <cellStyle name="_4.13E Montana Energy Tax_04 07E Wild Horse Wind Expansion (C) (2)" xfId="17"/>
    <cellStyle name="_4.13E Montana Energy Tax_04 07E Wild Horse Wind Expansion (C) (2)_Electric Rev Req Model (2009 GRC) " xfId="18"/>
    <cellStyle name="_4.13E Montana Energy Tax_16.37E Wild Horse Expansion DeferralRevwrkingfile SF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2" xfId="22"/>
    <cellStyle name="_4.13E Montana Energy Tax_Book4" xfId="23"/>
    <cellStyle name="_4.13E Montana Energy Tax_Book9" xfId="24"/>
    <cellStyle name="_4.13E Montana Energy Tax_Power Costs - Comparison bx Rbtl-Staff-Jt-PC" xfId="25"/>
    <cellStyle name="_4.13E Montana Energy Tax_Rebuttal Power Costs" xfId="26"/>
    <cellStyle name="_AURORA WIP" xfId="27"/>
    <cellStyle name="_Book1" xfId="28"/>
    <cellStyle name="_Book1 (2)" xfId="29"/>
    <cellStyle name="_Book1 (2)_04 07E Wild Horse Wind Expansion (C) (2)" xfId="30"/>
    <cellStyle name="_Book1 (2)_04 07E Wild Horse Wind Expansion (C) (2)_Electric Rev Req Model (2009 GRC) " xfId="31"/>
    <cellStyle name="_Book1 (2)_16.37E Wild Horse Expansion DeferralRevwrkingfile SF" xfId="32"/>
    <cellStyle name="_Book1 (2)_4 31 Regulatory Assets and Liabilities  7 06- Exhibit D" xfId="33"/>
    <cellStyle name="_Book1 (2)_4 32 Regulatory Assets and Liabilities  7 06- Exhibit D" xfId="34"/>
    <cellStyle name="_Book1 (2)_Book2" xfId="35"/>
    <cellStyle name="_Book1 (2)_Book4" xfId="36"/>
    <cellStyle name="_Book1 (2)_Book9" xfId="37"/>
    <cellStyle name="_Book1 (2)_Power Costs - Comparison bx Rbtl-Staff-Jt-PC" xfId="38"/>
    <cellStyle name="_Book1 (2)_Rebuttal Power Costs" xfId="39"/>
    <cellStyle name="_Book1_(C) WHE Proforma with ITC cash grant 10 Yr Amort_for deferral_102809" xfId="40"/>
    <cellStyle name="_Book1_(C) WHE Proforma with ITC cash grant 10 Yr Amort_for deferral_102809_16.37E Wild Horse Expansion DeferralRevwrkingfile SF" xfId="41"/>
    <cellStyle name="_Book1_(C) WHE Proforma with ITC cash grant 10 Yr Amort_for rebuttal_120709" xfId="42"/>
    <cellStyle name="_Book1_04.07E Wild Horse Wind Expansion" xfId="43"/>
    <cellStyle name="_Book1_04.07E Wild Horse Wind Expansion_16.37E Wild Horse Expansion DeferralRevwrkingfile SF" xfId="44"/>
    <cellStyle name="_Book1_16.37E Wild Horse Expansion DeferralRevwrkingfile SF" xfId="45"/>
    <cellStyle name="_Book1_4 31 Regulatory Assets and Liabilities  7 06- Exhibit D" xfId="46"/>
    <cellStyle name="_Book1_4 32 Regulatory Assets and Liabilities  7 06- Exhibit D" xfId="47"/>
    <cellStyle name="_Book1_Book2" xfId="48"/>
    <cellStyle name="_Book1_Book4" xfId="49"/>
    <cellStyle name="_Book1_Book9" xfId="50"/>
    <cellStyle name="_Book1_Power Costs - Comparison bx Rbtl-Staff-Jt-PC" xfId="51"/>
    <cellStyle name="_Book1_Rebuttal Power Costs" xfId="52"/>
    <cellStyle name="_Book2" xfId="53"/>
    <cellStyle name="_x0013__Book2" xfId="54"/>
    <cellStyle name="_Book2_04 07E Wild Horse Wind Expansion (C) (2)" xfId="55"/>
    <cellStyle name="_Book2_04 07E Wild Horse Wind Expansion (C) (2)_Electric Rev Req Model (2009 GRC) " xfId="56"/>
    <cellStyle name="_Book2_16.37E Wild Horse Expansion DeferralRevwrkingfile SF" xfId="57"/>
    <cellStyle name="_Book2_4 31 Regulatory Assets and Liabilities  7 06- Exhibit D" xfId="58"/>
    <cellStyle name="_Book2_4 32 Regulatory Assets and Liabilities  7 06- Exhibit D" xfId="59"/>
    <cellStyle name="_Book2_Book2" xfId="60"/>
    <cellStyle name="_Book2_Book4" xfId="61"/>
    <cellStyle name="_Book2_Book9" xfId="62"/>
    <cellStyle name="_Book2_Power Costs - Comparison bx Rbtl-Staff-Jt-PC" xfId="63"/>
    <cellStyle name="_Book2_Rebuttal Power Costs" xfId="64"/>
    <cellStyle name="_Book3" xfId="65"/>
    <cellStyle name="_Book5" xfId="66"/>
    <cellStyle name="_Chelan Debt Forecast 12.19.05" xfId="67"/>
    <cellStyle name="_Chelan Debt Forecast 12.19.05_(C) WHE Proforma with ITC cash grant 10 Yr Amort_for deferral_102809" xfId="68"/>
    <cellStyle name="_Chelan Debt Forecast 12.19.05_(C) WHE Proforma with ITC cash grant 10 Yr Amort_for deferral_102809_16.37E Wild Horse Expansion DeferralRevwrkingfile SF" xfId="69"/>
    <cellStyle name="_Chelan Debt Forecast 12.19.05_(C) WHE Proforma with ITC cash grant 10 Yr Amort_for rebuttal_120709" xfId="70"/>
    <cellStyle name="_Chelan Debt Forecast 12.19.05_04.07E Wild Horse Wind Expansion" xfId="71"/>
    <cellStyle name="_Chelan Debt Forecast 12.19.05_04.07E Wild Horse Wind Expansion_16.37E Wild Horse Expansion DeferralRevwrkingfile SF" xfId="72"/>
    <cellStyle name="_Chelan Debt Forecast 12.19.05_16.37E Wild Horse Expansion DeferralRevwrkingfile SF" xfId="73"/>
    <cellStyle name="_Chelan Debt Forecast 12.19.05_4 31 Regulatory Assets and Liabilities  7 06- Exhibit D" xfId="74"/>
    <cellStyle name="_Chelan Debt Forecast 12.19.05_4 32 Regulatory Assets and Liabilities  7 06- Exhibit D" xfId="75"/>
    <cellStyle name="_Chelan Debt Forecast 12.19.05_Book2" xfId="76"/>
    <cellStyle name="_Chelan Debt Forecast 12.19.05_Book4" xfId="77"/>
    <cellStyle name="_Chelan Debt Forecast 12.19.05_Book9" xfId="78"/>
    <cellStyle name="_Chelan Debt Forecast 12.19.05_Power Costs - Comparison bx Rbtl-Staff-Jt-PC" xfId="79"/>
    <cellStyle name="_Chelan Debt Forecast 12.19.05_Rebuttal Power Costs" xfId="80"/>
    <cellStyle name="_Copy 11-9 Sumas Proforma - Current" xfId="81"/>
    <cellStyle name="_Costs not in AURORA 06GRC" xfId="82"/>
    <cellStyle name="_Costs not in AURORA 06GRC_04 07E Wild Horse Wind Expansion (C) (2)" xfId="83"/>
    <cellStyle name="_Costs not in AURORA 06GRC_04 07E Wild Horse Wind Expansion (C) (2)_Electric Rev Req Model (2009 GRC) " xfId="84"/>
    <cellStyle name="_Costs not in AURORA 06GRC_16.37E Wild Horse Expansion DeferralRevwrkingfile SF" xfId="85"/>
    <cellStyle name="_Costs not in AURORA 06GRC_4 31 Regulatory Assets and Liabilities  7 06- Exhibit D" xfId="86"/>
    <cellStyle name="_Costs not in AURORA 06GRC_4 32 Regulatory Assets and Liabilities  7 06- Exhibit D" xfId="87"/>
    <cellStyle name="_Costs not in AURORA 06GRC_Book2" xfId="88"/>
    <cellStyle name="_Costs not in AURORA 06GRC_Book4" xfId="89"/>
    <cellStyle name="_Costs not in AURORA 06GRC_Book9" xfId="90"/>
    <cellStyle name="_Costs not in AURORA 06GRC_Power Costs - Comparison bx Rbtl-Staff-Jt-PC" xfId="91"/>
    <cellStyle name="_Costs not in AURORA 06GRC_Rebuttal Power Costs" xfId="92"/>
    <cellStyle name="_Costs not in AURORA 2006GRC 6.15.06" xfId="93"/>
    <cellStyle name="_Costs not in AURORA 2006GRC 6.15.06_04 07E Wild Horse Wind Expansion (C) (2)" xfId="94"/>
    <cellStyle name="_Costs not in AURORA 2006GRC 6.15.06_04 07E Wild Horse Wind Expansion (C) (2)_Electric Rev Req Model (2009 GRC) " xfId="95"/>
    <cellStyle name="_Costs not in AURORA 2006GRC 6.15.06_16.37E Wild Horse Expansion DeferralRevwrkingfile SF" xfId="96"/>
    <cellStyle name="_Costs not in AURORA 2006GRC 6.15.06_4 31 Regulatory Assets and Liabilities  7 06- Exhibit D" xfId="97"/>
    <cellStyle name="_Costs not in AURORA 2006GRC 6.15.06_4 32 Regulatory Assets and Liabilities  7 06- Exhibit D" xfId="98"/>
    <cellStyle name="_Costs not in AURORA 2006GRC 6.15.06_Book2" xfId="99"/>
    <cellStyle name="_Costs not in AURORA 2006GRC 6.15.06_Book4" xfId="100"/>
    <cellStyle name="_Costs not in AURORA 2006GRC 6.15.06_Book9" xfId="101"/>
    <cellStyle name="_Costs not in AURORA 2006GRC 6.15.06_Power Costs - Comparison bx Rbtl-Staff-Jt-PC" xfId="102"/>
    <cellStyle name="_Costs not in AURORA 2006GRC 6.15.06_Rebuttal Power Costs" xfId="103"/>
    <cellStyle name="_Costs not in AURORA 2006GRC w gas price updated" xfId="104"/>
    <cellStyle name="_Costs not in AURORA 2006GRC w gas price updated_Book2" xfId="105"/>
    <cellStyle name="_Costs not in AURORA 2006GRC w gas price updated_Electric Rev Req Model (2009 GRC) " xfId="106"/>
    <cellStyle name="_Costs not in AURORA 2006GRC w gas price updated_Rebuttal Power Costs" xfId="107"/>
    <cellStyle name="_Costs not in AURORA 2007 Rate Case" xfId="108"/>
    <cellStyle name="_Costs not in AURORA 2007 Rate Case_(C) WHE Proforma with ITC cash grant 10 Yr Amort_for deferral_102809" xfId="109"/>
    <cellStyle name="_Costs not in AURORA 2007 Rate Case_(C) WHE Proforma with ITC cash grant 10 Yr Amort_for deferral_102809_16.37E Wild Horse Expansion DeferralRevwrkingfile SF" xfId="110"/>
    <cellStyle name="_Costs not in AURORA 2007 Rate Case_(C) WHE Proforma with ITC cash grant 10 Yr Amort_for rebuttal_120709" xfId="111"/>
    <cellStyle name="_Costs not in AURORA 2007 Rate Case_04.07E Wild Horse Wind Expansion" xfId="112"/>
    <cellStyle name="_Costs not in AURORA 2007 Rate Case_04.07E Wild Horse Wind Expansion_16.37E Wild Horse Expansion DeferralRevwrkingfile SF" xfId="113"/>
    <cellStyle name="_Costs not in AURORA 2007 Rate Case_16.37E Wild Horse Expansion DeferralRevwrkingfile SF" xfId="114"/>
    <cellStyle name="_Costs not in AURORA 2007 Rate Case_4 31 Regulatory Assets and Liabilities  7 06- Exhibit D" xfId="115"/>
    <cellStyle name="_Costs not in AURORA 2007 Rate Case_4 32 Regulatory Assets and Liabilities  7 06- Exhibit D" xfId="116"/>
    <cellStyle name="_Costs not in AURORA 2007 Rate Case_Book2" xfId="117"/>
    <cellStyle name="_Costs not in AURORA 2007 Rate Case_Book4" xfId="118"/>
    <cellStyle name="_Costs not in AURORA 2007 Rate Case_Book9" xfId="119"/>
    <cellStyle name="_Costs not in AURORA 2007 Rate Case_Power Costs - Comparison bx Rbtl-Staff-Jt-PC" xfId="120"/>
    <cellStyle name="_Costs not in AURORA 2007 Rate Case_Rebuttal Power Costs" xfId="121"/>
    <cellStyle name="_Costs not in KWI3000 '06Budget" xfId="122"/>
    <cellStyle name="_Costs not in KWI3000 '06Budget_(C) WHE Proforma with ITC cash grant 10 Yr Amort_for deferral_102809" xfId="123"/>
    <cellStyle name="_Costs not in KWI3000 '06Budget_(C) WHE Proforma with ITC cash grant 10 Yr Amort_for deferral_102809_16.37E Wild Horse Expansion DeferralRevwrkingfile SF" xfId="124"/>
    <cellStyle name="_Costs not in KWI3000 '06Budget_(C) WHE Proforma with ITC cash grant 10 Yr Amort_for rebuttal_120709" xfId="125"/>
    <cellStyle name="_Costs not in KWI3000 '06Budget_04.07E Wild Horse Wind Expansion" xfId="126"/>
    <cellStyle name="_Costs not in KWI3000 '06Budget_04.07E Wild Horse Wind Expansion_16.37E Wild Horse Expansion DeferralRevwrkingfile SF" xfId="127"/>
    <cellStyle name="_Costs not in KWI3000 '06Budget_16.37E Wild Horse Expansion DeferralRevwrkingfile SF" xfId="128"/>
    <cellStyle name="_Costs not in KWI3000 '06Budget_4 31 Regulatory Assets and Liabilities  7 06- Exhibit D" xfId="129"/>
    <cellStyle name="_Costs not in KWI3000 '06Budget_4 32 Regulatory Assets and Liabilities  7 06- Exhibit D" xfId="130"/>
    <cellStyle name="_Costs not in KWI3000 '06Budget_Book2" xfId="131"/>
    <cellStyle name="_Costs not in KWI3000 '06Budget_Book4" xfId="132"/>
    <cellStyle name="_Costs not in KWI3000 '06Budget_Book9" xfId="133"/>
    <cellStyle name="_Costs not in KWI3000 '06Budget_Power Costs - Comparison bx Rbtl-Staff-Jt-PC" xfId="134"/>
    <cellStyle name="_Costs not in KWI3000 '06Budget_Rebuttal Power Costs" xfId="135"/>
    <cellStyle name="_DEM-WP (C) Power Cost 2006GRC Order" xfId="136"/>
    <cellStyle name="_DEM-WP (C) Power Cost 2006GRC Order_04 07E Wild Horse Wind Expansion (C) (2)" xfId="137"/>
    <cellStyle name="_DEM-WP (C) Power Cost 2006GRC Order_04 07E Wild Horse Wind Expansion (C) (2)_Electric Rev Req Model (2009 GRC) " xfId="138"/>
    <cellStyle name="_DEM-WP (C) Power Cost 2006GRC Order_16.37E Wild Horse Expansion DeferralRevwrkingfile SF" xfId="139"/>
    <cellStyle name="_DEM-WP (C) Power Cost 2006GRC Order_4 31 Regulatory Assets and Liabilities  7 06- Exhibit D" xfId="140"/>
    <cellStyle name="_DEM-WP (C) Power Cost 2006GRC Order_4 32 Regulatory Assets and Liabilities  7 06- Exhibit D" xfId="141"/>
    <cellStyle name="_DEM-WP (C) Power Cost 2006GRC Order_Book2" xfId="142"/>
    <cellStyle name="_DEM-WP (C) Power Cost 2006GRC Order_Book4" xfId="143"/>
    <cellStyle name="_DEM-WP (C) Power Cost 2006GRC Order_Book9" xfId="144"/>
    <cellStyle name="_DEM-WP (C) Power Cost 2006GRC Order_Power Costs - Comparison bx Rbtl-Staff-Jt-PC" xfId="145"/>
    <cellStyle name="_DEM-WP (C) Power Cost 2006GRC Order_Rebuttal Power Costs" xfId="146"/>
    <cellStyle name="_DEM-WP Revised (HC) Wild Horse 2006GRC" xfId="147"/>
    <cellStyle name="_DEM-WP Revised (HC) Wild Horse 2006GRC_16.37E Wild Horse Expansion DeferralRevwrkingfile SF" xfId="148"/>
    <cellStyle name="_DEM-WP Revised (HC) Wild Horse 2006GRC_Book2" xfId="149"/>
    <cellStyle name="_DEM-WP Revised (HC) Wild Horse 2006GRC_Book4" xfId="150"/>
    <cellStyle name="_DEM-WP Revised (HC) Wild Horse 2006GRC_Electric Rev Req Model (2009 GRC) " xfId="151"/>
    <cellStyle name="_DEM-WP Revised (HC) Wild Horse 2006GRC_Power Costs - Comparison bx Rbtl-Staff-Jt-PC" xfId="152"/>
    <cellStyle name="_DEM-WP Revised (HC) Wild Horse 2006GRC_Rebuttal Power Costs" xfId="153"/>
    <cellStyle name="_DEM-WP(C) Colstrip FOR" xfId="154"/>
    <cellStyle name="_DEM-WP(C) Colstrip FOR_(C) WHE Proforma with ITC cash grant 10 Yr Amort_for rebuttal_120709" xfId="155"/>
    <cellStyle name="_DEM-WP(C) Colstrip FOR_16.37E Wild Horse Expansion DeferralRevwrkingfile SF" xfId="156"/>
    <cellStyle name="_DEM-WP(C) Colstrip FOR_Book2" xfId="157"/>
    <cellStyle name="_DEM-WP(C) Colstrip FOR_Rebuttal Power Costs" xfId="158"/>
    <cellStyle name="_DEM-WP(C) Costs not in AURORA 2006GRC" xfId="159"/>
    <cellStyle name="_DEM-WP(C) Costs not in AURORA 2006GRC_(C) WHE Proforma with ITC cash grant 10 Yr Amort_for deferral_102809" xfId="160"/>
    <cellStyle name="_DEM-WP(C) Costs not in AURORA 2006GRC_(C) WHE Proforma with ITC cash grant 10 Yr Amort_for deferral_102809_16.37E Wild Horse Expansion DeferralRevwrkingfile SF" xfId="161"/>
    <cellStyle name="_DEM-WP(C) Costs not in AURORA 2006GRC_(C) WHE Proforma with ITC cash grant 10 Yr Amort_for rebuttal_120709" xfId="162"/>
    <cellStyle name="_DEM-WP(C) Costs not in AURORA 2006GRC_04.07E Wild Horse Wind Expansion" xfId="163"/>
    <cellStyle name="_DEM-WP(C) Costs not in AURORA 2006GRC_04.07E Wild Horse Wind Expansion_16.37E Wild Horse Expansion DeferralRevwrkingfile SF" xfId="164"/>
    <cellStyle name="_DEM-WP(C) Costs not in AURORA 2006GRC_16.37E Wild Horse Expansion DeferralRevwrkingfile SF" xfId="165"/>
    <cellStyle name="_DEM-WP(C) Costs not in AURORA 2006GRC_4 31 Regulatory Assets and Liabilities  7 06- Exhibit D" xfId="166"/>
    <cellStyle name="_DEM-WP(C) Costs not in AURORA 2006GRC_4 32 Regulatory Assets and Liabilities  7 06- Exhibit D" xfId="167"/>
    <cellStyle name="_DEM-WP(C) Costs not in AURORA 2006GRC_Book2" xfId="168"/>
    <cellStyle name="_DEM-WP(C) Costs not in AURORA 2006GRC_Book4" xfId="169"/>
    <cellStyle name="_DEM-WP(C) Costs not in AURORA 2006GRC_Book9" xfId="170"/>
    <cellStyle name="_DEM-WP(C) Costs not in AURORA 2006GRC_Power Costs - Comparison bx Rbtl-Staff-Jt-PC" xfId="171"/>
    <cellStyle name="_DEM-WP(C) Costs not in AURORA 2006GRC_Rebuttal Power Costs" xfId="172"/>
    <cellStyle name="_DEM-WP(C) Costs not in AURORA 2007GRC" xfId="173"/>
    <cellStyle name="_DEM-WP(C) Costs not in AURORA 2007GRC_16.37E Wild Horse Expansion DeferralRevwrkingfile SF" xfId="174"/>
    <cellStyle name="_DEM-WP(C) Costs not in AURORA 2007GRC_Book2" xfId="175"/>
    <cellStyle name="_DEM-WP(C) Costs not in AURORA 2007GRC_Book4" xfId="176"/>
    <cellStyle name="_DEM-WP(C) Costs not in AURORA 2007GRC_Electric Rev Req Model (2009 GRC) " xfId="177"/>
    <cellStyle name="_DEM-WP(C) Costs not in AURORA 2007GRC_Power Costs - Comparison bx Rbtl-Staff-Jt-PC" xfId="178"/>
    <cellStyle name="_DEM-WP(C) Costs not in AURORA 2007GRC_Rebuttal Power Costs" xfId="179"/>
    <cellStyle name="_DEM-WP(C) Costs not in AURORA 2007PCORC-5.07Update" xfId="180"/>
    <cellStyle name="_DEM-WP(C) Costs not in AURORA 2007PCORC-5.07Update_16.37E Wild Horse Expansion DeferralRevwrkingfile SF" xfId="181"/>
    <cellStyle name="_DEM-WP(C) Costs not in AURORA 2007PCORC-5.07Update_Book2" xfId="182"/>
    <cellStyle name="_DEM-WP(C) Costs not in AURORA 2007PCORC-5.07Update_Book4" xfId="183"/>
    <cellStyle name="_DEM-WP(C) Costs not in AURORA 2007PCORC-5.07Update_DEM-WP(C) Production O&amp;M 2009GRC Rebuttal" xfId="184"/>
    <cellStyle name="_DEM-WP(C) Costs not in AURORA 2007PCORC-5.07Update_DEM-WP(C) Production O&amp;M 2009GRC Rebuttal_Book2" xfId="185"/>
    <cellStyle name="_DEM-WP(C) Costs not in AURORA 2007PCORC-5.07Update_DEM-WP(C) Production O&amp;M 2009GRC Rebuttal_Rebuttal Power Costs" xfId="186"/>
    <cellStyle name="_DEM-WP(C) Costs not in AURORA 2007PCORC-5.07Update_Electric Rev Req Model (2009 GRC) " xfId="187"/>
    <cellStyle name="_DEM-WP(C) Costs not in AURORA 2007PCORC-5.07Update_Power Costs - Comparison bx Rbtl-Staff-Jt-PC" xfId="188"/>
    <cellStyle name="_DEM-WP(C) Costs not in AURORA 2007PCORC-5.07Update_Rebuttal Power Costs" xfId="189"/>
    <cellStyle name="_DEM-WP(C) Prod O&amp;M 2007GRC" xfId="190"/>
    <cellStyle name="_DEM-WP(C) Prod O&amp;M 2007GRC_Book2" xfId="191"/>
    <cellStyle name="_DEM-WP(C) Prod O&amp;M 2007GRC_Rebuttal Power Costs" xfId="192"/>
    <cellStyle name="_DEM-WP(C) Rate Year Sumas by Month Update Corrected" xfId="193"/>
    <cellStyle name="_DEM-WP(C) Sumas Proforma 11.5.07" xfId="194"/>
    <cellStyle name="_DEM-WP(C) Westside Hydro Data_051007" xfId="195"/>
    <cellStyle name="_DEM-WP(C) Westside Hydro Data_051007_16.37E Wild Horse Expansion DeferralRevwrkingfile SF" xfId="196"/>
    <cellStyle name="_DEM-WP(C) Westside Hydro Data_051007_Book2" xfId="197"/>
    <cellStyle name="_DEM-WP(C) Westside Hydro Data_051007_Book4" xfId="198"/>
    <cellStyle name="_DEM-WP(C) Westside Hydro Data_051007_Electric Rev Req Model (2009 GRC) " xfId="199"/>
    <cellStyle name="_DEM-WP(C) Westside Hydro Data_051007_Power Costs - Comparison bx Rbtl-Staff-Jt-PC" xfId="200"/>
    <cellStyle name="_DEM-WP(C) Westside Hydro Data_051007_Rebuttal Power Costs" xfId="201"/>
    <cellStyle name="_x0013__Electric Rev Req Model (2009 GRC) " xfId="202"/>
    <cellStyle name="_Fixed Gas Transport 1 19 09" xfId="203"/>
    <cellStyle name="_Fuel Prices 4-14" xfId="204"/>
    <cellStyle name="_Fuel Prices 4-14_04 07E Wild Horse Wind Expansion (C) (2)" xfId="205"/>
    <cellStyle name="_Fuel Prices 4-14_04 07E Wild Horse Wind Expansion (C) (2)_Electric Rev Req Model (2009 GRC) " xfId="206"/>
    <cellStyle name="_Fuel Prices 4-14_16.37E Wild Horse Expansion DeferralRevwrkingfile SF" xfId="207"/>
    <cellStyle name="_Fuel Prices 4-14_4 31 Regulatory Assets and Liabilities  7 06- Exhibit D" xfId="208"/>
    <cellStyle name="_Fuel Prices 4-14_4 32 Regulatory Assets and Liabilities  7 06- Exhibit D" xfId="209"/>
    <cellStyle name="_Fuel Prices 4-14_Book2" xfId="210"/>
    <cellStyle name="_Fuel Prices 4-14_Book4" xfId="211"/>
    <cellStyle name="_Fuel Prices 4-14_Book9" xfId="212"/>
    <cellStyle name="_Fuel Prices 4-14_Power Costs - Comparison bx Rbtl-Staff-Jt-PC" xfId="213"/>
    <cellStyle name="_Fuel Prices 4-14_Rebuttal Power Costs" xfId="214"/>
    <cellStyle name="_Gas Transportation Charges_2009GRC_120308" xfId="215"/>
    <cellStyle name="_NIM 06 Base Case Current Trends" xfId="216"/>
    <cellStyle name="_NIM 06 Base Case Current Trends_Book2" xfId="217"/>
    <cellStyle name="_NIM 06 Base Case Current Trends_Electric Rev Req Model (2009 GRC) " xfId="218"/>
    <cellStyle name="_NIM 06 Base Case Current Trends_Rebuttal Power Costs" xfId="219"/>
    <cellStyle name="_Portfolio SPlan Base Case.xls Chart 1" xfId="220"/>
    <cellStyle name="_Portfolio SPlan Base Case.xls Chart 1_Book2" xfId="221"/>
    <cellStyle name="_Portfolio SPlan Base Case.xls Chart 1_Electric Rev Req Model (2009 GRC) " xfId="222"/>
    <cellStyle name="_Portfolio SPlan Base Case.xls Chart 1_Rebuttal Power Costs" xfId="223"/>
    <cellStyle name="_Portfolio SPlan Base Case.xls Chart 2" xfId="224"/>
    <cellStyle name="_Portfolio SPlan Base Case.xls Chart 2_Book2" xfId="225"/>
    <cellStyle name="_Portfolio SPlan Base Case.xls Chart 2_Electric Rev Req Model (2009 GRC) " xfId="226"/>
    <cellStyle name="_Portfolio SPlan Base Case.xls Chart 2_Rebuttal Power Costs" xfId="227"/>
    <cellStyle name="_Portfolio SPlan Base Case.xls Chart 3" xfId="228"/>
    <cellStyle name="_Portfolio SPlan Base Case.xls Chart 3_Book2" xfId="229"/>
    <cellStyle name="_Portfolio SPlan Base Case.xls Chart 3_Electric Rev Req Model (2009 GRC) " xfId="230"/>
    <cellStyle name="_Portfolio SPlan Base Case.xls Chart 3_Rebuttal Power Costs" xfId="231"/>
    <cellStyle name="_Power Cost Value Copy 11.30.05 gas 1.09.06 AURORA at 1.10.06" xfId="232"/>
    <cellStyle name="_Power Cost Value Copy 11.30.05 gas 1.09.06 AURORA at 1.10.06_04 07E Wild Horse Wind Expansion (C) (2)" xfId="233"/>
    <cellStyle name="_Power Cost Value Copy 11.30.05 gas 1.09.06 AURORA at 1.10.06_04 07E Wild Horse Wind Expansion (C) (2)_Electric Rev Req Model (2009 GRC) " xfId="234"/>
    <cellStyle name="_Power Cost Value Copy 11.30.05 gas 1.09.06 AURORA at 1.10.06_16.37E Wild Horse Expansion DeferralRevwrkingfile SF" xfId="235"/>
    <cellStyle name="_Power Cost Value Copy 11.30.05 gas 1.09.06 AURORA at 1.10.06_4 31 Regulatory Assets and Liabilities  7 06- Exhibit D" xfId="236"/>
    <cellStyle name="_Power Cost Value Copy 11.30.05 gas 1.09.06 AURORA at 1.10.06_4 32 Regulatory Assets and Liabilities  7 06- Exhibit D" xfId="237"/>
    <cellStyle name="_Power Cost Value Copy 11.30.05 gas 1.09.06 AURORA at 1.10.06_Book2" xfId="238"/>
    <cellStyle name="_Power Cost Value Copy 11.30.05 gas 1.09.06 AURORA at 1.10.06_Book4" xfId="239"/>
    <cellStyle name="_Power Cost Value Copy 11.30.05 gas 1.09.06 AURORA at 1.10.06_Book9" xfId="240"/>
    <cellStyle name="_Power Cost Value Copy 11.30.05 gas 1.09.06 AURORA at 1.10.06_Power Costs - Comparison bx Rbtl-Staff-Jt-PC" xfId="241"/>
    <cellStyle name="_Power Cost Value Copy 11.30.05 gas 1.09.06 AURORA at 1.10.06_Rebuttal Power Costs" xfId="242"/>
    <cellStyle name="_x0013__Rebuttal Power Costs" xfId="243"/>
    <cellStyle name="_Recon to Darrin's 5.11.05 proforma" xfId="244"/>
    <cellStyle name="_Recon to Darrin's 5.11.05 proforma_(C) WHE Proforma with ITC cash grant 10 Yr Amort_for deferral_102809" xfId="245"/>
    <cellStyle name="_Recon to Darrin's 5.11.05 proforma_(C) WHE Proforma with ITC cash grant 10 Yr Amort_for deferral_102809_16.37E Wild Horse Expansion DeferralRevwrkingfile SF" xfId="246"/>
    <cellStyle name="_Recon to Darrin's 5.11.05 proforma_(C) WHE Proforma with ITC cash grant 10 Yr Amort_for rebuttal_120709" xfId="247"/>
    <cellStyle name="_Recon to Darrin's 5.11.05 proforma_04.07E Wild Horse Wind Expansion" xfId="248"/>
    <cellStyle name="_Recon to Darrin's 5.11.05 proforma_04.07E Wild Horse Wind Expansion_16.37E Wild Horse Expansion DeferralRevwrkingfile SF" xfId="249"/>
    <cellStyle name="_Recon to Darrin's 5.11.05 proforma_16.37E Wild Horse Expansion DeferralRevwrkingfile SF" xfId="250"/>
    <cellStyle name="_Recon to Darrin's 5.11.05 proforma_4 31 Regulatory Assets and Liabilities  7 06- Exhibit D" xfId="251"/>
    <cellStyle name="_Recon to Darrin's 5.11.05 proforma_4 32 Regulatory Assets and Liabilities  7 06- Exhibit D" xfId="252"/>
    <cellStyle name="_Recon to Darrin's 5.11.05 proforma_Book2" xfId="253"/>
    <cellStyle name="_Recon to Darrin's 5.11.05 proforma_Book4" xfId="254"/>
    <cellStyle name="_Recon to Darrin's 5.11.05 proforma_Book9" xfId="255"/>
    <cellStyle name="_Recon to Darrin's 5.11.05 proforma_Power Costs - Comparison bx Rbtl-Staff-Jt-PC" xfId="256"/>
    <cellStyle name="_Recon to Darrin's 5.11.05 proforma_Rebuttal Power Costs" xfId="257"/>
    <cellStyle name="_Sumas Proforma - 11-09-07" xfId="258"/>
    <cellStyle name="_Sumas Property Taxes v1" xfId="259"/>
    <cellStyle name="_Tenaska Comparison" xfId="260"/>
    <cellStyle name="_Tenaska Comparison_(C) WHE Proforma with ITC cash grant 10 Yr Amort_for deferral_102809" xfId="261"/>
    <cellStyle name="_Tenaska Comparison_(C) WHE Proforma with ITC cash grant 10 Yr Amort_for deferral_102809_16.37E Wild Horse Expansion DeferralRevwrkingfile SF" xfId="262"/>
    <cellStyle name="_Tenaska Comparison_(C) WHE Proforma with ITC cash grant 10 Yr Amort_for rebuttal_120709" xfId="263"/>
    <cellStyle name="_Tenaska Comparison_04.07E Wild Horse Wind Expansion" xfId="264"/>
    <cellStyle name="_Tenaska Comparison_04.07E Wild Horse Wind Expansion_16.37E Wild Horse Expansion DeferralRevwrkingfile SF" xfId="265"/>
    <cellStyle name="_Tenaska Comparison_16.37E Wild Horse Expansion DeferralRevwrkingfile SF" xfId="266"/>
    <cellStyle name="_Tenaska Comparison_4 31 Regulatory Assets and Liabilities  7 06- Exhibit D" xfId="267"/>
    <cellStyle name="_Tenaska Comparison_4 32 Regulatory Assets and Liabilities  7 06- Exhibit D" xfId="268"/>
    <cellStyle name="_Tenaska Comparison_Book2" xfId="269"/>
    <cellStyle name="_Tenaska Comparison_Book4" xfId="270"/>
    <cellStyle name="_Tenaska Comparison_Book9" xfId="271"/>
    <cellStyle name="_Tenaska Comparison_Power Costs - Comparison bx Rbtl-Staff-Jt-PC" xfId="272"/>
    <cellStyle name="_Tenaska Comparison_Rebuttal Power Costs" xfId="273"/>
    <cellStyle name="_Value Copy 11 30 05 gas 12 09 05 AURORA at 12 14 05" xfId="274"/>
    <cellStyle name="_Value Copy 11 30 05 gas 12 09 05 AURORA at 12 14 05_04 07E Wild Horse Wind Expansion (C) (2)" xfId="275"/>
    <cellStyle name="_Value Copy 11 30 05 gas 12 09 05 AURORA at 12 14 05_04 07E Wild Horse Wind Expansion (C) (2)_Electric Rev Req Model (2009 GRC) " xfId="276"/>
    <cellStyle name="_Value Copy 11 30 05 gas 12 09 05 AURORA at 12 14 05_16.37E Wild Horse Expansion DeferralRevwrkingfile SF" xfId="277"/>
    <cellStyle name="_Value Copy 11 30 05 gas 12 09 05 AURORA at 12 14 05_4 31 Regulatory Assets and Liabilities  7 06- Exhibit D" xfId="278"/>
    <cellStyle name="_Value Copy 11 30 05 gas 12 09 05 AURORA at 12 14 05_4 32 Regulatory Assets and Liabilities  7 06- Exhibit D" xfId="279"/>
    <cellStyle name="_Value Copy 11 30 05 gas 12 09 05 AURORA at 12 14 05_Book2" xfId="280"/>
    <cellStyle name="_Value Copy 11 30 05 gas 12 09 05 AURORA at 12 14 05_Book4" xfId="281"/>
    <cellStyle name="_Value Copy 11 30 05 gas 12 09 05 AURORA at 12 14 05_Book9" xfId="282"/>
    <cellStyle name="_Value Copy 11 30 05 gas 12 09 05 AURORA at 12 14 05_Power Costs - Comparison bx Rbtl-Staff-Jt-PC" xfId="283"/>
    <cellStyle name="_Value Copy 11 30 05 gas 12 09 05 AURORA at 12 14 05_Rebuttal Power Costs" xfId="284"/>
    <cellStyle name="_VC 6.15.06 update on 06GRC power costs.xls Chart 1" xfId="285"/>
    <cellStyle name="_VC 6.15.06 update on 06GRC power costs.xls Chart 1_04 07E Wild Horse Wind Expansion (C) (2)" xfId="286"/>
    <cellStyle name="_VC 6.15.06 update on 06GRC power costs.xls Chart 1_04 07E Wild Horse Wind Expansion (C) (2)_Electric Rev Req Model (2009 GRC) " xfId="287"/>
    <cellStyle name="_VC 6.15.06 update on 06GRC power costs.xls Chart 1_16.37E Wild Horse Expansion DeferralRevwrkingfile SF" xfId="288"/>
    <cellStyle name="_VC 6.15.06 update on 06GRC power costs.xls Chart 1_4 31 Regulatory Assets and Liabilities  7 06- Exhibit D" xfId="289"/>
    <cellStyle name="_VC 6.15.06 update on 06GRC power costs.xls Chart 1_4 32 Regulatory Assets and Liabilities  7 06- Exhibit D" xfId="290"/>
    <cellStyle name="_VC 6.15.06 update on 06GRC power costs.xls Chart 1_Book2" xfId="291"/>
    <cellStyle name="_VC 6.15.06 update on 06GRC power costs.xls Chart 1_Book4" xfId="292"/>
    <cellStyle name="_VC 6.15.06 update on 06GRC power costs.xls Chart 1_Book9" xfId="293"/>
    <cellStyle name="_VC 6.15.06 update on 06GRC power costs.xls Chart 1_Power Costs - Comparison bx Rbtl-Staff-Jt-PC" xfId="294"/>
    <cellStyle name="_VC 6.15.06 update on 06GRC power costs.xls Chart 1_Rebuttal Power Costs" xfId="295"/>
    <cellStyle name="_VC 6.15.06 update on 06GRC power costs.xls Chart 2" xfId="296"/>
    <cellStyle name="_VC 6.15.06 update on 06GRC power costs.xls Chart 2_04 07E Wild Horse Wind Expansion (C) (2)" xfId="297"/>
    <cellStyle name="_VC 6.15.06 update on 06GRC power costs.xls Chart 2_04 07E Wild Horse Wind Expansion (C) (2)_Electric Rev Req Model (2009 GRC) " xfId="298"/>
    <cellStyle name="_VC 6.15.06 update on 06GRC power costs.xls Chart 2_16.37E Wild Horse Expansion DeferralRevwrkingfile SF" xfId="299"/>
    <cellStyle name="_VC 6.15.06 update on 06GRC power costs.xls Chart 2_4 31 Regulatory Assets and Liabilities  7 06- Exhibit D" xfId="300"/>
    <cellStyle name="_VC 6.15.06 update on 06GRC power costs.xls Chart 2_4 32 Regulatory Assets and Liabilities  7 06- Exhibit D" xfId="301"/>
    <cellStyle name="_VC 6.15.06 update on 06GRC power costs.xls Chart 2_Book2" xfId="302"/>
    <cellStyle name="_VC 6.15.06 update on 06GRC power costs.xls Chart 2_Book4" xfId="303"/>
    <cellStyle name="_VC 6.15.06 update on 06GRC power costs.xls Chart 2_Book9" xfId="304"/>
    <cellStyle name="_VC 6.15.06 update on 06GRC power costs.xls Chart 2_Power Costs - Comparison bx Rbtl-Staff-Jt-PC" xfId="305"/>
    <cellStyle name="_VC 6.15.06 update on 06GRC power costs.xls Chart 2_Rebuttal Power Costs" xfId="306"/>
    <cellStyle name="_VC 6.15.06 update on 06GRC power costs.xls Chart 3" xfId="307"/>
    <cellStyle name="_VC 6.15.06 update on 06GRC power costs.xls Chart 3_04 07E Wild Horse Wind Expansion (C) (2)" xfId="308"/>
    <cellStyle name="_VC 6.15.06 update on 06GRC power costs.xls Chart 3_04 07E Wild Horse Wind Expansion (C) (2)_Electric Rev Req Model (2009 GRC) " xfId="309"/>
    <cellStyle name="_VC 6.15.06 update on 06GRC power costs.xls Chart 3_16.37E Wild Horse Expansion DeferralRevwrkingfile SF" xfId="310"/>
    <cellStyle name="_VC 6.15.06 update on 06GRC power costs.xls Chart 3_4 31 Regulatory Assets and Liabilities  7 06- Exhibit D" xfId="311"/>
    <cellStyle name="_VC 6.15.06 update on 06GRC power costs.xls Chart 3_4 32 Regulatory Assets and Liabilities  7 06- Exhibit D" xfId="312"/>
    <cellStyle name="_VC 6.15.06 update on 06GRC power costs.xls Chart 3_Book2" xfId="313"/>
    <cellStyle name="_VC 6.15.06 update on 06GRC power costs.xls Chart 3_Book4" xfId="314"/>
    <cellStyle name="_VC 6.15.06 update on 06GRC power costs.xls Chart 3_Book9" xfId="315"/>
    <cellStyle name="_VC 6.15.06 update on 06GRC power costs.xls Chart 3_Power Costs - Comparison bx Rbtl-Staff-Jt-PC" xfId="316"/>
    <cellStyle name="_VC 6.15.06 update on 06GRC power costs.xls Chart 3_Rebuttal Power Costs" xfId="317"/>
    <cellStyle name="0,0_x000d__x000a_NA_x000d__x000a_" xfId="318"/>
    <cellStyle name="20% - Accent1 2" xfId="319"/>
    <cellStyle name="20% - Accent1 2 2" xfId="320"/>
    <cellStyle name="20% - Accent1 3" xfId="321"/>
    <cellStyle name="20% - Accent2 2" xfId="322"/>
    <cellStyle name="20% - Accent2 2 2" xfId="323"/>
    <cellStyle name="20% - Accent2 3" xfId="324"/>
    <cellStyle name="20% - Accent3 2" xfId="325"/>
    <cellStyle name="20% - Accent3 2 2" xfId="326"/>
    <cellStyle name="20% - Accent3 3" xfId="327"/>
    <cellStyle name="20% - Accent4 2" xfId="328"/>
    <cellStyle name="20% - Accent4 2 2" xfId="329"/>
    <cellStyle name="20% - Accent4 3" xfId="330"/>
    <cellStyle name="20% - Accent5 2" xfId="331"/>
    <cellStyle name="20% - Accent5 2 2" xfId="332"/>
    <cellStyle name="20% - Accent5 3" xfId="333"/>
    <cellStyle name="20% - Accent6 2" xfId="334"/>
    <cellStyle name="20% - Accent6 2 2" xfId="335"/>
    <cellStyle name="20% - Accent6 3" xfId="336"/>
    <cellStyle name="40% - Accent1 2" xfId="337"/>
    <cellStyle name="40% - Accent1 2 2" xfId="338"/>
    <cellStyle name="40% - Accent1 3" xfId="339"/>
    <cellStyle name="40% - Accent2 2" xfId="340"/>
    <cellStyle name="40% - Accent2 2 2" xfId="341"/>
    <cellStyle name="40% - Accent2 3" xfId="342"/>
    <cellStyle name="40% - Accent3 2" xfId="343"/>
    <cellStyle name="40% - Accent3 2 2" xfId="344"/>
    <cellStyle name="40% - Accent3 3" xfId="345"/>
    <cellStyle name="40% - Accent4 2" xfId="346"/>
    <cellStyle name="40% - Accent4 2 2" xfId="347"/>
    <cellStyle name="40% - Accent4 3" xfId="348"/>
    <cellStyle name="40% - Accent5 2" xfId="349"/>
    <cellStyle name="40% - Accent5 2 2" xfId="350"/>
    <cellStyle name="40% - Accent5 3" xfId="351"/>
    <cellStyle name="40% - Accent6 2" xfId="352"/>
    <cellStyle name="40% - Accent6 2 2" xfId="353"/>
    <cellStyle name="40% - Accent6 3" xfId="354"/>
    <cellStyle name="60% - Accent1 2 2" xfId="355"/>
    <cellStyle name="60% - Accent2 2 2" xfId="356"/>
    <cellStyle name="60% - Accent3 2 2" xfId="357"/>
    <cellStyle name="60% - Accent4 2 2" xfId="358"/>
    <cellStyle name="60% - Accent5 2 2" xfId="359"/>
    <cellStyle name="60% - Accent6 2 2" xfId="360"/>
    <cellStyle name="Accent1 2 2" xfId="361"/>
    <cellStyle name="Accent2 2 2" xfId="362"/>
    <cellStyle name="Accent3 2 2" xfId="363"/>
    <cellStyle name="Accent4 2 2" xfId="364"/>
    <cellStyle name="Accent5 2 2" xfId="365"/>
    <cellStyle name="Accent6 2 2" xfId="366"/>
    <cellStyle name="Bad 2 2" xfId="367"/>
    <cellStyle name="Calc Currency (0)" xfId="368"/>
    <cellStyle name="Calculation 2 2" xfId="369"/>
    <cellStyle name="Check Cell 2 2" xfId="370"/>
    <cellStyle name="CheckCell" xfId="371"/>
    <cellStyle name="Comma" xfId="372" builtinId="3"/>
    <cellStyle name="Comma [0] 2" xfId="373"/>
    <cellStyle name="Comma [0] 3" xfId="374"/>
    <cellStyle name="Comma 10" xfId="375"/>
    <cellStyle name="Comma 11" xfId="376"/>
    <cellStyle name="Comma 12" xfId="377"/>
    <cellStyle name="Comma 13" xfId="378"/>
    <cellStyle name="Comma 14" xfId="379"/>
    <cellStyle name="Comma 15" xfId="380"/>
    <cellStyle name="Comma 2" xfId="381"/>
    <cellStyle name="Comma 2 2" xfId="382"/>
    <cellStyle name="Comma 3" xfId="383"/>
    <cellStyle name="Comma 4" xfId="384"/>
    <cellStyle name="Comma 4 2" xfId="385"/>
    <cellStyle name="Comma 5" xfId="386"/>
    <cellStyle name="Comma 6" xfId="387"/>
    <cellStyle name="Comma 7" xfId="388"/>
    <cellStyle name="Comma 72" xfId="580"/>
    <cellStyle name="Comma 8" xfId="389"/>
    <cellStyle name="Comma 9" xfId="390"/>
    <cellStyle name="Comma0" xfId="391"/>
    <cellStyle name="Comma0 - Style2" xfId="392"/>
    <cellStyle name="Comma0 - Style4" xfId="393"/>
    <cellStyle name="Comma0 - Style5" xfId="394"/>
    <cellStyle name="Comma0 2" xfId="395"/>
    <cellStyle name="Comma0 3" xfId="396"/>
    <cellStyle name="Comma0 4" xfId="397"/>
    <cellStyle name="Comma0_00COS Ind Allocators" xfId="398"/>
    <cellStyle name="Comma1 - Style1" xfId="399"/>
    <cellStyle name="Copied" xfId="400"/>
    <cellStyle name="COST1" xfId="401"/>
    <cellStyle name="Curren - Style1" xfId="402"/>
    <cellStyle name="Curren - Style2" xfId="403"/>
    <cellStyle name="Curren - Style5" xfId="404"/>
    <cellStyle name="Curren - Style6" xfId="405"/>
    <cellStyle name="Currency 10" xfId="406"/>
    <cellStyle name="Currency 11" xfId="407"/>
    <cellStyle name="Currency 2" xfId="408"/>
    <cellStyle name="Currency 2 2" xfId="409"/>
    <cellStyle name="Currency 3" xfId="410"/>
    <cellStyle name="Currency 4" xfId="411"/>
    <cellStyle name="Currency 4 2" xfId="412"/>
    <cellStyle name="Currency 5" xfId="413"/>
    <cellStyle name="Currency 6" xfId="414"/>
    <cellStyle name="Currency 7" xfId="415"/>
    <cellStyle name="Currency 8" xfId="416"/>
    <cellStyle name="Currency 9" xfId="417"/>
    <cellStyle name="Currency0" xfId="418"/>
    <cellStyle name="Date" xfId="419"/>
    <cellStyle name="Date 2" xfId="420"/>
    <cellStyle name="Date 3" xfId="421"/>
    <cellStyle name="Date 4" xfId="422"/>
    <cellStyle name="Entered" xfId="423"/>
    <cellStyle name="Euro" xfId="424"/>
    <cellStyle name="Explanatory Text 2 2" xfId="425"/>
    <cellStyle name="Fixed" xfId="426"/>
    <cellStyle name="Fixed3 - Style3" xfId="427"/>
    <cellStyle name="Good 2 2" xfId="428"/>
    <cellStyle name="Grey" xfId="429"/>
    <cellStyle name="Grey 2" xfId="430"/>
    <cellStyle name="Grey 3" xfId="431"/>
    <cellStyle name="Grey 4" xfId="432"/>
    <cellStyle name="Grey_(C) WHE Proforma with ITC cash grant 10 Yr Amort_for deferral_102809" xfId="433"/>
    <cellStyle name="Header1" xfId="434"/>
    <cellStyle name="Header2" xfId="435"/>
    <cellStyle name="Heading 1 2 2" xfId="436"/>
    <cellStyle name="Heading 2 2 2" xfId="437"/>
    <cellStyle name="Heading 3 2 2" xfId="438"/>
    <cellStyle name="Heading 4 2 2" xfId="439"/>
    <cellStyle name="Heading1" xfId="440"/>
    <cellStyle name="Heading2" xfId="441"/>
    <cellStyle name="Input [yellow]" xfId="442"/>
    <cellStyle name="Input [yellow] 2" xfId="443"/>
    <cellStyle name="Input [yellow] 3" xfId="444"/>
    <cellStyle name="Input [yellow] 4" xfId="445"/>
    <cellStyle name="Input [yellow]_(C) WHE Proforma with ITC cash grant 10 Yr Amort_for deferral_102809" xfId="446"/>
    <cellStyle name="Input 2 2" xfId="447"/>
    <cellStyle name="Input Cells" xfId="448"/>
    <cellStyle name="Input Cells Percent" xfId="449"/>
    <cellStyle name="Input Cells_4.34E Mint Farm Deferral" xfId="450"/>
    <cellStyle name="Lines" xfId="451"/>
    <cellStyle name="LINKED" xfId="452"/>
    <cellStyle name="Linked Cell 2 2" xfId="453"/>
    <cellStyle name="modified border" xfId="454"/>
    <cellStyle name="modified border 2" xfId="455"/>
    <cellStyle name="modified border 3" xfId="456"/>
    <cellStyle name="modified border 4" xfId="457"/>
    <cellStyle name="modified border_4.34E Mint Farm Deferral" xfId="458"/>
    <cellStyle name="modified border1" xfId="459"/>
    <cellStyle name="modified border1 2" xfId="460"/>
    <cellStyle name="modified border1 3" xfId="461"/>
    <cellStyle name="modified border1 4" xfId="462"/>
    <cellStyle name="modified border1_4.34E Mint Farm Deferral" xfId="463"/>
    <cellStyle name="Neutral 2 2" xfId="464"/>
    <cellStyle name="no dec" xfId="465"/>
    <cellStyle name="Normal" xfId="0" builtinId="0"/>
    <cellStyle name="Normal - Style1" xfId="466"/>
    <cellStyle name="Normal - Style1 2" xfId="467"/>
    <cellStyle name="Normal - Style1 3" xfId="468"/>
    <cellStyle name="Normal - Style1 4" xfId="469"/>
    <cellStyle name="Normal - Style1_(C) WHE Proforma with ITC cash grant 10 Yr Amort_for deferral_102809" xfId="470"/>
    <cellStyle name="Normal 10" xfId="471"/>
    <cellStyle name="Normal 10 2" xfId="472"/>
    <cellStyle name="Normal 10 3" xfId="473"/>
    <cellStyle name="Normal 10_04.07E Wild Horse Wind Expansion" xfId="474"/>
    <cellStyle name="Normal 11" xfId="475"/>
    <cellStyle name="Normal 12" xfId="476"/>
    <cellStyle name="Normal 13" xfId="477"/>
    <cellStyle name="Normal 14" xfId="478"/>
    <cellStyle name="Normal 15" xfId="479"/>
    <cellStyle name="Normal 16" xfId="480"/>
    <cellStyle name="Normal 17" xfId="481"/>
    <cellStyle name="Normal 18" xfId="482"/>
    <cellStyle name="Normal 19" xfId="483"/>
    <cellStyle name="Normal 2" xfId="484"/>
    <cellStyle name="Normal 2 2" xfId="485"/>
    <cellStyle name="Normal 2 2 2" xfId="486"/>
    <cellStyle name="Normal 2 2 3" xfId="487"/>
    <cellStyle name="Normal 2 3" xfId="488"/>
    <cellStyle name="Normal 2 4" xfId="489"/>
    <cellStyle name="Normal 2 5" xfId="490"/>
    <cellStyle name="Normal 2 6" xfId="491"/>
    <cellStyle name="Normal 2_16.37E Wild Horse Expansion DeferralRevwrkingfile SF" xfId="492"/>
    <cellStyle name="Normal 20" xfId="493"/>
    <cellStyle name="Normal 21" xfId="494"/>
    <cellStyle name="Normal 22" xfId="495"/>
    <cellStyle name="Normal 23" xfId="496"/>
    <cellStyle name="Normal 3" xfId="497"/>
    <cellStyle name="Normal 3 2" xfId="498"/>
    <cellStyle name="Normal 3 3" xfId="499"/>
    <cellStyle name="Normal 4" xfId="500"/>
    <cellStyle name="Normal 4 2" xfId="501"/>
    <cellStyle name="Normal 5" xfId="502"/>
    <cellStyle name="Normal 6" xfId="503"/>
    <cellStyle name="Normal 7" xfId="504"/>
    <cellStyle name="Normal 8" xfId="505"/>
    <cellStyle name="Normal 9" xfId="506"/>
    <cellStyle name="Normal_Hopkins Ridge" xfId="507"/>
    <cellStyle name="Normal_Wild Horse 2006 GRC" xfId="508"/>
    <cellStyle name="Note 2" xfId="509"/>
    <cellStyle name="Note 2 2" xfId="510"/>
    <cellStyle name="Note 3" xfId="511"/>
    <cellStyle name="Note 4" xfId="512"/>
    <cellStyle name="Note 5" xfId="513"/>
    <cellStyle name="Note 6" xfId="514"/>
    <cellStyle name="Note 7" xfId="515"/>
    <cellStyle name="Note 8" xfId="516"/>
    <cellStyle name="Note 9" xfId="517"/>
    <cellStyle name="Output 2 2" xfId="518"/>
    <cellStyle name="Percen - Style1" xfId="519"/>
    <cellStyle name="Percen - Style2" xfId="520"/>
    <cellStyle name="Percen - Style3" xfId="521"/>
    <cellStyle name="Percent" xfId="581" builtinId="5"/>
    <cellStyle name="Percent [2]" xfId="522"/>
    <cellStyle name="Percent 2" xfId="523"/>
    <cellStyle name="Percent 2 2" xfId="524"/>
    <cellStyle name="Percent 3" xfId="525"/>
    <cellStyle name="Percent 4" xfId="526"/>
    <cellStyle name="Percent 4 2" xfId="527"/>
    <cellStyle name="Percent 5" xfId="528"/>
    <cellStyle name="Percent 6" xfId="529"/>
    <cellStyle name="Percent 7" xfId="530"/>
    <cellStyle name="Percent 8" xfId="531"/>
    <cellStyle name="Percent 9" xfId="532"/>
    <cellStyle name="Processing" xfId="533"/>
    <cellStyle name="PSChar" xfId="534"/>
    <cellStyle name="PSDate" xfId="535"/>
    <cellStyle name="PSDec" xfId="536"/>
    <cellStyle name="PSHeading" xfId="537"/>
    <cellStyle name="PSInt" xfId="538"/>
    <cellStyle name="PSSpacer" xfId="539"/>
    <cellStyle name="purple - Style8" xfId="540"/>
    <cellStyle name="RED" xfId="541"/>
    <cellStyle name="Red - Style7" xfId="542"/>
    <cellStyle name="RED_04 07E Wild Horse Wind Expansion (C) (2)" xfId="543"/>
    <cellStyle name="Report" xfId="544"/>
    <cellStyle name="Report Bar" xfId="545"/>
    <cellStyle name="Report Heading" xfId="546"/>
    <cellStyle name="Report Percent" xfId="547"/>
    <cellStyle name="Report Unit Cost" xfId="548"/>
    <cellStyle name="Report_Book2" xfId="549"/>
    <cellStyle name="Reports" xfId="550"/>
    <cellStyle name="Reports Total" xfId="551"/>
    <cellStyle name="Reports Unit Cost Total" xfId="552"/>
    <cellStyle name="Reports_16.37E Wild Horse Expansion DeferralRevwrkingfile SF" xfId="553"/>
    <cellStyle name="RevList" xfId="554"/>
    <cellStyle name="round100" xfId="555"/>
    <cellStyle name="SAPBEXstdData" xfId="556"/>
    <cellStyle name="shade" xfId="557"/>
    <cellStyle name="StmtTtl1" xfId="558"/>
    <cellStyle name="StmtTtl1 2" xfId="559"/>
    <cellStyle name="StmtTtl1 3" xfId="560"/>
    <cellStyle name="StmtTtl1 4" xfId="561"/>
    <cellStyle name="StmtTtl1_(C) WHE Proforma with ITC cash grant 10 Yr Amort_for deferral_102809" xfId="562"/>
    <cellStyle name="StmtTtl2" xfId="563"/>
    <cellStyle name="STYL1 - Style1" xfId="564"/>
    <cellStyle name="Style 1" xfId="565"/>
    <cellStyle name="Style 1 2" xfId="566"/>
    <cellStyle name="Style 1 3" xfId="567"/>
    <cellStyle name="Style 1 4" xfId="568"/>
    <cellStyle name="Style 1 5" xfId="569"/>
    <cellStyle name="Style 1_04.07E Wild Horse Wind Expansion" xfId="570"/>
    <cellStyle name="Subtotal" xfId="571"/>
    <cellStyle name="Sub-total" xfId="572"/>
    <cellStyle name="Title 2 2" xfId="573"/>
    <cellStyle name="Title: Major" xfId="574"/>
    <cellStyle name="Title: Minor" xfId="575"/>
    <cellStyle name="Title: Worksheet" xfId="576"/>
    <cellStyle name="Total 2 2" xfId="577"/>
    <cellStyle name="Total4 - Style4" xfId="578"/>
    <cellStyle name="Warning Text 2 2" xfId="579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06E%20Depr%20Study%20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6E%20TY%20Production%20Ratebase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E"/>
      <sheetName val="Electric"/>
      <sheetName val="Elec Study Rpt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/>
      <sheetData sheetId="1"/>
      <sheetData sheetId="2"/>
      <sheetData sheetId="3">
        <row r="221">
          <cell r="F221">
            <v>4.2800000000000005E-2</v>
          </cell>
          <cell r="G221">
            <v>4.8424185813296612E-2</v>
          </cell>
        </row>
        <row r="253">
          <cell r="F253">
            <v>4.2800000000000005E-2</v>
          </cell>
          <cell r="G253">
            <v>4.7899644167314639E-2</v>
          </cell>
        </row>
        <row r="366">
          <cell r="F366">
            <v>1.9699999999999999E-2</v>
          </cell>
          <cell r="G366">
            <v>2.0398169678875266E-2</v>
          </cell>
        </row>
        <row r="368">
          <cell r="F368">
            <v>3.1099999999999999E-2</v>
          </cell>
          <cell r="G368">
            <v>3.1427873986990325E-2</v>
          </cell>
        </row>
        <row r="370">
          <cell r="F370">
            <v>2.8300000000000002E-2</v>
          </cell>
          <cell r="G370">
            <v>3.7404563906774872E-2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RB TY Lead"/>
      <sheetName val="Prd Plt Sept 2016"/>
      <sheetName val="NOL September 2016"/>
      <sheetName val="DFITAMA"/>
      <sheetName val="Acct 406"/>
      <sheetName val="Acq Adj"/>
      <sheetName val="Colstrip"/>
    </sheetNames>
    <sheetDataSet>
      <sheetData sheetId="0"/>
      <sheetData sheetId="1"/>
      <sheetData sheetId="2"/>
      <sheetData sheetId="3">
        <row r="193">
          <cell r="L193">
            <v>1014725.5625</v>
          </cell>
          <cell r="M193">
            <v>1009839.2916666666</v>
          </cell>
          <cell r="N193">
            <v>1004953.0208333334</v>
          </cell>
          <cell r="O193">
            <v>1000066.75</v>
          </cell>
        </row>
        <row r="194">
          <cell r="D194">
            <v>994804.35416666663</v>
          </cell>
          <cell r="E194">
            <v>989541.95833333337</v>
          </cell>
          <cell r="F194">
            <v>984279.5625</v>
          </cell>
          <cell r="G194">
            <v>979017.16666666663</v>
          </cell>
          <cell r="H194">
            <v>973754.77083333337</v>
          </cell>
          <cell r="I194">
            <v>968492.375</v>
          </cell>
          <cell r="J194">
            <v>963229.97916666663</v>
          </cell>
          <cell r="K194">
            <v>957967.58333333337</v>
          </cell>
          <cell r="L194">
            <v>952705.1875</v>
          </cell>
          <cell r="Q194">
            <v>984138.515625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6" zoomScale="88" zoomScaleNormal="88" workbookViewId="0">
      <selection activeCell="D16" sqref="D16"/>
    </sheetView>
  </sheetViews>
  <sheetFormatPr defaultColWidth="8.88671875" defaultRowHeight="15" customHeight="1"/>
  <cols>
    <col min="1" max="1" width="5.44140625" style="4" bestFit="1" customWidth="1"/>
    <col min="2" max="2" width="58.5546875" style="4" customWidth="1"/>
    <col min="3" max="3" width="7.109375" style="4" bestFit="1" customWidth="1"/>
    <col min="4" max="4" width="13.33203125" style="4" customWidth="1"/>
    <col min="5" max="5" width="14.109375" style="4" customWidth="1"/>
    <col min="6" max="6" width="16.109375" style="4" customWidth="1"/>
    <col min="7" max="8" width="4.33203125" style="4" customWidth="1"/>
    <col min="9" max="9" width="11.44140625" style="4" customWidth="1"/>
    <col min="10" max="16384" width="8.88671875" style="4"/>
  </cols>
  <sheetData>
    <row r="1" spans="1:9" ht="15" customHeight="1">
      <c r="A1" s="11"/>
      <c r="B1" s="11"/>
      <c r="C1" s="11"/>
      <c r="D1" s="11"/>
      <c r="E1" s="11"/>
      <c r="F1" s="11"/>
    </row>
    <row r="2" spans="1:9" ht="15" customHeight="1">
      <c r="A2" s="11"/>
      <c r="B2" s="11"/>
      <c r="C2" s="11"/>
      <c r="D2" s="11"/>
      <c r="E2" s="11"/>
      <c r="F2" s="58"/>
    </row>
    <row r="3" spans="1:9" ht="21.6" thickBot="1">
      <c r="A3" s="12"/>
      <c r="B3" s="43"/>
      <c r="C3" s="11"/>
      <c r="D3" s="11"/>
      <c r="E3" s="11"/>
      <c r="F3" s="58"/>
    </row>
    <row r="4" spans="1:9" ht="15" customHeight="1" thickBot="1">
      <c r="A4" s="11"/>
      <c r="B4" s="11"/>
      <c r="C4" s="11"/>
      <c r="D4" s="11"/>
      <c r="E4" s="11"/>
      <c r="F4" s="59" t="s">
        <v>113</v>
      </c>
    </row>
    <row r="5" spans="1:9" ht="15" customHeight="1">
      <c r="A5" s="99" t="s">
        <v>23</v>
      </c>
      <c r="B5" s="99"/>
      <c r="C5" s="99"/>
      <c r="D5" s="99"/>
      <c r="E5" s="99"/>
      <c r="F5" s="99"/>
    </row>
    <row r="6" spans="1:9" ht="15" customHeight="1">
      <c r="A6" s="13" t="s">
        <v>22</v>
      </c>
      <c r="B6" s="13"/>
      <c r="C6" s="13"/>
      <c r="D6" s="13"/>
      <c r="E6" s="13"/>
      <c r="F6" s="14"/>
    </row>
    <row r="7" spans="1:9" ht="15" customHeight="1">
      <c r="A7" s="13" t="s">
        <v>92</v>
      </c>
      <c r="B7" s="13"/>
      <c r="C7" s="13"/>
      <c r="D7" s="13"/>
      <c r="E7" s="13"/>
      <c r="F7" s="15"/>
    </row>
    <row r="8" spans="1:9" ht="15" customHeight="1">
      <c r="A8" s="13" t="s">
        <v>52</v>
      </c>
      <c r="B8" s="13"/>
      <c r="C8" s="13"/>
      <c r="D8" s="13"/>
      <c r="E8" s="13"/>
      <c r="F8" s="15"/>
    </row>
    <row r="9" spans="1:9" ht="15" customHeight="1">
      <c r="A9" s="13"/>
      <c r="B9" s="13"/>
      <c r="C9" s="13"/>
      <c r="D9" s="13"/>
      <c r="E9" s="13"/>
      <c r="F9" s="15"/>
    </row>
    <row r="10" spans="1:9" ht="15" customHeight="1">
      <c r="A10" s="16"/>
      <c r="B10" s="17"/>
      <c r="C10" s="17"/>
      <c r="D10" s="16"/>
      <c r="E10" s="18"/>
      <c r="F10" s="16"/>
    </row>
    <row r="11" spans="1:9" ht="15" customHeight="1">
      <c r="A11" s="19" t="s">
        <v>21</v>
      </c>
      <c r="B11" s="16"/>
      <c r="C11" s="16"/>
      <c r="D11" s="100"/>
      <c r="E11" s="100"/>
      <c r="F11" s="100"/>
    </row>
    <row r="12" spans="1:9" ht="15" customHeight="1">
      <c r="A12" s="20" t="s">
        <v>20</v>
      </c>
      <c r="B12" s="21" t="s">
        <v>19</v>
      </c>
      <c r="C12" s="21"/>
      <c r="D12" s="20" t="s">
        <v>18</v>
      </c>
      <c r="E12" s="20" t="s">
        <v>38</v>
      </c>
      <c r="F12" s="20" t="s">
        <v>17</v>
      </c>
    </row>
    <row r="13" spans="1:9" ht="15" customHeight="1">
      <c r="A13" s="22"/>
      <c r="B13" s="22"/>
      <c r="C13" s="22"/>
      <c r="D13" s="22"/>
      <c r="E13" s="22"/>
      <c r="F13" s="22"/>
    </row>
    <row r="14" spans="1:9" ht="15" customHeight="1">
      <c r="A14" s="18">
        <v>1</v>
      </c>
      <c r="B14" s="23" t="s">
        <v>16</v>
      </c>
      <c r="C14" s="23"/>
      <c r="D14" s="22"/>
      <c r="E14" s="22"/>
      <c r="F14" s="22"/>
    </row>
    <row r="15" spans="1:9" ht="15" customHeight="1">
      <c r="A15" s="18">
        <f t="shared" ref="A15:A31" si="0">A14+1</f>
        <v>2</v>
      </c>
      <c r="B15" s="23" t="s">
        <v>15</v>
      </c>
      <c r="C15" s="23"/>
      <c r="D15" s="11"/>
      <c r="E15" s="24"/>
      <c r="F15" s="11"/>
    </row>
    <row r="16" spans="1:9" ht="15" customHeight="1">
      <c r="A16" s="18">
        <f t="shared" si="0"/>
        <v>3</v>
      </c>
      <c r="B16" s="25" t="s">
        <v>14</v>
      </c>
      <c r="C16" s="25"/>
      <c r="D16" s="56">
        <f>'WH Solar Balance SEpt 16'!O18</f>
        <v>4539303</v>
      </c>
      <c r="E16" s="10">
        <v>0</v>
      </c>
      <c r="F16" s="56">
        <f>E16-D16</f>
        <v>-4539303</v>
      </c>
      <c r="I16" s="35"/>
    </row>
    <row r="17" spans="1:12" ht="15" customHeight="1">
      <c r="A17" s="18">
        <f t="shared" si="0"/>
        <v>4</v>
      </c>
      <c r="B17" s="25" t="s">
        <v>110</v>
      </c>
      <c r="C17" s="25"/>
      <c r="D17" s="56">
        <f>'WH Solar Balance SEpt 16'!O26</f>
        <v>-1578037</v>
      </c>
      <c r="E17" s="10">
        <v>0</v>
      </c>
      <c r="F17" s="56">
        <f>E17-D17</f>
        <v>1578037</v>
      </c>
      <c r="I17" s="35"/>
    </row>
    <row r="18" spans="1:12" ht="15" customHeight="1">
      <c r="A18" s="18">
        <f t="shared" si="0"/>
        <v>5</v>
      </c>
      <c r="B18" s="25" t="s">
        <v>111</v>
      </c>
      <c r="C18" s="25"/>
      <c r="D18" s="56">
        <f>-D27/2</f>
        <v>-11978.689327298343</v>
      </c>
      <c r="E18" s="10"/>
      <c r="F18" s="56">
        <f>E18-D18</f>
        <v>11978.689327298343</v>
      </c>
      <c r="I18" s="35"/>
    </row>
    <row r="19" spans="1:12" ht="15" customHeight="1">
      <c r="A19" s="18">
        <f t="shared" si="0"/>
        <v>6</v>
      </c>
      <c r="B19" s="25" t="s">
        <v>13</v>
      </c>
      <c r="C19" s="25"/>
      <c r="D19" s="56">
        <f ca="1">-'WH deferred Tax Sept 2016'!Z13</f>
        <v>-984138.515625</v>
      </c>
      <c r="E19" s="10">
        <v>0</v>
      </c>
      <c r="F19" s="56">
        <f ca="1">E19-D19</f>
        <v>984138.515625</v>
      </c>
      <c r="I19" s="90"/>
      <c r="J19" s="53"/>
      <c r="K19" s="53"/>
      <c r="L19" s="54"/>
    </row>
    <row r="20" spans="1:12" ht="15" customHeight="1">
      <c r="A20" s="18">
        <f t="shared" si="0"/>
        <v>7</v>
      </c>
      <c r="B20" s="25" t="s">
        <v>112</v>
      </c>
      <c r="C20" s="25"/>
      <c r="D20" s="56">
        <f>-D18*C32</f>
        <v>4192.5412645544202</v>
      </c>
      <c r="E20" s="10"/>
      <c r="F20" s="56">
        <f>E20-D20</f>
        <v>-4192.5412645544202</v>
      </c>
      <c r="I20" s="90"/>
      <c r="J20" s="53"/>
      <c r="K20" s="53"/>
      <c r="L20" s="54"/>
    </row>
    <row r="21" spans="1:12" ht="15" customHeight="1" thickBot="1">
      <c r="A21" s="18">
        <f t="shared" si="0"/>
        <v>8</v>
      </c>
      <c r="B21" s="26" t="s">
        <v>12</v>
      </c>
      <c r="C21" s="26"/>
      <c r="D21" s="48">
        <f ca="1">SUM(D16:D20)</f>
        <v>1969341.3363122563</v>
      </c>
      <c r="E21" s="48">
        <f t="shared" ref="E21:F21" si="1">SUM(E16:E20)</f>
        <v>0</v>
      </c>
      <c r="F21" s="48">
        <f t="shared" ca="1" si="1"/>
        <v>-1969341.3363122563</v>
      </c>
      <c r="I21" s="56"/>
      <c r="J21" s="10"/>
      <c r="K21" s="10"/>
    </row>
    <row r="22" spans="1:12" ht="15" customHeight="1" thickTop="1">
      <c r="A22" s="18">
        <f t="shared" si="0"/>
        <v>9</v>
      </c>
      <c r="B22" s="27"/>
      <c r="C22" s="27"/>
      <c r="I22" s="10"/>
      <c r="J22" s="10"/>
      <c r="K22" s="10"/>
    </row>
    <row r="23" spans="1:12" ht="15" customHeight="1">
      <c r="A23" s="18">
        <f t="shared" si="0"/>
        <v>10</v>
      </c>
    </row>
    <row r="24" spans="1:12" ht="15" customHeight="1">
      <c r="A24" s="18">
        <f t="shared" si="0"/>
        <v>11</v>
      </c>
      <c r="B24" s="27"/>
      <c r="C24" s="27"/>
    </row>
    <row r="25" spans="1:12" ht="15" customHeight="1">
      <c r="A25" s="18">
        <f t="shared" si="0"/>
        <v>12</v>
      </c>
      <c r="B25" s="23" t="s">
        <v>11</v>
      </c>
      <c r="C25" s="23"/>
    </row>
    <row r="26" spans="1:12" ht="15" customHeight="1">
      <c r="A26" s="18">
        <f t="shared" si="0"/>
        <v>13</v>
      </c>
      <c r="B26" s="28" t="s">
        <v>101</v>
      </c>
      <c r="C26" s="28"/>
      <c r="D26" s="56">
        <f>'WH Solar Balance SEpt 16'!O34</f>
        <v>188181.00000000003</v>
      </c>
      <c r="E26" s="10">
        <v>0</v>
      </c>
      <c r="F26" s="56">
        <f>E26-D26</f>
        <v>-188181.00000000003</v>
      </c>
    </row>
    <row r="27" spans="1:12" ht="15" customHeight="1">
      <c r="A27" s="18">
        <f t="shared" si="0"/>
        <v>14</v>
      </c>
      <c r="B27" s="80" t="s">
        <v>107</v>
      </c>
      <c r="C27" s="29"/>
      <c r="D27" s="56">
        <f>'WH Solar Balance SEpt 16'!L9</f>
        <v>23957.378654596687</v>
      </c>
      <c r="E27" s="10"/>
      <c r="F27" s="56">
        <f>E27-D27</f>
        <v>-23957.378654596687</v>
      </c>
    </row>
    <row r="28" spans="1:12" ht="15" customHeight="1" thickBot="1">
      <c r="A28" s="18">
        <f t="shared" si="0"/>
        <v>15</v>
      </c>
      <c r="B28" s="31" t="s">
        <v>10</v>
      </c>
      <c r="C28" s="27"/>
      <c r="D28" s="57">
        <f>SUM(D26:D27)</f>
        <v>212138.37865459672</v>
      </c>
      <c r="E28" s="57">
        <f>E35+E26</f>
        <v>0</v>
      </c>
      <c r="F28" s="57">
        <f>SUM(F26:F27)</f>
        <v>-212138.37865459672</v>
      </c>
    </row>
    <row r="29" spans="1:12" ht="15" customHeight="1" thickTop="1">
      <c r="A29" s="18">
        <f t="shared" si="0"/>
        <v>16</v>
      </c>
      <c r="B29" s="31"/>
      <c r="C29" s="27"/>
      <c r="D29" s="30"/>
      <c r="E29" s="30"/>
      <c r="F29" s="30"/>
    </row>
    <row r="30" spans="1:12" ht="15" customHeight="1">
      <c r="A30" s="18">
        <f t="shared" si="0"/>
        <v>17</v>
      </c>
      <c r="B30" s="31" t="s">
        <v>39</v>
      </c>
      <c r="C30" s="93">
        <v>0.21</v>
      </c>
      <c r="D30" s="94"/>
      <c r="E30" s="93"/>
      <c r="F30" s="95">
        <f>-F28*C30</f>
        <v>44549.059517465306</v>
      </c>
    </row>
    <row r="31" spans="1:12" ht="15" customHeight="1" thickBot="1">
      <c r="A31" s="18">
        <f t="shared" si="0"/>
        <v>18</v>
      </c>
      <c r="B31" s="31" t="s">
        <v>40</v>
      </c>
      <c r="C31" s="96"/>
      <c r="D31" s="97"/>
      <c r="E31" s="97"/>
      <c r="F31" s="98">
        <f>-F28-F30</f>
        <v>167589.31913713142</v>
      </c>
    </row>
    <row r="32" spans="1:12" ht="15" customHeight="1" thickTop="1">
      <c r="A32" s="18"/>
      <c r="B32" s="11" t="s">
        <v>114</v>
      </c>
      <c r="C32" s="92">
        <v>0.35</v>
      </c>
      <c r="D32" s="11"/>
      <c r="E32" s="24"/>
      <c r="F32" s="11"/>
    </row>
    <row r="33" spans="1:8" ht="15" customHeight="1">
      <c r="A33" s="18"/>
      <c r="B33" s="11"/>
      <c r="C33" s="11"/>
      <c r="D33" s="11"/>
      <c r="E33" s="24"/>
      <c r="F33" s="11"/>
    </row>
    <row r="34" spans="1:8" ht="15" customHeight="1">
      <c r="A34" s="18"/>
      <c r="B34" s="32"/>
      <c r="C34" s="11"/>
      <c r="D34" s="11"/>
      <c r="E34" s="24"/>
      <c r="F34" s="33"/>
    </row>
    <row r="35" spans="1:8" ht="15" customHeight="1">
      <c r="A35" s="8"/>
      <c r="B35" s="36"/>
      <c r="C35" s="37"/>
      <c r="D35" s="35"/>
      <c r="F35" s="35"/>
    </row>
    <row r="36" spans="1:8" ht="15" customHeight="1">
      <c r="A36" s="8"/>
      <c r="B36" s="7"/>
      <c r="E36" s="10"/>
      <c r="F36" s="5"/>
    </row>
    <row r="37" spans="1:8" ht="15" customHeight="1">
      <c r="A37" s="8"/>
      <c r="B37" s="7"/>
      <c r="E37" s="10"/>
      <c r="F37" s="5"/>
    </row>
    <row r="38" spans="1:8" ht="15" customHeight="1">
      <c r="A38" s="8"/>
      <c r="B38" s="7"/>
      <c r="F38" s="5"/>
    </row>
    <row r="39" spans="1:8" ht="15" customHeight="1">
      <c r="A39" s="8"/>
      <c r="B39" s="7"/>
      <c r="F39" s="5"/>
      <c r="G39" s="9"/>
      <c r="H39" s="9"/>
    </row>
    <row r="40" spans="1:8" ht="15" customHeight="1">
      <c r="A40" s="8"/>
      <c r="B40" s="7"/>
      <c r="F40" s="5"/>
      <c r="G40" s="6"/>
      <c r="H40" s="6"/>
    </row>
    <row r="41" spans="1:8" ht="15" customHeight="1">
      <c r="A41" s="8"/>
      <c r="B41" s="7"/>
      <c r="F41" s="5"/>
      <c r="G41" s="9"/>
      <c r="H41" s="9"/>
    </row>
    <row r="42" spans="1:8" ht="15" customHeight="1">
      <c r="A42" s="8"/>
      <c r="B42" s="7"/>
      <c r="F42" s="5"/>
      <c r="G42" s="9"/>
      <c r="H42" s="9"/>
    </row>
    <row r="43" spans="1:8" ht="15" customHeight="1">
      <c r="A43" s="8"/>
      <c r="B43" s="7"/>
      <c r="F43" s="5"/>
      <c r="G43" s="6"/>
      <c r="H43" s="6"/>
    </row>
    <row r="44" spans="1:8" ht="15" customHeight="1">
      <c r="F44" s="5"/>
    </row>
    <row r="45" spans="1:8" ht="15" customHeight="1">
      <c r="F45" s="5"/>
    </row>
  </sheetData>
  <mergeCells count="2">
    <mergeCell ref="A5:F5"/>
    <mergeCell ref="D11:F11"/>
  </mergeCells>
  <pageMargins left="0.75" right="0.75" top="1" bottom="1" header="0.5" footer="0.5"/>
  <pageSetup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5"/>
  <sheetViews>
    <sheetView topLeftCell="A14" workbookViewId="0">
      <pane xSplit="3" topLeftCell="F1" activePane="topRight" state="frozen"/>
      <selection activeCell="O36" sqref="O36"/>
      <selection pane="topRight" activeCell="O36" sqref="O36"/>
    </sheetView>
  </sheetViews>
  <sheetFormatPr defaultRowHeight="13.2"/>
  <cols>
    <col min="1" max="1" width="33.6640625" customWidth="1"/>
    <col min="2" max="2" width="12.33203125" bestFit="1" customWidth="1"/>
    <col min="3" max="3" width="11.44140625" bestFit="1" customWidth="1"/>
    <col min="4" max="4" width="12.109375" bestFit="1" customWidth="1"/>
    <col min="5" max="5" width="11.44140625" bestFit="1" customWidth="1"/>
    <col min="6" max="6" width="11" customWidth="1"/>
    <col min="7" max="7" width="11.109375" bestFit="1" customWidth="1"/>
    <col min="8" max="8" width="13.6640625" customWidth="1"/>
    <col min="9" max="9" width="12.88671875" customWidth="1"/>
    <col min="10" max="10" width="12.33203125" customWidth="1"/>
    <col min="11" max="13" width="10.88671875" bestFit="1" customWidth="1"/>
    <col min="14" max="14" width="10.88671875" customWidth="1"/>
    <col min="15" max="15" width="11.33203125" customWidth="1"/>
    <col min="16" max="16" width="10.33203125" bestFit="1" customWidth="1"/>
    <col min="17" max="17" width="14" bestFit="1" customWidth="1"/>
    <col min="18" max="20" width="10.88671875" bestFit="1" customWidth="1"/>
    <col min="21" max="21" width="10.44140625" bestFit="1" customWidth="1"/>
    <col min="22" max="22" width="12.88671875" bestFit="1" customWidth="1"/>
    <col min="23" max="23" width="11.33203125" bestFit="1" customWidth="1"/>
    <col min="24" max="27" width="10.88671875" bestFit="1" customWidth="1"/>
    <col min="28" max="28" width="10.33203125" bestFit="1" customWidth="1"/>
  </cols>
  <sheetData>
    <row r="2" spans="1:21" s="89" customFormat="1" ht="26.4">
      <c r="C2" s="101" t="s">
        <v>55</v>
      </c>
      <c r="D2" s="101"/>
      <c r="E2" s="101"/>
      <c r="F2" s="89" t="s">
        <v>104</v>
      </c>
      <c r="G2" s="89" t="s">
        <v>105</v>
      </c>
      <c r="H2" s="89" t="s">
        <v>108</v>
      </c>
      <c r="I2" s="89" t="s">
        <v>109</v>
      </c>
      <c r="J2" s="89" t="s">
        <v>102</v>
      </c>
      <c r="K2" s="89" t="s">
        <v>109</v>
      </c>
      <c r="L2" s="89" t="s">
        <v>102</v>
      </c>
    </row>
    <row r="3" spans="1:21">
      <c r="A3" t="s">
        <v>54</v>
      </c>
      <c r="C3" t="s">
        <v>29</v>
      </c>
      <c r="D3" t="s">
        <v>30</v>
      </c>
      <c r="E3" t="s">
        <v>31</v>
      </c>
      <c r="F3" s="79" t="s">
        <v>103</v>
      </c>
      <c r="G3" s="79"/>
      <c r="H3" t="s">
        <v>106</v>
      </c>
      <c r="I3" s="83" t="s">
        <v>30</v>
      </c>
      <c r="J3" s="84"/>
      <c r="K3" s="83" t="s">
        <v>31</v>
      </c>
      <c r="L3" s="84"/>
    </row>
    <row r="4" spans="1:21">
      <c r="A4" t="s">
        <v>24</v>
      </c>
      <c r="C4" s="34">
        <f>O13</f>
        <v>3130666</v>
      </c>
      <c r="D4" s="34">
        <f>O21</f>
        <v>-1076193</v>
      </c>
      <c r="E4" s="34">
        <f>O29</f>
        <v>133992.48000000004</v>
      </c>
      <c r="F4" s="81">
        <f>[1]Electric!$F$221</f>
        <v>4.2800000000000005E-2</v>
      </c>
      <c r="G4" s="81">
        <f>[1]Electric!$G$221</f>
        <v>4.8424185813296612E-2</v>
      </c>
      <c r="H4" s="82">
        <f>+G4/F4</f>
        <v>1.1314062105910423</v>
      </c>
      <c r="I4" s="85">
        <f>+D4*H4</f>
        <v>-1217611.4439946057</v>
      </c>
      <c r="J4" s="86">
        <f>+I4-D4</f>
        <v>-141418.44399460568</v>
      </c>
      <c r="K4" s="85">
        <f>+E4*H4</f>
        <v>151599.92404449606</v>
      </c>
      <c r="L4" s="86">
        <f t="shared" ref="L4:L9" si="0">+K4-E4</f>
        <v>17607.44404449602</v>
      </c>
    </row>
    <row r="5" spans="1:21">
      <c r="A5" t="s">
        <v>25</v>
      </c>
      <c r="C5" s="34">
        <f>O14</f>
        <v>1081259</v>
      </c>
      <c r="D5" s="34">
        <f>O22</f>
        <v>-443342</v>
      </c>
      <c r="E5" s="34">
        <f>O30</f>
        <v>46277.879999999983</v>
      </c>
      <c r="F5" s="81">
        <f>[1]Electric!$F$253</f>
        <v>4.2800000000000005E-2</v>
      </c>
      <c r="G5" s="81">
        <f>[1]Electric!$G$253</f>
        <v>4.7899644167314639E-2</v>
      </c>
      <c r="H5" s="82">
        <f t="shared" ref="H5:H8" si="1">+G5/F5</f>
        <v>1.119150564656884</v>
      </c>
      <c r="I5" s="85">
        <f t="shared" ref="I5:I8" si="2">+D5*H5</f>
        <v>-496166.44963611226</v>
      </c>
      <c r="J5" s="86">
        <f t="shared" ref="J5:J8" si="3">+I5-D5</f>
        <v>-52824.449636112258</v>
      </c>
      <c r="K5" s="85">
        <f>+E5*H5</f>
        <v>51791.915533123502</v>
      </c>
      <c r="L5" s="86">
        <f t="shared" si="0"/>
        <v>5514.0355331235187</v>
      </c>
    </row>
    <row r="6" spans="1:21">
      <c r="A6" t="s">
        <v>26</v>
      </c>
      <c r="C6" s="34">
        <f>O15</f>
        <v>180679</v>
      </c>
      <c r="D6" s="34">
        <f>O23</f>
        <v>-31961</v>
      </c>
      <c r="E6" s="34">
        <f>O31</f>
        <v>3559.3200000000011</v>
      </c>
      <c r="F6" s="81">
        <f>[1]Electric!$F$366</f>
        <v>1.9699999999999999E-2</v>
      </c>
      <c r="G6" s="81">
        <f>[1]Electric!$G$366</f>
        <v>2.0398169678875266E-2</v>
      </c>
      <c r="H6" s="82">
        <f t="shared" si="1"/>
        <v>1.0354400852220949</v>
      </c>
      <c r="I6" s="85">
        <f t="shared" si="2"/>
        <v>-33093.700563783372</v>
      </c>
      <c r="J6" s="86">
        <f t="shared" si="3"/>
        <v>-1132.7005637833718</v>
      </c>
      <c r="K6" s="85">
        <f>+E6*H6</f>
        <v>3685.4626041327078</v>
      </c>
      <c r="L6" s="86">
        <f t="shared" si="0"/>
        <v>126.14260413270677</v>
      </c>
    </row>
    <row r="7" spans="1:21">
      <c r="A7" t="s">
        <v>28</v>
      </c>
      <c r="C7" s="34">
        <f>O16</f>
        <v>71312</v>
      </c>
      <c r="D7" s="34">
        <f>O24</f>
        <v>-15181</v>
      </c>
      <c r="E7" s="34">
        <f>O32</f>
        <v>2217.8399999999997</v>
      </c>
      <c r="F7" s="81">
        <f>[1]Electric!F368</f>
        <v>3.1099999999999999E-2</v>
      </c>
      <c r="G7" s="81">
        <f>[1]Electric!G368</f>
        <v>3.1427873986990325E-2</v>
      </c>
      <c r="H7" s="82">
        <f t="shared" si="1"/>
        <v>1.0105425719289494</v>
      </c>
      <c r="I7" s="85">
        <f t="shared" si="2"/>
        <v>-15341.04678445338</v>
      </c>
      <c r="J7" s="86">
        <f t="shared" si="3"/>
        <v>-160.04678445337959</v>
      </c>
      <c r="K7" s="85">
        <f>+E7*H7</f>
        <v>2241.2217377269008</v>
      </c>
      <c r="L7" s="86">
        <f t="shared" si="0"/>
        <v>23.381737726901065</v>
      </c>
    </row>
    <row r="8" spans="1:21" ht="17.399999999999999">
      <c r="A8" t="s">
        <v>27</v>
      </c>
      <c r="C8" s="34">
        <f>O17</f>
        <v>75387</v>
      </c>
      <c r="D8" s="34">
        <f>O25</f>
        <v>-11360</v>
      </c>
      <c r="E8" s="34">
        <f>O33</f>
        <v>2133.48</v>
      </c>
      <c r="F8" s="81">
        <f>[1]Electric!$F$370</f>
        <v>2.8300000000000002E-2</v>
      </c>
      <c r="G8" s="81">
        <f>[1]Electric!$G$370</f>
        <v>3.7404563906774872E-2</v>
      </c>
      <c r="H8" s="82">
        <f t="shared" si="1"/>
        <v>1.3217160391086527</v>
      </c>
      <c r="I8" s="85">
        <f t="shared" si="2"/>
        <v>-15014.694204274294</v>
      </c>
      <c r="J8" s="86">
        <f t="shared" si="3"/>
        <v>-3654.694204274294</v>
      </c>
      <c r="K8" s="85">
        <f>+E8*H8</f>
        <v>2819.8547351175284</v>
      </c>
      <c r="L8" s="86">
        <f t="shared" si="0"/>
        <v>686.37473511752842</v>
      </c>
      <c r="U8" s="41"/>
    </row>
    <row r="9" spans="1:21">
      <c r="A9" t="s">
        <v>5</v>
      </c>
      <c r="C9" s="34">
        <f>SUM(C4:C8)</f>
        <v>4539303</v>
      </c>
      <c r="D9" s="34">
        <f>SUM(D4:D8)</f>
        <v>-1578037</v>
      </c>
      <c r="E9" s="34">
        <f>SUM(E4:E8)</f>
        <v>188181.00000000003</v>
      </c>
      <c r="H9" s="82"/>
      <c r="I9" s="87">
        <f>SUM(I4:I8)</f>
        <v>-1777227.3351832288</v>
      </c>
      <c r="J9" s="88">
        <f>+I9-D9</f>
        <v>-199190.33518322883</v>
      </c>
      <c r="K9" s="87">
        <f>SUM(K4:K8)</f>
        <v>212138.37865459672</v>
      </c>
      <c r="L9" s="88">
        <f t="shared" si="0"/>
        <v>23957.378654596687</v>
      </c>
    </row>
    <row r="10" spans="1:21">
      <c r="H10" s="82"/>
    </row>
    <row r="11" spans="1:21" ht="32.25" customHeight="1">
      <c r="B11" s="60">
        <v>42248</v>
      </c>
      <c r="C11" s="60">
        <v>42278</v>
      </c>
      <c r="D11" s="60">
        <v>42309</v>
      </c>
      <c r="E11" s="60">
        <v>42339</v>
      </c>
      <c r="F11" s="60">
        <v>42370</v>
      </c>
      <c r="G11" s="60">
        <v>42401</v>
      </c>
      <c r="H11" s="60">
        <v>42430</v>
      </c>
      <c r="I11" s="60">
        <v>42461</v>
      </c>
      <c r="J11" s="60">
        <v>42491</v>
      </c>
      <c r="K11" s="60">
        <v>42522</v>
      </c>
      <c r="L11" s="60">
        <v>42552</v>
      </c>
      <c r="M11" s="60">
        <v>42583</v>
      </c>
      <c r="N11" s="60">
        <v>42614</v>
      </c>
      <c r="O11" s="77" t="s">
        <v>91</v>
      </c>
    </row>
    <row r="12" spans="1:21">
      <c r="A12" s="38" t="s">
        <v>35</v>
      </c>
      <c r="B12" s="47"/>
    </row>
    <row r="13" spans="1:21">
      <c r="A13" t="s">
        <v>0</v>
      </c>
      <c r="B13" s="45">
        <f>'Sept 16 PP Report'!C4*1000</f>
        <v>3131000</v>
      </c>
      <c r="C13" s="45">
        <f>'Sept 16 PP Report'!D4*1000</f>
        <v>3131000</v>
      </c>
      <c r="D13" s="45">
        <f>'Sept 16 PP Report'!E4*1000</f>
        <v>3131000</v>
      </c>
      <c r="E13" s="45">
        <f>'Sept 16 PP Report'!F4*1000</f>
        <v>3131000</v>
      </c>
      <c r="F13" s="45">
        <f>'Sept 16 PP Report'!G4*1000</f>
        <v>3131000</v>
      </c>
      <c r="G13" s="45">
        <f>'Sept 16 PP Report'!H4*1000</f>
        <v>3131000</v>
      </c>
      <c r="H13" s="45">
        <f>'Sept 16 PP Report'!I4*1000</f>
        <v>3131000</v>
      </c>
      <c r="I13" s="45">
        <f>'Sept 16 PP Report'!J4*1000</f>
        <v>3131000</v>
      </c>
      <c r="J13" s="45">
        <f>'Sept 16 PP Report'!K4*1000</f>
        <v>3131000</v>
      </c>
      <c r="K13" s="45">
        <f>'Sept 16 PP Report'!L4*1000</f>
        <v>3131000</v>
      </c>
      <c r="L13" s="45">
        <f>'Sept 16 PP Report'!M4*1000</f>
        <v>3131000</v>
      </c>
      <c r="M13" s="45">
        <f>'Sept 16 PP Report'!N4*1000</f>
        <v>3131000</v>
      </c>
      <c r="N13" s="45">
        <f>'Sept 16 PP Report'!O4*1000</f>
        <v>3131000</v>
      </c>
      <c r="O13" s="45">
        <f>'Sept 16 PP Report'!P4</f>
        <v>3130666</v>
      </c>
    </row>
    <row r="14" spans="1:21">
      <c r="A14" t="s">
        <v>2</v>
      </c>
      <c r="B14" s="45">
        <f>'Sept 16 PP Report'!C5*1000</f>
        <v>1081000</v>
      </c>
      <c r="C14" s="45">
        <f>'Sept 16 PP Report'!D5*1000</f>
        <v>1081000</v>
      </c>
      <c r="D14" s="45">
        <f>'Sept 16 PP Report'!E5*1000</f>
        <v>1081000</v>
      </c>
      <c r="E14" s="45">
        <f>'Sept 16 PP Report'!F5*1000</f>
        <v>1081000</v>
      </c>
      <c r="F14" s="45">
        <f>'Sept 16 PP Report'!G5*1000</f>
        <v>1081000</v>
      </c>
      <c r="G14" s="45">
        <f>'Sept 16 PP Report'!H5*1000</f>
        <v>1081000</v>
      </c>
      <c r="H14" s="45">
        <f>'Sept 16 PP Report'!I5*1000</f>
        <v>1081000</v>
      </c>
      <c r="I14" s="45">
        <f>'Sept 16 PP Report'!J5*1000</f>
        <v>1081000</v>
      </c>
      <c r="J14" s="45">
        <f>'Sept 16 PP Report'!K5*1000</f>
        <v>1081000</v>
      </c>
      <c r="K14" s="45">
        <f>'Sept 16 PP Report'!L5*1000</f>
        <v>1081000</v>
      </c>
      <c r="L14" s="45">
        <f>'Sept 16 PP Report'!M5*1000</f>
        <v>1081000</v>
      </c>
      <c r="M14" s="45">
        <f>'Sept 16 PP Report'!N5*1000</f>
        <v>1081000</v>
      </c>
      <c r="N14" s="45">
        <f>'Sept 16 PP Report'!O5*1000</f>
        <v>1081000</v>
      </c>
      <c r="O14" s="45">
        <f>'Sept 16 PP Report'!P5</f>
        <v>1081259</v>
      </c>
    </row>
    <row r="15" spans="1:21">
      <c r="A15" t="s">
        <v>4</v>
      </c>
      <c r="B15" s="45">
        <f>'Sept 16 PP Report'!C8*1000</f>
        <v>181000</v>
      </c>
      <c r="C15" s="45">
        <f>'Sept 16 PP Report'!D8*1000</f>
        <v>181000</v>
      </c>
      <c r="D15" s="45">
        <f>'Sept 16 PP Report'!E8*1000</f>
        <v>181000</v>
      </c>
      <c r="E15" s="45">
        <f>'Sept 16 PP Report'!F8*1000</f>
        <v>181000</v>
      </c>
      <c r="F15" s="45">
        <f>'Sept 16 PP Report'!G8*1000</f>
        <v>181000</v>
      </c>
      <c r="G15" s="45">
        <f>'Sept 16 PP Report'!H8*1000</f>
        <v>181000</v>
      </c>
      <c r="H15" s="45">
        <f>'Sept 16 PP Report'!I8*1000</f>
        <v>181000</v>
      </c>
      <c r="I15" s="45">
        <f>'Sept 16 PP Report'!J8*1000</f>
        <v>181000</v>
      </c>
      <c r="J15" s="45">
        <f>'Sept 16 PP Report'!K8*1000</f>
        <v>181000</v>
      </c>
      <c r="K15" s="45">
        <f>'Sept 16 PP Report'!L8*1000</f>
        <v>181000</v>
      </c>
      <c r="L15" s="45">
        <f>'Sept 16 PP Report'!M8*1000</f>
        <v>181000</v>
      </c>
      <c r="M15" s="45">
        <f>'Sept 16 PP Report'!N8*1000</f>
        <v>181000</v>
      </c>
      <c r="N15" s="45">
        <f>'Sept 16 PP Report'!O8*1000</f>
        <v>181000</v>
      </c>
      <c r="O15" s="45">
        <f>'Sept 16 PP Report'!P8</f>
        <v>180679</v>
      </c>
    </row>
    <row r="16" spans="1:21">
      <c r="A16" t="s">
        <v>1</v>
      </c>
      <c r="B16" s="45">
        <f>'Sept 16 PP Report'!C9*1000</f>
        <v>71000</v>
      </c>
      <c r="C16" s="45">
        <f>'Sept 16 PP Report'!D9*1000</f>
        <v>71000</v>
      </c>
      <c r="D16" s="45">
        <f>'Sept 16 PP Report'!E9*1000</f>
        <v>71000</v>
      </c>
      <c r="E16" s="45">
        <f>'Sept 16 PP Report'!F9*1000</f>
        <v>71000</v>
      </c>
      <c r="F16" s="45">
        <f>'Sept 16 PP Report'!G9*1000</f>
        <v>71000</v>
      </c>
      <c r="G16" s="45">
        <f>'Sept 16 PP Report'!H9*1000</f>
        <v>71000</v>
      </c>
      <c r="H16" s="45">
        <f>'Sept 16 PP Report'!I9*1000</f>
        <v>71000</v>
      </c>
      <c r="I16" s="45">
        <f>'Sept 16 PP Report'!J9*1000</f>
        <v>71000</v>
      </c>
      <c r="J16" s="45">
        <f>'Sept 16 PP Report'!K9*1000</f>
        <v>71000</v>
      </c>
      <c r="K16" s="45">
        <f>'Sept 16 PP Report'!L9*1000</f>
        <v>71000</v>
      </c>
      <c r="L16" s="45">
        <f>'Sept 16 PP Report'!M9*1000</f>
        <v>71000</v>
      </c>
      <c r="M16" s="45">
        <f>'Sept 16 PP Report'!N9*1000</f>
        <v>71000</v>
      </c>
      <c r="N16" s="45">
        <f>'Sept 16 PP Report'!O9*1000</f>
        <v>71000</v>
      </c>
      <c r="O16" s="45">
        <f>'Sept 16 PP Report'!P9</f>
        <v>71312</v>
      </c>
    </row>
    <row r="17" spans="1:17">
      <c r="A17" t="s">
        <v>3</v>
      </c>
      <c r="B17" s="45">
        <f>'Sept 16 PP Report'!C10*1000</f>
        <v>75000</v>
      </c>
      <c r="C17" s="45">
        <f>'Sept 16 PP Report'!D10*1000</f>
        <v>75000</v>
      </c>
      <c r="D17" s="45">
        <f>'Sept 16 PP Report'!E10*1000</f>
        <v>75000</v>
      </c>
      <c r="E17" s="45">
        <f>'Sept 16 PP Report'!F10*1000</f>
        <v>75000</v>
      </c>
      <c r="F17" s="45">
        <f>'Sept 16 PP Report'!G10*1000</f>
        <v>75000</v>
      </c>
      <c r="G17" s="45">
        <f>'Sept 16 PP Report'!H10*1000</f>
        <v>75000</v>
      </c>
      <c r="H17" s="45">
        <f>'Sept 16 PP Report'!I10*1000</f>
        <v>75000</v>
      </c>
      <c r="I17" s="45">
        <f>'Sept 16 PP Report'!J10*1000</f>
        <v>75000</v>
      </c>
      <c r="J17" s="45">
        <f>'Sept 16 PP Report'!K10*1000</f>
        <v>75000</v>
      </c>
      <c r="K17" s="45">
        <f>'Sept 16 PP Report'!L10*1000</f>
        <v>75000</v>
      </c>
      <c r="L17" s="45">
        <f>'Sept 16 PP Report'!M10*1000</f>
        <v>75000</v>
      </c>
      <c r="M17" s="45">
        <f>'Sept 16 PP Report'!N10*1000</f>
        <v>75000</v>
      </c>
      <c r="N17" s="45">
        <f>'Sept 16 PP Report'!O10*1000</f>
        <v>75000</v>
      </c>
      <c r="O17" s="45">
        <f>'Sept 16 PP Report'!P10</f>
        <v>75387</v>
      </c>
    </row>
    <row r="18" spans="1:17" ht="13.8" thickBot="1">
      <c r="A18" t="s">
        <v>33</v>
      </c>
      <c r="B18" s="40">
        <f t="shared" ref="B18:O18" si="4">SUM(B13:B17)</f>
        <v>4539000</v>
      </c>
      <c r="C18" s="40">
        <f t="shared" si="4"/>
        <v>4539000</v>
      </c>
      <c r="D18" s="40">
        <f t="shared" si="4"/>
        <v>4539000</v>
      </c>
      <c r="E18" s="40">
        <f t="shared" si="4"/>
        <v>4539000</v>
      </c>
      <c r="F18" s="40">
        <f t="shared" si="4"/>
        <v>4539000</v>
      </c>
      <c r="G18" s="46">
        <f t="shared" si="4"/>
        <v>4539000</v>
      </c>
      <c r="H18" s="46">
        <f t="shared" si="4"/>
        <v>4539000</v>
      </c>
      <c r="I18" s="46">
        <f t="shared" si="4"/>
        <v>4539000</v>
      </c>
      <c r="J18" s="46">
        <f t="shared" si="4"/>
        <v>4539000</v>
      </c>
      <c r="K18" s="46">
        <f t="shared" si="4"/>
        <v>4539000</v>
      </c>
      <c r="L18" s="46">
        <f t="shared" si="4"/>
        <v>4539000</v>
      </c>
      <c r="M18" s="46">
        <f t="shared" si="4"/>
        <v>4539000</v>
      </c>
      <c r="N18" s="46">
        <f t="shared" si="4"/>
        <v>4539000</v>
      </c>
      <c r="O18" s="46">
        <f t="shared" si="4"/>
        <v>4539303</v>
      </c>
    </row>
    <row r="19" spans="1:17" ht="13.8" thickTop="1">
      <c r="B19" s="47"/>
    </row>
    <row r="20" spans="1:17">
      <c r="A20" s="38" t="s">
        <v>36</v>
      </c>
      <c r="B20" s="47"/>
      <c r="P20" s="45"/>
    </row>
    <row r="21" spans="1:17">
      <c r="A21" t="s">
        <v>0</v>
      </c>
      <c r="B21" s="45">
        <f>-'Sept 16 PP Report'!C16*1000</f>
        <v>-1009000</v>
      </c>
      <c r="C21" s="45">
        <f>-'Sept 16 PP Report'!D16*1000</f>
        <v>-1020000</v>
      </c>
      <c r="D21" s="45">
        <f>-'Sept 16 PP Report'!E16*1000</f>
        <v>-1032000</v>
      </c>
      <c r="E21" s="45">
        <f>-'Sept 16 PP Report'!F16*1000</f>
        <v>-1043000</v>
      </c>
      <c r="F21" s="45">
        <f>-'Sept 16 PP Report'!G16*1000</f>
        <v>-1054000</v>
      </c>
      <c r="G21" s="45">
        <f>-'Sept 16 PP Report'!H16*1000</f>
        <v>-1065000</v>
      </c>
      <c r="H21" s="45">
        <f>-'Sept 16 PP Report'!I16*1000</f>
        <v>-1076000</v>
      </c>
      <c r="I21" s="45">
        <f>-'Sept 16 PP Report'!J16*1000</f>
        <v>-1087000</v>
      </c>
      <c r="J21" s="45">
        <f>-'Sept 16 PP Report'!K16*1000</f>
        <v>-1099000</v>
      </c>
      <c r="K21" s="45">
        <f>-'Sept 16 PP Report'!L16*1000</f>
        <v>-1110000</v>
      </c>
      <c r="L21" s="45">
        <f>-'Sept 16 PP Report'!M16*1000</f>
        <v>-1121000</v>
      </c>
      <c r="M21" s="45">
        <f>-'Sept 16 PP Report'!N16*1000</f>
        <v>-4432000</v>
      </c>
      <c r="N21" s="45">
        <f>-'Sept 16 PP Report'!O16*1000</f>
        <v>-1143000</v>
      </c>
      <c r="O21" s="45">
        <f>-'Sept 16 PP Report'!P16</f>
        <v>-1076193</v>
      </c>
      <c r="P21" s="45">
        <f>-O21+L4/2</f>
        <v>1084996.722022248</v>
      </c>
    </row>
    <row r="22" spans="1:17">
      <c r="A22" t="s">
        <v>2</v>
      </c>
      <c r="B22" s="45">
        <f>-'Sept 16 PP Report'!C17*1000</f>
        <v>-420000</v>
      </c>
      <c r="C22" s="45">
        <f>-'Sept 16 PP Report'!D17*1000</f>
        <v>-424000</v>
      </c>
      <c r="D22" s="45">
        <f>-'Sept 16 PP Report'!E17*1000</f>
        <v>-428000</v>
      </c>
      <c r="E22" s="45">
        <f>-'Sept 16 PP Report'!F17*1000</f>
        <v>-432000</v>
      </c>
      <c r="F22" s="45">
        <f>-'Sept 16 PP Report'!G17*1000</f>
        <v>-436000</v>
      </c>
      <c r="G22" s="45">
        <f>-'Sept 16 PP Report'!H17*1000</f>
        <v>-439000</v>
      </c>
      <c r="H22" s="45">
        <f>-'Sept 16 PP Report'!I17*1000</f>
        <v>-443000</v>
      </c>
      <c r="I22" s="45">
        <f>-'Sept 16 PP Report'!J17*1000</f>
        <v>-447000</v>
      </c>
      <c r="J22" s="45">
        <f>-'Sept 16 PP Report'!K17*1000</f>
        <v>-451000</v>
      </c>
      <c r="K22" s="45">
        <f>-'Sept 16 PP Report'!L17*1000</f>
        <v>-455000</v>
      </c>
      <c r="L22" s="45">
        <f>-'Sept 16 PP Report'!M17*1000</f>
        <v>-459000</v>
      </c>
      <c r="M22" s="45">
        <f>-'Sept 16 PP Report'!N17*1000</f>
        <v>-463000</v>
      </c>
      <c r="N22" s="45">
        <f>-'Sept 16 PP Report'!O17*1000</f>
        <v>-466000</v>
      </c>
      <c r="O22" s="45">
        <f>-'Sept 16 PP Report'!P17</f>
        <v>-443342</v>
      </c>
      <c r="P22" s="45">
        <f>-O22+L5/2</f>
        <v>446099.01776656177</v>
      </c>
    </row>
    <row r="23" spans="1:17">
      <c r="A23" t="s">
        <v>4</v>
      </c>
      <c r="B23" s="45">
        <f>-'Sept 16 PP Report'!C20*1000</f>
        <v>-30000</v>
      </c>
      <c r="C23" s="45">
        <f>-'Sept 16 PP Report'!D20*1000</f>
        <v>-30000</v>
      </c>
      <c r="D23" s="45">
        <f>-'Sept 16 PP Report'!E20*1000</f>
        <v>-31000</v>
      </c>
      <c r="E23" s="45">
        <f>-'Sept 16 PP Report'!F20*1000</f>
        <v>-31000</v>
      </c>
      <c r="F23" s="45">
        <f>-'Sept 16 PP Report'!G20*1000</f>
        <v>-31000</v>
      </c>
      <c r="G23" s="45">
        <f>-'Sept 16 PP Report'!H20*1000</f>
        <v>-32000</v>
      </c>
      <c r="H23" s="45">
        <f>-'Sept 16 PP Report'!I20*1000</f>
        <v>-32000</v>
      </c>
      <c r="I23" s="45">
        <f>-'Sept 16 PP Report'!J20*1000</f>
        <v>-32000</v>
      </c>
      <c r="J23" s="45">
        <f>-'Sept 16 PP Report'!K20*1000</f>
        <v>-33000</v>
      </c>
      <c r="K23" s="45">
        <f>-'Sept 16 PP Report'!L20*1000</f>
        <v>-33000</v>
      </c>
      <c r="L23" s="45">
        <f>-'Sept 16 PP Report'!M20*1000</f>
        <v>-33000</v>
      </c>
      <c r="M23" s="45">
        <f>-'Sept 16 PP Report'!N20*1000</f>
        <v>-33000</v>
      </c>
      <c r="N23" s="45">
        <f>-'Sept 16 PP Report'!O20*1000</f>
        <v>-34000</v>
      </c>
      <c r="O23" s="45">
        <f>-'Sept 16 PP Report'!P20</f>
        <v>-31961</v>
      </c>
      <c r="P23" s="45">
        <f>-O23+L6/2</f>
        <v>32024.071302066353</v>
      </c>
    </row>
    <row r="24" spans="1:17">
      <c r="A24" t="s">
        <v>1</v>
      </c>
      <c r="B24" s="45">
        <f>-'Sept 16 PP Report'!C21*1000</f>
        <v>-14000</v>
      </c>
      <c r="C24" s="45">
        <f>-'Sept 16 PP Report'!D21*1000</f>
        <v>-14000</v>
      </c>
      <c r="D24" s="45">
        <f>-'Sept 16 PP Report'!E21*1000</f>
        <v>-14000</v>
      </c>
      <c r="E24" s="45">
        <f>-'Sept 16 PP Report'!F21*1000</f>
        <v>-15000</v>
      </c>
      <c r="F24" s="45">
        <f>-'Sept 16 PP Report'!G21*1000</f>
        <v>-15000</v>
      </c>
      <c r="G24" s="45">
        <f>-'Sept 16 PP Report'!H21*1000</f>
        <v>-15000</v>
      </c>
      <c r="H24" s="45">
        <f>-'Sept 16 PP Report'!I21*1000</f>
        <v>-15000</v>
      </c>
      <c r="I24" s="45">
        <f>-'Sept 16 PP Report'!J21*1000</f>
        <v>-15000</v>
      </c>
      <c r="J24" s="45">
        <f>-'Sept 16 PP Report'!K21*1000</f>
        <v>-16000</v>
      </c>
      <c r="K24" s="45">
        <f>-'Sept 16 PP Report'!L21*1000</f>
        <v>-16000</v>
      </c>
      <c r="L24" s="45">
        <f>-'Sept 16 PP Report'!M21*1000</f>
        <v>-16000</v>
      </c>
      <c r="M24" s="45">
        <f>-'Sept 16 PP Report'!N21*1000</f>
        <v>-16000</v>
      </c>
      <c r="N24" s="45">
        <f>-'Sept 16 PP Report'!O21*1000</f>
        <v>-16000</v>
      </c>
      <c r="O24" s="45">
        <f>-'Sept 16 PP Report'!P21</f>
        <v>-15181</v>
      </c>
      <c r="P24" s="45">
        <f>-O24+L7/2</f>
        <v>15192.69086886345</v>
      </c>
    </row>
    <row r="25" spans="1:17">
      <c r="A25" t="s">
        <v>3</v>
      </c>
      <c r="B25" s="45">
        <f>-'Sept 16 PP Report'!C22*1000</f>
        <v>-10000</v>
      </c>
      <c r="C25" s="45">
        <f>-'Sept 16 PP Report'!D22*1000</f>
        <v>-10000</v>
      </c>
      <c r="D25" s="45">
        <f>-'Sept 16 PP Report'!E22*1000</f>
        <v>-11000</v>
      </c>
      <c r="E25" s="45">
        <f>-'Sept 16 PP Report'!F22*1000</f>
        <v>-11000</v>
      </c>
      <c r="F25" s="45">
        <f>-'Sept 16 PP Report'!G22*1000</f>
        <v>-11000</v>
      </c>
      <c r="G25" s="45">
        <f>-'Sept 16 PP Report'!H22*1000</f>
        <v>-11000</v>
      </c>
      <c r="H25" s="45">
        <f>-'Sept 16 PP Report'!I22*1000</f>
        <v>-11000</v>
      </c>
      <c r="I25" s="45">
        <f>-'Sept 16 PP Report'!J22*1000</f>
        <v>-12000</v>
      </c>
      <c r="J25" s="45">
        <f>-'Sept 16 PP Report'!K22*1000</f>
        <v>-12000</v>
      </c>
      <c r="K25" s="45">
        <f>-'Sept 16 PP Report'!L22*1000</f>
        <v>-12000</v>
      </c>
      <c r="L25" s="45">
        <f>-'Sept 16 PP Report'!M22*1000</f>
        <v>-12000</v>
      </c>
      <c r="M25" s="45">
        <f>-'Sept 16 PP Report'!N22*1000</f>
        <v>-12000</v>
      </c>
      <c r="N25" s="45">
        <f>-'Sept 16 PP Report'!O22*1000</f>
        <v>-12000</v>
      </c>
      <c r="O25" s="45">
        <f>-'Sept 16 PP Report'!P22</f>
        <v>-11360</v>
      </c>
      <c r="P25" s="45">
        <f>-O25+L8/2</f>
        <v>11703.187367558765</v>
      </c>
    </row>
    <row r="26" spans="1:17" ht="13.8" thickBot="1">
      <c r="A26" t="s">
        <v>34</v>
      </c>
      <c r="B26" s="40">
        <f t="shared" ref="B26:O26" si="5">SUM(B21:B25)</f>
        <v>-1483000</v>
      </c>
      <c r="C26" s="40">
        <f t="shared" si="5"/>
        <v>-1498000</v>
      </c>
      <c r="D26" s="40">
        <f t="shared" si="5"/>
        <v>-1516000</v>
      </c>
      <c r="E26" s="40">
        <f t="shared" si="5"/>
        <v>-1532000</v>
      </c>
      <c r="F26" s="40">
        <f t="shared" si="5"/>
        <v>-1547000</v>
      </c>
      <c r="G26" s="46">
        <f t="shared" si="5"/>
        <v>-1562000</v>
      </c>
      <c r="H26" s="46">
        <f t="shared" si="5"/>
        <v>-1577000</v>
      </c>
      <c r="I26" s="46">
        <f t="shared" si="5"/>
        <v>-1593000</v>
      </c>
      <c r="J26" s="46">
        <f t="shared" si="5"/>
        <v>-1611000</v>
      </c>
      <c r="K26" s="46">
        <f t="shared" si="5"/>
        <v>-1626000</v>
      </c>
      <c r="L26" s="46">
        <f t="shared" si="5"/>
        <v>-1641000</v>
      </c>
      <c r="M26" s="46">
        <f t="shared" si="5"/>
        <v>-4956000</v>
      </c>
      <c r="N26" s="46">
        <f t="shared" si="5"/>
        <v>-1671000</v>
      </c>
      <c r="O26" s="46">
        <f t="shared" si="5"/>
        <v>-1578037</v>
      </c>
      <c r="Q26" s="91"/>
    </row>
    <row r="27" spans="1:17" ht="13.8" thickTop="1">
      <c r="B27" s="47"/>
      <c r="C27" s="47"/>
    </row>
    <row r="28" spans="1:17" ht="27.6">
      <c r="A28" s="38" t="s">
        <v>8</v>
      </c>
      <c r="C28" s="60">
        <v>42278</v>
      </c>
      <c r="D28" s="60">
        <v>42309</v>
      </c>
      <c r="E28" s="60">
        <v>42339</v>
      </c>
      <c r="F28" s="60">
        <v>42370</v>
      </c>
      <c r="G28" s="60">
        <v>42401</v>
      </c>
      <c r="H28" s="60">
        <v>42430</v>
      </c>
      <c r="I28" s="60">
        <v>42461</v>
      </c>
      <c r="J28" s="60">
        <v>42491</v>
      </c>
      <c r="K28" s="60">
        <v>42522</v>
      </c>
      <c r="L28" s="60">
        <v>42552</v>
      </c>
      <c r="M28" s="60">
        <v>42583</v>
      </c>
      <c r="N28" s="60">
        <v>42614</v>
      </c>
      <c r="O28" s="77" t="s">
        <v>99</v>
      </c>
    </row>
    <row r="29" spans="1:17">
      <c r="A29" t="s">
        <v>0</v>
      </c>
      <c r="C29" s="51">
        <f>'Sept 16 PP Report'!D30/12</f>
        <v>11166.04</v>
      </c>
      <c r="D29" s="45">
        <f>+C29</f>
        <v>11166.04</v>
      </c>
      <c r="E29" s="45">
        <f>D29</f>
        <v>11166.04</v>
      </c>
      <c r="F29" s="45">
        <f t="shared" ref="F29:N29" si="6">E29</f>
        <v>11166.04</v>
      </c>
      <c r="G29" s="45">
        <f t="shared" si="6"/>
        <v>11166.04</v>
      </c>
      <c r="H29" s="45">
        <f t="shared" si="6"/>
        <v>11166.04</v>
      </c>
      <c r="I29" s="45">
        <f t="shared" si="6"/>
        <v>11166.04</v>
      </c>
      <c r="J29" s="45">
        <f t="shared" si="6"/>
        <v>11166.04</v>
      </c>
      <c r="K29" s="45">
        <f t="shared" si="6"/>
        <v>11166.04</v>
      </c>
      <c r="L29" s="45">
        <f t="shared" si="6"/>
        <v>11166.04</v>
      </c>
      <c r="M29" s="45">
        <f t="shared" si="6"/>
        <v>11166.04</v>
      </c>
      <c r="N29" s="45">
        <f t="shared" si="6"/>
        <v>11166.04</v>
      </c>
      <c r="O29" s="45">
        <f>SUM(C29:N29)</f>
        <v>133992.48000000004</v>
      </c>
    </row>
    <row r="30" spans="1:17">
      <c r="A30" t="s">
        <v>2</v>
      </c>
      <c r="C30" s="51">
        <f>'Sept 16 PP Report'!D31/12</f>
        <v>3856.49</v>
      </c>
      <c r="D30" s="45">
        <f t="shared" ref="D30:D33" si="7">+C30</f>
        <v>3856.49</v>
      </c>
      <c r="E30" s="45">
        <f>D30</f>
        <v>3856.49</v>
      </c>
      <c r="F30" s="45">
        <f t="shared" ref="F30:N30" si="8">E30</f>
        <v>3856.49</v>
      </c>
      <c r="G30" s="45">
        <f t="shared" si="8"/>
        <v>3856.49</v>
      </c>
      <c r="H30" s="45">
        <f t="shared" si="8"/>
        <v>3856.49</v>
      </c>
      <c r="I30" s="45">
        <f t="shared" si="8"/>
        <v>3856.49</v>
      </c>
      <c r="J30" s="45">
        <f t="shared" si="8"/>
        <v>3856.49</v>
      </c>
      <c r="K30" s="45">
        <f t="shared" si="8"/>
        <v>3856.49</v>
      </c>
      <c r="L30" s="45">
        <f t="shared" si="8"/>
        <v>3856.49</v>
      </c>
      <c r="M30" s="45">
        <f t="shared" si="8"/>
        <v>3856.49</v>
      </c>
      <c r="N30" s="45">
        <f t="shared" si="8"/>
        <v>3856.49</v>
      </c>
      <c r="O30" s="45">
        <f>SUM(C30:N30)</f>
        <v>46277.879999999983</v>
      </c>
    </row>
    <row r="31" spans="1:17">
      <c r="A31" t="s">
        <v>4</v>
      </c>
      <c r="C31" s="51">
        <f>'Sept 16 PP Report'!D34/12</f>
        <v>296.61</v>
      </c>
      <c r="D31" s="45">
        <f t="shared" si="7"/>
        <v>296.61</v>
      </c>
      <c r="E31" s="45">
        <f>D31</f>
        <v>296.61</v>
      </c>
      <c r="F31" s="45">
        <f t="shared" ref="F31:N31" si="9">E31</f>
        <v>296.61</v>
      </c>
      <c r="G31" s="45">
        <f t="shared" si="9"/>
        <v>296.61</v>
      </c>
      <c r="H31" s="45">
        <f t="shared" si="9"/>
        <v>296.61</v>
      </c>
      <c r="I31" s="45">
        <f t="shared" si="9"/>
        <v>296.61</v>
      </c>
      <c r="J31" s="45">
        <f t="shared" si="9"/>
        <v>296.61</v>
      </c>
      <c r="K31" s="45">
        <f t="shared" si="9"/>
        <v>296.61</v>
      </c>
      <c r="L31" s="45">
        <f t="shared" si="9"/>
        <v>296.61</v>
      </c>
      <c r="M31" s="45">
        <f t="shared" si="9"/>
        <v>296.61</v>
      </c>
      <c r="N31" s="45">
        <f t="shared" si="9"/>
        <v>296.61</v>
      </c>
      <c r="O31" s="45">
        <f>SUM(C31:N31)</f>
        <v>3559.3200000000011</v>
      </c>
    </row>
    <row r="32" spans="1:17">
      <c r="A32" t="s">
        <v>1</v>
      </c>
      <c r="C32" s="51">
        <f>'Sept 16 PP Report'!D35/12</f>
        <v>184.82000000000002</v>
      </c>
      <c r="D32" s="45">
        <f t="shared" si="7"/>
        <v>184.82000000000002</v>
      </c>
      <c r="E32" s="45">
        <f>D32</f>
        <v>184.82000000000002</v>
      </c>
      <c r="F32" s="45">
        <f t="shared" ref="F32:N32" si="10">E32</f>
        <v>184.82000000000002</v>
      </c>
      <c r="G32" s="45">
        <f t="shared" si="10"/>
        <v>184.82000000000002</v>
      </c>
      <c r="H32" s="45">
        <f t="shared" si="10"/>
        <v>184.82000000000002</v>
      </c>
      <c r="I32" s="45">
        <f t="shared" si="10"/>
        <v>184.82000000000002</v>
      </c>
      <c r="J32" s="45">
        <f t="shared" si="10"/>
        <v>184.82000000000002</v>
      </c>
      <c r="K32" s="45">
        <f t="shared" si="10"/>
        <v>184.82000000000002</v>
      </c>
      <c r="L32" s="45">
        <f t="shared" si="10"/>
        <v>184.82000000000002</v>
      </c>
      <c r="M32" s="45">
        <f t="shared" si="10"/>
        <v>184.82000000000002</v>
      </c>
      <c r="N32" s="45">
        <f t="shared" si="10"/>
        <v>184.82000000000002</v>
      </c>
      <c r="O32" s="45">
        <f>SUM(C32:N32)</f>
        <v>2217.8399999999997</v>
      </c>
    </row>
    <row r="33" spans="1:28">
      <c r="A33" t="s">
        <v>3</v>
      </c>
      <c r="C33" s="51">
        <f>'Sept 16 PP Report'!D36/12</f>
        <v>177.79</v>
      </c>
      <c r="D33" s="45">
        <f t="shared" si="7"/>
        <v>177.79</v>
      </c>
      <c r="E33" s="45">
        <f>D33</f>
        <v>177.79</v>
      </c>
      <c r="F33" s="45">
        <f t="shared" ref="F33:N33" si="11">E33</f>
        <v>177.79</v>
      </c>
      <c r="G33" s="45">
        <f t="shared" si="11"/>
        <v>177.79</v>
      </c>
      <c r="H33" s="45">
        <f t="shared" si="11"/>
        <v>177.79</v>
      </c>
      <c r="I33" s="45">
        <f t="shared" si="11"/>
        <v>177.79</v>
      </c>
      <c r="J33" s="45">
        <f t="shared" si="11"/>
        <v>177.79</v>
      </c>
      <c r="K33" s="45">
        <f t="shared" si="11"/>
        <v>177.79</v>
      </c>
      <c r="L33" s="45">
        <f t="shared" si="11"/>
        <v>177.79</v>
      </c>
      <c r="M33" s="45">
        <f t="shared" si="11"/>
        <v>177.79</v>
      </c>
      <c r="N33" s="45">
        <f t="shared" si="11"/>
        <v>177.79</v>
      </c>
      <c r="O33" s="45">
        <f>SUM(C33:N33)</f>
        <v>2133.48</v>
      </c>
    </row>
    <row r="34" spans="1:28" ht="13.8" thickBot="1">
      <c r="A34" t="s">
        <v>37</v>
      </c>
      <c r="C34" s="46">
        <f>SUM(C29:C33)</f>
        <v>15681.750000000002</v>
      </c>
      <c r="D34" s="46">
        <f t="shared" ref="D34:O34" si="12">SUM(D29:D33)</f>
        <v>15681.750000000002</v>
      </c>
      <c r="E34" s="46">
        <f t="shared" si="12"/>
        <v>15681.750000000002</v>
      </c>
      <c r="F34" s="46">
        <f t="shared" si="12"/>
        <v>15681.750000000002</v>
      </c>
      <c r="G34" s="46">
        <f t="shared" si="12"/>
        <v>15681.750000000002</v>
      </c>
      <c r="H34" s="46">
        <f t="shared" si="12"/>
        <v>15681.750000000002</v>
      </c>
      <c r="I34" s="46">
        <f t="shared" si="12"/>
        <v>15681.750000000002</v>
      </c>
      <c r="J34" s="46">
        <f t="shared" si="12"/>
        <v>15681.750000000002</v>
      </c>
      <c r="K34" s="46">
        <f t="shared" si="12"/>
        <v>15681.750000000002</v>
      </c>
      <c r="L34" s="46">
        <f t="shared" si="12"/>
        <v>15681.750000000002</v>
      </c>
      <c r="M34" s="46">
        <f t="shared" si="12"/>
        <v>15681.750000000002</v>
      </c>
      <c r="N34" s="46">
        <f t="shared" si="12"/>
        <v>15681.750000000002</v>
      </c>
      <c r="O34" s="46">
        <f t="shared" si="12"/>
        <v>188181.00000000003</v>
      </c>
    </row>
    <row r="35" spans="1:28" ht="13.8" thickTop="1"/>
    <row r="36" spans="1:28"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R36" s="39"/>
      <c r="S36" s="39"/>
      <c r="T36" s="39"/>
      <c r="U36" s="39"/>
    </row>
    <row r="37" spans="1:28">
      <c r="A37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39"/>
      <c r="R37" s="39"/>
      <c r="S37" s="39"/>
      <c r="T37" s="39"/>
      <c r="U37" s="39"/>
    </row>
    <row r="38" spans="1:28"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</sheetData>
  <mergeCells count="1">
    <mergeCell ref="C2:E2"/>
  </mergeCells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D32"/>
  <sheetViews>
    <sheetView workbookViewId="0">
      <selection activeCell="Z13" sqref="Z13"/>
    </sheetView>
  </sheetViews>
  <sheetFormatPr defaultRowHeight="13.2" outlineLevelRow="1" outlineLevelCol="1"/>
  <cols>
    <col min="1" max="1" width="11.88671875" customWidth="1"/>
    <col min="2" max="13" width="10.33203125" hidden="1" customWidth="1" outlineLevel="1"/>
    <col min="14" max="14" width="11.33203125" bestFit="1" customWidth="1" collapsed="1"/>
    <col min="15" max="17" width="11.33203125" customWidth="1"/>
    <col min="18" max="18" width="10.44140625" bestFit="1" customWidth="1"/>
    <col min="19" max="22" width="10.33203125" bestFit="1" customWidth="1"/>
    <col min="23" max="26" width="10.6640625" customWidth="1"/>
    <col min="27" max="27" width="10.6640625" hidden="1" customWidth="1"/>
    <col min="28" max="29" width="10.6640625" customWidth="1"/>
  </cols>
  <sheetData>
    <row r="4" spans="1:27">
      <c r="X4" s="75">
        <f ca="1">[2]DFITAMA!$Q$194</f>
        <v>984138.515625</v>
      </c>
      <c r="Y4" s="76" t="s">
        <v>90</v>
      </c>
    </row>
    <row r="5" spans="1:27">
      <c r="A5" s="78" t="s">
        <v>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7" spans="1:27">
      <c r="A7" t="s">
        <v>6</v>
      </c>
      <c r="B7" s="44">
        <v>41883</v>
      </c>
      <c r="C7" s="44">
        <v>41913</v>
      </c>
      <c r="D7" s="44">
        <v>41944</v>
      </c>
      <c r="E7" s="44">
        <v>41974</v>
      </c>
      <c r="F7" s="44">
        <v>42005</v>
      </c>
      <c r="G7" s="44">
        <v>42036</v>
      </c>
      <c r="H7" s="44">
        <v>42064</v>
      </c>
      <c r="I7" s="44">
        <v>42095</v>
      </c>
      <c r="J7" s="44">
        <v>42125</v>
      </c>
      <c r="K7" s="44">
        <v>42156</v>
      </c>
      <c r="L7" s="44">
        <v>42186</v>
      </c>
      <c r="M7" s="44">
        <v>42217</v>
      </c>
      <c r="N7" s="44">
        <v>42248</v>
      </c>
      <c r="O7" s="44">
        <v>42278</v>
      </c>
      <c r="P7" s="44">
        <v>42309</v>
      </c>
      <c r="Q7" s="44">
        <v>42339</v>
      </c>
      <c r="R7" s="44">
        <v>42370</v>
      </c>
      <c r="S7" s="44">
        <v>42401</v>
      </c>
      <c r="T7" s="44">
        <v>42430</v>
      </c>
      <c r="U7" s="44">
        <v>42461</v>
      </c>
      <c r="V7" s="44">
        <v>42491</v>
      </c>
      <c r="W7" s="44">
        <v>42522</v>
      </c>
      <c r="X7" s="44">
        <v>42552</v>
      </c>
      <c r="Y7" s="44">
        <v>42583</v>
      </c>
      <c r="Z7" s="44">
        <v>42614</v>
      </c>
      <c r="AA7" t="s">
        <v>7</v>
      </c>
    </row>
    <row r="8" spans="1:27">
      <c r="B8" s="47"/>
      <c r="C8" s="47"/>
      <c r="D8" s="47"/>
    </row>
    <row r="9" spans="1:27">
      <c r="B9" s="51">
        <v>1063412.5</v>
      </c>
      <c r="C9" s="51">
        <v>1061842.3333333333</v>
      </c>
      <c r="D9" s="51">
        <v>1060272.1666666667</v>
      </c>
      <c r="E9" s="51">
        <v>1058702</v>
      </c>
      <c r="F9" s="51">
        <v>1053815.7291666667</v>
      </c>
      <c r="G9" s="51">
        <v>1048929.4583333333</v>
      </c>
      <c r="H9" s="51">
        <v>1044043.1875</v>
      </c>
      <c r="I9" s="51">
        <v>1039156.9166666666</v>
      </c>
      <c r="J9" s="51">
        <v>1034270.6458333334</v>
      </c>
      <c r="K9" s="51">
        <v>1029384.375</v>
      </c>
      <c r="L9" s="51">
        <v>1024498.1041666666</v>
      </c>
      <c r="M9" s="51">
        <v>1019611.8333333334</v>
      </c>
      <c r="N9" s="51">
        <f ca="1">[2]DFITAMA!L193</f>
        <v>1014725.5625</v>
      </c>
      <c r="O9" s="51">
        <f ca="1">[2]DFITAMA!M193</f>
        <v>1009839.2916666666</v>
      </c>
      <c r="P9" s="51">
        <f ca="1">[2]DFITAMA!N193</f>
        <v>1004953.0208333334</v>
      </c>
      <c r="Q9" s="51">
        <f ca="1">[2]DFITAMA!O193</f>
        <v>1000066.75</v>
      </c>
      <c r="R9" s="2">
        <f ca="1">[2]DFITAMA!D194</f>
        <v>994804.35416666663</v>
      </c>
      <c r="S9" s="2">
        <f ca="1">[2]DFITAMA!E194</f>
        <v>989541.95833333337</v>
      </c>
      <c r="T9" s="2">
        <f ca="1">[2]DFITAMA!F194</f>
        <v>984279.5625</v>
      </c>
      <c r="U9" s="2">
        <f ca="1">[2]DFITAMA!G194</f>
        <v>979017.16666666663</v>
      </c>
      <c r="V9" s="2">
        <f ca="1">[2]DFITAMA!H194</f>
        <v>973754.77083333337</v>
      </c>
      <c r="W9" s="2">
        <f ca="1">[2]DFITAMA!I194</f>
        <v>968492.375</v>
      </c>
      <c r="X9" s="2">
        <f ca="1">[2]DFITAMA!J194</f>
        <v>963229.97916666663</v>
      </c>
      <c r="Y9" s="2">
        <f ca="1">[2]DFITAMA!K194</f>
        <v>957967.58333333337</v>
      </c>
      <c r="Z9" s="2">
        <f ca="1">[2]DFITAMA!L194</f>
        <v>952705.1875</v>
      </c>
      <c r="AA9" s="75">
        <f ca="1">(N9+Z9+SUM(O9:Y9)*2)/24</f>
        <v>984138.515625</v>
      </c>
    </row>
    <row r="10" spans="1:27">
      <c r="B10" s="2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27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-4886.2708333333721</v>
      </c>
      <c r="O11" s="2">
        <f t="shared" ref="O11:W11" ca="1" si="0">O9-N9</f>
        <v>-4886.2708333333721</v>
      </c>
      <c r="P11" s="2">
        <f t="shared" ca="1" si="0"/>
        <v>-4886.2708333332557</v>
      </c>
      <c r="Q11" s="2">
        <f t="shared" ca="1" si="0"/>
        <v>-4886.2708333333721</v>
      </c>
      <c r="R11" s="2">
        <f t="shared" ca="1" si="0"/>
        <v>-5262.3958333333721</v>
      </c>
      <c r="S11" s="2">
        <f t="shared" ca="1" si="0"/>
        <v>-5262.3958333332557</v>
      </c>
      <c r="T11" s="2">
        <f t="shared" ca="1" si="0"/>
        <v>-5262.3958333333721</v>
      </c>
      <c r="U11" s="2">
        <f t="shared" ca="1" si="0"/>
        <v>-5262.3958333333721</v>
      </c>
      <c r="V11" s="2">
        <f t="shared" ca="1" si="0"/>
        <v>-5262.3958333332557</v>
      </c>
      <c r="W11" s="2">
        <f t="shared" ca="1" si="0"/>
        <v>-5262.3958333333721</v>
      </c>
      <c r="X11" s="2">
        <f t="shared" ref="X11" ca="1" si="1">X9-W9</f>
        <v>-5262.3958333333721</v>
      </c>
      <c r="Y11" s="2">
        <f t="shared" ref="Y11" ca="1" si="2">Y9-X9</f>
        <v>-5262.3958333332557</v>
      </c>
      <c r="Z11" s="2">
        <f t="shared" ref="Z11" ca="1" si="3">Z9-Y9</f>
        <v>-5262.3958333333721</v>
      </c>
      <c r="AA11" s="52">
        <f ca="1">(N11+Z11+SUM(O11:Y11)*2)/24</f>
        <v>-5152.692708333333</v>
      </c>
    </row>
    <row r="13" spans="1:27">
      <c r="B13" t="s">
        <v>7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>
        <f t="shared" ref="N13:W13" ca="1" si="4">(B9+N9+SUM(C9:M9)*2)/24</f>
        <v>1042799.6484375</v>
      </c>
      <c r="O13" s="52">
        <f t="shared" ca="1" si="4"/>
        <v>1038604.232638889</v>
      </c>
      <c r="P13" s="52">
        <f t="shared" ca="1" si="4"/>
        <v>1034132.4748263889</v>
      </c>
      <c r="Q13" s="52">
        <f t="shared" ca="1" si="4"/>
        <v>1029384.375</v>
      </c>
      <c r="R13" s="52">
        <f t="shared" ca="1" si="4"/>
        <v>1024482.4322916666</v>
      </c>
      <c r="S13" s="52">
        <f t="shared" ca="1" si="4"/>
        <v>1019549.1458333334</v>
      </c>
      <c r="T13" s="52">
        <f t="shared" ca="1" si="4"/>
        <v>1014584.515625</v>
      </c>
      <c r="U13" s="52">
        <f t="shared" ca="1" si="4"/>
        <v>1009588.5416666666</v>
      </c>
      <c r="V13" s="52">
        <f t="shared" ca="1" si="4"/>
        <v>1004561.2239583334</v>
      </c>
      <c r="W13" s="52">
        <f t="shared" ca="1" si="4"/>
        <v>999502.5625</v>
      </c>
      <c r="X13" s="52">
        <f t="shared" ref="X13" ca="1" si="5">(L9+X9+SUM(M9:W9)*2)/24</f>
        <v>994412.55729166663</v>
      </c>
      <c r="Y13" s="52">
        <f t="shared" ref="Y13" ca="1" si="6">(M9+Y9+SUM(N9:X9)*2)/24</f>
        <v>989291.20833333337</v>
      </c>
      <c r="Z13" s="52">
        <f t="shared" ref="Z13" ca="1" si="7">(N9+Z9+SUM(O9:Y9)*2)/24</f>
        <v>984138.515625</v>
      </c>
      <c r="AA13" s="52"/>
    </row>
    <row r="15" spans="1:27">
      <c r="F15" s="68" t="s">
        <v>32</v>
      </c>
      <c r="G15" s="68" t="s">
        <v>32</v>
      </c>
      <c r="H15" s="68" t="s">
        <v>32</v>
      </c>
      <c r="I15" s="68" t="s">
        <v>32</v>
      </c>
      <c r="J15" s="68" t="s">
        <v>32</v>
      </c>
      <c r="K15" s="68" t="s">
        <v>32</v>
      </c>
      <c r="L15" s="68" t="s">
        <v>32</v>
      </c>
      <c r="M15" s="68" t="s">
        <v>32</v>
      </c>
      <c r="N15" s="68" t="s">
        <v>32</v>
      </c>
      <c r="O15" s="68"/>
      <c r="P15" s="68"/>
      <c r="Q15" s="68"/>
    </row>
    <row r="16" spans="1:27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3:30">
      <c r="X17" s="2"/>
      <c r="Y17" s="2"/>
      <c r="Z17" s="2"/>
      <c r="AA17" s="2"/>
    </row>
    <row r="18" spans="13:30" ht="14.4" hidden="1" outlineLevel="1">
      <c r="M18" s="55"/>
      <c r="N18" s="67" t="s">
        <v>71</v>
      </c>
      <c r="O18" s="65" t="s">
        <v>59</v>
      </c>
      <c r="P18" s="65" t="s">
        <v>70</v>
      </c>
      <c r="Q18" s="65" t="s">
        <v>69</v>
      </c>
      <c r="R18" s="65" t="s">
        <v>68</v>
      </c>
      <c r="S18" s="65" t="s">
        <v>67</v>
      </c>
      <c r="T18" s="65" t="s">
        <v>66</v>
      </c>
      <c r="U18" s="65" t="s">
        <v>65</v>
      </c>
      <c r="V18" s="65" t="s">
        <v>64</v>
      </c>
      <c r="W18" s="65" t="s">
        <v>63</v>
      </c>
      <c r="X18" s="65" t="s">
        <v>62</v>
      </c>
      <c r="Y18" s="65" t="s">
        <v>61</v>
      </c>
      <c r="Z18" s="65" t="s">
        <v>60</v>
      </c>
      <c r="AA18" s="65" t="s">
        <v>59</v>
      </c>
      <c r="AB18" s="66" t="s">
        <v>58</v>
      </c>
      <c r="AC18" s="65" t="s">
        <v>57</v>
      </c>
    </row>
    <row r="19" spans="13:30" ht="14.4" hidden="1" outlineLevel="1">
      <c r="M19" s="64" t="s">
        <v>56</v>
      </c>
      <c r="N19" s="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63"/>
    </row>
    <row r="20" spans="13:30" hidden="1" outlineLevel="1">
      <c r="M20" s="62">
        <v>2008</v>
      </c>
      <c r="N20" s="1">
        <v>-33759.760000000002</v>
      </c>
      <c r="O20" s="1">
        <f t="shared" ref="O20:O28" si="8">N20</f>
        <v>-33759.760000000002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61"/>
    </row>
    <row r="21" spans="13:30" hidden="1" outlineLevel="1">
      <c r="M21" s="62">
        <v>2009</v>
      </c>
      <c r="N21" s="1">
        <v>363242.57</v>
      </c>
      <c r="O21" s="1">
        <f t="shared" si="8"/>
        <v>363242.57</v>
      </c>
      <c r="P21" s="1">
        <f t="shared" ref="P21:P28" si="9">(N21-N20)/12*1+N20</f>
        <v>-676.23249999999825</v>
      </c>
      <c r="Q21" s="1">
        <f t="shared" ref="Q21:Q28" si="10">(N21-N20)/12*2+N20</f>
        <v>32407.295000000006</v>
      </c>
      <c r="R21" s="1">
        <f t="shared" ref="R21:R28" si="11">(N21-N20)/12*3+N20</f>
        <v>65490.822500000017</v>
      </c>
      <c r="S21" s="1">
        <f t="shared" ref="S21:S28" si="12">(N21-N20)/12*4+N20</f>
        <v>98574.35</v>
      </c>
      <c r="T21" s="1">
        <f t="shared" ref="T21:T28" si="13">(N21-N20)/12*5+N20</f>
        <v>131657.8775</v>
      </c>
      <c r="U21" s="1">
        <f t="shared" ref="U21:U28" si="14">(N21-N20)/12*6+N20</f>
        <v>164741.40500000003</v>
      </c>
      <c r="V21" s="1">
        <f t="shared" ref="V21:V28" si="15">(N21-N20)/12*7+N20</f>
        <v>197824.93250000002</v>
      </c>
      <c r="W21" s="1">
        <f t="shared" ref="W21:W28" si="16">(N21-N20)/12*8+N20</f>
        <v>230908.46000000002</v>
      </c>
      <c r="X21" s="1">
        <f t="shared" ref="X21:X28" si="17">(N21-N20)/12*9+N20</f>
        <v>263991.98750000005</v>
      </c>
      <c r="Y21" s="1">
        <f t="shared" ref="Y21:Y28" si="18">(N21-N20)/12*10+N20</f>
        <v>297075.51500000001</v>
      </c>
      <c r="Z21" s="1">
        <f t="shared" ref="Z21:Z28" si="19">(N21-N20)/12*11+N20</f>
        <v>330159.04250000004</v>
      </c>
      <c r="AA21" s="1">
        <f t="shared" ref="AA21:AA28" si="20">+N21</f>
        <v>363242.57</v>
      </c>
      <c r="AB21" s="61">
        <f t="shared" ref="AB21:AB28" si="21">((O20+AA21)+2*(SUM(P21:Z21)))/24</f>
        <v>164741.405</v>
      </c>
    </row>
    <row r="22" spans="13:30" hidden="1" outlineLevel="1">
      <c r="M22">
        <v>2010</v>
      </c>
      <c r="N22" s="1">
        <v>683758</v>
      </c>
      <c r="O22" s="1">
        <f t="shared" si="8"/>
        <v>683758</v>
      </c>
      <c r="P22" s="1">
        <f t="shared" si="9"/>
        <v>389952.18916666665</v>
      </c>
      <c r="Q22" s="1">
        <f t="shared" si="10"/>
        <v>416661.80833333335</v>
      </c>
      <c r="R22" s="1">
        <f t="shared" si="11"/>
        <v>443371.42749999999</v>
      </c>
      <c r="S22" s="1">
        <f t="shared" si="12"/>
        <v>470081.04666666669</v>
      </c>
      <c r="T22" s="1">
        <f t="shared" si="13"/>
        <v>496790.66583333333</v>
      </c>
      <c r="U22" s="1">
        <f t="shared" si="14"/>
        <v>523500.28500000003</v>
      </c>
      <c r="V22" s="1">
        <f t="shared" si="15"/>
        <v>550209.90416666667</v>
      </c>
      <c r="W22" s="1">
        <f t="shared" si="16"/>
        <v>576919.52333333332</v>
      </c>
      <c r="X22" s="1">
        <f t="shared" si="17"/>
        <v>603629.14250000007</v>
      </c>
      <c r="Y22" s="1">
        <f t="shared" si="18"/>
        <v>630338.76166666672</v>
      </c>
      <c r="Z22" s="1">
        <f t="shared" si="19"/>
        <v>657048.38083333336</v>
      </c>
      <c r="AA22" s="1">
        <f t="shared" si="20"/>
        <v>683758</v>
      </c>
      <c r="AB22" s="61">
        <f t="shared" si="21"/>
        <v>523500.28500000009</v>
      </c>
    </row>
    <row r="23" spans="13:30" hidden="1" outlineLevel="1">
      <c r="M23">
        <v>2011</v>
      </c>
      <c r="N23" s="1">
        <v>874605</v>
      </c>
      <c r="O23" s="1">
        <f t="shared" si="8"/>
        <v>874605</v>
      </c>
      <c r="P23" s="1">
        <f t="shared" si="9"/>
        <v>699661.91666666663</v>
      </c>
      <c r="Q23" s="1">
        <f t="shared" si="10"/>
        <v>715565.83333333337</v>
      </c>
      <c r="R23" s="1">
        <f t="shared" si="11"/>
        <v>731469.75</v>
      </c>
      <c r="S23" s="1">
        <f t="shared" si="12"/>
        <v>747373.66666666663</v>
      </c>
      <c r="T23" s="1">
        <f t="shared" si="13"/>
        <v>763277.58333333337</v>
      </c>
      <c r="U23" s="1">
        <f t="shared" si="14"/>
        <v>779181.5</v>
      </c>
      <c r="V23" s="1">
        <f t="shared" si="15"/>
        <v>795085.41666666663</v>
      </c>
      <c r="W23" s="1">
        <f t="shared" si="16"/>
        <v>810989.33333333337</v>
      </c>
      <c r="X23" s="1">
        <f t="shared" si="17"/>
        <v>826893.25</v>
      </c>
      <c r="Y23" s="1">
        <f t="shared" si="18"/>
        <v>842797.16666666663</v>
      </c>
      <c r="Z23" s="1">
        <f t="shared" si="19"/>
        <v>858701.08333333326</v>
      </c>
      <c r="AA23" s="1">
        <f t="shared" si="20"/>
        <v>874605</v>
      </c>
      <c r="AB23" s="61">
        <f t="shared" si="21"/>
        <v>779181.5</v>
      </c>
    </row>
    <row r="24" spans="13:30" hidden="1" outlineLevel="1">
      <c r="M24">
        <v>2012</v>
      </c>
      <c r="N24" s="1">
        <v>983281</v>
      </c>
      <c r="O24" s="1">
        <f t="shared" si="8"/>
        <v>983281</v>
      </c>
      <c r="P24" s="1">
        <f t="shared" si="9"/>
        <v>883661.33333333337</v>
      </c>
      <c r="Q24" s="1">
        <f t="shared" si="10"/>
        <v>892717.66666666663</v>
      </c>
      <c r="R24" s="1">
        <f t="shared" si="11"/>
        <v>901774</v>
      </c>
      <c r="S24" s="1">
        <f t="shared" si="12"/>
        <v>910830.33333333337</v>
      </c>
      <c r="T24" s="1">
        <f t="shared" si="13"/>
        <v>919886.66666666663</v>
      </c>
      <c r="U24" s="1">
        <f t="shared" si="14"/>
        <v>928943</v>
      </c>
      <c r="V24" s="1">
        <f t="shared" si="15"/>
        <v>937999.33333333337</v>
      </c>
      <c r="W24" s="1">
        <f t="shared" si="16"/>
        <v>947055.66666666663</v>
      </c>
      <c r="X24" s="1">
        <f t="shared" si="17"/>
        <v>956112</v>
      </c>
      <c r="Y24" s="1">
        <f t="shared" si="18"/>
        <v>965168.33333333337</v>
      </c>
      <c r="Z24" s="1">
        <f t="shared" si="19"/>
        <v>974224.66666666663</v>
      </c>
      <c r="AA24" s="1">
        <f t="shared" si="20"/>
        <v>983281</v>
      </c>
      <c r="AB24" s="61">
        <f t="shared" si="21"/>
        <v>928943</v>
      </c>
    </row>
    <row r="25" spans="13:30" hidden="1" outlineLevel="1">
      <c r="M25">
        <v>2013</v>
      </c>
      <c r="N25" s="1">
        <v>1077544</v>
      </c>
      <c r="O25" s="1">
        <f t="shared" si="8"/>
        <v>1077544</v>
      </c>
      <c r="P25" s="1">
        <f t="shared" si="9"/>
        <v>991136.25</v>
      </c>
      <c r="Q25" s="1">
        <f t="shared" si="10"/>
        <v>998991.5</v>
      </c>
      <c r="R25" s="1">
        <f t="shared" si="11"/>
        <v>1006846.75</v>
      </c>
      <c r="S25" s="1">
        <f t="shared" si="12"/>
        <v>1014702</v>
      </c>
      <c r="T25" s="1">
        <f t="shared" si="13"/>
        <v>1022557.25</v>
      </c>
      <c r="U25" s="1">
        <f t="shared" si="14"/>
        <v>1030412.5</v>
      </c>
      <c r="V25" s="1">
        <f t="shared" si="15"/>
        <v>1038267.75</v>
      </c>
      <c r="W25" s="1">
        <f t="shared" si="16"/>
        <v>1046123</v>
      </c>
      <c r="X25" s="1">
        <f t="shared" si="17"/>
        <v>1053978.25</v>
      </c>
      <c r="Y25" s="1">
        <f t="shared" si="18"/>
        <v>1061833.5</v>
      </c>
      <c r="Z25" s="1">
        <f t="shared" si="19"/>
        <v>1069688.75</v>
      </c>
      <c r="AA25" s="1">
        <f t="shared" si="20"/>
        <v>1077544</v>
      </c>
      <c r="AB25" s="61">
        <f t="shared" si="21"/>
        <v>1030412.5</v>
      </c>
    </row>
    <row r="26" spans="13:30" hidden="1" outlineLevel="1">
      <c r="M26">
        <v>2014</v>
      </c>
      <c r="N26" s="1">
        <v>1058702</v>
      </c>
      <c r="O26" s="1">
        <f t="shared" si="8"/>
        <v>1058702</v>
      </c>
      <c r="P26" s="1">
        <f t="shared" si="9"/>
        <v>1075973.8333333333</v>
      </c>
      <c r="Q26" s="1">
        <f t="shared" si="10"/>
        <v>1074403.6666666667</v>
      </c>
      <c r="R26" s="1">
        <f t="shared" si="11"/>
        <v>1072833.5</v>
      </c>
      <c r="S26" s="1">
        <f t="shared" si="12"/>
        <v>1071263.3333333333</v>
      </c>
      <c r="T26" s="1">
        <f t="shared" si="13"/>
        <v>1069693.1666666667</v>
      </c>
      <c r="U26" s="1">
        <f t="shared" si="14"/>
        <v>1068123</v>
      </c>
      <c r="V26" s="1">
        <f t="shared" si="15"/>
        <v>1066552.8333333333</v>
      </c>
      <c r="W26" s="1">
        <f t="shared" si="16"/>
        <v>1064982.6666666667</v>
      </c>
      <c r="X26" s="1">
        <f t="shared" si="17"/>
        <v>1063412.5</v>
      </c>
      <c r="Y26" s="1">
        <f t="shared" si="18"/>
        <v>1061842.3333333333</v>
      </c>
      <c r="Z26" s="1">
        <f t="shared" si="19"/>
        <v>1060272.1666666667</v>
      </c>
      <c r="AA26" s="1">
        <f t="shared" si="20"/>
        <v>1058702</v>
      </c>
      <c r="AB26" s="61">
        <f t="shared" si="21"/>
        <v>1068123</v>
      </c>
    </row>
    <row r="27" spans="13:30" hidden="1" outlineLevel="1">
      <c r="M27">
        <v>2015</v>
      </c>
      <c r="N27" s="1">
        <v>1000066.75</v>
      </c>
      <c r="O27" s="1">
        <f t="shared" si="8"/>
        <v>1000066.75</v>
      </c>
      <c r="P27" s="1">
        <f t="shared" si="9"/>
        <v>1053815.7291666667</v>
      </c>
      <c r="Q27" s="1">
        <f t="shared" si="10"/>
        <v>1048929.4583333333</v>
      </c>
      <c r="R27" s="1">
        <f t="shared" si="11"/>
        <v>1044043.1875</v>
      </c>
      <c r="S27" s="1">
        <f t="shared" si="12"/>
        <v>1039156.9166666666</v>
      </c>
      <c r="T27" s="1">
        <f t="shared" si="13"/>
        <v>1034270.6458333334</v>
      </c>
      <c r="U27" s="1">
        <f t="shared" si="14"/>
        <v>1029384.375</v>
      </c>
      <c r="V27" s="1">
        <f t="shared" si="15"/>
        <v>1024498.1041666666</v>
      </c>
      <c r="W27" s="1">
        <f t="shared" si="16"/>
        <v>1019611.8333333334</v>
      </c>
      <c r="X27" s="1">
        <f t="shared" si="17"/>
        <v>1014725.5625</v>
      </c>
      <c r="Y27" s="1">
        <f t="shared" si="18"/>
        <v>1009839.2916666666</v>
      </c>
      <c r="Z27" s="1">
        <f t="shared" si="19"/>
        <v>1004953.0208333334</v>
      </c>
      <c r="AA27" s="1">
        <f t="shared" si="20"/>
        <v>1000066.75</v>
      </c>
      <c r="AB27" s="61">
        <f t="shared" si="21"/>
        <v>1029384.375</v>
      </c>
      <c r="AC27" s="61">
        <f>((X26+X27)+2*(SUM(P27:W27)+SUM(Y26:AA26)))/24</f>
        <v>1042799.6484375</v>
      </c>
    </row>
    <row r="28" spans="13:30" hidden="1" outlineLevel="1">
      <c r="M28">
        <v>2016</v>
      </c>
      <c r="N28" s="1">
        <v>936918</v>
      </c>
      <c r="O28" s="1">
        <f t="shared" si="8"/>
        <v>936918</v>
      </c>
      <c r="P28" s="1">
        <f t="shared" si="9"/>
        <v>994804.35416666663</v>
      </c>
      <c r="Q28" s="1">
        <f t="shared" si="10"/>
        <v>989541.95833333337</v>
      </c>
      <c r="R28" s="1">
        <f t="shared" si="11"/>
        <v>984279.5625</v>
      </c>
      <c r="S28" s="1">
        <f t="shared" si="12"/>
        <v>979017.16666666663</v>
      </c>
      <c r="T28" s="1">
        <f t="shared" si="13"/>
        <v>973754.77083333337</v>
      </c>
      <c r="U28" s="1">
        <f t="shared" si="14"/>
        <v>968492.375</v>
      </c>
      <c r="V28" s="1">
        <f t="shared" si="15"/>
        <v>963229.97916666663</v>
      </c>
      <c r="W28" s="1">
        <f t="shared" si="16"/>
        <v>957967.58333333337</v>
      </c>
      <c r="X28" s="1">
        <f t="shared" si="17"/>
        <v>952705.1875</v>
      </c>
      <c r="Y28" s="1">
        <f t="shared" si="18"/>
        <v>947442.79166666663</v>
      </c>
      <c r="Z28" s="1">
        <f t="shared" si="19"/>
        <v>942180.39583333337</v>
      </c>
      <c r="AA28" s="1">
        <f t="shared" si="20"/>
        <v>936918</v>
      </c>
      <c r="AB28" s="61">
        <f t="shared" si="21"/>
        <v>968492.375</v>
      </c>
      <c r="AC28" s="61">
        <f>((V27+V28)+2*(SUM(P28:U28)+SUM(W27:AA27)))/24</f>
        <v>994412.55729166663</v>
      </c>
    </row>
    <row r="29" spans="13:30" hidden="1" outlineLevel="1"/>
    <row r="30" spans="13:30" hidden="1" outlineLevel="1">
      <c r="N30" s="2">
        <v>936918</v>
      </c>
      <c r="O30" s="2">
        <v>936918</v>
      </c>
      <c r="P30" s="2">
        <v>994804.35416666663</v>
      </c>
      <c r="Q30" s="2">
        <v>989541.95833333337</v>
      </c>
      <c r="R30" s="2">
        <v>984279.5625</v>
      </c>
      <c r="S30" s="2">
        <v>979017.16666666663</v>
      </c>
      <c r="T30" s="2">
        <v>973754.77083333337</v>
      </c>
      <c r="U30" s="2">
        <v>968492.375</v>
      </c>
      <c r="V30" s="2">
        <v>963229.97916666663</v>
      </c>
      <c r="W30" s="2">
        <v>957967.58333333337</v>
      </c>
      <c r="X30" s="2">
        <v>952705.1875</v>
      </c>
      <c r="Y30" s="2">
        <v>947442.79166666663</v>
      </c>
      <c r="Z30" s="2">
        <v>942180.39583333337</v>
      </c>
      <c r="AA30" s="2">
        <v>936918</v>
      </c>
      <c r="AB30" s="2">
        <v>968492.375</v>
      </c>
      <c r="AC30" s="2">
        <v>984138.515625</v>
      </c>
      <c r="AD30" s="2"/>
    </row>
    <row r="31" spans="13:30" hidden="1" outlineLevel="1"/>
    <row r="32" spans="13:30" collapsed="1"/>
  </sheetData>
  <pageMargins left="0.45" right="0.45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O36" sqref="O36"/>
    </sheetView>
  </sheetViews>
  <sheetFormatPr defaultRowHeight="13.2"/>
  <cols>
    <col min="1" max="1" width="34.5546875" bestFit="1" customWidth="1"/>
    <col min="2" max="2" width="24.44140625" bestFit="1" customWidth="1"/>
    <col min="3" max="3" width="11.5546875" bestFit="1" customWidth="1"/>
    <col min="4" max="4" width="13.109375" bestFit="1" customWidth="1"/>
    <col min="5" max="9" width="9" bestFit="1" customWidth="1"/>
    <col min="10" max="10" width="11.44140625" bestFit="1" customWidth="1"/>
    <col min="11" max="15" width="9" bestFit="1" customWidth="1"/>
    <col min="16" max="16" width="11.44140625" bestFit="1" customWidth="1"/>
    <col min="17" max="17" width="10.88671875" bestFit="1" customWidth="1"/>
  </cols>
  <sheetData>
    <row r="1" spans="1:16" ht="13.8">
      <c r="A1" s="49" t="s">
        <v>89</v>
      </c>
      <c r="B1" t="s">
        <v>88</v>
      </c>
    </row>
    <row r="2" spans="1:16" ht="13.8">
      <c r="C2" s="102" t="s">
        <v>83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50" t="s">
        <v>7</v>
      </c>
    </row>
    <row r="3" spans="1:16" ht="13.8">
      <c r="A3" s="74" t="s">
        <v>41</v>
      </c>
      <c r="B3" s="74" t="s">
        <v>87</v>
      </c>
      <c r="C3" s="60">
        <v>42248</v>
      </c>
      <c r="D3" s="60">
        <v>42278</v>
      </c>
      <c r="E3" s="60">
        <v>42309</v>
      </c>
      <c r="F3" s="60">
        <v>42339</v>
      </c>
      <c r="G3" s="60">
        <v>42370</v>
      </c>
      <c r="H3" s="60">
        <v>42401</v>
      </c>
      <c r="I3" s="60">
        <v>42430</v>
      </c>
      <c r="J3" s="60">
        <v>42461</v>
      </c>
      <c r="K3" s="60">
        <v>42491</v>
      </c>
      <c r="L3" s="60">
        <v>42522</v>
      </c>
      <c r="M3" s="60">
        <v>42552</v>
      </c>
      <c r="N3" s="60">
        <v>42583</v>
      </c>
      <c r="O3" s="60">
        <v>42614</v>
      </c>
      <c r="P3" s="60">
        <v>42522</v>
      </c>
    </row>
    <row r="4" spans="1:16">
      <c r="A4" t="s">
        <v>0</v>
      </c>
      <c r="B4" t="s">
        <v>81</v>
      </c>
      <c r="C4" s="39">
        <v>3131</v>
      </c>
      <c r="D4" s="39">
        <v>3131</v>
      </c>
      <c r="E4" s="39">
        <v>3131</v>
      </c>
      <c r="F4" s="39">
        <v>3131</v>
      </c>
      <c r="G4" s="39">
        <v>3131</v>
      </c>
      <c r="H4" s="39">
        <v>3131</v>
      </c>
      <c r="I4" s="39">
        <v>3131</v>
      </c>
      <c r="J4" s="39">
        <v>3131</v>
      </c>
      <c r="K4" s="39">
        <v>3131</v>
      </c>
      <c r="L4" s="39">
        <v>3131</v>
      </c>
      <c r="M4" s="39">
        <v>3131</v>
      </c>
      <c r="N4" s="39">
        <v>3131</v>
      </c>
      <c r="O4" s="39">
        <v>3131</v>
      </c>
      <c r="P4" s="39">
        <v>3130666</v>
      </c>
    </row>
    <row r="5" spans="1:16">
      <c r="A5" t="s">
        <v>2</v>
      </c>
      <c r="B5" t="s">
        <v>81</v>
      </c>
      <c r="C5" s="39">
        <v>1081</v>
      </c>
      <c r="D5" s="39">
        <v>1081</v>
      </c>
      <c r="E5" s="39">
        <v>1081</v>
      </c>
      <c r="F5" s="39">
        <v>1081</v>
      </c>
      <c r="G5" s="39">
        <v>1081</v>
      </c>
      <c r="H5" s="39">
        <v>1081</v>
      </c>
      <c r="I5" s="39">
        <v>1081</v>
      </c>
      <c r="J5" s="39">
        <v>1081</v>
      </c>
      <c r="K5" s="39">
        <v>1081</v>
      </c>
      <c r="L5" s="39">
        <v>1081</v>
      </c>
      <c r="M5" s="39">
        <v>1081</v>
      </c>
      <c r="N5" s="39">
        <v>1081</v>
      </c>
      <c r="O5" s="39">
        <v>1081</v>
      </c>
      <c r="P5" s="39">
        <v>1081259</v>
      </c>
    </row>
    <row r="6" spans="1:16">
      <c r="A6" t="s">
        <v>42</v>
      </c>
      <c r="B6" t="s">
        <v>80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</row>
    <row r="7" spans="1:16">
      <c r="A7" t="s">
        <v>43</v>
      </c>
      <c r="B7" t="s">
        <v>80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</row>
    <row r="8" spans="1:16">
      <c r="A8" t="s">
        <v>44</v>
      </c>
      <c r="B8" t="s">
        <v>79</v>
      </c>
      <c r="C8" s="39">
        <v>181</v>
      </c>
      <c r="D8" s="39">
        <v>181</v>
      </c>
      <c r="E8" s="39">
        <v>181</v>
      </c>
      <c r="F8" s="39">
        <v>181</v>
      </c>
      <c r="G8" s="39">
        <v>181</v>
      </c>
      <c r="H8" s="39">
        <v>181</v>
      </c>
      <c r="I8" s="39">
        <v>181</v>
      </c>
      <c r="J8" s="39">
        <v>181</v>
      </c>
      <c r="K8" s="39">
        <v>181</v>
      </c>
      <c r="L8" s="39">
        <v>181</v>
      </c>
      <c r="M8" s="39">
        <v>181</v>
      </c>
      <c r="N8" s="39">
        <v>181</v>
      </c>
      <c r="O8" s="39">
        <v>181</v>
      </c>
      <c r="P8" s="39">
        <v>180679</v>
      </c>
    </row>
    <row r="9" spans="1:16">
      <c r="A9" t="s">
        <v>45</v>
      </c>
      <c r="B9" t="s">
        <v>79</v>
      </c>
      <c r="C9" s="39">
        <v>71</v>
      </c>
      <c r="D9" s="39">
        <v>71</v>
      </c>
      <c r="E9" s="39">
        <v>71</v>
      </c>
      <c r="F9" s="39">
        <v>71</v>
      </c>
      <c r="G9" s="39">
        <v>71</v>
      </c>
      <c r="H9" s="39">
        <v>71</v>
      </c>
      <c r="I9" s="39">
        <v>71</v>
      </c>
      <c r="J9" s="39">
        <v>71</v>
      </c>
      <c r="K9" s="39">
        <v>71</v>
      </c>
      <c r="L9" s="39">
        <v>71</v>
      </c>
      <c r="M9" s="39">
        <v>71</v>
      </c>
      <c r="N9" s="39">
        <v>71</v>
      </c>
      <c r="O9" s="39">
        <v>71</v>
      </c>
      <c r="P9" s="39">
        <v>71312</v>
      </c>
    </row>
    <row r="10" spans="1:16">
      <c r="A10" t="s">
        <v>3</v>
      </c>
      <c r="B10" t="s">
        <v>79</v>
      </c>
      <c r="C10" s="39">
        <v>75</v>
      </c>
      <c r="D10" s="39">
        <v>75</v>
      </c>
      <c r="E10" s="39">
        <v>75</v>
      </c>
      <c r="F10" s="39">
        <v>75</v>
      </c>
      <c r="G10" s="39">
        <v>75</v>
      </c>
      <c r="H10" s="39">
        <v>75</v>
      </c>
      <c r="I10" s="39">
        <v>75</v>
      </c>
      <c r="J10" s="39">
        <v>75</v>
      </c>
      <c r="K10" s="39">
        <v>75</v>
      </c>
      <c r="L10" s="39">
        <v>75</v>
      </c>
      <c r="M10" s="39">
        <v>75</v>
      </c>
      <c r="N10" s="39">
        <v>75</v>
      </c>
      <c r="O10" s="39">
        <v>75</v>
      </c>
      <c r="P10" s="39">
        <v>75387</v>
      </c>
    </row>
    <row r="11" spans="1:16">
      <c r="A11" t="s">
        <v>46</v>
      </c>
      <c r="B11" t="s">
        <v>79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</row>
    <row r="12" spans="1:16" ht="14.4" thickBot="1">
      <c r="B12" s="49" t="s">
        <v>86</v>
      </c>
      <c r="C12" s="69">
        <f t="shared" ref="C12:P12" si="0">SUM(C4:C11)</f>
        <v>4539</v>
      </c>
      <c r="D12" s="69">
        <f t="shared" si="0"/>
        <v>4539</v>
      </c>
      <c r="E12" s="69">
        <f t="shared" si="0"/>
        <v>4539</v>
      </c>
      <c r="F12" s="69">
        <f t="shared" si="0"/>
        <v>4539</v>
      </c>
      <c r="G12" s="69">
        <f t="shared" si="0"/>
        <v>4539</v>
      </c>
      <c r="H12" s="69">
        <f t="shared" si="0"/>
        <v>4539</v>
      </c>
      <c r="I12" s="69">
        <f t="shared" si="0"/>
        <v>4539</v>
      </c>
      <c r="J12" s="69">
        <f t="shared" si="0"/>
        <v>4539</v>
      </c>
      <c r="K12" s="69">
        <f t="shared" si="0"/>
        <v>4539</v>
      </c>
      <c r="L12" s="69">
        <f t="shared" si="0"/>
        <v>4539</v>
      </c>
      <c r="M12" s="69">
        <f t="shared" si="0"/>
        <v>4539</v>
      </c>
      <c r="N12" s="69">
        <f t="shared" si="0"/>
        <v>4539</v>
      </c>
      <c r="O12" s="69">
        <f t="shared" si="0"/>
        <v>4539</v>
      </c>
      <c r="P12" s="69">
        <f t="shared" si="0"/>
        <v>4539303</v>
      </c>
    </row>
    <row r="13" spans="1:16" ht="13.8" thickTop="1"/>
    <row r="14" spans="1:16" ht="13.8">
      <c r="A14" s="49" t="s">
        <v>85</v>
      </c>
      <c r="B14" t="s">
        <v>84</v>
      </c>
      <c r="C14" s="102" t="s">
        <v>83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50" t="s">
        <v>7</v>
      </c>
    </row>
    <row r="15" spans="1:16" ht="13.8">
      <c r="A15" t="s">
        <v>41</v>
      </c>
      <c r="B15" t="s">
        <v>82</v>
      </c>
      <c r="C15" s="60">
        <v>42248</v>
      </c>
      <c r="D15" s="60">
        <v>42278</v>
      </c>
      <c r="E15" s="60">
        <v>42309</v>
      </c>
      <c r="F15" s="60">
        <v>42339</v>
      </c>
      <c r="G15" s="60">
        <v>42370</v>
      </c>
      <c r="H15" s="60">
        <v>42401</v>
      </c>
      <c r="I15" s="60">
        <v>42430</v>
      </c>
      <c r="J15" s="60">
        <v>42461</v>
      </c>
      <c r="K15" s="60">
        <v>42491</v>
      </c>
      <c r="L15" s="60">
        <v>42522</v>
      </c>
      <c r="M15" s="60">
        <v>42552</v>
      </c>
      <c r="N15" s="60">
        <v>42583</v>
      </c>
      <c r="O15" s="60">
        <v>42614</v>
      </c>
      <c r="P15" s="60">
        <v>42614</v>
      </c>
    </row>
    <row r="16" spans="1:16">
      <c r="A16" t="s">
        <v>0</v>
      </c>
      <c r="B16" t="s">
        <v>81</v>
      </c>
      <c r="C16" s="39">
        <v>1009</v>
      </c>
      <c r="D16" s="39">
        <v>1020</v>
      </c>
      <c r="E16" s="39">
        <v>1032</v>
      </c>
      <c r="F16" s="39">
        <v>1043</v>
      </c>
      <c r="G16" s="39">
        <v>1054</v>
      </c>
      <c r="H16" s="39">
        <v>1065</v>
      </c>
      <c r="I16" s="39">
        <v>1076</v>
      </c>
      <c r="J16" s="39">
        <v>1087</v>
      </c>
      <c r="K16" s="39">
        <v>1099</v>
      </c>
      <c r="L16" s="39">
        <v>1110</v>
      </c>
      <c r="M16" s="39">
        <v>1121</v>
      </c>
      <c r="N16" s="39">
        <v>4432</v>
      </c>
      <c r="O16" s="39">
        <v>1143</v>
      </c>
      <c r="P16" s="39">
        <v>1076193</v>
      </c>
    </row>
    <row r="17" spans="1:16">
      <c r="A17" t="s">
        <v>2</v>
      </c>
      <c r="B17" t="s">
        <v>81</v>
      </c>
      <c r="C17" s="39">
        <v>420</v>
      </c>
      <c r="D17" s="39">
        <v>424</v>
      </c>
      <c r="E17" s="39">
        <v>428</v>
      </c>
      <c r="F17" s="39">
        <v>432</v>
      </c>
      <c r="G17" s="39">
        <v>436</v>
      </c>
      <c r="H17" s="39">
        <v>439</v>
      </c>
      <c r="I17" s="39">
        <v>443</v>
      </c>
      <c r="J17" s="39">
        <v>447</v>
      </c>
      <c r="K17" s="39">
        <v>451</v>
      </c>
      <c r="L17" s="39">
        <v>455</v>
      </c>
      <c r="M17" s="39">
        <v>459</v>
      </c>
      <c r="N17" s="39">
        <v>463</v>
      </c>
      <c r="O17" s="39">
        <v>466</v>
      </c>
      <c r="P17" s="39">
        <v>443342</v>
      </c>
    </row>
    <row r="18" spans="1:16">
      <c r="A18" t="s">
        <v>42</v>
      </c>
      <c r="B18" t="s">
        <v>80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</row>
    <row r="19" spans="1:16">
      <c r="A19" t="s">
        <v>43</v>
      </c>
      <c r="B19" t="s">
        <v>80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</row>
    <row r="20" spans="1:16">
      <c r="A20" t="s">
        <v>44</v>
      </c>
      <c r="B20" t="s">
        <v>79</v>
      </c>
      <c r="C20" s="39">
        <v>30</v>
      </c>
      <c r="D20" s="39">
        <v>30</v>
      </c>
      <c r="E20" s="39">
        <v>31</v>
      </c>
      <c r="F20" s="39">
        <v>31</v>
      </c>
      <c r="G20" s="39">
        <v>31</v>
      </c>
      <c r="H20" s="39">
        <v>32</v>
      </c>
      <c r="I20" s="39">
        <v>32</v>
      </c>
      <c r="J20" s="39">
        <v>32</v>
      </c>
      <c r="K20" s="39">
        <v>33</v>
      </c>
      <c r="L20" s="39">
        <v>33</v>
      </c>
      <c r="M20" s="39">
        <v>33</v>
      </c>
      <c r="N20" s="39">
        <v>33</v>
      </c>
      <c r="O20" s="39">
        <v>34</v>
      </c>
      <c r="P20" s="39">
        <v>31961</v>
      </c>
    </row>
    <row r="21" spans="1:16">
      <c r="A21" t="s">
        <v>45</v>
      </c>
      <c r="B21" t="s">
        <v>79</v>
      </c>
      <c r="C21" s="39">
        <v>14</v>
      </c>
      <c r="D21" s="39">
        <v>14</v>
      </c>
      <c r="E21" s="39">
        <v>14</v>
      </c>
      <c r="F21" s="39">
        <v>15</v>
      </c>
      <c r="G21" s="39">
        <v>15</v>
      </c>
      <c r="H21" s="39">
        <v>15</v>
      </c>
      <c r="I21" s="39">
        <v>15</v>
      </c>
      <c r="J21" s="39">
        <v>15</v>
      </c>
      <c r="K21" s="39">
        <v>16</v>
      </c>
      <c r="L21" s="39">
        <v>16</v>
      </c>
      <c r="M21" s="39">
        <v>16</v>
      </c>
      <c r="N21" s="39">
        <v>16</v>
      </c>
      <c r="O21" s="39">
        <v>16</v>
      </c>
      <c r="P21" s="39">
        <v>15181</v>
      </c>
    </row>
    <row r="22" spans="1:16">
      <c r="A22" t="s">
        <v>3</v>
      </c>
      <c r="B22" t="s">
        <v>79</v>
      </c>
      <c r="C22" s="39">
        <v>10</v>
      </c>
      <c r="D22" s="39">
        <v>10</v>
      </c>
      <c r="E22" s="39">
        <v>11</v>
      </c>
      <c r="F22" s="39">
        <v>11</v>
      </c>
      <c r="G22" s="39">
        <v>11</v>
      </c>
      <c r="H22" s="39">
        <v>11</v>
      </c>
      <c r="I22" s="39">
        <v>11</v>
      </c>
      <c r="J22" s="39">
        <v>12</v>
      </c>
      <c r="K22" s="39">
        <v>12</v>
      </c>
      <c r="L22" s="39">
        <v>12</v>
      </c>
      <c r="M22" s="39">
        <v>12</v>
      </c>
      <c r="N22" s="39">
        <v>12</v>
      </c>
      <c r="O22" s="39">
        <v>12</v>
      </c>
      <c r="P22" s="39">
        <v>11360</v>
      </c>
    </row>
    <row r="23" spans="1:16">
      <c r="A23" t="s">
        <v>46</v>
      </c>
      <c r="B23" t="s">
        <v>79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</row>
    <row r="24" spans="1:16" ht="14.4" thickBot="1">
      <c r="C24" s="69">
        <f t="shared" ref="C24:P24" si="1">SUM(C16:C23)</f>
        <v>1483</v>
      </c>
      <c r="D24" s="69">
        <f t="shared" si="1"/>
        <v>1498</v>
      </c>
      <c r="E24" s="69">
        <f t="shared" si="1"/>
        <v>1516</v>
      </c>
      <c r="F24" s="69">
        <f t="shared" si="1"/>
        <v>1532</v>
      </c>
      <c r="G24" s="69">
        <f t="shared" si="1"/>
        <v>1547</v>
      </c>
      <c r="H24" s="69">
        <f t="shared" si="1"/>
        <v>1562</v>
      </c>
      <c r="I24" s="69">
        <f t="shared" si="1"/>
        <v>1577</v>
      </c>
      <c r="J24" s="69">
        <f t="shared" si="1"/>
        <v>1593</v>
      </c>
      <c r="K24" s="69">
        <f t="shared" si="1"/>
        <v>1611</v>
      </c>
      <c r="L24" s="69">
        <f t="shared" si="1"/>
        <v>1626</v>
      </c>
      <c r="M24" s="69">
        <f t="shared" si="1"/>
        <v>1641</v>
      </c>
      <c r="N24" s="69">
        <f t="shared" si="1"/>
        <v>4956</v>
      </c>
      <c r="O24" s="69">
        <f t="shared" si="1"/>
        <v>1671</v>
      </c>
      <c r="P24" s="69">
        <f t="shared" si="1"/>
        <v>1578037</v>
      </c>
    </row>
    <row r="25" spans="1:16" ht="13.8" thickTop="1"/>
    <row r="27" spans="1:16" ht="13.8">
      <c r="A27" s="49" t="s">
        <v>78</v>
      </c>
    </row>
    <row r="28" spans="1:16" ht="13.8">
      <c r="A28" s="49" t="s">
        <v>100</v>
      </c>
      <c r="D28" s="49" t="s">
        <v>77</v>
      </c>
      <c r="J28" s="73">
        <v>42522</v>
      </c>
    </row>
    <row r="29" spans="1:16" ht="13.8">
      <c r="A29" s="72" t="s">
        <v>76</v>
      </c>
      <c r="B29" s="72" t="s">
        <v>75</v>
      </c>
      <c r="C29" s="72" t="s">
        <v>74</v>
      </c>
      <c r="D29" s="49" t="s">
        <v>31</v>
      </c>
      <c r="E29" s="72" t="s">
        <v>47</v>
      </c>
      <c r="F29" s="72" t="s">
        <v>48</v>
      </c>
      <c r="G29" s="72" t="s">
        <v>49</v>
      </c>
      <c r="H29" s="72" t="s">
        <v>50</v>
      </c>
      <c r="I29" s="72" t="s">
        <v>51</v>
      </c>
      <c r="J29" s="72" t="s">
        <v>73</v>
      </c>
    </row>
    <row r="30" spans="1:16" ht="13.8">
      <c r="A30" t="s">
        <v>0</v>
      </c>
      <c r="B30" t="s">
        <v>93</v>
      </c>
      <c r="C30" s="39">
        <v>1009197</v>
      </c>
      <c r="D30" s="71">
        <v>133992.48000000001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f>+C30+D30</f>
        <v>1143189.48</v>
      </c>
    </row>
    <row r="31" spans="1:16" ht="13.8">
      <c r="A31" t="s">
        <v>2</v>
      </c>
      <c r="B31" t="s">
        <v>93</v>
      </c>
      <c r="C31" s="39">
        <v>420203</v>
      </c>
      <c r="D31" s="71">
        <v>46277.88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f>+C31+D31</f>
        <v>466480.88</v>
      </c>
    </row>
    <row r="32" spans="1:16" ht="13.8">
      <c r="A32" t="s">
        <v>42</v>
      </c>
      <c r="B32" t="s">
        <v>94</v>
      </c>
      <c r="C32" s="39">
        <v>0</v>
      </c>
      <c r="D32" s="71"/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f t="shared" ref="J32:J37" si="2">+C32+D32</f>
        <v>0</v>
      </c>
    </row>
    <row r="33" spans="1:10" ht="13.8">
      <c r="A33" t="s">
        <v>43</v>
      </c>
      <c r="B33" t="s">
        <v>94</v>
      </c>
      <c r="C33" s="39">
        <v>0</v>
      </c>
      <c r="D33" s="71"/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f t="shared" si="2"/>
        <v>0</v>
      </c>
    </row>
    <row r="34" spans="1:10" ht="13.8">
      <c r="A34" t="s">
        <v>44</v>
      </c>
      <c r="B34" t="s">
        <v>95</v>
      </c>
      <c r="C34" s="39">
        <v>30182</v>
      </c>
      <c r="D34" s="71">
        <v>3559.32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f t="shared" si="2"/>
        <v>33741.32</v>
      </c>
    </row>
    <row r="35" spans="1:10" ht="13.8">
      <c r="A35" t="s">
        <v>45</v>
      </c>
      <c r="B35" t="s">
        <v>96</v>
      </c>
      <c r="C35" s="39">
        <v>14072</v>
      </c>
      <c r="D35" s="71">
        <v>2217.84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f t="shared" si="2"/>
        <v>16289.84</v>
      </c>
    </row>
    <row r="36" spans="1:10" ht="13.8">
      <c r="A36" t="s">
        <v>3</v>
      </c>
      <c r="B36" t="s">
        <v>97</v>
      </c>
      <c r="C36" s="39">
        <v>10293</v>
      </c>
      <c r="D36" s="71">
        <v>2133.48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f t="shared" si="2"/>
        <v>12426.48</v>
      </c>
    </row>
    <row r="37" spans="1:10" ht="13.8">
      <c r="A37" t="s">
        <v>46</v>
      </c>
      <c r="B37" t="s">
        <v>98</v>
      </c>
      <c r="C37" s="39">
        <v>0</v>
      </c>
      <c r="D37" s="71"/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f t="shared" si="2"/>
        <v>0</v>
      </c>
    </row>
    <row r="38" spans="1:10" ht="14.4" thickBot="1">
      <c r="B38" s="70" t="s">
        <v>72</v>
      </c>
      <c r="C38" s="69">
        <f>SUM(C30:C37)</f>
        <v>1483947</v>
      </c>
      <c r="D38" s="69">
        <f>SUM(D30:D37)</f>
        <v>188181.00000000003</v>
      </c>
      <c r="E38" s="69">
        <f t="shared" ref="E38:I38" si="3">SUM(E30:E37)</f>
        <v>0</v>
      </c>
      <c r="F38" s="69">
        <f t="shared" si="3"/>
        <v>0</v>
      </c>
      <c r="G38" s="69">
        <f t="shared" si="3"/>
        <v>0</v>
      </c>
      <c r="H38" s="69">
        <f t="shared" si="3"/>
        <v>0</v>
      </c>
      <c r="I38" s="69">
        <f t="shared" si="3"/>
        <v>0</v>
      </c>
      <c r="J38" s="69">
        <f>SUM(J30:J37)</f>
        <v>1672128</v>
      </c>
    </row>
    <row r="39" spans="1:10" ht="13.8" thickTop="1"/>
  </sheetData>
  <mergeCells count="2">
    <mergeCell ref="C2:O2"/>
    <mergeCell ref="C14:O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0CE8C2-504B-4319-80C0-5A2906243C46}"/>
</file>

<file path=customXml/itemProps2.xml><?xml version="1.0" encoding="utf-8"?>
<ds:datastoreItem xmlns:ds="http://schemas.openxmlformats.org/officeDocument/2006/customXml" ds:itemID="{E9ED7744-7D2E-4A8D-805C-371449B28FB7}"/>
</file>

<file path=customXml/itemProps3.xml><?xml version="1.0" encoding="utf-8"?>
<ds:datastoreItem xmlns:ds="http://schemas.openxmlformats.org/officeDocument/2006/customXml" ds:itemID="{BDD91AC5-CB7F-4126-8C82-1557E19B7BF0}"/>
</file>

<file path=customXml/itemProps4.xml><?xml version="1.0" encoding="utf-8"?>
<ds:datastoreItem xmlns:ds="http://schemas.openxmlformats.org/officeDocument/2006/customXml" ds:itemID="{4A5029D1-4A67-4EFA-82D7-4DEC1B459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WH Solar Balance SEpt 16</vt:lpstr>
      <vt:lpstr>WH deferred Tax Sept 2016</vt:lpstr>
      <vt:lpstr>Sept 16 PP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Winne, Peter</dc:creator>
  <cp:lastModifiedBy>kbarnard</cp:lastModifiedBy>
  <cp:lastPrinted>2017-01-04T17:16:25Z</cp:lastPrinted>
  <dcterms:created xsi:type="dcterms:W3CDTF">2011-02-02T00:03:16Z</dcterms:created>
  <dcterms:modified xsi:type="dcterms:W3CDTF">2018-04-05T16:09:20Z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