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Reconciliation'!$A$1:$R$154</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E6" i="1" l="1"/>
  <c r="N127" i="7" l="1"/>
  <c r="N128" i="7"/>
  <c r="N126" i="7"/>
  <c r="E127" i="7"/>
  <c r="E128" i="7"/>
  <c r="E126" i="7"/>
  <c r="C85" i="7" l="1"/>
  <c r="F57" i="7"/>
  <c r="F75" i="7"/>
  <c r="O57" i="7" l="1"/>
  <c r="O5" i="7"/>
  <c r="N111" i="7"/>
  <c r="N112" i="7"/>
  <c r="N110" i="7"/>
  <c r="E111" i="7"/>
  <c r="E112" i="7"/>
  <c r="E110" i="7"/>
  <c r="L43" i="7"/>
  <c r="L44" i="7"/>
  <c r="L42" i="7"/>
  <c r="C43" i="7"/>
  <c r="C44" i="7"/>
  <c r="C42" i="7"/>
  <c r="L27" i="7"/>
  <c r="L28" i="7"/>
  <c r="L26" i="7"/>
  <c r="C27" i="7"/>
  <c r="C28" i="7"/>
  <c r="C26" i="7"/>
  <c r="O109" i="7"/>
  <c r="F109" i="7"/>
  <c r="O93" i="7"/>
  <c r="F93" i="7"/>
  <c r="O75" i="7" l="1"/>
  <c r="L97" i="3" l="1"/>
  <c r="L98" i="3"/>
  <c r="L96" i="3"/>
  <c r="L93" i="3"/>
  <c r="L94" i="3"/>
  <c r="L92" i="3"/>
  <c r="M92" i="3" l="1"/>
  <c r="F6" i="7" l="1"/>
  <c r="J92" i="3" l="1"/>
  <c r="K92" i="3"/>
  <c r="D26" i="7"/>
  <c r="F26" i="7" l="1"/>
  <c r="M96" i="3"/>
  <c r="C67" i="7"/>
  <c r="M94" i="3" l="1"/>
  <c r="F62" i="3"/>
  <c r="F67" i="3" s="1"/>
  <c r="F66" i="3"/>
  <c r="G19" i="2"/>
  <c r="H19" i="2"/>
  <c r="I19" i="2"/>
  <c r="J19" i="2"/>
  <c r="K19" i="2"/>
  <c r="L19" i="2"/>
  <c r="M19" i="2"/>
  <c r="N19" i="2"/>
  <c r="O19" i="2"/>
  <c r="F19" i="2"/>
  <c r="E19" i="2"/>
  <c r="E18" i="2"/>
  <c r="F18" i="2"/>
  <c r="G18" i="2"/>
  <c r="H18" i="2"/>
  <c r="I18" i="2"/>
  <c r="J18" i="2"/>
  <c r="K18" i="2"/>
  <c r="L18" i="2"/>
  <c r="M18" i="2"/>
  <c r="N18" i="2"/>
  <c r="O18" i="2"/>
  <c r="D19" i="2"/>
  <c r="E40" i="1" l="1"/>
  <c r="F40" i="1"/>
  <c r="D40" i="1"/>
  <c r="H40" i="1"/>
  <c r="E21" i="1"/>
  <c r="F21" i="1"/>
  <c r="D21" i="1"/>
  <c r="L85" i="7" l="1"/>
  <c r="L67" i="7"/>
  <c r="N21" i="7" l="1"/>
  <c r="M21" i="7"/>
  <c r="D21" i="7"/>
  <c r="E21" i="7"/>
  <c r="F206" i="3" l="1"/>
  <c r="F86" i="3"/>
  <c r="J140" i="7" l="1"/>
  <c r="J124" i="7"/>
  <c r="J108" i="7"/>
  <c r="J92" i="7"/>
  <c r="J74" i="7"/>
  <c r="J56" i="7"/>
  <c r="J40" i="7"/>
  <c r="J24" i="7"/>
  <c r="F77" i="3"/>
  <c r="F73" i="3"/>
  <c r="F9" i="3"/>
  <c r="F78" i="3" l="1"/>
  <c r="M98" i="3" l="1"/>
  <c r="M97" i="3"/>
  <c r="M93" i="3"/>
  <c r="F13" i="7" l="1"/>
  <c r="J98" i="3" l="1"/>
  <c r="D18" i="7" l="1"/>
  <c r="D17" i="7"/>
  <c r="F12" i="7" l="1"/>
  <c r="F11" i="7"/>
  <c r="F19" i="7" s="1"/>
  <c r="J96" i="3" l="1"/>
  <c r="F169" i="3" l="1"/>
  <c r="F173" i="3"/>
  <c r="F178" i="3"/>
  <c r="F182" i="3"/>
  <c r="F183" i="3" l="1"/>
  <c r="F174" i="3"/>
  <c r="G17" i="1" l="1"/>
  <c r="Q4" i="7" l="1"/>
  <c r="O10" i="7" l="1"/>
  <c r="K96" i="3" l="1"/>
  <c r="J93" i="3"/>
  <c r="J97" i="3" l="1"/>
  <c r="J94" i="3"/>
  <c r="K94" i="3" l="1"/>
  <c r="O15" i="7"/>
  <c r="F15" i="7"/>
  <c r="F14" i="7"/>
  <c r="K93" i="3"/>
  <c r="H142" i="7" l="1"/>
  <c r="A141" i="7"/>
  <c r="J141" i="7" s="1"/>
  <c r="H126" i="7"/>
  <c r="Q126" i="7" s="1"/>
  <c r="M126" i="7" s="1"/>
  <c r="A125" i="7"/>
  <c r="J125" i="7" s="1"/>
  <c r="H110" i="7"/>
  <c r="Q110" i="7" s="1"/>
  <c r="M110" i="7" s="1"/>
  <c r="O110" i="7" s="1"/>
  <c r="A109" i="7"/>
  <c r="J109" i="7" s="1"/>
  <c r="H94" i="7"/>
  <c r="D94" i="7" s="1"/>
  <c r="F94" i="7" s="1"/>
  <c r="A93" i="7"/>
  <c r="J93" i="7" s="1"/>
  <c r="H77" i="7"/>
  <c r="D77" i="7" s="1"/>
  <c r="F77" i="7" s="1"/>
  <c r="A76" i="7"/>
  <c r="J76" i="7" s="1"/>
  <c r="A75" i="7"/>
  <c r="H59" i="7"/>
  <c r="J58" i="7"/>
  <c r="A57" i="7"/>
  <c r="J57" i="7" s="1"/>
  <c r="H42" i="7"/>
  <c r="A41" i="7"/>
  <c r="A42" i="7" s="1"/>
  <c r="A43" i="7" s="1"/>
  <c r="A37" i="7"/>
  <c r="J37" i="7" s="1"/>
  <c r="A36" i="7"/>
  <c r="J36" i="7" s="1"/>
  <c r="A35" i="7"/>
  <c r="J35" i="7" s="1"/>
  <c r="A34" i="7"/>
  <c r="J34" i="7" s="1"/>
  <c r="A33" i="7"/>
  <c r="J33" i="7" s="1"/>
  <c r="A32" i="7"/>
  <c r="J32" i="7" s="1"/>
  <c r="A31" i="7"/>
  <c r="J31" i="7" s="1"/>
  <c r="A30" i="7"/>
  <c r="J30" i="7" s="1"/>
  <c r="A29" i="7"/>
  <c r="J29" i="7" s="1"/>
  <c r="A28" i="7"/>
  <c r="J28" i="7" s="1"/>
  <c r="H27" i="7"/>
  <c r="H28" i="7" s="1"/>
  <c r="H30" i="7" s="1"/>
  <c r="H31" i="7" s="1"/>
  <c r="H32" i="7" s="1"/>
  <c r="H33" i="7" s="1"/>
  <c r="H34" i="7" s="1"/>
  <c r="H35" i="7" s="1"/>
  <c r="A27" i="7"/>
  <c r="J27" i="7" s="1"/>
  <c r="Q26" i="7"/>
  <c r="M26" i="7" s="1"/>
  <c r="A26" i="7"/>
  <c r="J26" i="7" s="1"/>
  <c r="J25"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J5" i="7"/>
  <c r="F5" i="7"/>
  <c r="D59" i="7" l="1"/>
  <c r="F59" i="7" s="1"/>
  <c r="D126" i="7"/>
  <c r="F126" i="7" s="1"/>
  <c r="O21" i="7"/>
  <c r="O126" i="7"/>
  <c r="H45" i="7"/>
  <c r="Q45" i="7" s="1"/>
  <c r="H62" i="7"/>
  <c r="Q62" i="7" s="1"/>
  <c r="H80" i="7"/>
  <c r="Q80" i="7" s="1"/>
  <c r="Q29" i="7"/>
  <c r="H113" i="7"/>
  <c r="Q113" i="7" s="1"/>
  <c r="H129" i="7"/>
  <c r="Q129" i="7" s="1"/>
  <c r="H97" i="7"/>
  <c r="Q97" i="7" s="1"/>
  <c r="H36" i="7"/>
  <c r="H37" i="7" s="1"/>
  <c r="H103" i="7"/>
  <c r="H104" i="7" s="1"/>
  <c r="H105" i="7" s="1"/>
  <c r="D110" i="7"/>
  <c r="F110" i="7" s="1"/>
  <c r="H98" i="7"/>
  <c r="Q98" i="7" s="1"/>
  <c r="H145" i="7"/>
  <c r="Q145" i="7" s="1"/>
  <c r="F21" i="7"/>
  <c r="D27" i="7"/>
  <c r="F17" i="7"/>
  <c r="Q94" i="7"/>
  <c r="M94" i="7" s="1"/>
  <c r="O94" i="7" s="1"/>
  <c r="H78" i="7"/>
  <c r="Q78" i="7" s="1"/>
  <c r="O17" i="7"/>
  <c r="Q59" i="7"/>
  <c r="H95" i="7"/>
  <c r="Q95" i="7" s="1"/>
  <c r="H143" i="7"/>
  <c r="Q143" i="7" s="1"/>
  <c r="F18" i="7"/>
  <c r="Q27" i="7"/>
  <c r="H60" i="7"/>
  <c r="Q60" i="7" s="1"/>
  <c r="J42" i="7"/>
  <c r="H63" i="7"/>
  <c r="Q63" i="7" s="1"/>
  <c r="A94" i="7"/>
  <c r="J94" i="7" s="1"/>
  <c r="O18" i="7"/>
  <c r="F20" i="7"/>
  <c r="H43" i="7"/>
  <c r="Q43" i="7" s="1"/>
  <c r="A59" i="7"/>
  <c r="J59" i="7" s="1"/>
  <c r="H44" i="7"/>
  <c r="Q44" i="7" s="1"/>
  <c r="H79" i="7"/>
  <c r="Q79" i="7" s="1"/>
  <c r="Q28" i="7"/>
  <c r="H81" i="7"/>
  <c r="Q81" i="7" s="1"/>
  <c r="H146" i="7"/>
  <c r="Q146" i="7" s="1"/>
  <c r="J41" i="7"/>
  <c r="H46" i="7"/>
  <c r="Q46" i="7" s="1"/>
  <c r="A142" i="7"/>
  <c r="J43" i="7"/>
  <c r="A44" i="7"/>
  <c r="D42" i="7"/>
  <c r="Q42" i="7"/>
  <c r="M42" i="7" s="1"/>
  <c r="O42" i="7" s="1"/>
  <c r="O26" i="7"/>
  <c r="H128" i="7"/>
  <c r="Q128" i="7" s="1"/>
  <c r="H112" i="7"/>
  <c r="Q112" i="7" s="1"/>
  <c r="H144" i="7"/>
  <c r="Q144" i="7" s="1"/>
  <c r="H96" i="7"/>
  <c r="Q96" i="7" s="1"/>
  <c r="H61" i="7"/>
  <c r="Q61" i="7" s="1"/>
  <c r="A77" i="7"/>
  <c r="J75" i="7"/>
  <c r="O19" i="7"/>
  <c r="Q77" i="7"/>
  <c r="D142" i="7"/>
  <c r="F142" i="7" s="1"/>
  <c r="Q142" i="7"/>
  <c r="M142" i="7" s="1"/>
  <c r="O142" i="7" s="1"/>
  <c r="A126" i="7"/>
  <c r="O20" i="7"/>
  <c r="H127" i="7"/>
  <c r="Q127" i="7" s="1"/>
  <c r="M127" i="7" s="1"/>
  <c r="O127" i="7" s="1"/>
  <c r="H111" i="7"/>
  <c r="Q111" i="7" s="1"/>
  <c r="M111" i="7" s="1"/>
  <c r="O111" i="7" s="1"/>
  <c r="A110" i="7"/>
  <c r="H130" i="7"/>
  <c r="Q130" i="7" s="1"/>
  <c r="H114" i="7"/>
  <c r="Q114" i="7" s="1"/>
  <c r="Q30" i="7"/>
  <c r="M59" i="7" l="1"/>
  <c r="O59" i="7" s="1"/>
  <c r="M60" i="7" s="1"/>
  <c r="O60" i="7" s="1"/>
  <c r="O77" i="7"/>
  <c r="M78" i="7" s="1"/>
  <c r="O78" i="7" s="1"/>
  <c r="M79" i="7" s="1"/>
  <c r="O79" i="7" s="1"/>
  <c r="M77" i="7"/>
  <c r="C5" i="7"/>
  <c r="H5" i="7" s="1"/>
  <c r="L5" i="7"/>
  <c r="A95" i="7"/>
  <c r="J95" i="7" s="1"/>
  <c r="D78" i="7"/>
  <c r="F78" i="7" s="1"/>
  <c r="D79" i="7" s="1"/>
  <c r="F79" i="7" s="1"/>
  <c r="D60" i="7"/>
  <c r="D95" i="7"/>
  <c r="F95" i="7" s="1"/>
  <c r="D96" i="7" s="1"/>
  <c r="F96" i="7" s="1"/>
  <c r="A60" i="7"/>
  <c r="J60" i="7" s="1"/>
  <c r="M95" i="7"/>
  <c r="O95" i="7" s="1"/>
  <c r="M96" i="7" s="1"/>
  <c r="O96" i="7" s="1"/>
  <c r="J142" i="7"/>
  <c r="A143" i="7"/>
  <c r="M112" i="7"/>
  <c r="O112" i="7" s="1"/>
  <c r="J126" i="7"/>
  <c r="A127" i="7"/>
  <c r="M128" i="7"/>
  <c r="O128" i="7" s="1"/>
  <c r="M43" i="7"/>
  <c r="O43" i="7" s="1"/>
  <c r="A45" i="7"/>
  <c r="J44" i="7"/>
  <c r="M143" i="7"/>
  <c r="O143" i="7" s="1"/>
  <c r="A78" i="7"/>
  <c r="J77" i="7"/>
  <c r="F42" i="7"/>
  <c r="D143" i="7"/>
  <c r="F143" i="7" s="1"/>
  <c r="A96" i="7"/>
  <c r="M27" i="7"/>
  <c r="O27" i="7" s="1"/>
  <c r="D111" i="7"/>
  <c r="F111" i="7" s="1"/>
  <c r="H131" i="7"/>
  <c r="Q131" i="7" s="1"/>
  <c r="H115" i="7"/>
  <c r="Q115" i="7" s="1"/>
  <c r="H99" i="7"/>
  <c r="Q99" i="7" s="1"/>
  <c r="Q31" i="7"/>
  <c r="H82" i="7"/>
  <c r="Q82" i="7" s="1"/>
  <c r="H47" i="7"/>
  <c r="Q47" i="7" s="1"/>
  <c r="H64" i="7"/>
  <c r="Q64" i="7" s="1"/>
  <c r="H147" i="7"/>
  <c r="Q147" i="7" s="1"/>
  <c r="J110" i="7"/>
  <c r="A111" i="7"/>
  <c r="D127" i="7"/>
  <c r="F127" i="7" s="1"/>
  <c r="F27" i="7"/>
  <c r="F60" i="7" l="1"/>
  <c r="D61" i="7" s="1"/>
  <c r="F61" i="7" s="1"/>
  <c r="D62" i="7" s="1"/>
  <c r="F62" i="7" s="1"/>
  <c r="D63" i="7" s="1"/>
  <c r="F63" i="7" s="1"/>
  <c r="A61" i="7"/>
  <c r="M80" i="7"/>
  <c r="O80" i="7" s="1"/>
  <c r="M81" i="7" s="1"/>
  <c r="O81" i="7" s="1"/>
  <c r="D80" i="7"/>
  <c r="F80" i="7" s="1"/>
  <c r="D81" i="7" s="1"/>
  <c r="F81" i="7" s="1"/>
  <c r="M61" i="7"/>
  <c r="O61" i="7" s="1"/>
  <c r="M62" i="7" s="1"/>
  <c r="O62" i="7" s="1"/>
  <c r="Q5" i="7"/>
  <c r="J143" i="7"/>
  <c r="A144" i="7"/>
  <c r="M97" i="7"/>
  <c r="O97" i="7" s="1"/>
  <c r="M113" i="7"/>
  <c r="O113" i="7" s="1"/>
  <c r="D144" i="7"/>
  <c r="F144" i="7" s="1"/>
  <c r="D97" i="7"/>
  <c r="F97" i="7" s="1"/>
  <c r="D28" i="7"/>
  <c r="F28" i="7" s="1"/>
  <c r="J111" i="7"/>
  <c r="A112" i="7"/>
  <c r="D112" i="7"/>
  <c r="F112" i="7" s="1"/>
  <c r="M28" i="7"/>
  <c r="A128" i="7"/>
  <c r="J127" i="7"/>
  <c r="J61" i="7"/>
  <c r="A62" i="7"/>
  <c r="J96" i="7"/>
  <c r="A97" i="7"/>
  <c r="A79" i="7"/>
  <c r="J78" i="7"/>
  <c r="J45" i="7"/>
  <c r="A46" i="7"/>
  <c r="D43" i="7"/>
  <c r="C6" i="7" s="1"/>
  <c r="H6" i="7" s="1"/>
  <c r="M144" i="7"/>
  <c r="O144" i="7" s="1"/>
  <c r="M44" i="7"/>
  <c r="O44" i="7" s="1"/>
  <c r="M129" i="7"/>
  <c r="O129" i="7" s="1"/>
  <c r="D128" i="7"/>
  <c r="F128" i="7" s="1"/>
  <c r="H132" i="7"/>
  <c r="Q132" i="7" s="1"/>
  <c r="H116" i="7"/>
  <c r="Q116" i="7" s="1"/>
  <c r="H100" i="7"/>
  <c r="Q100" i="7" s="1"/>
  <c r="Q32" i="7"/>
  <c r="H65" i="7"/>
  <c r="Q65" i="7" s="1"/>
  <c r="H148" i="7"/>
  <c r="Q148" i="7" s="1"/>
  <c r="H48" i="7"/>
  <c r="Q48" i="7" s="1"/>
  <c r="H83" i="7"/>
  <c r="Q83" i="7" s="1"/>
  <c r="L6" i="7"/>
  <c r="Q6" i="7" s="1"/>
  <c r="M63" i="7" l="1"/>
  <c r="O63" i="7" s="1"/>
  <c r="M64" i="7" s="1"/>
  <c r="O64" i="7" s="1"/>
  <c r="D64" i="7"/>
  <c r="F64" i="7" s="1"/>
  <c r="D65" i="7" s="1"/>
  <c r="F65" i="7" s="1"/>
  <c r="M82" i="7"/>
  <c r="O82" i="7" s="1"/>
  <c r="M83" i="7" s="1"/>
  <c r="O83" i="7" s="1"/>
  <c r="D82" i="7"/>
  <c r="F82" i="7" s="1"/>
  <c r="D83" i="7" s="1"/>
  <c r="F83" i="7" s="1"/>
  <c r="F43" i="7"/>
  <c r="D44" i="7" s="1"/>
  <c r="F44" i="7" s="1"/>
  <c r="D45" i="7" s="1"/>
  <c r="D98" i="7"/>
  <c r="F98" i="7" s="1"/>
  <c r="D99" i="7" s="1"/>
  <c r="J144" i="7"/>
  <c r="A145" i="7"/>
  <c r="M114" i="7"/>
  <c r="O114" i="7" s="1"/>
  <c r="M98" i="7"/>
  <c r="O98" i="7" s="1"/>
  <c r="M99" i="7" s="1"/>
  <c r="D129" i="7"/>
  <c r="F129" i="7" s="1"/>
  <c r="M130" i="7"/>
  <c r="O130" i="7" s="1"/>
  <c r="M145" i="7"/>
  <c r="O145" i="7" s="1"/>
  <c r="A47" i="7"/>
  <c r="J46" i="7"/>
  <c r="A63" i="7"/>
  <c r="J62" i="7"/>
  <c r="L7" i="7"/>
  <c r="Q7" i="7" s="1"/>
  <c r="J112" i="7"/>
  <c r="A113" i="7"/>
  <c r="D145" i="7"/>
  <c r="F145" i="7" s="1"/>
  <c r="O28" i="7"/>
  <c r="H133" i="7"/>
  <c r="Q133" i="7" s="1"/>
  <c r="H117" i="7"/>
  <c r="Q117" i="7" s="1"/>
  <c r="H101" i="7"/>
  <c r="Q101" i="7" s="1"/>
  <c r="Q33" i="7"/>
  <c r="H84" i="7"/>
  <c r="Q84" i="7" s="1"/>
  <c r="H49" i="7"/>
  <c r="Q49" i="7" s="1"/>
  <c r="H149" i="7"/>
  <c r="Q149" i="7" s="1"/>
  <c r="H66" i="7"/>
  <c r="Q66" i="7" s="1"/>
  <c r="M45" i="7"/>
  <c r="O45" i="7" s="1"/>
  <c r="J97" i="7"/>
  <c r="A98" i="7"/>
  <c r="D113" i="7"/>
  <c r="F113" i="7" s="1"/>
  <c r="A80" i="7"/>
  <c r="J79" i="7"/>
  <c r="J128" i="7"/>
  <c r="A129" i="7"/>
  <c r="M84" i="7" l="1"/>
  <c r="O84" i="7" s="1"/>
  <c r="D84" i="7"/>
  <c r="F84" i="7" s="1"/>
  <c r="M65" i="7"/>
  <c r="O65" i="7" s="1"/>
  <c r="M66" i="7" s="1"/>
  <c r="O66" i="7" s="1"/>
  <c r="D66" i="7"/>
  <c r="F66" i="7" s="1"/>
  <c r="C7" i="7"/>
  <c r="A146" i="7"/>
  <c r="J145" i="7"/>
  <c r="M131" i="7"/>
  <c r="O131" i="7" s="1"/>
  <c r="F99" i="7"/>
  <c r="D114" i="7"/>
  <c r="F114" i="7" s="1"/>
  <c r="D130" i="7"/>
  <c r="F130" i="7" s="1"/>
  <c r="F45" i="7"/>
  <c r="D46" i="7" s="1"/>
  <c r="O99" i="7"/>
  <c r="H134" i="7"/>
  <c r="Q134" i="7" s="1"/>
  <c r="H118" i="7"/>
  <c r="Q118" i="7" s="1"/>
  <c r="H102" i="7"/>
  <c r="Q102" i="7" s="1"/>
  <c r="Q34" i="7"/>
  <c r="H67" i="7"/>
  <c r="Q67" i="7" s="1"/>
  <c r="H150" i="7"/>
  <c r="Q150" i="7" s="1"/>
  <c r="H85" i="7"/>
  <c r="Q85" i="7" s="1"/>
  <c r="H50" i="7"/>
  <c r="Q50" i="7" s="1"/>
  <c r="M29" i="7"/>
  <c r="L8" i="7" s="1"/>
  <c r="J98" i="7"/>
  <c r="A99" i="7"/>
  <c r="M46" i="7"/>
  <c r="O46" i="7" s="1"/>
  <c r="M47" i="7" s="1"/>
  <c r="D146" i="7"/>
  <c r="F146" i="7" s="1"/>
  <c r="J47" i="7"/>
  <c r="A48" i="7"/>
  <c r="D29" i="7"/>
  <c r="C8" i="7" s="1"/>
  <c r="A81" i="7"/>
  <c r="J80" i="7"/>
  <c r="M146" i="7"/>
  <c r="O146" i="7" s="1"/>
  <c r="M115" i="7"/>
  <c r="O115" i="7" s="1"/>
  <c r="A130" i="7"/>
  <c r="J129" i="7"/>
  <c r="L17" i="7"/>
  <c r="Q17" i="7" s="1"/>
  <c r="A114" i="7"/>
  <c r="J113" i="7"/>
  <c r="J63" i="7"/>
  <c r="A64" i="7"/>
  <c r="D85" i="7" l="1"/>
  <c r="F85" i="7" s="1"/>
  <c r="M85" i="7"/>
  <c r="O85" i="7" s="1"/>
  <c r="M67" i="7"/>
  <c r="O67" i="7" s="1"/>
  <c r="D67" i="7"/>
  <c r="F67" i="7" s="1"/>
  <c r="C17" i="7"/>
  <c r="H17" i="7" s="1"/>
  <c r="H7" i="7"/>
  <c r="D100" i="7"/>
  <c r="F100" i="7" s="1"/>
  <c r="H8" i="7"/>
  <c r="J146" i="7"/>
  <c r="A147" i="7"/>
  <c r="O47" i="7"/>
  <c r="D115" i="7"/>
  <c r="F115" i="7" s="1"/>
  <c r="M132" i="7"/>
  <c r="O132" i="7" s="1"/>
  <c r="M116" i="7"/>
  <c r="O116" i="7" s="1"/>
  <c r="M117" i="7" s="1"/>
  <c r="M100" i="7"/>
  <c r="A65" i="7"/>
  <c r="J64" i="7"/>
  <c r="A82" i="7"/>
  <c r="J81" i="7"/>
  <c r="H135" i="7"/>
  <c r="Q135" i="7" s="1"/>
  <c r="Q103" i="7"/>
  <c r="Q35" i="7"/>
  <c r="H151" i="7"/>
  <c r="Q151" i="7" s="1"/>
  <c r="H86" i="7"/>
  <c r="Q86" i="7" s="1"/>
  <c r="H51" i="7"/>
  <c r="Q51" i="7" s="1"/>
  <c r="H68" i="7"/>
  <c r="Q68" i="7" s="1"/>
  <c r="H119" i="7"/>
  <c r="Q119" i="7" s="1"/>
  <c r="F46" i="7"/>
  <c r="M147" i="7"/>
  <c r="O147" i="7" s="1"/>
  <c r="D147" i="7"/>
  <c r="F147" i="7" s="1"/>
  <c r="J99" i="7"/>
  <c r="A100" i="7"/>
  <c r="Q8" i="7"/>
  <c r="J130" i="7"/>
  <c r="A131" i="7"/>
  <c r="F29" i="7"/>
  <c r="O29" i="7"/>
  <c r="D131" i="7"/>
  <c r="F131" i="7" s="1"/>
  <c r="J114" i="7"/>
  <c r="A115" i="7"/>
  <c r="A49" i="7"/>
  <c r="J48" i="7"/>
  <c r="M68" i="7" l="1"/>
  <c r="O68" i="7" s="1"/>
  <c r="L69" i="7" s="1"/>
  <c r="L103" i="7" s="1"/>
  <c r="D68" i="7"/>
  <c r="F68" i="7" s="1"/>
  <c r="C69" i="7" s="1"/>
  <c r="M86" i="7"/>
  <c r="O86" i="7" s="1"/>
  <c r="D86" i="7"/>
  <c r="F86" i="7" s="1"/>
  <c r="D101" i="7"/>
  <c r="F101" i="7" s="1"/>
  <c r="O100" i="7"/>
  <c r="M101" i="7" s="1"/>
  <c r="O101" i="7" s="1"/>
  <c r="A148" i="7"/>
  <c r="J147" i="7"/>
  <c r="D148" i="7"/>
  <c r="M133" i="7"/>
  <c r="O133" i="7" s="1"/>
  <c r="D116" i="7"/>
  <c r="F116" i="7" s="1"/>
  <c r="M148" i="7"/>
  <c r="O148" i="7" s="1"/>
  <c r="D30" i="7"/>
  <c r="C9" i="7" s="1"/>
  <c r="M48" i="7"/>
  <c r="O48" i="7" s="1"/>
  <c r="D132" i="7"/>
  <c r="F132" i="7" s="1"/>
  <c r="A132" i="7"/>
  <c r="J131" i="7"/>
  <c r="A101" i="7"/>
  <c r="J100" i="7"/>
  <c r="D47" i="7"/>
  <c r="F47" i="7" s="1"/>
  <c r="A83" i="7"/>
  <c r="J82" i="7"/>
  <c r="J49" i="7"/>
  <c r="A50" i="7"/>
  <c r="O117" i="7"/>
  <c r="A116" i="7"/>
  <c r="J115" i="7"/>
  <c r="M30" i="7"/>
  <c r="L9" i="7" s="1"/>
  <c r="H136" i="7"/>
  <c r="Q136" i="7" s="1"/>
  <c r="H120" i="7"/>
  <c r="Q120" i="7" s="1"/>
  <c r="Q36" i="7"/>
  <c r="Q104" i="7"/>
  <c r="H152" i="7"/>
  <c r="Q152" i="7" s="1"/>
  <c r="H69" i="7"/>
  <c r="Q69" i="7" s="1"/>
  <c r="H87" i="7"/>
  <c r="Q87" i="7" s="1"/>
  <c r="H52" i="7"/>
  <c r="Q52" i="7" s="1"/>
  <c r="J65" i="7"/>
  <c r="A66" i="7"/>
  <c r="F69" i="7" l="1"/>
  <c r="C103" i="7"/>
  <c r="O69" i="7"/>
  <c r="L87" i="7"/>
  <c r="L119" i="7" s="1"/>
  <c r="C87" i="7"/>
  <c r="C119" i="7" s="1"/>
  <c r="M102" i="7"/>
  <c r="O102" i="7" s="1"/>
  <c r="D102" i="7"/>
  <c r="F102" i="7" s="1"/>
  <c r="F148" i="7"/>
  <c r="D149" i="7" s="1"/>
  <c r="A149" i="7"/>
  <c r="J148" i="7"/>
  <c r="D133" i="7"/>
  <c r="F133" i="7" s="1"/>
  <c r="D117" i="7"/>
  <c r="F117" i="7" s="1"/>
  <c r="M134" i="7"/>
  <c r="O134" i="7" s="1"/>
  <c r="M135" i="7" s="1"/>
  <c r="M118" i="7"/>
  <c r="J116" i="7"/>
  <c r="A117" i="7"/>
  <c r="H9" i="7"/>
  <c r="Q9" i="7"/>
  <c r="A84" i="7"/>
  <c r="J83" i="7"/>
  <c r="J101" i="7"/>
  <c r="A102" i="7"/>
  <c r="F30" i="7"/>
  <c r="A67" i="7"/>
  <c r="J66" i="7"/>
  <c r="H137" i="7"/>
  <c r="Q137" i="7" s="1"/>
  <c r="Q37" i="7"/>
  <c r="H153" i="7"/>
  <c r="Q153" i="7" s="1"/>
  <c r="Q105" i="7"/>
  <c r="H121" i="7"/>
  <c r="Q121" i="7" s="1"/>
  <c r="H88" i="7"/>
  <c r="Q88" i="7" s="1"/>
  <c r="H53" i="7"/>
  <c r="Q53" i="7" s="1"/>
  <c r="H70" i="7"/>
  <c r="Q70" i="7" s="1"/>
  <c r="O30" i="7"/>
  <c r="A51" i="7"/>
  <c r="J50" i="7"/>
  <c r="D48" i="7"/>
  <c r="F48" i="7" s="1"/>
  <c r="D49" i="7" s="1"/>
  <c r="M49" i="7"/>
  <c r="O49" i="7" s="1"/>
  <c r="M149" i="7"/>
  <c r="O149" i="7" s="1"/>
  <c r="J132" i="7"/>
  <c r="A133" i="7"/>
  <c r="M70" i="7" l="1"/>
  <c r="O70" i="7" s="1"/>
  <c r="D87" i="7"/>
  <c r="F87" i="7" s="1"/>
  <c r="D88" i="7" s="1"/>
  <c r="F88" i="7" s="1"/>
  <c r="M87" i="7"/>
  <c r="O87" i="7" s="1"/>
  <c r="M88" i="7" s="1"/>
  <c r="O88" i="7" s="1"/>
  <c r="D70" i="7"/>
  <c r="F70" i="7" s="1"/>
  <c r="M103" i="7"/>
  <c r="O103" i="7" s="1"/>
  <c r="D103" i="7"/>
  <c r="F103" i="7" s="1"/>
  <c r="M50" i="7"/>
  <c r="O50" i="7" s="1"/>
  <c r="D118" i="7"/>
  <c r="F118" i="7" s="1"/>
  <c r="D119" i="7" s="1"/>
  <c r="O118" i="7"/>
  <c r="M119" i="7" s="1"/>
  <c r="F149" i="7"/>
  <c r="D150" i="7" s="1"/>
  <c r="F150" i="7" s="1"/>
  <c r="D151" i="7" s="1"/>
  <c r="J149" i="7"/>
  <c r="A150" i="7"/>
  <c r="M150" i="7"/>
  <c r="O150" i="7" s="1"/>
  <c r="M151" i="7" s="1"/>
  <c r="J67" i="7"/>
  <c r="A68" i="7"/>
  <c r="A118" i="7"/>
  <c r="J117" i="7"/>
  <c r="D134" i="7"/>
  <c r="F134" i="7" s="1"/>
  <c r="D135" i="7" s="1"/>
  <c r="J51" i="7"/>
  <c r="A52" i="7"/>
  <c r="D31" i="7"/>
  <c r="C10" i="7" s="1"/>
  <c r="H10" i="7" s="1"/>
  <c r="A85" i="7"/>
  <c r="J84" i="7"/>
  <c r="J133" i="7"/>
  <c r="A134" i="7"/>
  <c r="F49" i="7"/>
  <c r="M31" i="7"/>
  <c r="L10" i="7" s="1"/>
  <c r="A103" i="7"/>
  <c r="J102" i="7"/>
  <c r="L104" i="7" l="1"/>
  <c r="C104" i="7"/>
  <c r="C135" i="7" s="1"/>
  <c r="D50" i="7"/>
  <c r="F50" i="7" s="1"/>
  <c r="J150" i="7"/>
  <c r="A151" i="7"/>
  <c r="F31" i="7"/>
  <c r="D32" i="7" s="1"/>
  <c r="C11" i="7" s="1"/>
  <c r="J134" i="7"/>
  <c r="A135" i="7"/>
  <c r="M51" i="7"/>
  <c r="O51" i="7" s="1"/>
  <c r="J103" i="7"/>
  <c r="A104" i="7"/>
  <c r="H18" i="7"/>
  <c r="C18" i="7"/>
  <c r="A119" i="7"/>
  <c r="J118" i="7"/>
  <c r="Q10" i="7"/>
  <c r="L18" i="7"/>
  <c r="Q18" i="7" s="1"/>
  <c r="A53" i="7"/>
  <c r="J53" i="7" s="1"/>
  <c r="J52" i="7"/>
  <c r="A69" i="7"/>
  <c r="J68" i="7"/>
  <c r="O31" i="7"/>
  <c r="A86" i="7"/>
  <c r="J85" i="7"/>
  <c r="F135" i="7" l="1"/>
  <c r="D136" i="7" s="1"/>
  <c r="F136" i="7" s="1"/>
  <c r="D104" i="7"/>
  <c r="F104" i="7" s="1"/>
  <c r="D105" i="7" s="1"/>
  <c r="F105" i="7" s="1"/>
  <c r="L135" i="7"/>
  <c r="O135" i="7" s="1"/>
  <c r="M136" i="7" s="1"/>
  <c r="O136" i="7" s="1"/>
  <c r="M137" i="7" s="1"/>
  <c r="O137" i="7" s="1"/>
  <c r="M104" i="7"/>
  <c r="O104" i="7" s="1"/>
  <c r="H11" i="7"/>
  <c r="F119" i="7"/>
  <c r="J151" i="7"/>
  <c r="A152" i="7"/>
  <c r="M32" i="7"/>
  <c r="L11" i="7" s="1"/>
  <c r="J119" i="7"/>
  <c r="A120" i="7"/>
  <c r="J69" i="7"/>
  <c r="A70" i="7"/>
  <c r="J70" i="7" s="1"/>
  <c r="M52" i="7"/>
  <c r="O52" i="7" s="1"/>
  <c r="D51" i="7"/>
  <c r="F51" i="7" s="1"/>
  <c r="F32" i="7"/>
  <c r="A87" i="7"/>
  <c r="J86" i="7"/>
  <c r="J104" i="7"/>
  <c r="A105" i="7"/>
  <c r="J105" i="7" s="1"/>
  <c r="J135" i="7"/>
  <c r="A136" i="7"/>
  <c r="C120" i="7" l="1"/>
  <c r="O119" i="7"/>
  <c r="M105" i="7"/>
  <c r="J152" i="7"/>
  <c r="A153" i="7"/>
  <c r="J153" i="7" s="1"/>
  <c r="D137" i="7"/>
  <c r="F137" i="7" s="1"/>
  <c r="D33" i="7"/>
  <c r="D52" i="7"/>
  <c r="F52" i="7" s="1"/>
  <c r="M53" i="7"/>
  <c r="O53" i="7" s="1"/>
  <c r="Q11" i="7"/>
  <c r="O32" i="7"/>
  <c r="J136" i="7"/>
  <c r="A137" i="7"/>
  <c r="J137" i="7" s="1"/>
  <c r="A121" i="7"/>
  <c r="J121" i="7" s="1"/>
  <c r="J120" i="7"/>
  <c r="A88" i="7"/>
  <c r="J88" i="7" s="1"/>
  <c r="J87" i="7"/>
  <c r="D120" i="7" l="1"/>
  <c r="F120" i="7" s="1"/>
  <c r="D121" i="7" s="1"/>
  <c r="C151" i="7"/>
  <c r="F151" i="7" s="1"/>
  <c r="L120" i="7"/>
  <c r="C12" i="7"/>
  <c r="O105" i="7"/>
  <c r="F33" i="7"/>
  <c r="D34" i="7" s="1"/>
  <c r="C13" i="7" s="1"/>
  <c r="H13" i="7" s="1"/>
  <c r="M33" i="7"/>
  <c r="L12" i="7" s="1"/>
  <c r="Q12" i="7" s="1"/>
  <c r="D53" i="7"/>
  <c r="F53" i="7" s="1"/>
  <c r="M120" i="7" l="1"/>
  <c r="O120" i="7" s="1"/>
  <c r="M121" i="7" s="1"/>
  <c r="L151" i="7"/>
  <c r="O151" i="7" s="1"/>
  <c r="M152" i="7" s="1"/>
  <c r="O152" i="7" s="1"/>
  <c r="M153" i="7" s="1"/>
  <c r="O153" i="7" s="1"/>
  <c r="D152" i="7"/>
  <c r="F152" i="7" s="1"/>
  <c r="F121" i="7"/>
  <c r="C19" i="7"/>
  <c r="H19" i="7" s="1"/>
  <c r="H12" i="7"/>
  <c r="F34" i="7"/>
  <c r="O33" i="7"/>
  <c r="M34" i="7" s="1"/>
  <c r="D153" i="7" l="1"/>
  <c r="F153" i="7" s="1"/>
  <c r="O121" i="7"/>
  <c r="D35" i="7"/>
  <c r="C14" i="7" s="1"/>
  <c r="L13" i="7"/>
  <c r="O34" i="7" l="1"/>
  <c r="M35" i="7" s="1"/>
  <c r="L14" i="7" s="1"/>
  <c r="Q14" i="7" s="1"/>
  <c r="F35" i="7"/>
  <c r="D36" i="7" s="1"/>
  <c r="C15" i="7" s="1"/>
  <c r="H15" i="7" s="1"/>
  <c r="H14" i="7"/>
  <c r="Q13" i="7"/>
  <c r="L19" i="7"/>
  <c r="Q19" i="7" s="1"/>
  <c r="O35" i="7" l="1"/>
  <c r="F36" i="7"/>
  <c r="D37" i="7" l="1"/>
  <c r="C16" i="7" s="1"/>
  <c r="C21" i="7" s="1"/>
  <c r="H21" i="7" s="1"/>
  <c r="M36" i="7"/>
  <c r="L15" i="7" l="1"/>
  <c r="Q15" i="7" s="1"/>
  <c r="F37" i="7"/>
  <c r="H16" i="7"/>
  <c r="C20" i="7"/>
  <c r="H20" i="7" s="1"/>
  <c r="O36" i="7"/>
  <c r="M37" i="7" l="1"/>
  <c r="L16" i="7" s="1"/>
  <c r="L21" i="7" s="1"/>
  <c r="Q21" i="7" s="1"/>
  <c r="Q16" i="7" l="1"/>
  <c r="L20" i="7"/>
  <c r="Q20" i="7" s="1"/>
  <c r="O37" i="7"/>
  <c r="F215" i="3" l="1"/>
  <c r="F211" i="3"/>
  <c r="F202" i="3"/>
  <c r="F207" i="3" s="1"/>
  <c r="F197" i="3"/>
  <c r="F193" i="3"/>
  <c r="F164" i="3"/>
  <c r="F160" i="3"/>
  <c r="F155" i="3"/>
  <c r="F151" i="3"/>
  <c r="F142" i="3"/>
  <c r="F138" i="3"/>
  <c r="F134" i="3"/>
  <c r="F130" i="3"/>
  <c r="F122" i="3"/>
  <c r="F118" i="3"/>
  <c r="F114" i="3"/>
  <c r="F110" i="3"/>
  <c r="F99" i="3"/>
  <c r="F95" i="3"/>
  <c r="F82" i="3"/>
  <c r="F87" i="3" s="1"/>
  <c r="F57" i="3"/>
  <c r="F53" i="3"/>
  <c r="F44" i="3"/>
  <c r="F40" i="3"/>
  <c r="F35" i="3"/>
  <c r="F31" i="3"/>
  <c r="F22" i="3"/>
  <c r="F18" i="3"/>
  <c r="F13" i="3"/>
  <c r="F156" i="3" l="1"/>
  <c r="F23" i="3"/>
  <c r="F100" i="3"/>
  <c r="F45" i="3"/>
  <c r="F198" i="3"/>
  <c r="F165" i="3"/>
  <c r="F58" i="3"/>
  <c r="F36" i="3"/>
  <c r="F14" i="3"/>
  <c r="F184" i="3" l="1"/>
  <c r="E11" i="1"/>
  <c r="C23" i="2" l="1"/>
  <c r="C40" i="2"/>
  <c r="K98" i="3" l="1"/>
  <c r="K97"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F6" i="1"/>
  <c r="G6" i="1" s="1"/>
  <c r="H6" i="1" s="1"/>
  <c r="I6" i="1" s="1"/>
  <c r="J6" i="1" s="1"/>
  <c r="K6" i="1" s="1"/>
  <c r="L6" i="1" s="1"/>
  <c r="M6" i="1" s="1"/>
  <c r="N6" i="1" s="1"/>
  <c r="O6" i="1" s="1"/>
  <c r="D11" i="1"/>
  <c r="D36" i="2" l="1"/>
  <c r="R11" i="2"/>
  <c r="R10" i="2" s="1"/>
  <c r="P16" i="2"/>
  <c r="P17" i="2" s="1"/>
  <c r="E35" i="2"/>
  <c r="E36" i="2" s="1"/>
  <c r="S28" i="2"/>
  <c r="S27" i="2" s="1"/>
  <c r="S11" i="2"/>
  <c r="S10" i="2" s="1"/>
  <c r="C11" i="2"/>
  <c r="N35" i="2"/>
  <c r="N36" i="2" s="1"/>
  <c r="D17" i="2"/>
  <c r="L35" i="2"/>
  <c r="L36" i="2" s="1"/>
  <c r="K35" i="2"/>
  <c r="K36" i="2" s="1"/>
  <c r="F35" i="2"/>
  <c r="F36" i="2" s="1"/>
  <c r="P33" i="2"/>
  <c r="P34" i="2" s="1"/>
  <c r="D18" i="2"/>
  <c r="P11" i="2"/>
  <c r="P10" i="2" s="1"/>
  <c r="F20" i="2"/>
  <c r="F37" i="2" s="1"/>
  <c r="E37" i="2"/>
  <c r="T28" i="2"/>
  <c r="T27" i="2" s="1"/>
  <c r="P28" i="2"/>
  <c r="P27" i="2" s="1"/>
  <c r="R33" i="2"/>
  <c r="R34" i="2" s="1"/>
  <c r="J34" i="2"/>
  <c r="J35" i="2"/>
  <c r="J36" i="2" s="1"/>
  <c r="K34" i="2"/>
  <c r="H17" i="2"/>
  <c r="Q28" i="2"/>
  <c r="Q27" i="2" s="1"/>
  <c r="M35" i="2"/>
  <c r="M36" i="2" s="1"/>
  <c r="M34" i="2"/>
  <c r="G35" i="2"/>
  <c r="G36" i="2" s="1"/>
  <c r="Q30" i="1"/>
  <c r="Q29" i="1" s="1"/>
  <c r="C30" i="1"/>
  <c r="E19" i="1"/>
  <c r="E20" i="1"/>
  <c r="M20" i="1"/>
  <c r="M21" i="1" s="1"/>
  <c r="F20" i="1"/>
  <c r="M39" i="1"/>
  <c r="M40" i="1" s="1"/>
  <c r="C11" i="1"/>
  <c r="Q11" i="1"/>
  <c r="Q10" i="1" s="1"/>
  <c r="F39" i="1"/>
  <c r="N39" i="1"/>
  <c r="N40" i="1" s="1"/>
  <c r="O35" i="2"/>
  <c r="O36" i="2" s="1"/>
  <c r="S33" i="2"/>
  <c r="S34" i="2" s="1"/>
  <c r="O17" i="2"/>
  <c r="S16" i="2"/>
  <c r="S17" i="2" s="1"/>
  <c r="N20" i="1"/>
  <c r="N21" i="1" s="1"/>
  <c r="T33" i="2"/>
  <c r="T34" i="2" s="1"/>
  <c r="R28" i="2"/>
  <c r="R27" i="2" s="1"/>
  <c r="L17" i="2"/>
  <c r="R16" i="2"/>
  <c r="R17" i="2" s="1"/>
  <c r="T11" i="2"/>
  <c r="T10" i="2" s="1"/>
  <c r="L39" i="1"/>
  <c r="L40" i="1" s="1"/>
  <c r="L20" i="1"/>
  <c r="L21" i="1" s="1"/>
  <c r="R11" i="1"/>
  <c r="R10" i="1" s="1"/>
  <c r="Q33" i="2"/>
  <c r="Q34" i="2" s="1"/>
  <c r="I35" i="2"/>
  <c r="I36" i="2" s="1"/>
  <c r="H35" i="2"/>
  <c r="H36" i="2" s="1"/>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H21" i="1" s="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7" i="1" s="1"/>
  <c r="P35" i="2" l="1"/>
  <c r="N20" i="2"/>
  <c r="O20" i="2" s="1"/>
  <c r="Q18" i="2"/>
  <c r="N22" i="1"/>
  <c r="O22" i="1" s="1"/>
  <c r="M41" i="1"/>
  <c r="R35" i="2"/>
  <c r="R19" i="2"/>
  <c r="Q19" i="2"/>
  <c r="S36" i="2"/>
  <c r="R36" i="2"/>
  <c r="P36" i="2"/>
  <c r="R18" i="2"/>
  <c r="S35" i="2"/>
  <c r="P19" i="2"/>
  <c r="D38" i="2"/>
  <c r="D40" i="2" s="1"/>
  <c r="P18" i="2"/>
  <c r="C37" i="1"/>
  <c r="S20" i="1"/>
  <c r="S18" i="2"/>
  <c r="S19" i="2"/>
  <c r="T18" i="2"/>
  <c r="Q36" i="2"/>
  <c r="T35" i="2"/>
  <c r="Q35" i="2"/>
  <c r="I37" i="2"/>
  <c r="T11" i="1"/>
  <c r="T10" i="1" s="1"/>
  <c r="P11" i="1"/>
  <c r="P10" i="1" s="1"/>
  <c r="D20" i="1"/>
  <c r="P38" i="1"/>
  <c r="D38" i="1"/>
  <c r="T37" i="1"/>
  <c r="T38" i="1" s="1"/>
  <c r="O40" i="1"/>
  <c r="S40" i="1" s="1"/>
  <c r="I40" i="1"/>
  <c r="C36" i="1"/>
  <c r="J21" i="1"/>
  <c r="R20" i="1"/>
  <c r="O21" i="1"/>
  <c r="S21" i="1" s="1"/>
  <c r="T30" i="1"/>
  <c r="T29" i="1" s="1"/>
  <c r="P30" i="1"/>
  <c r="P29" i="1" s="1"/>
  <c r="D39"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I43" i="1"/>
  <c r="Q42" i="1"/>
  <c r="H24" i="1"/>
  <c r="I23" i="1"/>
  <c r="I24" i="1" s="1"/>
  <c r="I44" i="1"/>
  <c r="H23" i="2" l="1"/>
  <c r="I21" i="2" s="1"/>
  <c r="I23" i="2" s="1"/>
  <c r="J40" i="2"/>
  <c r="K38" i="2" s="1"/>
  <c r="I25" i="1"/>
  <c r="J42" i="1"/>
  <c r="J44" i="1" s="1"/>
  <c r="Q23" i="1"/>
  <c r="Q24" i="1" s="1"/>
  <c r="Q45" i="1"/>
  <c r="Q43" i="1"/>
  <c r="H42" i="2" l="1"/>
  <c r="K39" i="2"/>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O58" authorId="0" shapeId="0">
      <text>
        <r>
          <rPr>
            <b/>
            <sz val="9"/>
            <color indexed="81"/>
            <rFont val="Tahoma"/>
            <family val="2"/>
          </rPr>
          <t>tlk:</t>
        </r>
        <r>
          <rPr>
            <sz val="9"/>
            <color indexed="81"/>
            <rFont val="Tahoma"/>
            <family val="2"/>
          </rPr>
          <t xml:space="preserve">
Earnings Sharing amount transferred in December, interest true-up booked in December</t>
        </r>
      </text>
    </comment>
    <comment ref="O76" authorId="0" shapeId="0">
      <text>
        <r>
          <rPr>
            <b/>
            <sz val="9"/>
            <color indexed="81"/>
            <rFont val="Tahoma"/>
            <family val="2"/>
          </rPr>
          <t>tlk:</t>
        </r>
        <r>
          <rPr>
            <sz val="9"/>
            <color indexed="81"/>
            <rFont val="Tahoma"/>
            <family val="2"/>
          </rPr>
          <t xml:space="preserve">
Earnings Sharing amount transferred in December, interest true-up booked in December</t>
        </r>
      </text>
    </comment>
  </commentList>
</comments>
</file>

<file path=xl/sharedStrings.xml><?xml version="1.0" encoding="utf-8"?>
<sst xmlns="http://schemas.openxmlformats.org/spreadsheetml/2006/main" count="789" uniqueCount="179">
  <si>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</si>
  <si>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</si>
  <si>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</si>
  <si>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</si>
  <si>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</si>
  <si>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</si>
  <si>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</si>
  <si>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</si>
  <si>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</si>
  <si>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</si>
  <si>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</si>
  <si>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</si>
  <si>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</si>
  <si>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</si>
  <si>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</si>
  <si>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</si>
  <si>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</si>
  <si>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</si>
  <si>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</si>
  <si>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</si>
  <si>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</si>
  <si>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</si>
  <si>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</si>
  <si>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</si>
  <si>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</si>
  <si>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</si>
  <si>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</si>
  <si>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</si>
  <si>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</si>
  <si>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</si>
  <si>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</si>
  <si>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</si>
  <si>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</si>
  <si>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</si>
  <si>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</si>
  <si>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</si>
  <si>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</si>
  <si>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</si>
  <si>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</si>
  <si>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</si>
  <si>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</si>
  <si>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</si>
  <si>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</si>
  <si>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</si>
  <si>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</si>
  <si>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</si>
  <si>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</si>
  <si>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</si>
  <si>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</si>
  <si>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</si>
  <si>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</si>
  <si>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</si>
  <si>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</si>
  <si>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</si>
  <si>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</si>
  <si>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</si>
  <si>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</si>
  <si>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</si>
  <si>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</si>
  <si>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</si>
  <si>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</si>
  <si>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</si>
  <si>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</si>
  <si>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</si>
  <si>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</si>
  <si>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</si>
  <si>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</si>
  <si>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</si>
  <si>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</si>
  <si>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</si>
  <si>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</si>
  <si>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</si>
  <si>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</si>
  <si>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</si>
  <si>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</si>
  <si>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</si>
  <si>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</si>
  <si>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</si>
  <si>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</si>
  <si>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</si>
  <si>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</si>
  <si>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</si>
  <si>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</si>
  <si>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</si>
  <si>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</si>
  <si>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</si>
  <si>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</si>
  <si>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</si>
  <si>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</si>
  <si>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</si>
  <si>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</si>
  <si>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</si>
  <si>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</si>
  <si>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4, Page 1</t>
  </si>
  <si>
    <t>Attachment 4, Page 3</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</si>
  <si>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</si>
  <si>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</si>
  <si>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</si>
  <si>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</si>
  <si>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</si>
  <si>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</si>
  <si>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</si>
  <si>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</si>
  <si>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</si>
  <si>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</si>
  <si>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</si>
  <si>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</si>
  <si>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</si>
  <si>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</si>
  <si>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</si>
  <si>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</si>
  <si>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</si>
  <si>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</si>
  <si>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</si>
  <si>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</si>
  <si>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</si>
  <si>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</si>
  <si>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</si>
  <si>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</si>
  <si>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</si>
  <si>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</si>
  <si>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</si>
  <si>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</si>
  <si>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</si>
  <si>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</si>
  <si>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</si>
  <si>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</si>
  <si>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</si>
  <si>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</si>
  <si>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</si>
  <si>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</si>
  <si>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</si>
  <si>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</si>
  <si>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</si>
  <si>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</si>
  <si>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</si>
  <si>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</si>
  <si>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</si>
  <si>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</si>
  <si>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</si>
  <si>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</si>
  <si>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</si>
  <si>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</si>
  <si>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</si>
  <si>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</si>
  <si>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</si>
  <si>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</si>
  <si>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TRANSFER PRIOR YEAR BALANCES APPROVED FOR RECOVERY TO SURCHARGE/REBATE ACCOUNTS.</t>
  </si>
  <si>
    <t>Recon Check</t>
  </si>
  <si>
    <t xml:space="preserve">INTEREST INCOME - DECOUPLING		</t>
  </si>
  <si>
    <t xml:space="preserve">INTEREST EXPENSE - DECOUPLING	</t>
  </si>
  <si>
    <t>check ADFIT Balances - do not print</t>
  </si>
  <si>
    <t>(2)</t>
  </si>
  <si>
    <t>201810</t>
  </si>
  <si>
    <t>201811</t>
  </si>
  <si>
    <t>201812</t>
  </si>
  <si>
    <t>REG LIABILITY DECOUPLING REBAT</t>
  </si>
  <si>
    <t>Residential</t>
  </si>
  <si>
    <t>Non-Residential</t>
  </si>
  <si>
    <t>YTD Total</t>
  </si>
  <si>
    <t>Financial Reporting Contra Asset Accounts (2)</t>
  </si>
  <si>
    <t>1st Quarter 2019</t>
  </si>
  <si>
    <t>2nd Quarter 2019</t>
  </si>
  <si>
    <t>3rd Quarter 2019</t>
  </si>
  <si>
    <t>4th Quarter 2019</t>
  </si>
  <si>
    <t>2019 YTD</t>
  </si>
  <si>
    <t>Decoupling Mechanism - UE-170485 Base effective 5/1/2018</t>
  </si>
  <si>
    <t>Development of WA Electric Deferrals (Calendar Year 2019)</t>
  </si>
  <si>
    <t>3rd Quarter 201</t>
  </si>
  <si>
    <t>Decoupling Mechanism - UG-170486 Base effective 5/1/2018</t>
  </si>
  <si>
    <t>Development of WA Natural Gas Deferrals (Calendar Year 2019)</t>
  </si>
  <si>
    <t>2018 Deferred Revenue Pending Recovery</t>
  </si>
  <si>
    <t>201901</t>
  </si>
  <si>
    <t>201902</t>
  </si>
  <si>
    <t>201903</t>
  </si>
  <si>
    <r>
      <rPr>
        <b/>
        <sz val="11"/>
        <color theme="1"/>
        <rFont val="Calibri"/>
        <family val="2"/>
        <scheme val="minor"/>
      </rPr>
      <t>3)</t>
    </r>
    <r>
      <rPr>
        <sz val="11"/>
        <color theme="1"/>
        <rFont val="Calibri"/>
        <family val="2"/>
        <scheme val="minor"/>
      </rPr>
      <t>Customer counts in February and March were affected by an unbilled customer adjustment in February, that was reversed in March, due to an extraordinary number of meter reading routesthat did not get included in February billed revenue.</t>
    </r>
  </si>
  <si>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2019 surcharge may not be fully recovered by 12/31/2021 and therefore would not be recognizable as income for financial reporting purposes in 2019.  The income statement impact of any contra deferral entries will be eliminated for Commission Basis results reporting.</t>
    </r>
  </si>
  <si>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2019.  The year-to-date impact is higher usage and revenue from residential electric and all natural gas customers resulting in rebate deferrals while lower usage and revenues from non-residential electric customers resulting in surcharge deferrals. </t>
    </r>
  </si>
  <si>
    <t>Provision for Rate Refund - December 2018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</si>
</sst>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52">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0" fontId="30" fillId="0" borderId="0" xfId="0" quotePrefix="1" applyFont="1"/>
    <xf numFmtId="9" fontId="8" fillId="0" borderId="0" xfId="2" applyFont="1" applyFill="1" applyBorder="1"/>
    <xf numFmtId="165" fontId="178" fillId="0" borderId="0" xfId="0" applyNumberFormat="1" applyFont="1"/>
    <xf numFmtId="167" fontId="6" fillId="2" borderId="57" xfId="3" applyNumberFormat="1" applyFont="1" applyFill="1" applyBorder="1"/>
    <xf numFmtId="167" fontId="8" fillId="2" borderId="58" xfId="3" applyNumberFormat="1" applyFont="1" applyFill="1" applyBorder="1"/>
    <xf numFmtId="0" fontId="0" fillId="0" borderId="0" xfId="0" applyAlignment="1">
      <alignment horizontal="left" wrapText="1"/>
    </xf>
    <xf numFmtId="0" fontId="5" fillId="2" borderId="0" xfId="3" applyFont="1" applyFill="1" applyBorder="1" applyAlignment="1">
      <alignment horizontal="center"/>
    </xf>
    <xf numFmtId="165" fontId="122" fillId="2" borderId="0" xfId="4" applyNumberFormat="1" applyFont="1" applyFill="1" applyBorder="1"/>
    <xf numFmtId="166" fontId="7" fillId="0" borderId="0" xfId="3" applyNumberFormat="1" applyFont="1" applyFill="1" applyBorder="1" applyAlignment="1">
      <alignment vertical="center" wrapText="1"/>
    </xf>
    <xf numFmtId="0" fontId="7" fillId="2" borderId="0" xfId="3" applyFont="1" applyFill="1" applyBorder="1"/>
    <xf numFmtId="167" fontId="122" fillId="2" borderId="0" xfId="3" applyNumberFormat="1" applyFont="1" applyFill="1" applyBorder="1"/>
    <xf numFmtId="165" fontId="122" fillId="2" borderId="0" xfId="6" applyNumberFormat="1" applyFont="1" applyFill="1" applyBorder="1"/>
    <xf numFmtId="169" fontId="7" fillId="0" borderId="0" xfId="5" applyNumberFormat="1" applyFont="1" applyFill="1" applyBorder="1"/>
    <xf numFmtId="166" fontId="7" fillId="2" borderId="0" xfId="3" applyNumberFormat="1" applyFont="1" applyFill="1" applyBorder="1" applyAlignment="1">
      <alignment vertical="center" wrapText="1"/>
    </xf>
    <xf numFmtId="167" fontId="7" fillId="0" borderId="0" xfId="3" applyNumberFormat="1" applyFont="1" applyFill="1" applyBorder="1"/>
    <xf numFmtId="10" fontId="7" fillId="0" borderId="0" xfId="2" applyNumberFormat="1" applyFont="1" applyFill="1" applyBorder="1"/>
    <xf numFmtId="167" fontId="7" fillId="2" borderId="0" xfId="5" applyNumberFormat="1" applyFont="1" applyFill="1" applyBorder="1"/>
    <xf numFmtId="0" fontId="5" fillId="0" borderId="0" xfId="3" applyFont="1" applyBorder="1"/>
    <xf numFmtId="167" fontId="5" fillId="2" borderId="0" xfId="3" applyNumberFormat="1" applyFont="1" applyFill="1" applyBorder="1"/>
    <xf numFmtId="165" fontId="174" fillId="2" borderId="0" xfId="4" applyNumberFormat="1" applyFont="1" applyFill="1" applyBorder="1"/>
    <xf numFmtId="166" fontId="7" fillId="0" borderId="0" xfId="3" applyNumberFormat="1" applyFont="1" applyFill="1" applyBorder="1" applyAlignment="1">
      <alignment vertical="center"/>
    </xf>
    <xf numFmtId="167" fontId="174" fillId="2" borderId="0" xfId="1" applyNumberFormat="1" applyFont="1" applyFill="1" applyBorder="1"/>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167" fontId="178" fillId="0" borderId="0" xfId="1" applyNumberFormat="1" applyFont="1"/>
    <xf numFmtId="166" fontId="178" fillId="0" borderId="0" xfId="0" applyNumberFormat="1" applyFon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3" fontId="13" fillId="0" borderId="54" xfId="0" applyNumberFormat="1" applyFont="1" applyFill="1" applyBorder="1" applyAlignment="1">
      <alignment horizontal="right" vertical="center"/>
    </xf>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Layout" zoomScaleNormal="100" workbookViewId="0">
      <selection activeCell="E5" sqref="E5"/>
    </sheetView>
  </sheetViews>
  <sheetFormatPr defaultRowHeight="15"/>
  <cols>
    <col min="1" max="1" width="7.42578125" customWidth="1"/>
    <col min="2" max="2" width="32.140625" customWidth="1"/>
    <col min="3" max="3" width="17.28515625" customWidth="1"/>
    <col min="4" max="6" width="12.42578125" customWidth="1"/>
    <col min="7" max="9" width="12.28515625" hidden="1" customWidth="1"/>
    <col min="10" max="10" width="12.7109375" hidden="1" customWidth="1"/>
    <col min="11" max="11" width="13" hidden="1" customWidth="1"/>
    <col min="12" max="12" width="12.42578125" hidden="1" customWidth="1"/>
    <col min="13" max="14" width="12.7109375" hidden="1" customWidth="1"/>
    <col min="15" max="15" width="12.5703125" hidden="1" customWidth="1"/>
    <col min="16" max="16" width="12.7109375" style="38" customWidth="1"/>
    <col min="17" max="17" width="12.85546875" style="38" hidden="1" customWidth="1"/>
    <col min="18" max="19" width="12" style="38" hidden="1" customWidth="1"/>
    <col min="20" max="20" width="13.28515625" style="38" customWidth="1"/>
  </cols>
  <sheetData>
    <row r="1" spans="1:20" ht="15.75">
      <c r="A1" s="137" t="s">
        <v>0</v>
      </c>
      <c r="B1" s="137"/>
      <c r="C1" s="137"/>
      <c r="D1" s="137"/>
      <c r="E1" s="137"/>
      <c r="F1" s="137"/>
      <c r="G1" s="137"/>
      <c r="H1" s="137"/>
      <c r="I1" s="137"/>
      <c r="J1" s="137"/>
      <c r="K1" s="137"/>
      <c r="L1" s="137"/>
      <c r="M1" s="137"/>
      <c r="N1" s="137"/>
      <c r="O1" s="137"/>
      <c r="P1" s="121"/>
      <c r="Q1" s="121"/>
      <c r="R1" s="121"/>
      <c r="S1" s="121"/>
      <c r="T1" s="121"/>
    </row>
    <row r="2" spans="1:20" ht="18.75">
      <c r="A2" s="137" t="s">
        <v>166</v>
      </c>
      <c r="B2" s="137"/>
      <c r="C2" s="137"/>
      <c r="D2" s="137"/>
      <c r="E2" s="137"/>
      <c r="F2" s="137"/>
      <c r="G2" s="137"/>
      <c r="H2" s="137"/>
      <c r="I2" s="137"/>
      <c r="J2" s="137"/>
      <c r="K2" s="137"/>
      <c r="L2" s="137"/>
      <c r="M2" s="137"/>
      <c r="N2" s="137"/>
      <c r="O2" s="137"/>
      <c r="P2" s="122"/>
      <c r="Q2" s="122"/>
      <c r="R2" s="122"/>
      <c r="S2" s="122"/>
      <c r="T2" s="122"/>
    </row>
    <row r="3" spans="1:20" ht="15.75">
      <c r="A3" s="137" t="s">
        <v>167</v>
      </c>
      <c r="B3" s="137"/>
      <c r="C3" s="137"/>
      <c r="D3" s="137"/>
      <c r="E3" s="137"/>
      <c r="F3" s="137"/>
      <c r="G3" s="137"/>
      <c r="H3" s="137"/>
      <c r="I3" s="137"/>
      <c r="J3" s="137"/>
      <c r="K3" s="137"/>
      <c r="L3" s="137"/>
      <c r="M3" s="137"/>
      <c r="N3" s="137"/>
      <c r="O3" s="137"/>
      <c r="P3" s="123"/>
      <c r="Q3" s="123"/>
      <c r="R3" s="123"/>
      <c r="S3" s="123"/>
      <c r="T3" s="123"/>
    </row>
    <row r="4" spans="1:20" ht="14.45" customHeight="1">
      <c r="A4" s="138"/>
      <c r="B4" s="104"/>
      <c r="C4" s="105"/>
      <c r="D4" s="105"/>
      <c r="E4" s="105"/>
      <c r="F4" s="105"/>
      <c r="G4" s="105"/>
      <c r="H4" s="105"/>
      <c r="I4" s="105"/>
      <c r="J4" s="105"/>
      <c r="K4" s="105"/>
      <c r="L4" s="105"/>
      <c r="M4" s="105"/>
      <c r="N4" s="105"/>
      <c r="O4" s="105"/>
      <c r="P4" s="124"/>
      <c r="Q4" s="124"/>
      <c r="R4" s="124"/>
      <c r="S4" s="124"/>
      <c r="T4" s="124"/>
    </row>
    <row r="5" spans="1:20" ht="26.25">
      <c r="A5" s="35"/>
      <c r="B5" s="35"/>
      <c r="C5" s="35"/>
      <c r="D5" s="106"/>
      <c r="E5" s="2">
        <v>3</v>
      </c>
      <c r="F5" s="2">
        <v>3</v>
      </c>
      <c r="G5" s="35"/>
      <c r="H5" s="35"/>
      <c r="I5" s="35"/>
      <c r="J5" s="35"/>
      <c r="K5" s="35"/>
      <c r="L5" s="35"/>
      <c r="M5" s="35"/>
      <c r="N5" s="35"/>
      <c r="O5" s="35"/>
      <c r="P5" s="124" t="s">
        <v>161</v>
      </c>
      <c r="Q5" s="124" t="s">
        <v>162</v>
      </c>
      <c r="R5" s="124" t="s">
        <v>163</v>
      </c>
      <c r="S5" s="124" t="s">
        <v>164</v>
      </c>
      <c r="T5" s="124" t="s">
        <v>165</v>
      </c>
    </row>
    <row r="6" spans="1:20" ht="25.5">
      <c r="A6" s="107" t="s">
        <v>1</v>
      </c>
      <c r="B6" s="108"/>
      <c r="C6" s="103" t="s">
        <v>2</v>
      </c>
      <c r="D6" s="189">
        <v>43466</v>
      </c>
      <c r="E6" s="109">
        <f>EDATE(D6,1)</f>
        <v>43497</v>
      </c>
      <c r="F6" s="109">
        <f t="shared" ref="F6:O6" si="0">EDATE(E6,1)</f>
        <v>43525</v>
      </c>
      <c r="G6" s="109">
        <f t="shared" si="0"/>
        <v>43556</v>
      </c>
      <c r="H6" s="109">
        <f t="shared" si="0"/>
        <v>43586</v>
      </c>
      <c r="I6" s="109">
        <f t="shared" si="0"/>
        <v>43617</v>
      </c>
      <c r="J6" s="109">
        <f t="shared" si="0"/>
        <v>43647</v>
      </c>
      <c r="K6" s="109">
        <f t="shared" si="0"/>
        <v>43678</v>
      </c>
      <c r="L6" s="109">
        <f t="shared" si="0"/>
        <v>43709</v>
      </c>
      <c r="M6" s="109">
        <f t="shared" si="0"/>
        <v>43739</v>
      </c>
      <c r="N6" s="109">
        <f t="shared" si="0"/>
        <v>43770</v>
      </c>
      <c r="O6" s="109">
        <f t="shared" si="0"/>
        <v>43800</v>
      </c>
      <c r="P6" s="125" t="s">
        <v>3</v>
      </c>
      <c r="Q6" s="125" t="s">
        <v>3</v>
      </c>
      <c r="R6" s="125" t="s">
        <v>3</v>
      </c>
      <c r="S6" s="125" t="s">
        <v>3</v>
      </c>
      <c r="T6" s="125" t="s">
        <v>3</v>
      </c>
    </row>
    <row r="7" spans="1:20">
      <c r="A7" s="64"/>
      <c r="B7" s="64" t="s">
        <v>4</v>
      </c>
      <c r="C7" s="64" t="s">
        <v>5</v>
      </c>
      <c r="D7" s="64" t="s">
        <v>6</v>
      </c>
      <c r="E7" s="64" t="s">
        <v>7</v>
      </c>
      <c r="F7" s="64" t="s">
        <v>8</v>
      </c>
      <c r="G7" s="64" t="s">
        <v>9</v>
      </c>
      <c r="H7" s="219"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9"/>
      <c r="I8" s="64"/>
      <c r="J8" s="64"/>
      <c r="K8" s="64"/>
      <c r="L8" s="64"/>
      <c r="M8" s="64"/>
      <c r="N8" s="64"/>
      <c r="O8" s="64"/>
      <c r="P8" s="129"/>
      <c r="Q8" s="129"/>
      <c r="R8" s="129"/>
      <c r="S8" s="129"/>
      <c r="T8" s="16"/>
    </row>
    <row r="9" spans="1:20" ht="21" customHeight="1">
      <c r="A9" s="64">
        <v>1</v>
      </c>
      <c r="B9" s="35" t="s">
        <v>20</v>
      </c>
      <c r="C9" s="64" t="s">
        <v>21</v>
      </c>
      <c r="D9" s="33">
        <v>218072</v>
      </c>
      <c r="E9" s="33">
        <v>218072</v>
      </c>
      <c r="F9" s="33">
        <v>216577</v>
      </c>
      <c r="G9" s="33"/>
      <c r="H9" s="220"/>
      <c r="I9" s="33"/>
      <c r="J9" s="33"/>
      <c r="K9" s="33"/>
      <c r="L9" s="33"/>
      <c r="M9" s="33"/>
      <c r="N9" s="33"/>
      <c r="O9" s="33"/>
      <c r="P9" s="126">
        <f>SUM(D9:F9)</f>
        <v>652721</v>
      </c>
      <c r="Q9" s="126">
        <f>SUM(G9:I9)</f>
        <v>0</v>
      </c>
      <c r="R9" s="126">
        <f>SUM(J9:L9)</f>
        <v>0</v>
      </c>
      <c r="S9" s="126">
        <f>SUM(M9:O9)</f>
        <v>0</v>
      </c>
      <c r="T9" s="127">
        <f>SUM(D9:O9)</f>
        <v>652721</v>
      </c>
    </row>
    <row r="10" spans="1:20" ht="25.5">
      <c r="A10" s="102">
        <f>A9+1</f>
        <v>2</v>
      </c>
      <c r="B10" s="110" t="s">
        <v>22</v>
      </c>
      <c r="C10" s="110" t="s">
        <v>92</v>
      </c>
      <c r="D10" s="111">
        <v>83.760427903323389</v>
      </c>
      <c r="E10" s="111">
        <v>67.853818238913107</v>
      </c>
      <c r="F10" s="111">
        <v>62.146664385779836</v>
      </c>
      <c r="G10" s="111">
        <v>52.417441941972996</v>
      </c>
      <c r="H10" s="221">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71.274495561516858</v>
      </c>
      <c r="Q10" s="111" t="e">
        <f>Q11/Q9</f>
        <v>#DIV/0!</v>
      </c>
      <c r="R10" s="111" t="e">
        <f>R11/R9</f>
        <v>#DIV/0!</v>
      </c>
      <c r="S10" s="111" t="e">
        <f>S11/S9</f>
        <v>#DIV/0!</v>
      </c>
      <c r="T10" s="111">
        <f>T11/T9</f>
        <v>71.274495561516858</v>
      </c>
    </row>
    <row r="11" spans="1:20">
      <c r="A11" s="64">
        <f>A10+1</f>
        <v>3</v>
      </c>
      <c r="B11" s="35" t="s">
        <v>23</v>
      </c>
      <c r="C11" s="64" t="str">
        <f>"("&amp;A9&amp;") x ("&amp;A10&amp;")"</f>
        <v>(1) x (2)</v>
      </c>
      <c r="D11" s="68">
        <f>D9*D10</f>
        <v>18265804.033733539</v>
      </c>
      <c r="E11" s="68">
        <f>E9*E10</f>
        <v>14797017.85099626</v>
      </c>
      <c r="F11" s="68">
        <f t="shared" ref="F11:O11" si="1">F9*F10</f>
        <v>13459538.13267904</v>
      </c>
      <c r="G11" s="68">
        <f t="shared" si="1"/>
        <v>0</v>
      </c>
      <c r="H11" s="69">
        <f t="shared" si="1"/>
        <v>0</v>
      </c>
      <c r="I11" s="68">
        <f t="shared" si="1"/>
        <v>0</v>
      </c>
      <c r="J11" s="68">
        <f t="shared" si="1"/>
        <v>0</v>
      </c>
      <c r="K11" s="68">
        <f t="shared" si="1"/>
        <v>0</v>
      </c>
      <c r="L11" s="68">
        <f t="shared" si="1"/>
        <v>0</v>
      </c>
      <c r="M11" s="68">
        <f t="shared" si="1"/>
        <v>0</v>
      </c>
      <c r="N11" s="68">
        <f t="shared" si="1"/>
        <v>0</v>
      </c>
      <c r="O11" s="68">
        <f t="shared" si="1"/>
        <v>0</v>
      </c>
      <c r="P11" s="117">
        <f>SUM(D11:F11)</f>
        <v>46522360.01740884</v>
      </c>
      <c r="Q11" s="117">
        <f>SUM(G11:I11)</f>
        <v>0</v>
      </c>
      <c r="R11" s="117">
        <f>SUM(J11:L11)</f>
        <v>0</v>
      </c>
      <c r="S11" s="117">
        <f>SUM(M11:O11)</f>
        <v>0</v>
      </c>
      <c r="T11" s="128">
        <f>SUM(D11:O11)</f>
        <v>46522360.01740884</v>
      </c>
    </row>
    <row r="12" spans="1:20" ht="9" customHeight="1">
      <c r="A12" s="64"/>
      <c r="B12" s="35"/>
      <c r="C12" s="64"/>
      <c r="D12" s="65"/>
      <c r="E12" s="65"/>
      <c r="F12" s="65"/>
      <c r="G12" s="65"/>
      <c r="H12" s="222"/>
      <c r="I12" s="65"/>
      <c r="J12" s="65"/>
      <c r="K12" s="65"/>
      <c r="L12" s="65"/>
      <c r="M12" s="65"/>
      <c r="N12" s="65"/>
      <c r="O12" s="65"/>
      <c r="P12" s="126"/>
      <c r="Q12" s="126"/>
      <c r="R12" s="126"/>
      <c r="S12" s="126"/>
      <c r="T12" s="126"/>
    </row>
    <row r="13" spans="1:20">
      <c r="A13" s="64">
        <v>4</v>
      </c>
      <c r="B13" s="35" t="s">
        <v>37</v>
      </c>
      <c r="C13" s="64" t="s">
        <v>21</v>
      </c>
      <c r="D13" s="112">
        <v>24787261.020459998</v>
      </c>
      <c r="E13" s="112">
        <v>22101261.062830001</v>
      </c>
      <c r="F13" s="112">
        <v>23293500.419080004</v>
      </c>
      <c r="G13" s="112"/>
      <c r="H13" s="223"/>
      <c r="I13" s="112"/>
      <c r="J13" s="112"/>
      <c r="K13" s="112"/>
      <c r="L13" s="112"/>
      <c r="M13" s="112"/>
      <c r="N13" s="112"/>
      <c r="O13" s="112"/>
      <c r="P13" s="158"/>
      <c r="Q13" s="158"/>
      <c r="R13" s="158"/>
      <c r="S13" s="130"/>
      <c r="T13" s="131"/>
    </row>
    <row r="14" spans="1:20">
      <c r="A14" s="64">
        <v>5</v>
      </c>
      <c r="B14" s="35" t="s">
        <v>38</v>
      </c>
      <c r="C14" s="64" t="s">
        <v>21</v>
      </c>
      <c r="D14" s="112">
        <v>1997044</v>
      </c>
      <c r="E14" s="112">
        <v>1937241</v>
      </c>
      <c r="F14" s="112">
        <v>2040948</v>
      </c>
      <c r="G14" s="112"/>
      <c r="H14" s="223"/>
      <c r="I14" s="112"/>
      <c r="J14" s="112"/>
      <c r="K14" s="112"/>
      <c r="L14" s="112"/>
      <c r="M14" s="112"/>
      <c r="N14" s="112"/>
      <c r="O14" s="112"/>
      <c r="P14" s="117"/>
      <c r="Q14" s="117"/>
      <c r="R14" s="117"/>
      <c r="S14" s="117"/>
      <c r="T14" s="128"/>
    </row>
    <row r="15" spans="1:20">
      <c r="A15" s="64">
        <v>6</v>
      </c>
      <c r="B15" s="6" t="s">
        <v>41</v>
      </c>
      <c r="C15" s="64" t="s">
        <v>21</v>
      </c>
      <c r="D15" s="113">
        <v>267676694.00099999</v>
      </c>
      <c r="E15" s="113">
        <v>245780275.29500002</v>
      </c>
      <c r="F15" s="113">
        <v>251248521.38</v>
      </c>
      <c r="G15" s="113"/>
      <c r="H15" s="224"/>
      <c r="I15" s="113"/>
      <c r="J15" s="113"/>
      <c r="K15" s="113"/>
      <c r="L15" s="113"/>
      <c r="M15" s="113"/>
      <c r="N15" s="113"/>
      <c r="O15" s="113"/>
      <c r="P15" s="117"/>
      <c r="Q15" s="117"/>
      <c r="R15" s="117"/>
      <c r="S15" s="117"/>
      <c r="T15" s="128"/>
    </row>
    <row r="16" spans="1:20" ht="26.25">
      <c r="A16" s="64">
        <v>7</v>
      </c>
      <c r="B16" s="16" t="s">
        <v>39</v>
      </c>
      <c r="C16" s="114" t="s">
        <v>93</v>
      </c>
      <c r="D16" s="115">
        <v>1.9E-2</v>
      </c>
      <c r="E16" s="115">
        <v>1.9E-2</v>
      </c>
      <c r="F16" s="115">
        <v>1.9E-2</v>
      </c>
      <c r="G16" s="115">
        <v>1.9E-2</v>
      </c>
      <c r="H16" s="225">
        <v>1.9E-2</v>
      </c>
      <c r="I16" s="115">
        <v>1.9E-2</v>
      </c>
      <c r="J16" s="115">
        <v>1.9E-2</v>
      </c>
      <c r="K16" s="115">
        <v>1.9E-2</v>
      </c>
      <c r="L16" s="115">
        <v>1.9E-2</v>
      </c>
      <c r="M16" s="115">
        <v>1.9E-2</v>
      </c>
      <c r="N16" s="115">
        <v>1.9E-2</v>
      </c>
      <c r="O16" s="115">
        <v>1.9E-2</v>
      </c>
      <c r="P16" s="132"/>
      <c r="Q16" s="132"/>
      <c r="R16" s="132"/>
      <c r="S16" s="132"/>
      <c r="T16" s="132"/>
    </row>
    <row r="17" spans="1:22">
      <c r="A17" s="64">
        <v>8</v>
      </c>
      <c r="B17" s="35" t="s">
        <v>40</v>
      </c>
      <c r="C17" s="64" t="str">
        <f>"("&amp;A15&amp;") x ("&amp;A16&amp;")"</f>
        <v>(6) x (7)</v>
      </c>
      <c r="D17" s="68">
        <f t="shared" ref="D17:O17" si="2">D15*D16</f>
        <v>5085857.1860189997</v>
      </c>
      <c r="E17" s="68">
        <f t="shared" si="2"/>
        <v>4669825.2306050006</v>
      </c>
      <c r="F17" s="68">
        <f t="shared" si="2"/>
        <v>4773721.9062200002</v>
      </c>
      <c r="G17" s="68">
        <f>G15*G16</f>
        <v>0</v>
      </c>
      <c r="H17" s="69">
        <f t="shared" si="2"/>
        <v>0</v>
      </c>
      <c r="I17" s="68">
        <f t="shared" si="2"/>
        <v>0</v>
      </c>
      <c r="J17" s="68">
        <f t="shared" si="2"/>
        <v>0</v>
      </c>
      <c r="K17" s="68">
        <f t="shared" si="2"/>
        <v>0</v>
      </c>
      <c r="L17" s="68">
        <f t="shared" si="2"/>
        <v>0</v>
      </c>
      <c r="M17" s="68">
        <f t="shared" si="2"/>
        <v>0</v>
      </c>
      <c r="N17" s="68">
        <f t="shared" si="2"/>
        <v>0</v>
      </c>
      <c r="O17" s="68">
        <f t="shared" si="2"/>
        <v>0</v>
      </c>
      <c r="P17" s="117"/>
      <c r="Q17" s="117"/>
      <c r="R17" s="117"/>
      <c r="S17" s="117"/>
      <c r="T17" s="128"/>
    </row>
    <row r="18" spans="1:22">
      <c r="A18" s="64">
        <v>9</v>
      </c>
      <c r="B18" s="35" t="s">
        <v>25</v>
      </c>
      <c r="C18" s="64" t="str">
        <f>"("&amp;A13&amp;") - ("&amp;A14&amp;") -("&amp;A17&amp;")"</f>
        <v>(4) - (5) -(8)</v>
      </c>
      <c r="D18" s="68">
        <f>D13-D14-D17</f>
        <v>17704359.834440999</v>
      </c>
      <c r="E18" s="68">
        <f t="shared" ref="E18:O18" si="3">E13-E14-E17</f>
        <v>15494194.832225</v>
      </c>
      <c r="F18" s="68">
        <f t="shared" si="3"/>
        <v>16478830.512860004</v>
      </c>
      <c r="G18" s="68">
        <f t="shared" si="3"/>
        <v>0</v>
      </c>
      <c r="H18" s="69">
        <f t="shared" si="3"/>
        <v>0</v>
      </c>
      <c r="I18" s="68">
        <f t="shared" si="3"/>
        <v>0</v>
      </c>
      <c r="J18" s="68">
        <f t="shared" si="3"/>
        <v>0</v>
      </c>
      <c r="K18" s="68">
        <f t="shared" si="3"/>
        <v>0</v>
      </c>
      <c r="L18" s="68">
        <f t="shared" si="3"/>
        <v>0</v>
      </c>
      <c r="M18" s="68">
        <f t="shared" si="3"/>
        <v>0</v>
      </c>
      <c r="N18" s="68">
        <f t="shared" si="3"/>
        <v>0</v>
      </c>
      <c r="O18" s="68">
        <f t="shared" si="3"/>
        <v>0</v>
      </c>
      <c r="P18" s="117">
        <f>SUM(D18:F18)</f>
        <v>49677385.179526001</v>
      </c>
      <c r="Q18" s="117">
        <f>SUM(G18:I18)</f>
        <v>0</v>
      </c>
      <c r="R18" s="117">
        <f>SUM(J18:L18)</f>
        <v>0</v>
      </c>
      <c r="S18" s="117">
        <f>SUM(M18:O18)</f>
        <v>0</v>
      </c>
      <c r="T18" s="128">
        <f>SUM(D18:O18)</f>
        <v>49677385.179526001</v>
      </c>
    </row>
    <row r="19" spans="1:22">
      <c r="A19" s="64"/>
      <c r="B19" s="116" t="s">
        <v>26</v>
      </c>
      <c r="C19" s="64"/>
      <c r="D19" s="32">
        <f t="shared" ref="D19:O19" si="4">D18/D9</f>
        <v>81.185846117066831</v>
      </c>
      <c r="E19" s="32">
        <f t="shared" si="4"/>
        <v>71.050821894718254</v>
      </c>
      <c r="F19" s="32">
        <f t="shared" si="4"/>
        <v>76.087629401367664</v>
      </c>
      <c r="G19" s="32" t="e">
        <f t="shared" si="4"/>
        <v>#DIV/0!</v>
      </c>
      <c r="H19" s="226" t="e">
        <f t="shared" si="4"/>
        <v>#DIV/0!</v>
      </c>
      <c r="I19" s="32" t="e">
        <f t="shared" si="4"/>
        <v>#DIV/0!</v>
      </c>
      <c r="J19" s="32" t="e">
        <f t="shared" si="4"/>
        <v>#DIV/0!</v>
      </c>
      <c r="K19" s="32" t="e">
        <f t="shared" si="4"/>
        <v>#DIV/0!</v>
      </c>
      <c r="L19" s="32" t="e">
        <f t="shared" si="4"/>
        <v>#DIV/0!</v>
      </c>
      <c r="M19" s="32" t="e">
        <f t="shared" si="4"/>
        <v>#DIV/0!</v>
      </c>
      <c r="N19" s="32" t="e">
        <f t="shared" si="4"/>
        <v>#DIV/0!</v>
      </c>
      <c r="O19" s="32" t="e">
        <f t="shared" si="4"/>
        <v>#DIV/0!</v>
      </c>
      <c r="P19" s="132">
        <f>P18/P9</f>
        <v>76.108146021847006</v>
      </c>
      <c r="Q19" s="132" t="e">
        <f>Q18/Q9</f>
        <v>#DIV/0!</v>
      </c>
      <c r="R19" s="132" t="e">
        <f>R18/R9</f>
        <v>#DIV/0!</v>
      </c>
      <c r="S19" s="132" t="e">
        <f>S18/S9</f>
        <v>#DIV/0!</v>
      </c>
      <c r="T19" s="132">
        <f>T18/T9</f>
        <v>76.108146021847006</v>
      </c>
    </row>
    <row r="20" spans="1:22">
      <c r="A20" s="64">
        <v>10</v>
      </c>
      <c r="B20" s="35" t="s">
        <v>27</v>
      </c>
      <c r="C20" s="64" t="str">
        <f>"("&amp;A$11&amp;") - ("&amp;A18&amp;")"</f>
        <v>(3) - (9)</v>
      </c>
      <c r="D20" s="117">
        <f t="shared" ref="D20:O20" si="5">D11-D18</f>
        <v>561444.19929254055</v>
      </c>
      <c r="E20" s="117">
        <f t="shared" si="5"/>
        <v>-697176.98122874089</v>
      </c>
      <c r="F20" s="117">
        <f t="shared" si="5"/>
        <v>-3019292.3801809642</v>
      </c>
      <c r="G20" s="117">
        <f t="shared" si="5"/>
        <v>0</v>
      </c>
      <c r="H20" s="227">
        <f t="shared" si="5"/>
        <v>0</v>
      </c>
      <c r="I20" s="117">
        <f t="shared" si="5"/>
        <v>0</v>
      </c>
      <c r="J20" s="117">
        <f t="shared" si="5"/>
        <v>0</v>
      </c>
      <c r="K20" s="117">
        <f t="shared" si="5"/>
        <v>0</v>
      </c>
      <c r="L20" s="117">
        <f t="shared" si="5"/>
        <v>0</v>
      </c>
      <c r="M20" s="117">
        <f>M11-M18</f>
        <v>0</v>
      </c>
      <c r="N20" s="117">
        <f t="shared" si="5"/>
        <v>0</v>
      </c>
      <c r="O20" s="117">
        <f t="shared" si="5"/>
        <v>0</v>
      </c>
      <c r="P20" s="117">
        <f>SUM(D20:F20)</f>
        <v>-3155025.1621171646</v>
      </c>
      <c r="Q20" s="117">
        <f>SUM(G20:I20)</f>
        <v>0</v>
      </c>
      <c r="R20" s="117">
        <f>SUM(J20:L20)</f>
        <v>0</v>
      </c>
      <c r="S20" s="117">
        <f>SUM(M20:O20)</f>
        <v>0</v>
      </c>
      <c r="T20" s="128">
        <f>SUM(D20:O20)</f>
        <v>-3155025.1621171646</v>
      </c>
    </row>
    <row r="21" spans="1:22">
      <c r="A21" s="64">
        <v>11</v>
      </c>
      <c r="B21" s="35" t="s">
        <v>28</v>
      </c>
      <c r="C21" s="15" t="s">
        <v>29</v>
      </c>
      <c r="D21" s="117">
        <f>D20*-0.046677</f>
        <v>-26206.530890377919</v>
      </c>
      <c r="E21" s="117">
        <f t="shared" ref="E21:F21" si="6">E20*-0.046677</f>
        <v>32542.129952813939</v>
      </c>
      <c r="F21" s="117">
        <f t="shared" si="6"/>
        <v>140931.51042970689</v>
      </c>
      <c r="G21" s="117">
        <f>G20*-0.04588</f>
        <v>0</v>
      </c>
      <c r="H21" s="117">
        <f>H20*-0.04588</f>
        <v>0</v>
      </c>
      <c r="I21" s="117">
        <f t="shared" ref="I21:O21" si="7">I20*-0.04588</f>
        <v>0</v>
      </c>
      <c r="J21" s="117">
        <f t="shared" si="7"/>
        <v>0</v>
      </c>
      <c r="K21" s="117">
        <f t="shared" si="7"/>
        <v>0</v>
      </c>
      <c r="L21" s="117">
        <f t="shared" si="7"/>
        <v>0</v>
      </c>
      <c r="M21" s="117">
        <f t="shared" si="7"/>
        <v>0</v>
      </c>
      <c r="N21" s="117">
        <f t="shared" si="7"/>
        <v>0</v>
      </c>
      <c r="O21" s="117">
        <f t="shared" si="7"/>
        <v>0</v>
      </c>
      <c r="P21" s="117">
        <f>SUM(D21:F21)</f>
        <v>147267.10949214292</v>
      </c>
      <c r="Q21" s="117">
        <f>SUM(G21:I21)</f>
        <v>0</v>
      </c>
      <c r="R21" s="117">
        <f>SUM(J21:L21)</f>
        <v>0</v>
      </c>
      <c r="S21" s="117">
        <f>SUM(M21:O21)</f>
        <v>0</v>
      </c>
      <c r="T21" s="128">
        <f>SUM(D21:O21)</f>
        <v>147267.10949214292</v>
      </c>
    </row>
    <row r="22" spans="1:22" ht="14.45" customHeight="1">
      <c r="A22" s="64"/>
      <c r="B22" s="35"/>
      <c r="C22" s="64" t="s">
        <v>30</v>
      </c>
      <c r="D22" s="118">
        <v>5.1799999999999999E-2</v>
      </c>
      <c r="E22" s="118">
        <f t="shared" ref="E22:I22" si="8">D22</f>
        <v>5.1799999999999999E-2</v>
      </c>
      <c r="F22" s="118">
        <f t="shared" si="8"/>
        <v>5.1799999999999999E-2</v>
      </c>
      <c r="G22" s="118">
        <v>0</v>
      </c>
      <c r="H22" s="228">
        <f t="shared" si="8"/>
        <v>0</v>
      </c>
      <c r="I22" s="118">
        <f t="shared" si="8"/>
        <v>0</v>
      </c>
      <c r="J22" s="118">
        <v>0</v>
      </c>
      <c r="K22" s="118">
        <f t="shared" ref="K22" si="9">J22</f>
        <v>0</v>
      </c>
      <c r="L22" s="118">
        <f t="shared" ref="L22" si="10">K22</f>
        <v>0</v>
      </c>
      <c r="M22" s="118">
        <v>0</v>
      </c>
      <c r="N22" s="118">
        <f t="shared" ref="N22" si="11">M22</f>
        <v>0</v>
      </c>
      <c r="O22" s="118">
        <f t="shared" ref="O22" si="12">N22</f>
        <v>0</v>
      </c>
      <c r="P22" s="118"/>
      <c r="Q22" s="118"/>
      <c r="R22" s="118"/>
      <c r="S22" s="118"/>
      <c r="T22" s="128"/>
    </row>
    <row r="23" spans="1:22">
      <c r="A23" s="64">
        <v>12</v>
      </c>
      <c r="B23" s="35" t="s">
        <v>31</v>
      </c>
      <c r="C23" s="64" t="s">
        <v>35</v>
      </c>
      <c r="D23" s="9">
        <f>(D20+D21)/2*D22/12</f>
        <v>1155.2213009680011</v>
      </c>
      <c r="E23" s="9">
        <f>(D25+(E20+E21)/2)*E22/12</f>
        <v>880.92575321463801</v>
      </c>
      <c r="F23" s="9">
        <f t="shared" ref="F23:O23" si="13">(E25+(F20+F21)/2)*F22/12</f>
        <v>-6762.2373485009912</v>
      </c>
      <c r="G23" s="9">
        <f t="shared" si="13"/>
        <v>0</v>
      </c>
      <c r="H23" s="229">
        <f t="shared" si="13"/>
        <v>0</v>
      </c>
      <c r="I23" s="9">
        <f t="shared" si="13"/>
        <v>0</v>
      </c>
      <c r="J23" s="9">
        <f t="shared" si="13"/>
        <v>0</v>
      </c>
      <c r="K23" s="9">
        <f t="shared" si="13"/>
        <v>0</v>
      </c>
      <c r="L23" s="9">
        <f t="shared" si="13"/>
        <v>0</v>
      </c>
      <c r="M23" s="9">
        <f t="shared" si="13"/>
        <v>0</v>
      </c>
      <c r="N23" s="9">
        <f t="shared" si="13"/>
        <v>0</v>
      </c>
      <c r="O23" s="9">
        <f t="shared" si="13"/>
        <v>0</v>
      </c>
      <c r="P23" s="117">
        <f>SUM(D23:F23)</f>
        <v>-4726.0902943183519</v>
      </c>
      <c r="Q23" s="117">
        <f>SUM(G23:I23)</f>
        <v>0</v>
      </c>
      <c r="R23" s="117">
        <f>SUM(J23:L23)</f>
        <v>0</v>
      </c>
      <c r="S23" s="117">
        <f>SUM(M23:O23)</f>
        <v>0</v>
      </c>
      <c r="T23" s="128">
        <f>SUM(D23:O23)</f>
        <v>-4726.0902943183519</v>
      </c>
    </row>
    <row r="24" spans="1:22" ht="14.45" customHeight="1" thickBot="1">
      <c r="A24" s="64"/>
      <c r="B24" s="10" t="s">
        <v>32</v>
      </c>
      <c r="C24" s="64"/>
      <c r="D24" s="12">
        <f>D20+D21+D23</f>
        <v>536392.88970313058</v>
      </c>
      <c r="E24" s="12">
        <f t="shared" ref="E24:O24" si="14">E20+E21+E23</f>
        <v>-663753.92552271229</v>
      </c>
      <c r="F24" s="12">
        <f t="shared" si="14"/>
        <v>-2885123.1070997585</v>
      </c>
      <c r="G24" s="12">
        <f t="shared" si="14"/>
        <v>0</v>
      </c>
      <c r="H24" s="12">
        <f t="shared" si="14"/>
        <v>0</v>
      </c>
      <c r="I24" s="12">
        <f t="shared" si="14"/>
        <v>0</v>
      </c>
      <c r="J24" s="12">
        <f t="shared" si="14"/>
        <v>0</v>
      </c>
      <c r="K24" s="12">
        <f t="shared" si="14"/>
        <v>0</v>
      </c>
      <c r="L24" s="12">
        <f t="shared" si="14"/>
        <v>0</v>
      </c>
      <c r="M24" s="12">
        <f t="shared" si="14"/>
        <v>0</v>
      </c>
      <c r="N24" s="12">
        <f t="shared" si="14"/>
        <v>0</v>
      </c>
      <c r="O24" s="12">
        <f t="shared" si="14"/>
        <v>0</v>
      </c>
      <c r="P24" s="133">
        <f>P20+P21+P23</f>
        <v>-3012484.1429193402</v>
      </c>
      <c r="Q24" s="133">
        <f>Q20+Q21+Q23</f>
        <v>0</v>
      </c>
      <c r="R24" s="133">
        <f>R20+R21+R23</f>
        <v>0</v>
      </c>
      <c r="S24" s="133">
        <f>S20+S21+S23</f>
        <v>0</v>
      </c>
      <c r="T24" s="133">
        <f>T20+T21+T23</f>
        <v>-3012484.1429193402</v>
      </c>
      <c r="V24" s="214"/>
    </row>
    <row r="25" spans="1:22" ht="27" thickBot="1">
      <c r="A25" s="64">
        <v>13</v>
      </c>
      <c r="B25" s="136" t="s">
        <v>98</v>
      </c>
      <c r="C25" s="64" t="str">
        <f>"Σ(("&amp;A$20&amp;") ~ ("&amp;A23&amp;"))"</f>
        <v>Σ((10) ~ (12))</v>
      </c>
      <c r="D25" s="68">
        <f>D20+D21+D23</f>
        <v>536392.88970313058</v>
      </c>
      <c r="E25" s="68">
        <f>D25+E20+E21+E23</f>
        <v>-127361.03581958172</v>
      </c>
      <c r="F25" s="68">
        <f t="shared" ref="F25:O25" si="15">E25+F20+F21+F23</f>
        <v>-3012484.1429193402</v>
      </c>
      <c r="G25" s="68">
        <f t="shared" si="15"/>
        <v>-3012484.1429193402</v>
      </c>
      <c r="H25" s="69">
        <f t="shared" si="15"/>
        <v>-3012484.1429193402</v>
      </c>
      <c r="I25" s="68">
        <f t="shared" si="15"/>
        <v>-3012484.1429193402</v>
      </c>
      <c r="J25" s="68">
        <f t="shared" si="15"/>
        <v>-3012484.1429193402</v>
      </c>
      <c r="K25" s="68">
        <f t="shared" si="15"/>
        <v>-3012484.1429193402</v>
      </c>
      <c r="L25" s="68">
        <f t="shared" si="15"/>
        <v>-3012484.1429193402</v>
      </c>
      <c r="M25" s="68">
        <f t="shared" si="15"/>
        <v>-3012484.1429193402</v>
      </c>
      <c r="N25" s="68">
        <f t="shared" si="15"/>
        <v>-3012484.1429193402</v>
      </c>
      <c r="O25" s="119">
        <f t="shared" si="15"/>
        <v>-3012484.1429193402</v>
      </c>
      <c r="P25" s="117"/>
      <c r="Q25" s="117"/>
      <c r="R25" s="117"/>
      <c r="S25" s="117"/>
      <c r="T25" s="128"/>
    </row>
    <row r="26" spans="1:22" ht="9" customHeight="1">
      <c r="A26" s="64"/>
      <c r="B26" s="148"/>
      <c r="C26" s="64"/>
      <c r="D26" s="68"/>
      <c r="E26" s="68"/>
      <c r="F26" s="68"/>
      <c r="G26" s="68"/>
      <c r="H26" s="230"/>
      <c r="I26" s="68"/>
      <c r="J26" s="68"/>
      <c r="K26" s="68"/>
      <c r="L26" s="68"/>
      <c r="M26" s="68"/>
      <c r="N26" s="68"/>
      <c r="O26" s="68"/>
      <c r="P26" s="111"/>
      <c r="Q26" s="134"/>
      <c r="R26" s="134"/>
      <c r="S26" s="134"/>
      <c r="T26" s="134"/>
    </row>
    <row r="27" spans="1:22">
      <c r="A27" s="64"/>
      <c r="B27" s="2" t="s">
        <v>33</v>
      </c>
      <c r="C27" s="64"/>
      <c r="D27" s="68"/>
      <c r="E27" s="68"/>
      <c r="F27" s="68"/>
      <c r="G27" s="68"/>
      <c r="H27" s="69"/>
      <c r="I27" s="68"/>
      <c r="J27" s="68"/>
      <c r="K27" s="68"/>
      <c r="L27" s="68"/>
      <c r="M27" s="68"/>
      <c r="N27" s="68"/>
      <c r="O27" s="68"/>
      <c r="P27" s="117"/>
      <c r="Q27" s="117"/>
      <c r="R27" s="117"/>
      <c r="S27" s="117"/>
      <c r="T27" s="128"/>
    </row>
    <row r="28" spans="1:22">
      <c r="A28" s="64">
        <v>14</v>
      </c>
      <c r="B28" s="35" t="s">
        <v>20</v>
      </c>
      <c r="C28" s="64" t="s">
        <v>21</v>
      </c>
      <c r="D28" s="33">
        <v>37059</v>
      </c>
      <c r="E28" s="33">
        <v>37058</v>
      </c>
      <c r="F28" s="33">
        <v>36629</v>
      </c>
      <c r="G28" s="33"/>
      <c r="H28" s="220"/>
      <c r="I28" s="33"/>
      <c r="J28" s="33"/>
      <c r="K28" s="33"/>
      <c r="L28" s="33"/>
      <c r="M28" s="33"/>
      <c r="N28" s="33"/>
      <c r="O28" s="33"/>
      <c r="P28" s="126">
        <f>SUM(D28:F28)</f>
        <v>110746</v>
      </c>
      <c r="Q28" s="126">
        <f>SUM(G28:I28)</f>
        <v>0</v>
      </c>
      <c r="R28" s="126">
        <f>SUM(J28:L28)</f>
        <v>0</v>
      </c>
      <c r="S28" s="126">
        <f>SUM(M28:O28)</f>
        <v>0</v>
      </c>
      <c r="T28" s="127">
        <f>SUM(D28:O28)</f>
        <v>110746</v>
      </c>
    </row>
    <row r="29" spans="1:22" ht="29.45" customHeight="1">
      <c r="A29" s="102">
        <f>A28+1</f>
        <v>15</v>
      </c>
      <c r="B29" s="110" t="s">
        <v>22</v>
      </c>
      <c r="C29" s="110" t="s">
        <v>94</v>
      </c>
      <c r="D29" s="111">
        <v>359.8067927967802</v>
      </c>
      <c r="E29" s="111">
        <v>336.85962983528816</v>
      </c>
      <c r="F29" s="111">
        <v>346.66344910730356</v>
      </c>
      <c r="G29" s="111">
        <v>329.24917695473283</v>
      </c>
      <c r="H29" s="221">
        <v>363.90451464260855</v>
      </c>
      <c r="I29" s="111">
        <v>372.76105818884957</v>
      </c>
      <c r="J29" s="111">
        <v>410.5558825329656</v>
      </c>
      <c r="K29" s="111">
        <v>386.60332281802295</v>
      </c>
      <c r="L29" s="111">
        <v>363.25020220035174</v>
      </c>
      <c r="M29" s="111">
        <v>367.48229411231011</v>
      </c>
      <c r="N29" s="111">
        <v>326.9566398580186</v>
      </c>
      <c r="O29" s="111">
        <v>388.87703695276861</v>
      </c>
      <c r="P29" s="111">
        <f>P30/P28</f>
        <v>347.78104467920656</v>
      </c>
      <c r="Q29" s="111" t="e">
        <f>Q30/Q28</f>
        <v>#DIV/0!</v>
      </c>
      <c r="R29" s="111" t="e">
        <f>R30/R28</f>
        <v>#DIV/0!</v>
      </c>
      <c r="S29" s="111" t="e">
        <f>S30/S28</f>
        <v>#DIV/0!</v>
      </c>
      <c r="T29" s="111">
        <f>T30/T28</f>
        <v>347.78104467920656</v>
      </c>
    </row>
    <row r="30" spans="1:22">
      <c r="A30" s="64">
        <f>A29+1</f>
        <v>16</v>
      </c>
      <c r="B30" s="35" t="s">
        <v>23</v>
      </c>
      <c r="C30" s="64" t="str">
        <f>"("&amp;A28&amp;") x ("&amp;A29&amp;")"</f>
        <v>(14) x (15)</v>
      </c>
      <c r="D30" s="68">
        <f t="shared" ref="D30:O30" si="16">D28*D29</f>
        <v>13334079.934255878</v>
      </c>
      <c r="E30" s="68">
        <f t="shared" si="16"/>
        <v>12483344.162436109</v>
      </c>
      <c r="F30" s="68">
        <f t="shared" si="16"/>
        <v>12697935.477351421</v>
      </c>
      <c r="G30" s="68">
        <f t="shared" si="16"/>
        <v>0</v>
      </c>
      <c r="H30" s="69">
        <f t="shared" si="16"/>
        <v>0</v>
      </c>
      <c r="I30" s="68">
        <f t="shared" si="16"/>
        <v>0</v>
      </c>
      <c r="J30" s="68">
        <f t="shared" si="16"/>
        <v>0</v>
      </c>
      <c r="K30" s="68">
        <f t="shared" si="16"/>
        <v>0</v>
      </c>
      <c r="L30" s="68">
        <f t="shared" si="16"/>
        <v>0</v>
      </c>
      <c r="M30" s="68">
        <f t="shared" si="16"/>
        <v>0</v>
      </c>
      <c r="N30" s="68">
        <f t="shared" si="16"/>
        <v>0</v>
      </c>
      <c r="O30" s="68">
        <f t="shared" si="16"/>
        <v>0</v>
      </c>
      <c r="P30" s="117">
        <f>SUM(D30:F30)</f>
        <v>38515359.574043408</v>
      </c>
      <c r="Q30" s="117">
        <f>SUM(G30:I30)</f>
        <v>0</v>
      </c>
      <c r="R30" s="117">
        <f>SUM(J30:L30)</f>
        <v>0</v>
      </c>
      <c r="S30" s="117">
        <f>SUM(M30:O30)</f>
        <v>0</v>
      </c>
      <c r="T30" s="128">
        <f>SUM(D30:O30)</f>
        <v>38515359.574043408</v>
      </c>
    </row>
    <row r="31" spans="1:22" ht="9" customHeight="1">
      <c r="A31" s="64"/>
      <c r="B31" s="35"/>
      <c r="C31" s="64"/>
      <c r="D31" s="65"/>
      <c r="E31" s="65"/>
      <c r="F31" s="65"/>
      <c r="G31" s="65"/>
      <c r="H31" s="222"/>
      <c r="I31" s="68"/>
      <c r="J31" s="65"/>
      <c r="K31" s="65"/>
      <c r="L31" s="65"/>
      <c r="M31" s="65"/>
      <c r="N31" s="65"/>
      <c r="O31" s="65"/>
      <c r="P31" s="129"/>
      <c r="Q31" s="129"/>
      <c r="R31" s="129"/>
      <c r="S31" s="129"/>
      <c r="T31" s="16"/>
    </row>
    <row r="32" spans="1:22">
      <c r="A32" s="64">
        <v>17</v>
      </c>
      <c r="B32" s="35" t="s">
        <v>37</v>
      </c>
      <c r="C32" s="64" t="s">
        <v>21</v>
      </c>
      <c r="D32" s="112">
        <v>17957425.513</v>
      </c>
      <c r="E32" s="112">
        <v>17832409.430050004</v>
      </c>
      <c r="F32" s="112">
        <v>17381462.84183</v>
      </c>
      <c r="G32" s="112"/>
      <c r="H32" s="223"/>
      <c r="I32" s="112"/>
      <c r="J32" s="112"/>
      <c r="K32" s="112"/>
      <c r="L32" s="112"/>
      <c r="M32" s="112"/>
      <c r="N32" s="112"/>
      <c r="O32" s="112"/>
      <c r="P32" s="117"/>
      <c r="Q32" s="117"/>
      <c r="R32" s="117"/>
      <c r="S32" s="117"/>
      <c r="T32" s="16"/>
    </row>
    <row r="33" spans="1:20">
      <c r="A33" s="64">
        <f>A32+1</f>
        <v>18</v>
      </c>
      <c r="B33" s="35" t="s">
        <v>38</v>
      </c>
      <c r="C33" s="64" t="s">
        <v>21</v>
      </c>
      <c r="D33" s="112">
        <v>1673810.56</v>
      </c>
      <c r="E33" s="112">
        <v>1616459.1400000001</v>
      </c>
      <c r="F33" s="112">
        <v>1701878.5699999998</v>
      </c>
      <c r="G33" s="112"/>
      <c r="H33" s="223"/>
      <c r="I33" s="112"/>
      <c r="J33" s="112"/>
      <c r="K33" s="112"/>
      <c r="L33" s="112"/>
      <c r="M33" s="112"/>
      <c r="N33" s="112"/>
      <c r="O33" s="112"/>
      <c r="P33" s="117"/>
      <c r="Q33" s="117"/>
      <c r="R33" s="117"/>
      <c r="S33" s="117"/>
      <c r="T33" s="16"/>
    </row>
    <row r="34" spans="1:20">
      <c r="A34" s="64">
        <f>A33+1</f>
        <v>19</v>
      </c>
      <c r="B34" s="6" t="s">
        <v>41</v>
      </c>
      <c r="C34" s="64" t="s">
        <v>21</v>
      </c>
      <c r="D34" s="113">
        <v>179506335.33200002</v>
      </c>
      <c r="E34" s="113">
        <v>176387989.83200002</v>
      </c>
      <c r="F34" s="113">
        <v>169824262.03900003</v>
      </c>
      <c r="G34" s="113"/>
      <c r="H34" s="224"/>
      <c r="I34" s="113"/>
      <c r="J34" s="113"/>
      <c r="K34" s="113"/>
      <c r="L34" s="113"/>
      <c r="M34" s="113"/>
      <c r="N34" s="113"/>
      <c r="O34" s="113"/>
      <c r="P34" s="126"/>
      <c r="Q34" s="126"/>
      <c r="R34" s="126"/>
      <c r="S34" s="126"/>
      <c r="T34" s="16"/>
    </row>
    <row r="35" spans="1:20" ht="26.25">
      <c r="A35" s="64">
        <f>A34+1</f>
        <v>20</v>
      </c>
      <c r="B35" s="16" t="s">
        <v>39</v>
      </c>
      <c r="C35" s="114" t="s">
        <v>93</v>
      </c>
      <c r="D35" s="115">
        <v>1.9E-2</v>
      </c>
      <c r="E35" s="115">
        <v>1.9E-2</v>
      </c>
      <c r="F35" s="115">
        <v>1.9E-2</v>
      </c>
      <c r="G35" s="115">
        <v>1.9E-2</v>
      </c>
      <c r="H35" s="225">
        <v>1.9E-2</v>
      </c>
      <c r="I35" s="115">
        <v>1.9E-2</v>
      </c>
      <c r="J35" s="115">
        <v>1.9E-2</v>
      </c>
      <c r="K35" s="115">
        <v>1.9E-2</v>
      </c>
      <c r="L35" s="115">
        <v>1.9E-2</v>
      </c>
      <c r="M35" s="115">
        <v>1.9E-2</v>
      </c>
      <c r="N35" s="115">
        <v>1.9E-2</v>
      </c>
      <c r="O35" s="115">
        <v>1.9E-2</v>
      </c>
      <c r="P35" s="130"/>
      <c r="Q35" s="130"/>
      <c r="R35" s="130"/>
      <c r="S35" s="130"/>
      <c r="T35" s="131"/>
    </row>
    <row r="36" spans="1:20">
      <c r="A36" s="64">
        <f>A35+1</f>
        <v>21</v>
      </c>
      <c r="B36" s="35" t="s">
        <v>40</v>
      </c>
      <c r="C36" s="64" t="str">
        <f>"("&amp;A34&amp;") x ("&amp;A35&amp;")"</f>
        <v>(19) x (20)</v>
      </c>
      <c r="D36" s="68">
        <f t="shared" ref="D36:O36" si="17">D34*D35</f>
        <v>3410620.3713080003</v>
      </c>
      <c r="E36" s="68">
        <f t="shared" si="17"/>
        <v>3351371.8068080004</v>
      </c>
      <c r="F36" s="68">
        <f t="shared" si="17"/>
        <v>3226660.9787410004</v>
      </c>
      <c r="G36" s="68">
        <f t="shared" si="17"/>
        <v>0</v>
      </c>
      <c r="H36" s="69">
        <f t="shared" si="17"/>
        <v>0</v>
      </c>
      <c r="I36" s="68">
        <f t="shared" si="17"/>
        <v>0</v>
      </c>
      <c r="J36" s="68">
        <f t="shared" si="17"/>
        <v>0</v>
      </c>
      <c r="K36" s="68">
        <f t="shared" si="17"/>
        <v>0</v>
      </c>
      <c r="L36" s="68">
        <f t="shared" si="17"/>
        <v>0</v>
      </c>
      <c r="M36" s="68">
        <f t="shared" si="17"/>
        <v>0</v>
      </c>
      <c r="N36" s="68">
        <f t="shared" si="17"/>
        <v>0</v>
      </c>
      <c r="O36" s="68">
        <f t="shared" si="17"/>
        <v>0</v>
      </c>
      <c r="P36" s="117"/>
      <c r="Q36" s="117"/>
      <c r="R36" s="117"/>
      <c r="S36" s="117"/>
      <c r="T36" s="128"/>
    </row>
    <row r="37" spans="1:20">
      <c r="A37" s="64">
        <f>A36+1</f>
        <v>22</v>
      </c>
      <c r="B37" s="35" t="s">
        <v>25</v>
      </c>
      <c r="C37" s="64" t="str">
        <f>"("&amp;A32&amp;") - ("&amp;A33&amp;") -("&amp;A36&amp;")"</f>
        <v>(17) - (18) -(21)</v>
      </c>
      <c r="D37" s="68">
        <f>D32-D33-D36</f>
        <v>12872994.581691999</v>
      </c>
      <c r="E37" s="68">
        <f t="shared" ref="E37:O37" si="18">E32-E33-E36</f>
        <v>12864578.483242003</v>
      </c>
      <c r="F37" s="68">
        <f t="shared" si="18"/>
        <v>12452923.293088999</v>
      </c>
      <c r="G37" s="68">
        <f t="shared" si="18"/>
        <v>0</v>
      </c>
      <c r="H37" s="69">
        <f t="shared" si="18"/>
        <v>0</v>
      </c>
      <c r="I37" s="68">
        <f t="shared" si="18"/>
        <v>0</v>
      </c>
      <c r="J37" s="68">
        <f t="shared" si="18"/>
        <v>0</v>
      </c>
      <c r="K37" s="68">
        <f t="shared" si="18"/>
        <v>0</v>
      </c>
      <c r="L37" s="68">
        <f t="shared" si="18"/>
        <v>0</v>
      </c>
      <c r="M37" s="68">
        <f t="shared" si="18"/>
        <v>0</v>
      </c>
      <c r="N37" s="68">
        <f t="shared" si="18"/>
        <v>0</v>
      </c>
      <c r="O37" s="68">
        <f t="shared" si="18"/>
        <v>0</v>
      </c>
      <c r="P37" s="117">
        <f>SUM(D37:F37)</f>
        <v>38190496.358023003</v>
      </c>
      <c r="Q37" s="117">
        <f>SUM(G37:I37)</f>
        <v>0</v>
      </c>
      <c r="R37" s="117">
        <f>SUM(J37:L37)</f>
        <v>0</v>
      </c>
      <c r="S37" s="117">
        <f>SUM(M37:O37)</f>
        <v>0</v>
      </c>
      <c r="T37" s="128">
        <f>SUM(D37:O37)</f>
        <v>38190496.358023003</v>
      </c>
    </row>
    <row r="38" spans="1:20">
      <c r="A38" s="64"/>
      <c r="B38" s="64" t="s">
        <v>34</v>
      </c>
      <c r="C38" s="64"/>
      <c r="D38" s="32">
        <f t="shared" ref="D38:O38" si="19">D37/D28</f>
        <v>347.3648663399444</v>
      </c>
      <c r="E38" s="32">
        <f t="shared" si="19"/>
        <v>347.14713376982036</v>
      </c>
      <c r="F38" s="32">
        <f t="shared" si="19"/>
        <v>339.97442717761879</v>
      </c>
      <c r="G38" s="32" t="e">
        <f t="shared" si="19"/>
        <v>#DIV/0!</v>
      </c>
      <c r="H38" s="226" t="e">
        <f t="shared" si="19"/>
        <v>#DIV/0!</v>
      </c>
      <c r="I38" s="32" t="e">
        <f t="shared" si="19"/>
        <v>#DIV/0!</v>
      </c>
      <c r="J38" s="32" t="e">
        <f t="shared" si="19"/>
        <v>#DIV/0!</v>
      </c>
      <c r="K38" s="32" t="e">
        <f t="shared" si="19"/>
        <v>#DIV/0!</v>
      </c>
      <c r="L38" s="32" t="e">
        <f t="shared" si="19"/>
        <v>#DIV/0!</v>
      </c>
      <c r="M38" s="32" t="e">
        <f t="shared" si="19"/>
        <v>#DIV/0!</v>
      </c>
      <c r="N38" s="32" t="e">
        <f t="shared" si="19"/>
        <v>#DIV/0!</v>
      </c>
      <c r="O38" s="32" t="e">
        <f t="shared" si="19"/>
        <v>#DIV/0!</v>
      </c>
      <c r="P38" s="132">
        <f>P37/P28</f>
        <v>344.8476365559298</v>
      </c>
      <c r="Q38" s="132" t="e">
        <f>Q37/Q28</f>
        <v>#DIV/0!</v>
      </c>
      <c r="R38" s="132" t="e">
        <f>R37/R28</f>
        <v>#DIV/0!</v>
      </c>
      <c r="S38" s="132" t="e">
        <f>S37/S28</f>
        <v>#DIV/0!</v>
      </c>
      <c r="T38" s="132">
        <f>T37/T28</f>
        <v>344.8476365559298</v>
      </c>
    </row>
    <row r="39" spans="1:20">
      <c r="A39" s="64">
        <v>23</v>
      </c>
      <c r="B39" s="35" t="s">
        <v>27</v>
      </c>
      <c r="C39" s="64" t="str">
        <f>"("&amp;A$30&amp;") - ("&amp;A37&amp;")"</f>
        <v>(16) - (22)</v>
      </c>
      <c r="D39" s="117">
        <f t="shared" ref="D39:O39" si="20">D30-D37</f>
        <v>461085.35256387852</v>
      </c>
      <c r="E39" s="117">
        <f t="shared" si="20"/>
        <v>-381234.32080589421</v>
      </c>
      <c r="F39" s="117">
        <f t="shared" si="20"/>
        <v>245012.18426242284</v>
      </c>
      <c r="G39" s="117">
        <f t="shared" si="20"/>
        <v>0</v>
      </c>
      <c r="H39" s="227">
        <f t="shared" si="20"/>
        <v>0</v>
      </c>
      <c r="I39" s="117">
        <f t="shared" si="20"/>
        <v>0</v>
      </c>
      <c r="J39" s="117">
        <f t="shared" si="20"/>
        <v>0</v>
      </c>
      <c r="K39" s="117">
        <f t="shared" si="20"/>
        <v>0</v>
      </c>
      <c r="L39" s="117">
        <f t="shared" si="20"/>
        <v>0</v>
      </c>
      <c r="M39" s="117">
        <f t="shared" si="20"/>
        <v>0</v>
      </c>
      <c r="N39" s="117">
        <f t="shared" si="20"/>
        <v>0</v>
      </c>
      <c r="O39" s="117">
        <f t="shared" si="20"/>
        <v>0</v>
      </c>
      <c r="P39" s="117">
        <f>SUM(D39:F39)</f>
        <v>324863.21602040716</v>
      </c>
      <c r="Q39" s="117">
        <f>SUM(G39:I39)</f>
        <v>0</v>
      </c>
      <c r="R39" s="117">
        <f>SUM(J39:L39)</f>
        <v>0</v>
      </c>
      <c r="S39" s="117">
        <f>SUM(M39:O39)</f>
        <v>0</v>
      </c>
      <c r="T39" s="128">
        <f>SUM(D39:O39)</f>
        <v>324863.21602040716</v>
      </c>
    </row>
    <row r="40" spans="1:20">
      <c r="A40" s="64">
        <v>24</v>
      </c>
      <c r="B40" s="35" t="s">
        <v>28</v>
      </c>
      <c r="C40" s="15" t="s">
        <v>29</v>
      </c>
      <c r="D40" s="117">
        <f>D39*-0.046677</f>
        <v>-21522.081001624159</v>
      </c>
      <c r="E40" s="117">
        <f t="shared" ref="E40:F40" si="21">E39*-0.046677</f>
        <v>17794.874392256726</v>
      </c>
      <c r="F40" s="117">
        <f t="shared" si="21"/>
        <v>-11436.433724817112</v>
      </c>
      <c r="G40" s="117">
        <f t="shared" ref="G40:O40" si="22">G39*-0.04588</f>
        <v>0</v>
      </c>
      <c r="H40" s="117">
        <f t="shared" si="22"/>
        <v>0</v>
      </c>
      <c r="I40" s="117">
        <f t="shared" si="22"/>
        <v>0</v>
      </c>
      <c r="J40" s="117">
        <f t="shared" si="22"/>
        <v>0</v>
      </c>
      <c r="K40" s="117">
        <f t="shared" si="22"/>
        <v>0</v>
      </c>
      <c r="L40" s="117">
        <f t="shared" si="22"/>
        <v>0</v>
      </c>
      <c r="M40" s="117">
        <f t="shared" si="22"/>
        <v>0</v>
      </c>
      <c r="N40" s="117">
        <f t="shared" si="22"/>
        <v>0</v>
      </c>
      <c r="O40" s="117">
        <f t="shared" si="22"/>
        <v>0</v>
      </c>
      <c r="P40" s="117">
        <f>SUM(D40:F40)</f>
        <v>-15163.640334184545</v>
      </c>
      <c r="Q40" s="117">
        <f>SUM(G40:I40)</f>
        <v>0</v>
      </c>
      <c r="R40" s="117">
        <f>SUM(J40:L40)</f>
        <v>0</v>
      </c>
      <c r="S40" s="117">
        <f>SUM(M40:O40)</f>
        <v>0</v>
      </c>
      <c r="T40" s="128">
        <f>SUM(D40:O40)</f>
        <v>-15163.640334184545</v>
      </c>
    </row>
    <row r="41" spans="1:20">
      <c r="A41" s="64"/>
      <c r="B41" s="35"/>
      <c r="C41" s="64" t="s">
        <v>30</v>
      </c>
      <c r="D41" s="118">
        <f t="shared" ref="D41:O41" si="23">D22</f>
        <v>5.1799999999999999E-2</v>
      </c>
      <c r="E41" s="118">
        <f t="shared" si="23"/>
        <v>5.1799999999999999E-2</v>
      </c>
      <c r="F41" s="118">
        <f t="shared" si="23"/>
        <v>5.1799999999999999E-2</v>
      </c>
      <c r="G41" s="118">
        <f t="shared" si="23"/>
        <v>0</v>
      </c>
      <c r="H41" s="228">
        <f t="shared" si="23"/>
        <v>0</v>
      </c>
      <c r="I41" s="118">
        <f t="shared" si="23"/>
        <v>0</v>
      </c>
      <c r="J41" s="118">
        <f t="shared" si="23"/>
        <v>0</v>
      </c>
      <c r="K41" s="118">
        <f t="shared" si="23"/>
        <v>0</v>
      </c>
      <c r="L41" s="118">
        <f t="shared" si="23"/>
        <v>0</v>
      </c>
      <c r="M41" s="118">
        <f t="shared" si="23"/>
        <v>0</v>
      </c>
      <c r="N41" s="118">
        <f t="shared" si="23"/>
        <v>0</v>
      </c>
      <c r="O41" s="118">
        <f t="shared" si="23"/>
        <v>0</v>
      </c>
      <c r="P41" s="118"/>
      <c r="Q41" s="118"/>
      <c r="R41" s="118"/>
      <c r="S41" s="118"/>
      <c r="T41" s="128"/>
    </row>
    <row r="42" spans="1:20" ht="14.45" customHeight="1">
      <c r="A42" s="64">
        <v>25</v>
      </c>
      <c r="B42" s="35" t="s">
        <v>31</v>
      </c>
      <c r="C42" s="64" t="s">
        <v>35</v>
      </c>
      <c r="D42" s="9">
        <f>(D39+D40)/2*D41/12</f>
        <v>948.7240611218657</v>
      </c>
      <c r="E42" s="9">
        <f t="shared" ref="E42:O42" si="24">(D44+(E39+E40)/2)*E41/12</f>
        <v>1117.1199759314729</v>
      </c>
      <c r="F42" s="9">
        <f t="shared" si="24"/>
        <v>841.65306689514216</v>
      </c>
      <c r="G42" s="9">
        <f t="shared" si="24"/>
        <v>0</v>
      </c>
      <c r="H42" s="229">
        <f t="shared" si="24"/>
        <v>0</v>
      </c>
      <c r="I42" s="9">
        <f t="shared" si="24"/>
        <v>0</v>
      </c>
      <c r="J42" s="9">
        <f t="shared" si="24"/>
        <v>0</v>
      </c>
      <c r="K42" s="9">
        <f t="shared" si="24"/>
        <v>0</v>
      </c>
      <c r="L42" s="9">
        <f t="shared" si="24"/>
        <v>0</v>
      </c>
      <c r="M42" s="9">
        <f t="shared" si="24"/>
        <v>0</v>
      </c>
      <c r="N42" s="9">
        <f t="shared" si="24"/>
        <v>0</v>
      </c>
      <c r="O42" s="9">
        <f t="shared" si="24"/>
        <v>0</v>
      </c>
      <c r="P42" s="117">
        <f>SUM(D42:F42)</f>
        <v>2907.4971039484808</v>
      </c>
      <c r="Q42" s="117">
        <f>SUM(G42:I42)</f>
        <v>0</v>
      </c>
      <c r="R42" s="117">
        <f>SUM(J42:L42)</f>
        <v>0</v>
      </c>
      <c r="S42" s="117">
        <f>SUM(M42:O42)</f>
        <v>0</v>
      </c>
      <c r="T42" s="128">
        <f>SUM(D42:O42)</f>
        <v>2907.4971039484808</v>
      </c>
    </row>
    <row r="43" spans="1:20" ht="15.75" thickBot="1">
      <c r="A43" s="64"/>
      <c r="B43" s="10" t="s">
        <v>36</v>
      </c>
      <c r="C43" s="64"/>
      <c r="D43" s="12">
        <f>D39+D40+D42</f>
        <v>440511.99562337622</v>
      </c>
      <c r="E43" s="12">
        <f t="shared" ref="E43:T43" si="25">E39+E40+E42</f>
        <v>-362322.32643770601</v>
      </c>
      <c r="F43" s="12">
        <f t="shared" si="25"/>
        <v>234417.40360450087</v>
      </c>
      <c r="G43" s="12">
        <f t="shared" si="25"/>
        <v>0</v>
      </c>
      <c r="H43" s="12">
        <f t="shared" si="25"/>
        <v>0</v>
      </c>
      <c r="I43" s="12">
        <f t="shared" si="25"/>
        <v>0</v>
      </c>
      <c r="J43" s="12">
        <f t="shared" si="25"/>
        <v>0</v>
      </c>
      <c r="K43" s="12">
        <f t="shared" si="25"/>
        <v>0</v>
      </c>
      <c r="L43" s="12">
        <f t="shared" si="25"/>
        <v>0</v>
      </c>
      <c r="M43" s="12">
        <f t="shared" si="25"/>
        <v>0</v>
      </c>
      <c r="N43" s="12">
        <f t="shared" si="25"/>
        <v>0</v>
      </c>
      <c r="O43" s="12">
        <f t="shared" si="25"/>
        <v>0</v>
      </c>
      <c r="P43" s="133">
        <f t="shared" si="25"/>
        <v>312607.07279017108</v>
      </c>
      <c r="Q43" s="133">
        <f t="shared" si="25"/>
        <v>0</v>
      </c>
      <c r="R43" s="133">
        <f t="shared" si="25"/>
        <v>0</v>
      </c>
      <c r="S43" s="133">
        <f t="shared" si="25"/>
        <v>0</v>
      </c>
      <c r="T43" s="133">
        <f t="shared" si="25"/>
        <v>312607.07279017108</v>
      </c>
    </row>
    <row r="44" spans="1:20" ht="26.25">
      <c r="A44" s="64">
        <v>26</v>
      </c>
      <c r="B44" s="136" t="s">
        <v>99</v>
      </c>
      <c r="C44" s="64" t="str">
        <f>"Σ(("&amp;A$39&amp;") ~ ("&amp;A42&amp;"))"</f>
        <v>Σ((23) ~ (25))</v>
      </c>
      <c r="D44" s="68">
        <f>D39+D40+D42</f>
        <v>440511.99562337622</v>
      </c>
      <c r="E44" s="68">
        <f t="shared" ref="E44:O44" si="26">D44+E39+E40+E42</f>
        <v>78189.669185670209</v>
      </c>
      <c r="F44" s="68">
        <f t="shared" si="26"/>
        <v>312607.07279017108</v>
      </c>
      <c r="G44" s="68">
        <f t="shared" si="26"/>
        <v>312607.07279017108</v>
      </c>
      <c r="H44" s="69">
        <f t="shared" si="26"/>
        <v>312607.07279017108</v>
      </c>
      <c r="I44" s="68">
        <f t="shared" si="26"/>
        <v>312607.07279017108</v>
      </c>
      <c r="J44" s="68">
        <f t="shared" si="26"/>
        <v>312607.07279017108</v>
      </c>
      <c r="K44" s="68">
        <f t="shared" si="26"/>
        <v>312607.07279017108</v>
      </c>
      <c r="L44" s="68">
        <f t="shared" si="26"/>
        <v>312607.07279017108</v>
      </c>
      <c r="M44" s="68">
        <f t="shared" si="26"/>
        <v>312607.07279017108</v>
      </c>
      <c r="N44" s="68">
        <f t="shared" si="26"/>
        <v>312607.07279017108</v>
      </c>
      <c r="O44" s="217">
        <f t="shared" si="26"/>
        <v>312607.07279017108</v>
      </c>
      <c r="P44" s="117"/>
      <c r="Q44" s="117"/>
      <c r="R44" s="117"/>
      <c r="S44" s="117"/>
      <c r="T44" s="128"/>
    </row>
    <row r="45" spans="1:20" ht="14.45" hidden="1" customHeight="1" thickBot="1">
      <c r="A45" s="64"/>
      <c r="B45" s="148"/>
      <c r="C45" s="64"/>
      <c r="D45" s="68"/>
      <c r="E45" s="68"/>
      <c r="F45" s="68"/>
      <c r="G45" s="68"/>
      <c r="H45" s="69"/>
      <c r="I45" s="68"/>
      <c r="J45" s="68"/>
      <c r="K45" s="68"/>
      <c r="L45" s="68"/>
      <c r="M45" s="68"/>
      <c r="N45" s="68"/>
      <c r="O45" s="29"/>
      <c r="P45" s="133">
        <f>P41+P42+P44</f>
        <v>2907.4971039484808</v>
      </c>
      <c r="Q45" s="133">
        <f>Q41+Q42+Q44</f>
        <v>0</v>
      </c>
      <c r="R45" s="133">
        <f>R41+R42+R44</f>
        <v>0</v>
      </c>
      <c r="S45" s="133">
        <f>S41+S42+S44</f>
        <v>0</v>
      </c>
      <c r="T45" s="133">
        <f>T41+T42+T44</f>
        <v>2907.4971039484808</v>
      </c>
    </row>
    <row r="46" spans="1:20" ht="21.75" customHeight="1" thickBot="1">
      <c r="A46" s="2">
        <v>27</v>
      </c>
      <c r="B46" s="120" t="s">
        <v>100</v>
      </c>
      <c r="C46" s="2" t="str">
        <f>"("&amp;A$25&amp;") + ("&amp;A44&amp;")"</f>
        <v>(13) + (26)</v>
      </c>
      <c r="D46" s="14">
        <f t="shared" ref="D46:O46" si="27">D25+D44</f>
        <v>976904.8853265068</v>
      </c>
      <c r="E46" s="14">
        <f t="shared" si="27"/>
        <v>-49171.366633911515</v>
      </c>
      <c r="F46" s="14">
        <f t="shared" si="27"/>
        <v>-2699877.0701291692</v>
      </c>
      <c r="G46" s="14">
        <f t="shared" si="27"/>
        <v>-2699877.0701291692</v>
      </c>
      <c r="H46" s="231">
        <f t="shared" si="27"/>
        <v>-2699877.0701291692</v>
      </c>
      <c r="I46" s="14">
        <f t="shared" si="27"/>
        <v>-2699877.0701291692</v>
      </c>
      <c r="J46" s="14">
        <f t="shared" si="27"/>
        <v>-2699877.0701291692</v>
      </c>
      <c r="K46" s="14">
        <f t="shared" si="27"/>
        <v>-2699877.0701291692</v>
      </c>
      <c r="L46" s="14">
        <f t="shared" si="27"/>
        <v>-2699877.0701291692</v>
      </c>
      <c r="M46" s="14">
        <f t="shared" si="27"/>
        <v>-2699877.0701291692</v>
      </c>
      <c r="N46" s="14">
        <f t="shared" si="27"/>
        <v>-2699877.0701291692</v>
      </c>
      <c r="O46" s="216">
        <f t="shared" si="27"/>
        <v>-2699877.0701291692</v>
      </c>
      <c r="P46" s="135"/>
      <c r="Q46" s="135"/>
      <c r="R46" s="135"/>
      <c r="S46" s="135"/>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1st Quarter 2019</oddHeader>
    <oddFooter>&amp;Cfile: &amp;F / &amp;A&amp;R1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A19" zoomScaleNormal="100" workbookViewId="0">
      <selection activeCell="E14" sqref="E14"/>
    </sheetView>
  </sheetViews>
  <sheetFormatPr defaultRowHeight="15"/>
  <cols>
    <col min="1" max="1" width="7.28515625" customWidth="1"/>
    <col min="2" max="2" width="35" customWidth="1"/>
    <col min="3" max="3" width="18.7109375" customWidth="1"/>
    <col min="4" max="4" width="13.28515625" customWidth="1"/>
    <col min="5" max="5" width="12.140625" customWidth="1"/>
    <col min="6" max="6" width="12.42578125"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hidden="1" customWidth="1"/>
    <col min="14" max="14" width="11.5703125" hidden="1" customWidth="1"/>
    <col min="15" max="15" width="12.28515625" hidden="1" customWidth="1"/>
    <col min="16" max="16" width="12.7109375" style="63" customWidth="1"/>
    <col min="17" max="17" width="12.85546875" style="25" hidden="1" customWidth="1"/>
    <col min="18" max="18" width="12.28515625" style="63" hidden="1" customWidth="1"/>
    <col min="19" max="19" width="12.28515625" style="73" hidden="1" customWidth="1"/>
    <col min="20" max="20" width="12.42578125" customWidth="1"/>
  </cols>
  <sheetData>
    <row r="1" spans="1:20" ht="15.75">
      <c r="A1" s="137" t="s">
        <v>0</v>
      </c>
      <c r="B1" s="137"/>
      <c r="C1" s="137"/>
      <c r="D1" s="137"/>
      <c r="E1" s="137"/>
      <c r="F1" s="137"/>
      <c r="G1" s="137"/>
      <c r="H1" s="137"/>
      <c r="I1" s="137"/>
      <c r="J1" s="137"/>
      <c r="K1" s="137"/>
      <c r="L1" s="137"/>
      <c r="M1" s="137"/>
      <c r="N1" s="137"/>
      <c r="O1" s="137"/>
      <c r="P1" s="137"/>
      <c r="Q1" s="137"/>
      <c r="R1" s="137"/>
      <c r="S1" s="137"/>
      <c r="T1" s="137"/>
    </row>
    <row r="2" spans="1:20" ht="18.75">
      <c r="A2" s="137" t="s">
        <v>169</v>
      </c>
      <c r="B2" s="137"/>
      <c r="C2" s="137"/>
      <c r="D2" s="137"/>
      <c r="E2" s="137"/>
      <c r="F2" s="137"/>
      <c r="G2" s="137"/>
      <c r="H2" s="137"/>
      <c r="I2" s="137"/>
      <c r="J2" s="137"/>
      <c r="K2" s="137"/>
      <c r="L2" s="137"/>
      <c r="M2" s="137"/>
      <c r="N2" s="137"/>
      <c r="O2" s="137"/>
      <c r="P2" s="139"/>
      <c r="Q2" s="139"/>
      <c r="R2" s="139"/>
      <c r="S2" s="139"/>
      <c r="T2" s="139"/>
    </row>
    <row r="3" spans="1:20" ht="15.75">
      <c r="A3" s="137" t="s">
        <v>170</v>
      </c>
      <c r="B3" s="137"/>
      <c r="C3" s="137"/>
      <c r="D3" s="137"/>
      <c r="E3" s="137"/>
      <c r="F3" s="137"/>
      <c r="G3" s="137"/>
      <c r="H3" s="137"/>
      <c r="I3" s="137"/>
      <c r="J3" s="137"/>
      <c r="K3" s="137"/>
      <c r="L3" s="137"/>
      <c r="M3" s="137"/>
      <c r="N3" s="137"/>
      <c r="O3" s="137"/>
      <c r="P3" s="138"/>
      <c r="Q3" s="138"/>
      <c r="R3" s="138"/>
      <c r="S3" s="138"/>
      <c r="T3" s="138"/>
    </row>
    <row r="4" spans="1:20" ht="15" customHeight="1">
      <c r="A4" s="138"/>
      <c r="B4" s="13"/>
      <c r="C4" s="13"/>
      <c r="D4" s="13"/>
      <c r="E4" s="13"/>
      <c r="F4" s="13"/>
      <c r="G4" s="13"/>
      <c r="H4" s="13"/>
      <c r="I4" s="13"/>
      <c r="J4" s="13"/>
      <c r="K4" s="13"/>
      <c r="L4" s="13"/>
      <c r="M4" s="13"/>
      <c r="N4" s="13"/>
      <c r="O4" s="13"/>
      <c r="P4" s="72"/>
      <c r="Q4" s="61"/>
      <c r="R4" s="72"/>
      <c r="S4" s="78"/>
      <c r="T4" s="1"/>
    </row>
    <row r="5" spans="1:20" ht="26.25">
      <c r="A5" s="35"/>
      <c r="B5" s="35"/>
      <c r="C5" s="35"/>
      <c r="D5" s="64"/>
      <c r="E5" s="10"/>
      <c r="F5" s="10"/>
      <c r="G5" s="10"/>
      <c r="H5" s="10"/>
      <c r="I5" s="10"/>
      <c r="J5" s="10"/>
      <c r="K5" s="10"/>
      <c r="L5" s="10"/>
      <c r="M5" s="10"/>
      <c r="N5" s="10"/>
      <c r="O5" s="10"/>
      <c r="P5" s="62" t="s">
        <v>161</v>
      </c>
      <c r="Q5" s="62" t="s">
        <v>162</v>
      </c>
      <c r="R5" s="62" t="s">
        <v>168</v>
      </c>
      <c r="S5" s="62" t="s">
        <v>164</v>
      </c>
      <c r="T5" s="60" t="s">
        <v>165</v>
      </c>
    </row>
    <row r="6" spans="1:20" ht="25.5">
      <c r="A6" s="107" t="s">
        <v>1</v>
      </c>
      <c r="B6" s="108"/>
      <c r="C6" s="103" t="s">
        <v>2</v>
      </c>
      <c r="D6" s="140">
        <v>43466</v>
      </c>
      <c r="E6" s="109">
        <f t="shared" ref="E6:O6" si="0">EDATE(D6,1)</f>
        <v>43497</v>
      </c>
      <c r="F6" s="109">
        <f t="shared" si="0"/>
        <v>43525</v>
      </c>
      <c r="G6" s="109">
        <f t="shared" si="0"/>
        <v>43556</v>
      </c>
      <c r="H6" s="109">
        <f t="shared" si="0"/>
        <v>43586</v>
      </c>
      <c r="I6" s="109">
        <f t="shared" si="0"/>
        <v>43617</v>
      </c>
      <c r="J6" s="109">
        <f t="shared" si="0"/>
        <v>43647</v>
      </c>
      <c r="K6" s="109">
        <f t="shared" si="0"/>
        <v>43678</v>
      </c>
      <c r="L6" s="109">
        <f t="shared" si="0"/>
        <v>43709</v>
      </c>
      <c r="M6" s="109">
        <f t="shared" si="0"/>
        <v>43739</v>
      </c>
      <c r="N6" s="109">
        <f t="shared" si="0"/>
        <v>43770</v>
      </c>
      <c r="O6" s="109">
        <f t="shared" si="0"/>
        <v>43800</v>
      </c>
      <c r="P6" s="109" t="s">
        <v>3</v>
      </c>
      <c r="Q6" s="24" t="s">
        <v>3</v>
      </c>
      <c r="R6" s="24" t="s">
        <v>3</v>
      </c>
      <c r="S6" s="24" t="s">
        <v>3</v>
      </c>
      <c r="T6" s="3" t="s">
        <v>3</v>
      </c>
    </row>
    <row r="7" spans="1:20">
      <c r="A7" s="64"/>
      <c r="B7" s="64" t="s">
        <v>4</v>
      </c>
      <c r="C7" s="64" t="s">
        <v>5</v>
      </c>
      <c r="D7" s="64" t="s">
        <v>6</v>
      </c>
      <c r="E7" s="64" t="s">
        <v>7</v>
      </c>
      <c r="F7" s="64" t="s">
        <v>8</v>
      </c>
      <c r="G7" s="64" t="s">
        <v>9</v>
      </c>
      <c r="H7" s="219"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9"/>
      <c r="I8" s="64"/>
      <c r="J8" s="64"/>
      <c r="K8" s="64"/>
      <c r="L8" s="64"/>
      <c r="M8" s="64"/>
      <c r="N8" s="64"/>
      <c r="O8" s="64"/>
      <c r="P8" s="68"/>
      <c r="Q8" s="28"/>
      <c r="R8" s="68"/>
      <c r="S8" s="68"/>
      <c r="T8" s="5"/>
    </row>
    <row r="9" spans="1:20">
      <c r="A9" s="64">
        <v>1</v>
      </c>
      <c r="B9" s="35" t="s">
        <v>20</v>
      </c>
      <c r="C9" s="64" t="s">
        <v>21</v>
      </c>
      <c r="D9" s="141">
        <v>164455</v>
      </c>
      <c r="E9" s="141">
        <v>164455</v>
      </c>
      <c r="F9" s="141">
        <v>164201</v>
      </c>
      <c r="G9" s="141"/>
      <c r="H9" s="232"/>
      <c r="I9" s="141"/>
      <c r="J9" s="141"/>
      <c r="K9" s="141"/>
      <c r="L9" s="141"/>
      <c r="M9" s="141"/>
      <c r="N9" s="141"/>
      <c r="O9" s="141"/>
      <c r="P9" s="67">
        <f>SUM(D9:F9)</f>
        <v>493111</v>
      </c>
      <c r="Q9" s="67">
        <f>SUM(G9:I9)</f>
        <v>0</v>
      </c>
      <c r="R9" s="67">
        <f>SUM(J9:L9)</f>
        <v>0</v>
      </c>
      <c r="S9" s="67">
        <f>SUM(M9:O9)</f>
        <v>0</v>
      </c>
      <c r="T9" s="67">
        <f>SUM(D9:O9)</f>
        <v>493111</v>
      </c>
    </row>
    <row r="10" spans="1:20" s="73" customFormat="1">
      <c r="A10" s="142">
        <f>A9+1</f>
        <v>2</v>
      </c>
      <c r="B10" s="110" t="s">
        <v>22</v>
      </c>
      <c r="C10" s="114" t="s">
        <v>95</v>
      </c>
      <c r="D10" s="143">
        <v>55.60659793197712</v>
      </c>
      <c r="E10" s="143">
        <v>44.263101987627543</v>
      </c>
      <c r="F10" s="143">
        <v>36.07004415129321</v>
      </c>
      <c r="G10" s="143">
        <v>22.057270366230398</v>
      </c>
      <c r="H10" s="233">
        <v>12.847310592119427</v>
      </c>
      <c r="I10" s="143">
        <v>8.3048388322355109</v>
      </c>
      <c r="J10" s="143">
        <v>6.0444731289140226</v>
      </c>
      <c r="K10" s="143">
        <v>6.2059465105473501</v>
      </c>
      <c r="L10" s="143">
        <v>7.9044427835798148</v>
      </c>
      <c r="M10" s="143">
        <v>19.75096016113789</v>
      </c>
      <c r="N10" s="143">
        <v>38.296167944879095</v>
      </c>
      <c r="O10" s="143">
        <v>57.078845609458618</v>
      </c>
      <c r="P10" s="147">
        <f>P11/P9</f>
        <v>45.318009170278252</v>
      </c>
      <c r="Q10" s="147" t="e">
        <f>Q11/Q9</f>
        <v>#DIV/0!</v>
      </c>
      <c r="R10" s="147" t="e">
        <f>R11/R9</f>
        <v>#DIV/0!</v>
      </c>
      <c r="S10" s="147" t="e">
        <f>S11/S9</f>
        <v>#DIV/0!</v>
      </c>
      <c r="T10" s="147">
        <f>T11/T9</f>
        <v>45.318009170278252</v>
      </c>
    </row>
    <row r="11" spans="1:20">
      <c r="A11" s="64">
        <f>A10+1</f>
        <v>3</v>
      </c>
      <c r="B11" s="35" t="s">
        <v>23</v>
      </c>
      <c r="C11" s="64" t="str">
        <f>"("&amp;A9&amp;") x ("&amp;A10&amp;")"</f>
        <v>(1) x (2)</v>
      </c>
      <c r="D11" s="68">
        <f t="shared" ref="D11:O11" si="1">D9*D10</f>
        <v>9144783.0629032981</v>
      </c>
      <c r="E11" s="68">
        <f t="shared" si="1"/>
        <v>7279288.4373752875</v>
      </c>
      <c r="F11" s="68">
        <f t="shared" si="1"/>
        <v>5922737.3196864966</v>
      </c>
      <c r="G11" s="68">
        <f t="shared" si="1"/>
        <v>0</v>
      </c>
      <c r="H11" s="69">
        <f t="shared" si="1"/>
        <v>0</v>
      </c>
      <c r="I11" s="68">
        <f t="shared" si="1"/>
        <v>0</v>
      </c>
      <c r="J11" s="68">
        <f t="shared" si="1"/>
        <v>0</v>
      </c>
      <c r="K11" s="68">
        <f t="shared" si="1"/>
        <v>0</v>
      </c>
      <c r="L11" s="68">
        <f t="shared" si="1"/>
        <v>0</v>
      </c>
      <c r="M11" s="68">
        <f t="shared" si="1"/>
        <v>0</v>
      </c>
      <c r="N11" s="68">
        <f t="shared" si="1"/>
        <v>0</v>
      </c>
      <c r="O11" s="68">
        <f t="shared" si="1"/>
        <v>0</v>
      </c>
      <c r="P11" s="68">
        <f>SUM(D11:F11)</f>
        <v>22346808.819965079</v>
      </c>
      <c r="Q11" s="68">
        <f>SUM(G11:I11)</f>
        <v>0</v>
      </c>
      <c r="R11" s="68">
        <f>SUM(J11:L11)</f>
        <v>0</v>
      </c>
      <c r="S11" s="68">
        <f>SUM(M11:O11)</f>
        <v>0</v>
      </c>
      <c r="T11" s="68">
        <f>SUM(D11:O11)</f>
        <v>22346808.819965079</v>
      </c>
    </row>
    <row r="12" spans="1:20">
      <c r="A12" s="64"/>
      <c r="B12" s="35"/>
      <c r="C12" s="64"/>
      <c r="D12" s="68"/>
      <c r="E12" s="68"/>
      <c r="F12" s="68"/>
      <c r="G12" s="68"/>
      <c r="H12" s="69"/>
      <c r="I12" s="68"/>
      <c r="J12" s="68"/>
      <c r="K12" s="68"/>
      <c r="L12" s="68"/>
      <c r="M12" s="68"/>
      <c r="N12" s="68"/>
      <c r="O12" s="68"/>
      <c r="P12" s="65"/>
      <c r="Q12" s="65"/>
      <c r="R12" s="65"/>
      <c r="S12" s="65"/>
      <c r="T12" s="65"/>
    </row>
    <row r="13" spans="1:20">
      <c r="A13" s="64"/>
      <c r="B13" s="35" t="s">
        <v>96</v>
      </c>
      <c r="C13" s="64" t="s">
        <v>21</v>
      </c>
      <c r="D13" s="141">
        <v>21097779.06749</v>
      </c>
      <c r="E13" s="141">
        <v>23418618.537940003</v>
      </c>
      <c r="F13" s="141">
        <v>18495518.434899997</v>
      </c>
      <c r="G13" s="141"/>
      <c r="H13" s="232"/>
      <c r="I13" s="141"/>
      <c r="J13" s="141"/>
      <c r="K13" s="141"/>
      <c r="L13" s="141"/>
      <c r="M13" s="141"/>
      <c r="N13" s="141"/>
      <c r="O13" s="141"/>
      <c r="P13" s="65"/>
      <c r="Q13" s="65"/>
      <c r="R13" s="65"/>
      <c r="S13" s="65"/>
      <c r="T13" s="65"/>
    </row>
    <row r="14" spans="1:20" ht="26.25">
      <c r="A14" s="64">
        <v>4</v>
      </c>
      <c r="B14" s="144" t="s">
        <v>97</v>
      </c>
      <c r="C14" s="64" t="s">
        <v>21</v>
      </c>
      <c r="D14" s="145">
        <v>10669188.535250001</v>
      </c>
      <c r="E14" s="145">
        <v>10924265.97978</v>
      </c>
      <c r="F14" s="145">
        <v>7990455.5639699996</v>
      </c>
      <c r="G14" s="145"/>
      <c r="H14" s="234"/>
      <c r="I14" s="145"/>
      <c r="J14" s="145"/>
      <c r="K14" s="145"/>
      <c r="L14" s="145"/>
      <c r="M14" s="145"/>
      <c r="N14" s="145"/>
      <c r="O14" s="145"/>
      <c r="P14" s="37"/>
      <c r="Q14" s="37"/>
      <c r="R14" s="37"/>
      <c r="S14" s="37"/>
      <c r="T14" s="37"/>
    </row>
    <row r="15" spans="1:20">
      <c r="A15" s="64">
        <v>5</v>
      </c>
      <c r="B15" s="35" t="s">
        <v>24</v>
      </c>
      <c r="C15" s="64" t="s">
        <v>21</v>
      </c>
      <c r="D15" s="145">
        <v>1579269.5</v>
      </c>
      <c r="E15" s="145">
        <v>1549602</v>
      </c>
      <c r="F15" s="145">
        <v>1605794.5</v>
      </c>
      <c r="G15" s="145"/>
      <c r="H15" s="234"/>
      <c r="I15" s="145"/>
      <c r="J15" s="145"/>
      <c r="K15" s="145"/>
      <c r="L15" s="145"/>
      <c r="M15" s="145"/>
      <c r="N15" s="145"/>
      <c r="O15" s="145"/>
      <c r="P15" s="37"/>
      <c r="Q15" s="37"/>
      <c r="R15" s="37"/>
      <c r="S15" s="37"/>
      <c r="T15" s="37"/>
    </row>
    <row r="16" spans="1:20">
      <c r="A16" s="64">
        <v>6</v>
      </c>
      <c r="B16" s="35" t="s">
        <v>25</v>
      </c>
      <c r="C16" s="64" t="str">
        <f>"("&amp;A14&amp;") - ("&amp;A15&amp;")"</f>
        <v>(4) - (5)</v>
      </c>
      <c r="D16" s="68">
        <f>D14-D15</f>
        <v>9089919.0352500007</v>
      </c>
      <c r="E16" s="68">
        <f t="shared" ref="E16:O16" si="2">E14-E15</f>
        <v>9374663.9797799997</v>
      </c>
      <c r="F16" s="68">
        <f t="shared" si="2"/>
        <v>6384661.0639699996</v>
      </c>
      <c r="G16" s="68">
        <f t="shared" si="2"/>
        <v>0</v>
      </c>
      <c r="H16" s="69">
        <f t="shared" si="2"/>
        <v>0</v>
      </c>
      <c r="I16" s="68">
        <f t="shared" si="2"/>
        <v>0</v>
      </c>
      <c r="J16" s="68">
        <f t="shared" si="2"/>
        <v>0</v>
      </c>
      <c r="K16" s="68">
        <f t="shared" si="2"/>
        <v>0</v>
      </c>
      <c r="L16" s="68">
        <f t="shared" si="2"/>
        <v>0</v>
      </c>
      <c r="M16" s="68">
        <f t="shared" si="2"/>
        <v>0</v>
      </c>
      <c r="N16" s="68">
        <f t="shared" si="2"/>
        <v>0</v>
      </c>
      <c r="O16" s="68">
        <f t="shared" si="2"/>
        <v>0</v>
      </c>
      <c r="P16" s="68">
        <f>SUM(D16:F16)</f>
        <v>24849244.079</v>
      </c>
      <c r="Q16" s="68">
        <f>SUM(G16:I16)</f>
        <v>0</v>
      </c>
      <c r="R16" s="68">
        <f>SUM(J16:L16)</f>
        <v>0</v>
      </c>
      <c r="S16" s="68">
        <f>SUM(M16:O16)</f>
        <v>0</v>
      </c>
      <c r="T16" s="68">
        <f>SUM(D16:O16)</f>
        <v>24849244.079</v>
      </c>
    </row>
    <row r="17" spans="1:20">
      <c r="A17" s="64"/>
      <c r="B17" s="7" t="s">
        <v>26</v>
      </c>
      <c r="C17" s="64"/>
      <c r="D17" s="11">
        <f>D16/D9</f>
        <v>55.272986745614304</v>
      </c>
      <c r="E17" s="11">
        <f t="shared" ref="E17:O17" si="3">E16/E9</f>
        <v>57.004432700617187</v>
      </c>
      <c r="F17" s="11">
        <f t="shared" si="3"/>
        <v>38.883204511361072</v>
      </c>
      <c r="G17" s="11" t="e">
        <f t="shared" si="3"/>
        <v>#DIV/0!</v>
      </c>
      <c r="H17" s="235" t="e">
        <f t="shared" si="3"/>
        <v>#DIV/0!</v>
      </c>
      <c r="I17" s="11" t="e">
        <f t="shared" si="3"/>
        <v>#DIV/0!</v>
      </c>
      <c r="J17" s="11" t="e">
        <f t="shared" si="3"/>
        <v>#DIV/0!</v>
      </c>
      <c r="K17" s="11" t="e">
        <f t="shared" si="3"/>
        <v>#DIV/0!</v>
      </c>
      <c r="L17" s="11" t="e">
        <f t="shared" si="3"/>
        <v>#DIV/0!</v>
      </c>
      <c r="M17" s="11" t="e">
        <f t="shared" si="3"/>
        <v>#DIV/0!</v>
      </c>
      <c r="N17" s="11" t="e">
        <f t="shared" si="3"/>
        <v>#DIV/0!</v>
      </c>
      <c r="O17" s="11" t="e">
        <f t="shared" si="3"/>
        <v>#DIV/0!</v>
      </c>
      <c r="P17" s="147">
        <f>P16/P9</f>
        <v>50.392800158584983</v>
      </c>
      <c r="Q17" s="147" t="e">
        <f>Q16/Q9</f>
        <v>#DIV/0!</v>
      </c>
      <c r="R17" s="147" t="e">
        <f>R16/R9</f>
        <v>#DIV/0!</v>
      </c>
      <c r="S17" s="147" t="e">
        <f>S16/S9</f>
        <v>#DIV/0!</v>
      </c>
      <c r="T17" s="147">
        <f>T16/T9</f>
        <v>50.392800158584983</v>
      </c>
    </row>
    <row r="18" spans="1:20">
      <c r="A18" s="64">
        <v>7</v>
      </c>
      <c r="B18" s="35" t="s">
        <v>27</v>
      </c>
      <c r="C18" s="64" t="str">
        <f>"("&amp;A$11&amp;") - ("&amp;A16&amp;")"</f>
        <v>(3) - (6)</v>
      </c>
      <c r="D18" s="146">
        <f t="shared" ref="D18:O18" si="4">D11-D16</f>
        <v>54864.027653297409</v>
      </c>
      <c r="E18" s="146">
        <f t="shared" si="4"/>
        <v>-2095375.5424047122</v>
      </c>
      <c r="F18" s="146">
        <f t="shared" si="4"/>
        <v>-461923.74428350292</v>
      </c>
      <c r="G18" s="146">
        <f t="shared" si="4"/>
        <v>0</v>
      </c>
      <c r="H18" s="146">
        <f t="shared" si="4"/>
        <v>0</v>
      </c>
      <c r="I18" s="146">
        <f t="shared" si="4"/>
        <v>0</v>
      </c>
      <c r="J18" s="146">
        <f t="shared" si="4"/>
        <v>0</v>
      </c>
      <c r="K18" s="146">
        <f t="shared" si="4"/>
        <v>0</v>
      </c>
      <c r="L18" s="146">
        <f t="shared" si="4"/>
        <v>0</v>
      </c>
      <c r="M18" s="146">
        <f t="shared" si="4"/>
        <v>0</v>
      </c>
      <c r="N18" s="146">
        <f t="shared" si="4"/>
        <v>0</v>
      </c>
      <c r="O18" s="146">
        <f t="shared" si="4"/>
        <v>0</v>
      </c>
      <c r="P18" s="68">
        <f>SUM(D18:F18)</f>
        <v>-2502435.2590349177</v>
      </c>
      <c r="Q18" s="68">
        <f>SUM(G18:I18)</f>
        <v>0</v>
      </c>
      <c r="R18" s="68">
        <f>SUM(J18:L18)</f>
        <v>0</v>
      </c>
      <c r="S18" s="68">
        <f>SUM(M18:O18)</f>
        <v>0</v>
      </c>
      <c r="T18" s="68">
        <f>SUM(D18:O18)</f>
        <v>-2502435.2590349177</v>
      </c>
    </row>
    <row r="19" spans="1:20">
      <c r="A19" s="64">
        <v>8</v>
      </c>
      <c r="B19" s="35" t="s">
        <v>28</v>
      </c>
      <c r="C19" s="64" t="s">
        <v>29</v>
      </c>
      <c r="D19" s="117">
        <f>D18*-0.046465</f>
        <v>-2549.2570449104642</v>
      </c>
      <c r="E19" s="117">
        <f>E18*-0.046465</f>
        <v>97361.624577834955</v>
      </c>
      <c r="F19" s="117">
        <f>F18*-0.046465</f>
        <v>21463.286778132962</v>
      </c>
      <c r="G19" s="117">
        <f t="shared" ref="G19:O19" si="5">G18*-0.046465</f>
        <v>0</v>
      </c>
      <c r="H19" s="117">
        <f t="shared" si="5"/>
        <v>0</v>
      </c>
      <c r="I19" s="117">
        <f t="shared" si="5"/>
        <v>0</v>
      </c>
      <c r="J19" s="117">
        <f t="shared" si="5"/>
        <v>0</v>
      </c>
      <c r="K19" s="117">
        <f t="shared" si="5"/>
        <v>0</v>
      </c>
      <c r="L19" s="117">
        <f t="shared" si="5"/>
        <v>0</v>
      </c>
      <c r="M19" s="117">
        <f t="shared" si="5"/>
        <v>0</v>
      </c>
      <c r="N19" s="117">
        <f t="shared" si="5"/>
        <v>0</v>
      </c>
      <c r="O19" s="117">
        <f t="shared" si="5"/>
        <v>0</v>
      </c>
      <c r="P19" s="68">
        <f>SUM(D19:F19)</f>
        <v>116275.65431105744</v>
      </c>
      <c r="Q19" s="68">
        <f>SUM(G19:I19)</f>
        <v>0</v>
      </c>
      <c r="R19" s="68">
        <f>SUM(J19:L19)</f>
        <v>0</v>
      </c>
      <c r="S19" s="68">
        <f>SUM(M19:O19)</f>
        <v>0</v>
      </c>
      <c r="T19" s="68">
        <f>SUM(D19:O19)</f>
        <v>116275.65431105744</v>
      </c>
    </row>
    <row r="20" spans="1:20" ht="14.45" customHeight="1">
      <c r="A20" s="64"/>
      <c r="B20" s="35"/>
      <c r="C20" s="8" t="s">
        <v>30</v>
      </c>
      <c r="D20" s="118">
        <v>5.1799999999999999E-2</v>
      </c>
      <c r="E20" s="118">
        <f t="shared" ref="E20:I20" si="6">D20</f>
        <v>5.1799999999999999E-2</v>
      </c>
      <c r="F20" s="118">
        <f>E20</f>
        <v>5.1799999999999999E-2</v>
      </c>
      <c r="G20" s="118">
        <v>0</v>
      </c>
      <c r="H20" s="228">
        <f t="shared" si="6"/>
        <v>0</v>
      </c>
      <c r="I20" s="118">
        <f t="shared" si="6"/>
        <v>0</v>
      </c>
      <c r="J20" s="118">
        <v>0</v>
      </c>
      <c r="K20" s="118">
        <f t="shared" ref="K20" si="7">J20</f>
        <v>0</v>
      </c>
      <c r="L20" s="118">
        <f t="shared" ref="L20" si="8">K20</f>
        <v>0</v>
      </c>
      <c r="M20" s="118">
        <v>0</v>
      </c>
      <c r="N20" s="118">
        <f t="shared" ref="N20" si="9">M20</f>
        <v>0</v>
      </c>
      <c r="O20" s="118">
        <f t="shared" ref="O20" si="10">N20</f>
        <v>0</v>
      </c>
      <c r="P20" s="74"/>
      <c r="Q20" s="74"/>
      <c r="R20" s="74"/>
      <c r="S20" s="74"/>
      <c r="T20" s="74"/>
    </row>
    <row r="21" spans="1:20">
      <c r="A21" s="64">
        <v>9</v>
      </c>
      <c r="B21" s="35" t="s">
        <v>31</v>
      </c>
      <c r="C21" s="8" t="s">
        <v>35</v>
      </c>
      <c r="D21" s="9">
        <f>(D18+D19)/2*D20/12</f>
        <v>112.91271322976849</v>
      </c>
      <c r="E21" s="9">
        <f>(D23+(E18+E19)/2)*E20/12</f>
        <v>-4086.0672063046973</v>
      </c>
      <c r="F21" s="9">
        <f t="shared" ref="F21:O21" si="11">(E23+(F18+F19)/2)*F20/12</f>
        <v>-9366.7459231706798</v>
      </c>
      <c r="G21" s="9">
        <f t="shared" si="11"/>
        <v>0</v>
      </c>
      <c r="H21" s="229">
        <f t="shared" si="11"/>
        <v>0</v>
      </c>
      <c r="I21" s="9">
        <f t="shared" si="11"/>
        <v>0</v>
      </c>
      <c r="J21" s="9">
        <f t="shared" si="11"/>
        <v>0</v>
      </c>
      <c r="K21" s="9">
        <f t="shared" si="11"/>
        <v>0</v>
      </c>
      <c r="L21" s="9">
        <f t="shared" si="11"/>
        <v>0</v>
      </c>
      <c r="M21" s="9">
        <f t="shared" si="11"/>
        <v>0</v>
      </c>
      <c r="N21" s="9">
        <f t="shared" si="11"/>
        <v>0</v>
      </c>
      <c r="O21" s="9">
        <f t="shared" si="11"/>
        <v>0</v>
      </c>
      <c r="P21" s="68">
        <f>SUM(D21:F21)</f>
        <v>-13339.900416245608</v>
      </c>
      <c r="Q21" s="68">
        <f>SUM(G21:I21)</f>
        <v>0</v>
      </c>
      <c r="R21" s="68">
        <f>SUM(J21:L21)</f>
        <v>0</v>
      </c>
      <c r="S21" s="68">
        <f>SUM(M21:O21)</f>
        <v>0</v>
      </c>
      <c r="T21" s="9">
        <f>SUM(D21:O21)</f>
        <v>-13339.900416245608</v>
      </c>
    </row>
    <row r="22" spans="1:20" ht="15.75" thickBot="1">
      <c r="A22" s="64"/>
      <c r="B22" s="10" t="s">
        <v>32</v>
      </c>
      <c r="C22" s="64"/>
      <c r="D22" s="12">
        <f>D18+D19+D21</f>
        <v>52427.683321616707</v>
      </c>
      <c r="E22" s="12">
        <f t="shared" ref="E22:O22" si="12">E18+E19+E21</f>
        <v>-2002099.985033182</v>
      </c>
      <c r="F22" s="12">
        <f t="shared" si="12"/>
        <v>-449827.20342854067</v>
      </c>
      <c r="G22" s="12">
        <f t="shared" si="12"/>
        <v>0</v>
      </c>
      <c r="H22" s="12">
        <f t="shared" si="12"/>
        <v>0</v>
      </c>
      <c r="I22" s="12">
        <f t="shared" si="12"/>
        <v>0</v>
      </c>
      <c r="J22" s="12">
        <f t="shared" si="12"/>
        <v>0</v>
      </c>
      <c r="K22" s="12">
        <f t="shared" si="12"/>
        <v>0</v>
      </c>
      <c r="L22" s="12">
        <f t="shared" si="12"/>
        <v>0</v>
      </c>
      <c r="M22" s="12">
        <f t="shared" si="12"/>
        <v>0</v>
      </c>
      <c r="N22" s="12">
        <f t="shared" si="12"/>
        <v>0</v>
      </c>
      <c r="O22" s="12">
        <f t="shared" si="12"/>
        <v>0</v>
      </c>
      <c r="P22" s="70">
        <f>P18+P19+P21</f>
        <v>-2399499.5051401057</v>
      </c>
      <c r="Q22" s="70">
        <f>Q18+Q19+Q21</f>
        <v>0</v>
      </c>
      <c r="R22" s="70">
        <f>R18+R19+R21</f>
        <v>0</v>
      </c>
      <c r="S22" s="70">
        <f>S18+S19+S21</f>
        <v>0</v>
      </c>
      <c r="T22" s="70">
        <f>T18+T19+T21</f>
        <v>-2399499.5051401057</v>
      </c>
    </row>
    <row r="23" spans="1:20" ht="27" thickBot="1">
      <c r="A23" s="64">
        <v>10</v>
      </c>
      <c r="B23" s="136" t="s">
        <v>98</v>
      </c>
      <c r="C23" s="64" t="str">
        <f>"Σ(("&amp;A$18&amp;") ~ ("&amp;A21&amp;"))"</f>
        <v>Σ((7) ~ (9))</v>
      </c>
      <c r="D23" s="68">
        <f>D18+D19+D21</f>
        <v>52427.683321616707</v>
      </c>
      <c r="E23" s="68">
        <f>D23+E18+E19+E21</f>
        <v>-1949672.3017115653</v>
      </c>
      <c r="F23" s="68">
        <f t="shared" ref="F23:N23" si="13">E23+F18+F19+F21</f>
        <v>-2399499.5051401062</v>
      </c>
      <c r="G23" s="68">
        <f t="shared" si="13"/>
        <v>-2399499.5051401062</v>
      </c>
      <c r="H23" s="69">
        <f t="shared" si="13"/>
        <v>-2399499.5051401062</v>
      </c>
      <c r="I23" s="68">
        <f t="shared" si="13"/>
        <v>-2399499.5051401062</v>
      </c>
      <c r="J23" s="68">
        <f t="shared" si="13"/>
        <v>-2399499.5051401062</v>
      </c>
      <c r="K23" s="68">
        <f t="shared" si="13"/>
        <v>-2399499.5051401062</v>
      </c>
      <c r="L23" s="68">
        <f t="shared" si="13"/>
        <v>-2399499.5051401062</v>
      </c>
      <c r="M23" s="68">
        <f t="shared" si="13"/>
        <v>-2399499.5051401062</v>
      </c>
      <c r="N23" s="68">
        <f t="shared" si="13"/>
        <v>-2399499.5051401062</v>
      </c>
      <c r="O23" s="119">
        <f>N23+O18+O19+O21</f>
        <v>-2399499.5051401062</v>
      </c>
      <c r="P23" s="68"/>
      <c r="Q23" s="28"/>
      <c r="R23" s="68"/>
      <c r="S23" s="68"/>
      <c r="T23" s="1"/>
    </row>
    <row r="24" spans="1:20">
      <c r="A24" s="64"/>
      <c r="B24" s="35"/>
      <c r="C24" s="64"/>
      <c r="D24" s="65"/>
      <c r="E24" s="65"/>
      <c r="F24" s="65"/>
      <c r="G24" s="65"/>
      <c r="H24" s="222"/>
      <c r="I24" s="65"/>
      <c r="J24" s="65"/>
      <c r="K24" s="65"/>
      <c r="L24" s="65"/>
      <c r="M24" s="65"/>
      <c r="N24" s="65"/>
      <c r="O24" s="65"/>
      <c r="P24" s="68"/>
      <c r="Q24" s="28"/>
      <c r="R24" s="68"/>
      <c r="S24" s="68"/>
      <c r="T24" s="1"/>
    </row>
    <row r="25" spans="1:20">
      <c r="A25" s="64"/>
      <c r="B25" s="2" t="s">
        <v>33</v>
      </c>
      <c r="C25" s="64"/>
      <c r="D25" s="64"/>
      <c r="E25" s="64"/>
      <c r="F25" s="64"/>
      <c r="G25" s="64"/>
      <c r="H25" s="219"/>
      <c r="I25" s="64"/>
      <c r="J25" s="64"/>
      <c r="K25" s="64"/>
      <c r="L25" s="64"/>
      <c r="M25" s="64"/>
      <c r="N25" s="64"/>
      <c r="O25" s="64"/>
      <c r="P25" s="68"/>
      <c r="Q25" s="36"/>
      <c r="R25" s="68"/>
      <c r="S25" s="68"/>
      <c r="T25" s="5"/>
    </row>
    <row r="26" spans="1:20">
      <c r="A26" s="64">
        <v>11</v>
      </c>
      <c r="B26" s="35" t="s">
        <v>20</v>
      </c>
      <c r="C26" s="64" t="s">
        <v>21</v>
      </c>
      <c r="D26" s="141">
        <v>3104</v>
      </c>
      <c r="E26" s="141">
        <v>3105</v>
      </c>
      <c r="F26" s="141">
        <v>3105</v>
      </c>
      <c r="G26" s="141"/>
      <c r="H26" s="232"/>
      <c r="I26" s="141"/>
      <c r="J26" s="141"/>
      <c r="K26" s="141"/>
      <c r="L26" s="141"/>
      <c r="M26" s="141"/>
      <c r="N26" s="141"/>
      <c r="O26" s="141"/>
      <c r="P26" s="67">
        <f>SUM(D26:F26)</f>
        <v>9314</v>
      </c>
      <c r="Q26" s="67">
        <f>SUM(G26:I26)</f>
        <v>0</v>
      </c>
      <c r="R26" s="67">
        <f>SUM(J26:L26)</f>
        <v>0</v>
      </c>
      <c r="S26" s="67">
        <f>SUM(M26:O26)</f>
        <v>0</v>
      </c>
      <c r="T26" s="67">
        <f>SUM(D26:O26)</f>
        <v>9314</v>
      </c>
    </row>
    <row r="27" spans="1:20" s="73" customFormat="1">
      <c r="A27" s="142">
        <v>12</v>
      </c>
      <c r="B27" s="110" t="s">
        <v>22</v>
      </c>
      <c r="C27" s="114" t="s">
        <v>95</v>
      </c>
      <c r="D27" s="143">
        <v>644.72071006316287</v>
      </c>
      <c r="E27" s="143">
        <v>572.95798240681665</v>
      </c>
      <c r="F27" s="143">
        <v>501.96685841519201</v>
      </c>
      <c r="G27" s="143">
        <v>351.39303933924487</v>
      </c>
      <c r="H27" s="233">
        <v>270.89587418127491</v>
      </c>
      <c r="I27" s="143">
        <v>181.96563697969282</v>
      </c>
      <c r="J27" s="143">
        <v>155.9609268589395</v>
      </c>
      <c r="K27" s="143">
        <v>163.10613396324226</v>
      </c>
      <c r="L27" s="143">
        <v>199.46971218804904</v>
      </c>
      <c r="M27" s="143">
        <v>369.63584080802372</v>
      </c>
      <c r="N27" s="143">
        <v>494.51412130939275</v>
      </c>
      <c r="O27" s="143">
        <v>714.9331634869684</v>
      </c>
      <c r="P27" s="147">
        <f>P28/P26</f>
        <v>573.20750641919631</v>
      </c>
      <c r="Q27" s="147" t="e">
        <f>Q28/Q26</f>
        <v>#DIV/0!</v>
      </c>
      <c r="R27" s="147" t="e">
        <f>R28/R26</f>
        <v>#DIV/0!</v>
      </c>
      <c r="S27" s="147" t="e">
        <f>S28/S26</f>
        <v>#DIV/0!</v>
      </c>
      <c r="T27" s="147">
        <f>T28/T26</f>
        <v>573.20750641919631</v>
      </c>
    </row>
    <row r="28" spans="1:20">
      <c r="A28" s="64">
        <v>13</v>
      </c>
      <c r="B28" s="35" t="s">
        <v>23</v>
      </c>
      <c r="C28" s="64" t="str">
        <f>"("&amp;A26&amp;") x ("&amp;A27&amp;")"</f>
        <v>(11) x (12)</v>
      </c>
      <c r="D28" s="68">
        <f t="shared" ref="D28:O28" si="14">D26*D27</f>
        <v>2001213.0840360576</v>
      </c>
      <c r="E28" s="68">
        <f t="shared" si="14"/>
        <v>1779034.5353731657</v>
      </c>
      <c r="F28" s="68">
        <f t="shared" si="14"/>
        <v>1558607.0953791712</v>
      </c>
      <c r="G28" s="68">
        <f t="shared" si="14"/>
        <v>0</v>
      </c>
      <c r="H28" s="69">
        <f t="shared" si="14"/>
        <v>0</v>
      </c>
      <c r="I28" s="68">
        <f t="shared" si="14"/>
        <v>0</v>
      </c>
      <c r="J28" s="68">
        <f t="shared" si="14"/>
        <v>0</v>
      </c>
      <c r="K28" s="68">
        <f t="shared" si="14"/>
        <v>0</v>
      </c>
      <c r="L28" s="68">
        <f t="shared" si="14"/>
        <v>0</v>
      </c>
      <c r="M28" s="68">
        <f t="shared" si="14"/>
        <v>0</v>
      </c>
      <c r="N28" s="68">
        <f t="shared" si="14"/>
        <v>0</v>
      </c>
      <c r="O28" s="68">
        <f t="shared" si="14"/>
        <v>0</v>
      </c>
      <c r="P28" s="68">
        <f>SUM(D28:F28)</f>
        <v>5338854.714788394</v>
      </c>
      <c r="Q28" s="68">
        <f>SUM(G28:I28)</f>
        <v>0</v>
      </c>
      <c r="R28" s="68">
        <f>SUM(J28:L28)</f>
        <v>0</v>
      </c>
      <c r="S28" s="68">
        <f>SUM(M28:O28)</f>
        <v>0</v>
      </c>
      <c r="T28" s="68">
        <f>SUM(D28:O28)</f>
        <v>5338854.714788394</v>
      </c>
    </row>
    <row r="29" spans="1:20">
      <c r="A29" s="64"/>
      <c r="B29" s="35"/>
      <c r="C29" s="64"/>
      <c r="D29" s="68"/>
      <c r="E29" s="68"/>
      <c r="F29" s="68"/>
      <c r="G29" s="68"/>
      <c r="H29" s="69"/>
      <c r="I29" s="68"/>
      <c r="J29" s="68"/>
      <c r="K29" s="68"/>
      <c r="L29" s="68"/>
      <c r="M29" s="68"/>
      <c r="N29" s="68"/>
      <c r="O29" s="68"/>
      <c r="P29" s="65"/>
      <c r="Q29" s="65"/>
      <c r="R29" s="65"/>
      <c r="S29" s="65"/>
      <c r="T29" s="65"/>
    </row>
    <row r="30" spans="1:20">
      <c r="A30" s="64"/>
      <c r="B30" s="35" t="s">
        <v>96</v>
      </c>
      <c r="C30" s="64"/>
      <c r="D30" s="141">
        <v>8210392.0812400002</v>
      </c>
      <c r="E30" s="141">
        <v>9238294.3179899994</v>
      </c>
      <c r="F30" s="141">
        <v>7010693.9129900001</v>
      </c>
      <c r="G30" s="141"/>
      <c r="H30" s="232"/>
      <c r="I30" s="141"/>
      <c r="J30" s="141"/>
      <c r="K30" s="141"/>
      <c r="L30" s="141"/>
      <c r="M30" s="141"/>
      <c r="N30" s="141"/>
      <c r="O30" s="141"/>
      <c r="P30" s="65"/>
      <c r="Q30" s="65"/>
      <c r="R30" s="65"/>
      <c r="S30" s="65"/>
      <c r="T30" s="65"/>
    </row>
    <row r="31" spans="1:20" ht="26.25">
      <c r="A31" s="64">
        <v>14</v>
      </c>
      <c r="B31" s="144" t="s">
        <v>97</v>
      </c>
      <c r="C31" s="64" t="s">
        <v>21</v>
      </c>
      <c r="D31" s="145">
        <v>2240673.3227400002</v>
      </c>
      <c r="E31" s="145">
        <v>2439374.6760000004</v>
      </c>
      <c r="F31" s="145">
        <v>1856133.3134100002</v>
      </c>
      <c r="G31" s="145"/>
      <c r="H31" s="234"/>
      <c r="I31" s="145"/>
      <c r="J31" s="145"/>
      <c r="K31" s="145"/>
      <c r="L31" s="145"/>
      <c r="M31" s="145"/>
      <c r="N31" s="145"/>
      <c r="O31" s="145"/>
      <c r="P31" s="37"/>
      <c r="Q31" s="37"/>
      <c r="R31" s="37"/>
      <c r="S31" s="37"/>
      <c r="T31" s="37"/>
    </row>
    <row r="32" spans="1:20">
      <c r="A32" s="64">
        <v>15</v>
      </c>
      <c r="B32" s="35" t="s">
        <v>24</v>
      </c>
      <c r="C32" s="64" t="s">
        <v>21</v>
      </c>
      <c r="D32" s="145">
        <v>304123.82</v>
      </c>
      <c r="E32" s="145">
        <v>297416.03000000003</v>
      </c>
      <c r="F32" s="145">
        <v>308252.99</v>
      </c>
      <c r="G32" s="145"/>
      <c r="H32" s="234"/>
      <c r="I32" s="145"/>
      <c r="J32" s="145"/>
      <c r="K32" s="145"/>
      <c r="L32" s="145"/>
      <c r="M32" s="145"/>
      <c r="N32" s="145"/>
      <c r="O32" s="145"/>
      <c r="P32" s="37"/>
      <c r="Q32" s="37"/>
      <c r="R32" s="37"/>
      <c r="S32" s="37"/>
      <c r="T32" s="37"/>
    </row>
    <row r="33" spans="1:20">
      <c r="A33" s="64">
        <v>16</v>
      </c>
      <c r="B33" s="35" t="s">
        <v>25</v>
      </c>
      <c r="C33" s="64" t="str">
        <f>"("&amp;A31&amp;") - ("&amp;A32&amp;")"</f>
        <v>(14) - (15)</v>
      </c>
      <c r="D33" s="68">
        <f t="shared" ref="D33:O33" si="15">D31-D32</f>
        <v>1936549.5027400001</v>
      </c>
      <c r="E33" s="68">
        <f t="shared" si="15"/>
        <v>2141958.6460000006</v>
      </c>
      <c r="F33" s="68">
        <f t="shared" si="15"/>
        <v>1547880.3234100002</v>
      </c>
      <c r="G33" s="68">
        <f t="shared" si="15"/>
        <v>0</v>
      </c>
      <c r="H33" s="69">
        <f t="shared" si="15"/>
        <v>0</v>
      </c>
      <c r="I33" s="68">
        <f t="shared" si="15"/>
        <v>0</v>
      </c>
      <c r="J33" s="68">
        <f t="shared" si="15"/>
        <v>0</v>
      </c>
      <c r="K33" s="68">
        <f t="shared" si="15"/>
        <v>0</v>
      </c>
      <c r="L33" s="68">
        <f t="shared" si="15"/>
        <v>0</v>
      </c>
      <c r="M33" s="68">
        <f t="shared" si="15"/>
        <v>0</v>
      </c>
      <c r="N33" s="68">
        <f t="shared" si="15"/>
        <v>0</v>
      </c>
      <c r="O33" s="68">
        <f t="shared" si="15"/>
        <v>0</v>
      </c>
      <c r="P33" s="68">
        <f>SUM(D33:F33)</f>
        <v>5626388.4721500017</v>
      </c>
      <c r="Q33" s="68">
        <f>SUM(G33:I33)</f>
        <v>0</v>
      </c>
      <c r="R33" s="68">
        <f>SUM(J33:L33)</f>
        <v>0</v>
      </c>
      <c r="S33" s="68">
        <f>SUM(M33:O33)</f>
        <v>0</v>
      </c>
      <c r="T33" s="68">
        <f>SUM(D33:O33)</f>
        <v>5626388.4721500017</v>
      </c>
    </row>
    <row r="34" spans="1:20">
      <c r="A34" s="6"/>
      <c r="B34" s="64" t="s">
        <v>34</v>
      </c>
      <c r="C34" s="64"/>
      <c r="D34" s="71">
        <f>D33/D26</f>
        <v>623.88837072809281</v>
      </c>
      <c r="E34" s="71">
        <f t="shared" ref="E34:O34" si="16">E33/E26</f>
        <v>689.84175394524982</v>
      </c>
      <c r="F34" s="71">
        <f t="shared" si="16"/>
        <v>498.51218145249601</v>
      </c>
      <c r="G34" s="71" t="e">
        <f t="shared" si="16"/>
        <v>#DIV/0!</v>
      </c>
      <c r="H34" s="236" t="e">
        <f t="shared" si="16"/>
        <v>#DIV/0!</v>
      </c>
      <c r="I34" s="71" t="e">
        <f t="shared" si="16"/>
        <v>#DIV/0!</v>
      </c>
      <c r="J34" s="71" t="e">
        <f t="shared" si="16"/>
        <v>#DIV/0!</v>
      </c>
      <c r="K34" s="71" t="e">
        <f t="shared" si="16"/>
        <v>#DIV/0!</v>
      </c>
      <c r="L34" s="71" t="e">
        <f t="shared" si="16"/>
        <v>#DIV/0!</v>
      </c>
      <c r="M34" s="71" t="e">
        <f t="shared" si="16"/>
        <v>#DIV/0!</v>
      </c>
      <c r="N34" s="71" t="e">
        <f t="shared" si="16"/>
        <v>#DIV/0!</v>
      </c>
      <c r="O34" s="71" t="e">
        <f t="shared" si="16"/>
        <v>#DIV/0!</v>
      </c>
      <c r="P34" s="147">
        <f>P33/P26</f>
        <v>604.07864206033946</v>
      </c>
      <c r="Q34" s="147" t="e">
        <f>Q33/Q26</f>
        <v>#DIV/0!</v>
      </c>
      <c r="R34" s="147" t="e">
        <f>R33/R26</f>
        <v>#DIV/0!</v>
      </c>
      <c r="S34" s="147" t="e">
        <f>S33/S26</f>
        <v>#DIV/0!</v>
      </c>
      <c r="T34" s="147">
        <f>T33/T26</f>
        <v>604.07864206033946</v>
      </c>
    </row>
    <row r="35" spans="1:20">
      <c r="A35" s="64">
        <v>17</v>
      </c>
      <c r="B35" s="35" t="s">
        <v>27</v>
      </c>
      <c r="C35" s="64" t="str">
        <f>"("&amp;A28&amp;") - ("&amp;A33&amp;")"</f>
        <v>(13) - (16)</v>
      </c>
      <c r="D35" s="117">
        <f>D28-D33</f>
        <v>64663.58129605744</v>
      </c>
      <c r="E35" s="117">
        <f t="shared" ref="E35:O35" si="17">E28-E33</f>
        <v>-362924.11062683491</v>
      </c>
      <c r="F35" s="117">
        <f t="shared" si="17"/>
        <v>10726.771969171008</v>
      </c>
      <c r="G35" s="117">
        <f t="shared" si="17"/>
        <v>0</v>
      </c>
      <c r="H35" s="227">
        <f t="shared" si="17"/>
        <v>0</v>
      </c>
      <c r="I35" s="117">
        <f t="shared" si="17"/>
        <v>0</v>
      </c>
      <c r="J35" s="117">
        <f t="shared" si="17"/>
        <v>0</v>
      </c>
      <c r="K35" s="117">
        <f t="shared" si="17"/>
        <v>0</v>
      </c>
      <c r="L35" s="117">
        <f t="shared" si="17"/>
        <v>0</v>
      </c>
      <c r="M35" s="117">
        <f t="shared" si="17"/>
        <v>0</v>
      </c>
      <c r="N35" s="117">
        <f t="shared" si="17"/>
        <v>0</v>
      </c>
      <c r="O35" s="117">
        <f t="shared" si="17"/>
        <v>0</v>
      </c>
      <c r="P35" s="68">
        <f>SUM(D35:F35)</f>
        <v>-287533.75736160646</v>
      </c>
      <c r="Q35" s="68">
        <f>SUM(G35:I35)</f>
        <v>0</v>
      </c>
      <c r="R35" s="68">
        <f>SUM(J35:L35)</f>
        <v>0</v>
      </c>
      <c r="S35" s="68">
        <f>SUM(M35:O35)</f>
        <v>0</v>
      </c>
      <c r="T35" s="68">
        <f>SUM(D35:O35)</f>
        <v>-287533.75736160646</v>
      </c>
    </row>
    <row r="36" spans="1:20">
      <c r="A36" s="64">
        <v>18</v>
      </c>
      <c r="B36" s="35" t="s">
        <v>28</v>
      </c>
      <c r="C36" s="64" t="s">
        <v>29</v>
      </c>
      <c r="D36" s="117">
        <f>D35*-0.046465</f>
        <v>-3004.593304921309</v>
      </c>
      <c r="E36" s="117">
        <f t="shared" ref="E36:O36" si="18">E35*-0.046465</f>
        <v>16863.268800275884</v>
      </c>
      <c r="F36" s="117">
        <f t="shared" si="18"/>
        <v>-498.41945954753089</v>
      </c>
      <c r="G36" s="117">
        <f t="shared" si="18"/>
        <v>0</v>
      </c>
      <c r="H36" s="117">
        <f t="shared" si="18"/>
        <v>0</v>
      </c>
      <c r="I36" s="117">
        <f t="shared" si="18"/>
        <v>0</v>
      </c>
      <c r="J36" s="117">
        <f t="shared" si="18"/>
        <v>0</v>
      </c>
      <c r="K36" s="117">
        <f t="shared" si="18"/>
        <v>0</v>
      </c>
      <c r="L36" s="117">
        <f t="shared" si="18"/>
        <v>0</v>
      </c>
      <c r="M36" s="117">
        <f t="shared" si="18"/>
        <v>0</v>
      </c>
      <c r="N36" s="117">
        <f t="shared" si="18"/>
        <v>0</v>
      </c>
      <c r="O36" s="117">
        <f t="shared" si="18"/>
        <v>0</v>
      </c>
      <c r="P36" s="68">
        <f>SUM(D36:F36)</f>
        <v>13360.256035807044</v>
      </c>
      <c r="Q36" s="68">
        <f>SUM(G36:I36)</f>
        <v>0</v>
      </c>
      <c r="R36" s="68">
        <f>SUM(J36:L36)</f>
        <v>0</v>
      </c>
      <c r="S36" s="68">
        <f>SUM(M36:O36)</f>
        <v>0</v>
      </c>
      <c r="T36" s="68">
        <f>SUM(D36:O36)</f>
        <v>13360.256035807044</v>
      </c>
    </row>
    <row r="37" spans="1:20" ht="14.45" customHeight="1">
      <c r="A37" s="8"/>
      <c r="B37" s="16"/>
      <c r="C37" s="64" t="s">
        <v>30</v>
      </c>
      <c r="D37" s="118">
        <f t="shared" ref="D37:O37" si="19">D20</f>
        <v>5.1799999999999999E-2</v>
      </c>
      <c r="E37" s="118">
        <f t="shared" si="19"/>
        <v>5.1799999999999999E-2</v>
      </c>
      <c r="F37" s="118">
        <f t="shared" si="19"/>
        <v>5.1799999999999999E-2</v>
      </c>
      <c r="G37" s="118">
        <f t="shared" si="19"/>
        <v>0</v>
      </c>
      <c r="H37" s="228">
        <f t="shared" si="19"/>
        <v>0</v>
      </c>
      <c r="I37" s="118">
        <f t="shared" si="19"/>
        <v>0</v>
      </c>
      <c r="J37" s="118">
        <f t="shared" si="19"/>
        <v>0</v>
      </c>
      <c r="K37" s="118">
        <f t="shared" si="19"/>
        <v>0</v>
      </c>
      <c r="L37" s="118">
        <f t="shared" si="19"/>
        <v>0</v>
      </c>
      <c r="M37" s="118">
        <f t="shared" si="19"/>
        <v>0</v>
      </c>
      <c r="N37" s="118">
        <f t="shared" si="19"/>
        <v>0</v>
      </c>
      <c r="O37" s="118">
        <f t="shared" si="19"/>
        <v>0</v>
      </c>
      <c r="P37" s="74"/>
      <c r="Q37" s="74"/>
      <c r="R37" s="74"/>
      <c r="S37" s="74"/>
      <c r="T37" s="74"/>
    </row>
    <row r="38" spans="1:20">
      <c r="A38" s="64">
        <v>19</v>
      </c>
      <c r="B38" s="35" t="s">
        <v>31</v>
      </c>
      <c r="C38" s="64" t="s">
        <v>35</v>
      </c>
      <c r="D38" s="9">
        <f>(D35+D36)/2*D37/12</f>
        <v>133.08064908086882</v>
      </c>
      <c r="E38" s="9">
        <f>(D40+(E35+E36)/2)*E37/12</f>
        <v>-480.17888731205318</v>
      </c>
      <c r="F38" s="9">
        <f t="shared" ref="F38:O38" si="20">(E40+(F35+F36)/2)*F37/12</f>
        <v>-1207.0901156180028</v>
      </c>
      <c r="G38" s="9">
        <f t="shared" si="20"/>
        <v>0</v>
      </c>
      <c r="H38" s="229">
        <f t="shared" si="20"/>
        <v>0</v>
      </c>
      <c r="I38" s="9">
        <f t="shared" si="20"/>
        <v>0</v>
      </c>
      <c r="J38" s="9">
        <f t="shared" si="20"/>
        <v>0</v>
      </c>
      <c r="K38" s="9">
        <f t="shared" si="20"/>
        <v>0</v>
      </c>
      <c r="L38" s="9">
        <f t="shared" si="20"/>
        <v>0</v>
      </c>
      <c r="M38" s="9">
        <f t="shared" si="20"/>
        <v>0</v>
      </c>
      <c r="N38" s="9">
        <f t="shared" si="20"/>
        <v>0</v>
      </c>
      <c r="O38" s="9">
        <f t="shared" si="20"/>
        <v>0</v>
      </c>
      <c r="P38" s="68">
        <f>SUM(D38:F38)</f>
        <v>-1554.188353849187</v>
      </c>
      <c r="Q38" s="68">
        <f>SUM(G38:I38)</f>
        <v>0</v>
      </c>
      <c r="R38" s="68">
        <f>SUM(J38:L38)</f>
        <v>0</v>
      </c>
      <c r="S38" s="68">
        <f>SUM(M38:O38)</f>
        <v>0</v>
      </c>
      <c r="T38" s="9">
        <f>SUM(D38:O38)</f>
        <v>-1554.188353849187</v>
      </c>
    </row>
    <row r="39" spans="1:20" ht="15.75" thickBot="1">
      <c r="A39" s="64"/>
      <c r="B39" s="10" t="s">
        <v>36</v>
      </c>
      <c r="C39" s="64"/>
      <c r="D39" s="12">
        <f>D35+D36+D38</f>
        <v>61792.068640217003</v>
      </c>
      <c r="E39" s="12">
        <f t="shared" ref="E39:O39" si="21">E35+E36+E38</f>
        <v>-346541.02071387111</v>
      </c>
      <c r="F39" s="12">
        <f t="shared" si="21"/>
        <v>9021.2623940054746</v>
      </c>
      <c r="G39" s="12">
        <f t="shared" si="21"/>
        <v>0</v>
      </c>
      <c r="H39" s="12">
        <f t="shared" si="21"/>
        <v>0</v>
      </c>
      <c r="I39" s="12">
        <f t="shared" si="21"/>
        <v>0</v>
      </c>
      <c r="J39" s="12">
        <f t="shared" si="21"/>
        <v>0</v>
      </c>
      <c r="K39" s="12">
        <f t="shared" si="21"/>
        <v>0</v>
      </c>
      <c r="L39" s="12">
        <f t="shared" si="21"/>
        <v>0</v>
      </c>
      <c r="M39" s="12">
        <f t="shared" si="21"/>
        <v>0</v>
      </c>
      <c r="N39" s="12">
        <f t="shared" si="21"/>
        <v>0</v>
      </c>
      <c r="O39" s="12">
        <f t="shared" si="21"/>
        <v>0</v>
      </c>
      <c r="P39" s="70">
        <f>P35+P36+P38</f>
        <v>-275727.68967964861</v>
      </c>
      <c r="Q39" s="70">
        <f>Q35+Q36+Q38</f>
        <v>0</v>
      </c>
      <c r="R39" s="70">
        <f>R35+R36+R38</f>
        <v>0</v>
      </c>
      <c r="S39" s="70">
        <f>S35+S36+S38</f>
        <v>0</v>
      </c>
      <c r="T39" s="70">
        <f>T35+T36+T38</f>
        <v>-275727.68967964861</v>
      </c>
    </row>
    <row r="40" spans="1:20" ht="27" thickBot="1">
      <c r="A40" s="64">
        <v>20</v>
      </c>
      <c r="B40" s="136" t="s">
        <v>99</v>
      </c>
      <c r="C40" s="64" t="str">
        <f>"Σ(("&amp;A35&amp;") ~ ("&amp;A38&amp;"))"</f>
        <v>Σ((17) ~ (19))</v>
      </c>
      <c r="D40" s="68">
        <f>D35+D36+D38</f>
        <v>61792.068640217003</v>
      </c>
      <c r="E40" s="68">
        <f>D40+E35+E36+E38</f>
        <v>-284748.9520736541</v>
      </c>
      <c r="F40" s="68">
        <f t="shared" ref="F40:O40" si="22">E40+F35+F36+F38</f>
        <v>-275727.68967964867</v>
      </c>
      <c r="G40" s="68">
        <f t="shared" si="22"/>
        <v>-275727.68967964867</v>
      </c>
      <c r="H40" s="69">
        <f t="shared" si="22"/>
        <v>-275727.68967964867</v>
      </c>
      <c r="I40" s="68">
        <f t="shared" si="22"/>
        <v>-275727.68967964867</v>
      </c>
      <c r="J40" s="68">
        <f t="shared" si="22"/>
        <v>-275727.68967964867</v>
      </c>
      <c r="K40" s="68">
        <f t="shared" si="22"/>
        <v>-275727.68967964867</v>
      </c>
      <c r="L40" s="68">
        <f t="shared" si="22"/>
        <v>-275727.68967964867</v>
      </c>
      <c r="M40" s="68">
        <f t="shared" si="22"/>
        <v>-275727.68967964867</v>
      </c>
      <c r="N40" s="68">
        <f t="shared" si="22"/>
        <v>-275727.68967964867</v>
      </c>
      <c r="O40" s="119">
        <f t="shared" si="22"/>
        <v>-275727.68967964867</v>
      </c>
      <c r="P40" s="69"/>
      <c r="Q40" s="31"/>
      <c r="R40" s="69"/>
      <c r="S40" s="69"/>
    </row>
    <row r="41" spans="1:20" ht="15.75" thickBot="1">
      <c r="A41" s="64"/>
      <c r="B41" s="35"/>
      <c r="C41" s="35"/>
      <c r="D41" s="35"/>
      <c r="E41" s="35"/>
      <c r="F41" s="35"/>
      <c r="G41" s="35"/>
      <c r="H41" s="237"/>
      <c r="I41" s="35"/>
      <c r="J41" s="35"/>
      <c r="K41" s="35"/>
      <c r="L41" s="35"/>
      <c r="M41" s="35"/>
      <c r="N41" s="35"/>
      <c r="O41" s="35"/>
      <c r="P41" s="66"/>
      <c r="Q41" s="27"/>
      <c r="R41" s="66"/>
      <c r="S41" s="66"/>
      <c r="T41" s="1"/>
    </row>
    <row r="42" spans="1:20" ht="15.75" thickBot="1">
      <c r="A42" s="2">
        <v>21</v>
      </c>
      <c r="B42" s="10" t="s">
        <v>64</v>
      </c>
      <c r="C42" s="2" t="str">
        <f>"("&amp;A23&amp;") + ("&amp;A40&amp;")"</f>
        <v>(10) + (20)</v>
      </c>
      <c r="D42" s="68">
        <f t="shared" ref="D42:O42" si="23">D23+D40</f>
        <v>114219.75196183371</v>
      </c>
      <c r="E42" s="68">
        <f t="shared" si="23"/>
        <v>-2234421.2537852195</v>
      </c>
      <c r="F42" s="68">
        <f t="shared" si="23"/>
        <v>-2675227.1948197549</v>
      </c>
      <c r="G42" s="68">
        <f t="shared" si="23"/>
        <v>-2675227.1948197549</v>
      </c>
      <c r="H42" s="69">
        <f t="shared" si="23"/>
        <v>-2675227.1948197549</v>
      </c>
      <c r="I42" s="68">
        <f t="shared" si="23"/>
        <v>-2675227.1948197549</v>
      </c>
      <c r="J42" s="68">
        <f t="shared" si="23"/>
        <v>-2675227.1948197549</v>
      </c>
      <c r="K42" s="68">
        <f t="shared" si="23"/>
        <v>-2675227.1948197549</v>
      </c>
      <c r="L42" s="68">
        <f t="shared" si="23"/>
        <v>-2675227.1948197549</v>
      </c>
      <c r="M42" s="68">
        <f t="shared" si="23"/>
        <v>-2675227.1948197549</v>
      </c>
      <c r="N42" s="68">
        <f t="shared" si="23"/>
        <v>-2675227.1948197549</v>
      </c>
      <c r="O42" s="119">
        <f t="shared" si="23"/>
        <v>-2675227.1948197549</v>
      </c>
    </row>
  </sheetData>
  <printOptions horizontalCentered="1"/>
  <pageMargins left="0.7" right="0.71" top="1.1299999999999999" bottom="0.75" header="0.5" footer="0.5"/>
  <pageSetup scale="69" firstPageNumber="2" orientation="landscape" useFirstPageNumber="1" r:id="rId1"/>
  <headerFooter scaleWithDoc="0">
    <oddHeader>&amp;CAvista Corporation Decoupling Mechanism
Washington Jurisdiction
Quarterly Report for 1st Quarter 2019</oddHeader>
    <oddFooter>&amp;Cfile: &amp;F / &amp;A&amp;R2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view="pageLayout" topLeftCell="A132" zoomScaleNormal="100" workbookViewId="0">
      <selection activeCell="B201" sqref="B201"/>
    </sheetView>
  </sheetViews>
  <sheetFormatPr defaultRowHeight="15"/>
  <cols>
    <col min="1" max="1" width="7.28515625" customWidth="1"/>
    <col min="2" max="2" width="36.28515625" customWidth="1"/>
    <col min="3" max="3" width="6.28515625" customWidth="1"/>
    <col min="4" max="4" width="9.42578125" customWidth="1"/>
    <col min="5" max="5" width="12.28515625" customWidth="1"/>
    <col min="6" max="6" width="13.28515625" customWidth="1"/>
    <col min="7" max="7" width="13.42578125" customWidth="1"/>
    <col min="8" max="8" width="3" customWidth="1"/>
    <col min="9" max="9" width="17.42578125" bestFit="1" customWidth="1"/>
    <col min="10" max="11" width="14" hidden="1" customWidth="1"/>
    <col min="12" max="12" width="12.42578125" bestFit="1" customWidth="1"/>
    <col min="13" max="14" width="11.42578125" customWidth="1"/>
    <col min="15" max="15" width="13.28515625" bestFit="1" customWidth="1"/>
  </cols>
  <sheetData>
    <row r="1" spans="1:12" ht="31.15" customHeight="1">
      <c r="A1" s="244" t="s">
        <v>42</v>
      </c>
      <c r="B1" s="244"/>
      <c r="C1" s="244"/>
      <c r="D1" s="244"/>
      <c r="E1" s="244"/>
      <c r="F1" s="244"/>
      <c r="G1" s="244"/>
      <c r="H1" s="244"/>
      <c r="I1" s="73"/>
      <c r="J1" s="73"/>
      <c r="K1" s="73"/>
    </row>
    <row r="2" spans="1:12" ht="19.149999999999999" customHeight="1">
      <c r="A2" s="73"/>
      <c r="B2" s="73"/>
      <c r="C2" s="73"/>
      <c r="D2" s="73"/>
      <c r="E2" s="73"/>
      <c r="F2" s="73"/>
      <c r="G2" s="73"/>
      <c r="H2" s="73"/>
      <c r="I2" s="73"/>
      <c r="J2" s="73"/>
      <c r="K2" s="73"/>
    </row>
    <row r="3" spans="1:12">
      <c r="A3" s="39" t="s">
        <v>43</v>
      </c>
      <c r="B3" s="73"/>
      <c r="C3" s="17" t="s">
        <v>124</v>
      </c>
      <c r="D3" s="73"/>
      <c r="E3" s="73"/>
      <c r="F3" s="73"/>
      <c r="G3" s="73"/>
      <c r="H3" s="73"/>
      <c r="I3" s="73"/>
      <c r="J3" s="73"/>
      <c r="K3" s="73"/>
    </row>
    <row r="4" spans="1:12">
      <c r="A4" s="73"/>
      <c r="B4" s="73"/>
      <c r="C4" s="73"/>
      <c r="D4" s="73"/>
      <c r="E4" s="73"/>
      <c r="F4" s="73"/>
      <c r="G4" s="73"/>
      <c r="H4" s="73"/>
      <c r="I4" s="73"/>
      <c r="J4" s="73"/>
      <c r="K4" s="73"/>
    </row>
    <row r="5" spans="1:12" ht="26.25">
      <c r="A5" s="89" t="s">
        <v>44</v>
      </c>
      <c r="B5" s="90" t="s">
        <v>45</v>
      </c>
      <c r="C5" s="91" t="s">
        <v>46</v>
      </c>
      <c r="D5" s="89" t="s">
        <v>47</v>
      </c>
      <c r="E5" s="89" t="s">
        <v>48</v>
      </c>
      <c r="F5" s="89" t="s">
        <v>49</v>
      </c>
      <c r="G5" s="89" t="s">
        <v>50</v>
      </c>
      <c r="H5" s="73"/>
      <c r="I5" s="241"/>
      <c r="J5" s="38"/>
      <c r="K5" s="38"/>
      <c r="L5" s="241"/>
    </row>
    <row r="6" spans="1:12" ht="14.45" customHeight="1">
      <c r="A6" s="41" t="s">
        <v>51</v>
      </c>
      <c r="B6" s="40" t="s">
        <v>52</v>
      </c>
      <c r="C6" s="42" t="s">
        <v>53</v>
      </c>
      <c r="D6" s="43" t="s">
        <v>172</v>
      </c>
      <c r="E6" s="44">
        <v>8620259.25</v>
      </c>
      <c r="F6" s="45">
        <v>-8083866.4100000001</v>
      </c>
      <c r="G6" s="44">
        <v>536392.84</v>
      </c>
      <c r="H6" s="73"/>
      <c r="I6" s="30"/>
      <c r="J6" s="73"/>
      <c r="K6" s="73"/>
    </row>
    <row r="7" spans="1:12">
      <c r="A7" s="46"/>
      <c r="B7" s="40" t="s">
        <v>52</v>
      </c>
      <c r="C7" s="47"/>
      <c r="D7" s="43" t="s">
        <v>173</v>
      </c>
      <c r="E7" s="44">
        <v>536392.84</v>
      </c>
      <c r="F7" s="45">
        <v>-663753.87</v>
      </c>
      <c r="G7" s="44">
        <v>-127361.03</v>
      </c>
      <c r="H7" s="73"/>
      <c r="I7" s="30"/>
      <c r="J7" s="73"/>
      <c r="K7" s="73"/>
    </row>
    <row r="8" spans="1:12">
      <c r="A8" s="46"/>
      <c r="B8" s="40" t="s">
        <v>52</v>
      </c>
      <c r="C8" s="48"/>
      <c r="D8" s="43" t="s">
        <v>174</v>
      </c>
      <c r="E8" s="44">
        <v>-127361.03</v>
      </c>
      <c r="F8" s="45">
        <v>-2885123.11</v>
      </c>
      <c r="G8" s="44">
        <v>-3012484.14</v>
      </c>
      <c r="H8" s="73"/>
      <c r="I8" s="30"/>
      <c r="J8" s="73"/>
      <c r="K8" s="73"/>
    </row>
    <row r="9" spans="1:12">
      <c r="A9" s="46"/>
      <c r="B9" s="81"/>
      <c r="C9" s="82"/>
      <c r="D9" s="81"/>
      <c r="E9" s="83"/>
      <c r="F9" s="84">
        <f>SUM(F6:F8)</f>
        <v>-11632743.389999999</v>
      </c>
      <c r="G9" s="83"/>
      <c r="H9" s="73"/>
      <c r="I9" s="73"/>
      <c r="J9" s="73"/>
      <c r="K9" s="73"/>
    </row>
    <row r="10" spans="1:12">
      <c r="A10" s="46"/>
      <c r="B10" s="40" t="s">
        <v>52</v>
      </c>
      <c r="C10" s="42" t="s">
        <v>54</v>
      </c>
      <c r="D10" s="43" t="s">
        <v>172</v>
      </c>
      <c r="E10" s="44">
        <v>740535.51</v>
      </c>
      <c r="F10" s="45">
        <v>-688107.83</v>
      </c>
      <c r="G10" s="44">
        <v>52427.68</v>
      </c>
      <c r="H10" s="73"/>
      <c r="J10" s="73"/>
      <c r="K10" s="73"/>
      <c r="L10" s="30"/>
    </row>
    <row r="11" spans="1:12">
      <c r="A11" s="46"/>
      <c r="B11" s="40" t="s">
        <v>52</v>
      </c>
      <c r="C11" s="47"/>
      <c r="D11" s="43" t="s">
        <v>173</v>
      </c>
      <c r="E11" s="44">
        <v>52427.68</v>
      </c>
      <c r="F11" s="45">
        <v>-2002099.99</v>
      </c>
      <c r="G11" s="44">
        <v>-1949672.31</v>
      </c>
      <c r="H11" s="73"/>
      <c r="J11" s="73"/>
      <c r="K11" s="73"/>
      <c r="L11" s="30"/>
    </row>
    <row r="12" spans="1:12">
      <c r="A12" s="46"/>
      <c r="B12" s="40" t="s">
        <v>52</v>
      </c>
      <c r="C12" s="48"/>
      <c r="D12" s="43" t="s">
        <v>174</v>
      </c>
      <c r="E12" s="44">
        <v>-1949672.31</v>
      </c>
      <c r="F12" s="45">
        <v>-449827.21</v>
      </c>
      <c r="G12" s="44">
        <v>-2399499.52</v>
      </c>
      <c r="H12" s="73"/>
      <c r="J12" s="73"/>
      <c r="K12" s="73"/>
      <c r="L12" s="30"/>
    </row>
    <row r="13" spans="1:12">
      <c r="A13" s="49"/>
      <c r="B13" s="81"/>
      <c r="C13" s="82"/>
      <c r="D13" s="81"/>
      <c r="E13" s="83"/>
      <c r="F13" s="84">
        <f>SUM(F10:F12)</f>
        <v>-3140035.03</v>
      </c>
      <c r="G13" s="83"/>
      <c r="H13" s="73"/>
      <c r="I13" s="73"/>
      <c r="J13" s="73"/>
      <c r="K13" s="73"/>
    </row>
    <row r="14" spans="1:12" ht="14.45" customHeight="1">
      <c r="A14" s="85"/>
      <c r="B14" s="86"/>
      <c r="C14" s="85"/>
      <c r="D14" s="85"/>
      <c r="E14" s="87"/>
      <c r="F14" s="88">
        <f>F9+F13</f>
        <v>-14772778.419999998</v>
      </c>
      <c r="G14" s="87"/>
      <c r="H14" s="73"/>
      <c r="I14" s="73"/>
      <c r="J14" s="73"/>
      <c r="K14" s="73"/>
    </row>
    <row r="15" spans="1:12" ht="14.45" customHeight="1">
      <c r="A15" s="41" t="s">
        <v>55</v>
      </c>
      <c r="B15" s="40" t="s">
        <v>56</v>
      </c>
      <c r="C15" s="42" t="s">
        <v>53</v>
      </c>
      <c r="D15" s="43" t="s">
        <v>172</v>
      </c>
      <c r="E15" s="44">
        <v>7051825</v>
      </c>
      <c r="F15" s="45">
        <v>-6611313.0099999998</v>
      </c>
      <c r="G15" s="44">
        <v>440511.99</v>
      </c>
      <c r="H15" s="73"/>
      <c r="I15" s="30"/>
      <c r="J15" s="73"/>
      <c r="K15" s="73"/>
    </row>
    <row r="16" spans="1:12">
      <c r="A16" s="46"/>
      <c r="B16" s="40" t="s">
        <v>56</v>
      </c>
      <c r="C16" s="47"/>
      <c r="D16" s="43" t="s">
        <v>173</v>
      </c>
      <c r="E16" s="44">
        <v>440511.99</v>
      </c>
      <c r="F16" s="45">
        <v>-362322.33</v>
      </c>
      <c r="G16" s="44">
        <v>78189.66</v>
      </c>
      <c r="H16" s="73"/>
      <c r="I16" s="30"/>
      <c r="J16" s="73"/>
      <c r="K16" s="73"/>
    </row>
    <row r="17" spans="1:12">
      <c r="A17" s="46"/>
      <c r="B17" s="40" t="s">
        <v>56</v>
      </c>
      <c r="C17" s="48"/>
      <c r="D17" s="43" t="s">
        <v>174</v>
      </c>
      <c r="E17" s="44">
        <v>78189.66</v>
      </c>
      <c r="F17" s="45">
        <v>234417.4</v>
      </c>
      <c r="G17" s="44">
        <v>312607.06</v>
      </c>
      <c r="H17" s="73"/>
      <c r="I17" s="30"/>
      <c r="J17" s="73"/>
      <c r="K17" s="73"/>
    </row>
    <row r="18" spans="1:12">
      <c r="A18" s="46"/>
      <c r="B18" s="81"/>
      <c r="C18" s="82"/>
      <c r="D18" s="81"/>
      <c r="E18" s="83"/>
      <c r="F18" s="84">
        <f>SUM(F15:F17)</f>
        <v>-6739217.9399999995</v>
      </c>
      <c r="G18" s="83"/>
      <c r="H18" s="73"/>
      <c r="I18" s="73"/>
      <c r="J18" s="73"/>
      <c r="K18" s="73"/>
    </row>
    <row r="19" spans="1:12">
      <c r="A19" s="46"/>
      <c r="B19" s="40" t="s">
        <v>56</v>
      </c>
      <c r="C19" s="42" t="s">
        <v>54</v>
      </c>
      <c r="D19" s="43" t="s">
        <v>172</v>
      </c>
      <c r="E19" s="44">
        <v>984241.48</v>
      </c>
      <c r="F19" s="45">
        <v>-922449.41</v>
      </c>
      <c r="G19" s="44">
        <v>61792.07</v>
      </c>
      <c r="H19" s="73"/>
      <c r="J19" s="73"/>
      <c r="K19" s="73"/>
      <c r="L19" s="30"/>
    </row>
    <row r="20" spans="1:12">
      <c r="A20" s="46"/>
      <c r="B20" s="40" t="s">
        <v>56</v>
      </c>
      <c r="C20" s="47"/>
      <c r="D20" s="43" t="s">
        <v>173</v>
      </c>
      <c r="E20" s="44">
        <v>61792.07</v>
      </c>
      <c r="F20" s="45">
        <v>-346541.02</v>
      </c>
      <c r="G20" s="44">
        <v>-284748.95</v>
      </c>
      <c r="H20" s="73"/>
      <c r="J20" s="73"/>
      <c r="K20" s="73"/>
      <c r="L20" s="30"/>
    </row>
    <row r="21" spans="1:12">
      <c r="A21" s="46"/>
      <c r="B21" s="40" t="s">
        <v>56</v>
      </c>
      <c r="C21" s="48"/>
      <c r="D21" s="43" t="s">
        <v>174</v>
      </c>
      <c r="E21" s="44">
        <v>-284748.95</v>
      </c>
      <c r="F21" s="45">
        <v>9021.26</v>
      </c>
      <c r="G21" s="44">
        <v>-275727.69</v>
      </c>
      <c r="H21" s="73"/>
      <c r="J21" s="73"/>
      <c r="K21" s="73"/>
      <c r="L21" s="30"/>
    </row>
    <row r="22" spans="1:12">
      <c r="A22" s="49"/>
      <c r="B22" s="81"/>
      <c r="C22" s="82"/>
      <c r="D22" s="81"/>
      <c r="E22" s="83"/>
      <c r="F22" s="84">
        <f>SUM(F19:F21)</f>
        <v>-1259969.1700000002</v>
      </c>
      <c r="G22" s="83"/>
      <c r="H22" s="73"/>
      <c r="I22" s="73"/>
      <c r="J22" s="73"/>
      <c r="K22" s="73"/>
    </row>
    <row r="23" spans="1:12">
      <c r="A23" s="85"/>
      <c r="B23" s="86"/>
      <c r="C23" s="85"/>
      <c r="D23" s="85"/>
      <c r="E23" s="87"/>
      <c r="F23" s="88">
        <f>F18+F22</f>
        <v>-7999187.1099999994</v>
      </c>
      <c r="G23" s="87"/>
      <c r="H23" s="73"/>
      <c r="I23" s="73"/>
      <c r="J23" s="73"/>
      <c r="K23" s="73"/>
    </row>
    <row r="24" spans="1:12">
      <c r="A24" s="18"/>
      <c r="B24" s="18"/>
      <c r="C24" s="18"/>
      <c r="D24" s="18"/>
      <c r="E24" s="19"/>
      <c r="F24" s="20"/>
      <c r="G24" s="19"/>
      <c r="H24" s="73"/>
      <c r="I24" s="73"/>
      <c r="J24" s="73"/>
      <c r="K24" s="73"/>
    </row>
    <row r="25" spans="1:12">
      <c r="A25" s="39" t="s">
        <v>43</v>
      </c>
      <c r="B25" s="73"/>
      <c r="C25" s="169" t="s">
        <v>171</v>
      </c>
      <c r="D25" s="73"/>
      <c r="E25" s="73"/>
      <c r="F25" s="73"/>
      <c r="G25" s="73"/>
      <c r="H25" s="73"/>
      <c r="I25" s="73"/>
      <c r="J25" s="73"/>
      <c r="K25" s="73"/>
    </row>
    <row r="26" spans="1:12">
      <c r="A26" s="73"/>
      <c r="B26" s="73"/>
      <c r="C26" s="73"/>
      <c r="D26" s="73"/>
      <c r="E26" s="73"/>
      <c r="F26" s="73"/>
      <c r="G26" s="73"/>
      <c r="H26" s="73"/>
      <c r="I26" s="73"/>
      <c r="J26" s="73"/>
      <c r="K26" s="73"/>
    </row>
    <row r="27" spans="1:12" ht="26.25">
      <c r="A27" s="89" t="s">
        <v>44</v>
      </c>
      <c r="B27" s="90" t="s">
        <v>45</v>
      </c>
      <c r="C27" s="91" t="s">
        <v>46</v>
      </c>
      <c r="D27" s="89" t="s">
        <v>47</v>
      </c>
      <c r="E27" s="89" t="s">
        <v>48</v>
      </c>
      <c r="F27" s="89" t="s">
        <v>49</v>
      </c>
      <c r="G27" s="89" t="s">
        <v>50</v>
      </c>
      <c r="H27" s="73"/>
      <c r="I27" s="73"/>
      <c r="J27" s="73"/>
      <c r="K27" s="73"/>
    </row>
    <row r="28" spans="1:12">
      <c r="A28" s="41" t="s">
        <v>101</v>
      </c>
      <c r="B28" s="40" t="s">
        <v>102</v>
      </c>
      <c r="C28" s="42" t="s">
        <v>53</v>
      </c>
      <c r="D28" s="43" t="s">
        <v>172</v>
      </c>
      <c r="E28" s="44">
        <v>0</v>
      </c>
      <c r="F28" s="45">
        <v>8657470.0899999999</v>
      </c>
      <c r="G28" s="44">
        <v>8657470.0899999999</v>
      </c>
      <c r="H28" s="73"/>
      <c r="I28" s="30"/>
      <c r="J28" s="73"/>
      <c r="K28" s="73"/>
    </row>
    <row r="29" spans="1:12">
      <c r="A29" s="46"/>
      <c r="B29" s="40" t="s">
        <v>102</v>
      </c>
      <c r="C29" s="47"/>
      <c r="D29" s="43" t="s">
        <v>173</v>
      </c>
      <c r="E29" s="44">
        <v>8657470.0899999999</v>
      </c>
      <c r="F29" s="45">
        <v>37371.360000000001</v>
      </c>
      <c r="G29" s="44">
        <v>8694841.4499999993</v>
      </c>
      <c r="H29" s="73"/>
      <c r="I29" s="30"/>
      <c r="J29" s="73"/>
      <c r="K29" s="73"/>
    </row>
    <row r="30" spans="1:12">
      <c r="A30" s="46"/>
      <c r="B30" s="40" t="s">
        <v>102</v>
      </c>
      <c r="C30" s="48"/>
      <c r="D30" s="43" t="s">
        <v>174</v>
      </c>
      <c r="E30" s="44">
        <v>8694841.4499999993</v>
      </c>
      <c r="F30" s="45">
        <v>37532.730000000003</v>
      </c>
      <c r="G30" s="44">
        <v>8732374.1799999997</v>
      </c>
      <c r="H30" s="73"/>
      <c r="I30" s="30"/>
      <c r="J30" s="73"/>
      <c r="K30" s="73"/>
    </row>
    <row r="31" spans="1:12">
      <c r="A31" s="46"/>
      <c r="B31" s="81"/>
      <c r="C31" s="82"/>
      <c r="D31" s="81"/>
      <c r="E31" s="83"/>
      <c r="F31" s="84">
        <f>SUM(F28:F30)</f>
        <v>8732374.1799999997</v>
      </c>
      <c r="G31" s="83"/>
      <c r="H31" s="73"/>
      <c r="I31" s="73"/>
      <c r="J31" s="73"/>
      <c r="K31" s="73"/>
    </row>
    <row r="32" spans="1:12" s="73" customFormat="1">
      <c r="A32" s="46"/>
      <c r="B32" s="40" t="s">
        <v>102</v>
      </c>
      <c r="C32" s="42" t="s">
        <v>54</v>
      </c>
      <c r="D32" s="43" t="s">
        <v>172</v>
      </c>
      <c r="E32" s="44">
        <v>0</v>
      </c>
      <c r="F32" s="45">
        <v>741155.91</v>
      </c>
      <c r="G32" s="44">
        <v>741155.91</v>
      </c>
      <c r="L32" s="30"/>
    </row>
    <row r="33" spans="1:12" s="73" customFormat="1">
      <c r="A33" s="46"/>
      <c r="B33" s="40" t="s">
        <v>102</v>
      </c>
      <c r="C33" s="47"/>
      <c r="D33" s="43" t="s">
        <v>173</v>
      </c>
      <c r="E33" s="44">
        <v>741155.91</v>
      </c>
      <c r="F33" s="45">
        <v>623.08000000000004</v>
      </c>
      <c r="G33" s="44">
        <v>741778.99</v>
      </c>
      <c r="L33" s="30"/>
    </row>
    <row r="34" spans="1:12" s="73" customFormat="1">
      <c r="A34" s="46"/>
      <c r="B34" s="40" t="s">
        <v>102</v>
      </c>
      <c r="C34" s="48"/>
      <c r="D34" s="43" t="s">
        <v>174</v>
      </c>
      <c r="E34" s="44">
        <v>741778.99</v>
      </c>
      <c r="F34" s="45">
        <v>625.77</v>
      </c>
      <c r="G34" s="44">
        <v>742404.76</v>
      </c>
      <c r="L34" s="30"/>
    </row>
    <row r="35" spans="1:12" s="73" customFormat="1">
      <c r="A35" s="49"/>
      <c r="B35" s="81"/>
      <c r="C35" s="82"/>
      <c r="D35" s="81"/>
      <c r="E35" s="83"/>
      <c r="F35" s="84">
        <f>SUM(F32:F34)</f>
        <v>742404.76</v>
      </c>
      <c r="G35" s="83"/>
    </row>
    <row r="36" spans="1:12" s="73" customFormat="1">
      <c r="A36" s="85"/>
      <c r="B36" s="86"/>
      <c r="C36" s="85"/>
      <c r="D36" s="85"/>
      <c r="E36" s="87"/>
      <c r="F36" s="88">
        <f>F31+F35</f>
        <v>9474778.9399999995</v>
      </c>
      <c r="G36" s="87"/>
    </row>
    <row r="37" spans="1:12" s="73" customFormat="1">
      <c r="A37" s="41" t="s">
        <v>103</v>
      </c>
      <c r="B37" s="40" t="s">
        <v>104</v>
      </c>
      <c r="C37" s="42" t="s">
        <v>53</v>
      </c>
      <c r="D37" s="43" t="s">
        <v>172</v>
      </c>
      <c r="E37" s="44">
        <v>0</v>
      </c>
      <c r="F37" s="45">
        <v>7082265.3799999999</v>
      </c>
      <c r="G37" s="44">
        <v>7082265.3799999999</v>
      </c>
      <c r="I37" s="30"/>
    </row>
    <row r="38" spans="1:12" s="73" customFormat="1">
      <c r="A38" s="46"/>
      <c r="B38" s="40" t="s">
        <v>104</v>
      </c>
      <c r="C38" s="47"/>
      <c r="D38" s="43" t="s">
        <v>173</v>
      </c>
      <c r="E38" s="44">
        <v>7082265.3799999999</v>
      </c>
      <c r="F38" s="45">
        <v>30571.78</v>
      </c>
      <c r="G38" s="44">
        <v>7112837.1600000001</v>
      </c>
      <c r="I38" s="30"/>
    </row>
    <row r="39" spans="1:12" s="73" customFormat="1">
      <c r="A39" s="46"/>
      <c r="B39" s="40" t="s">
        <v>104</v>
      </c>
      <c r="C39" s="48"/>
      <c r="D39" s="43" t="s">
        <v>174</v>
      </c>
      <c r="E39" s="44">
        <v>7112837.1600000001</v>
      </c>
      <c r="F39" s="45">
        <v>30703.75</v>
      </c>
      <c r="G39" s="44">
        <v>7143540.9100000001</v>
      </c>
      <c r="I39" s="30"/>
    </row>
    <row r="40" spans="1:12" s="73" customFormat="1">
      <c r="A40" s="46"/>
      <c r="B40" s="81"/>
      <c r="C40" s="82"/>
      <c r="D40" s="81"/>
      <c r="E40" s="83"/>
      <c r="F40" s="84">
        <f>SUM(F37:F39)</f>
        <v>7143540.9100000001</v>
      </c>
      <c r="G40" s="83"/>
    </row>
    <row r="41" spans="1:12" s="73" customFormat="1" ht="18" customHeight="1">
      <c r="A41" s="46"/>
      <c r="B41" s="40" t="s">
        <v>104</v>
      </c>
      <c r="C41" s="42" t="s">
        <v>54</v>
      </c>
      <c r="D41" s="43" t="s">
        <v>172</v>
      </c>
      <c r="E41" s="44">
        <v>0</v>
      </c>
      <c r="F41" s="45">
        <v>987720.59</v>
      </c>
      <c r="G41" s="44">
        <v>987720.59</v>
      </c>
      <c r="L41" s="30"/>
    </row>
    <row r="42" spans="1:12" s="73" customFormat="1">
      <c r="A42" s="46"/>
      <c r="B42" s="40" t="s">
        <v>104</v>
      </c>
      <c r="C42" s="47"/>
      <c r="D42" s="43" t="s">
        <v>173</v>
      </c>
      <c r="E42" s="44">
        <v>987720.59</v>
      </c>
      <c r="F42" s="45">
        <v>3494.13</v>
      </c>
      <c r="G42" s="44">
        <v>991214.72</v>
      </c>
      <c r="L42" s="30"/>
    </row>
    <row r="43" spans="1:12" s="73" customFormat="1" ht="18" customHeight="1">
      <c r="A43" s="46"/>
      <c r="B43" s="40" t="s">
        <v>104</v>
      </c>
      <c r="C43" s="48"/>
      <c r="D43" s="43" t="s">
        <v>174</v>
      </c>
      <c r="E43" s="44">
        <v>991214.72</v>
      </c>
      <c r="F43" s="45">
        <v>3509.22</v>
      </c>
      <c r="G43" s="44">
        <v>994723.94</v>
      </c>
      <c r="L43" s="30"/>
    </row>
    <row r="44" spans="1:12" s="73" customFormat="1" ht="18" customHeight="1">
      <c r="A44" s="49"/>
      <c r="B44" s="81"/>
      <c r="C44" s="82"/>
      <c r="D44" s="81"/>
      <c r="E44" s="83"/>
      <c r="F44" s="84">
        <f>SUM(F41:F43)</f>
        <v>994723.94</v>
      </c>
      <c r="G44" s="83"/>
    </row>
    <row r="45" spans="1:12" s="73" customFormat="1" ht="18" customHeight="1">
      <c r="A45" s="85"/>
      <c r="B45" s="86"/>
      <c r="C45" s="85"/>
      <c r="D45" s="85"/>
      <c r="E45" s="87"/>
      <c r="F45" s="88">
        <f>F40+F44</f>
        <v>8138264.8499999996</v>
      </c>
      <c r="G45" s="87"/>
    </row>
    <row r="46" spans="1:12" s="73" customFormat="1" ht="14.45" customHeight="1"/>
    <row r="47" spans="1:12" s="73" customFormat="1">
      <c r="A47" s="39" t="s">
        <v>43</v>
      </c>
      <c r="C47" s="169" t="s">
        <v>129</v>
      </c>
    </row>
    <row r="48" spans="1:12" s="73" customFormat="1">
      <c r="C48" s="170" t="s">
        <v>130</v>
      </c>
    </row>
    <row r="49" spans="1:12" s="73" customFormat="1" ht="25.5">
      <c r="A49" s="203" t="s">
        <v>44</v>
      </c>
      <c r="B49" s="164" t="s">
        <v>45</v>
      </c>
      <c r="C49" s="165" t="s">
        <v>46</v>
      </c>
      <c r="D49" s="166" t="s">
        <v>47</v>
      </c>
      <c r="E49" s="167" t="s">
        <v>48</v>
      </c>
      <c r="F49" s="166" t="s">
        <v>49</v>
      </c>
      <c r="G49" s="166" t="s">
        <v>50</v>
      </c>
    </row>
    <row r="50" spans="1:12" s="73" customFormat="1">
      <c r="A50" s="205" t="s">
        <v>57</v>
      </c>
      <c r="B50" s="40" t="s">
        <v>58</v>
      </c>
      <c r="C50" s="42" t="s">
        <v>53</v>
      </c>
      <c r="D50" s="43" t="s">
        <v>172</v>
      </c>
      <c r="E50" s="44">
        <v>0</v>
      </c>
      <c r="F50" s="45">
        <v>0</v>
      </c>
      <c r="G50" s="44">
        <v>0</v>
      </c>
      <c r="I50" s="30"/>
    </row>
    <row r="51" spans="1:12" s="73" customFormat="1">
      <c r="A51" s="206"/>
      <c r="B51" s="40" t="s">
        <v>58</v>
      </c>
      <c r="C51" s="47"/>
      <c r="D51" s="43" t="s">
        <v>173</v>
      </c>
      <c r="E51" s="44">
        <v>0</v>
      </c>
      <c r="F51" s="45">
        <v>0</v>
      </c>
      <c r="G51" s="44">
        <v>0</v>
      </c>
      <c r="I51" s="30"/>
    </row>
    <row r="52" spans="1:12" s="73" customFormat="1">
      <c r="A52" s="206"/>
      <c r="B52" s="40" t="s">
        <v>58</v>
      </c>
      <c r="C52" s="48"/>
      <c r="D52" s="43" t="s">
        <v>174</v>
      </c>
      <c r="E52" s="44">
        <v>0</v>
      </c>
      <c r="F52" s="45">
        <v>0</v>
      </c>
      <c r="G52" s="44">
        <v>0</v>
      </c>
      <c r="I52" s="30"/>
    </row>
    <row r="53" spans="1:12">
      <c r="A53" s="206"/>
      <c r="B53" s="81"/>
      <c r="C53" s="81"/>
      <c r="D53" s="81"/>
      <c r="E53" s="83"/>
      <c r="F53" s="84">
        <f>SUM(F50:F52)</f>
        <v>0</v>
      </c>
      <c r="G53" s="83"/>
      <c r="H53" s="73"/>
      <c r="I53" s="73"/>
      <c r="J53" s="73"/>
      <c r="K53" s="73"/>
    </row>
    <row r="54" spans="1:12">
      <c r="A54" s="206"/>
      <c r="B54" s="40" t="s">
        <v>58</v>
      </c>
      <c r="C54" s="42" t="s">
        <v>54</v>
      </c>
      <c r="D54" s="43" t="s">
        <v>172</v>
      </c>
      <c r="E54" s="44">
        <v>0</v>
      </c>
      <c r="F54" s="45">
        <v>0</v>
      </c>
      <c r="G54" s="44">
        <v>0</v>
      </c>
      <c r="H54" s="73"/>
      <c r="J54" s="73"/>
      <c r="K54" s="73"/>
      <c r="L54" s="30"/>
    </row>
    <row r="55" spans="1:12">
      <c r="A55" s="206"/>
      <c r="B55" s="40" t="s">
        <v>58</v>
      </c>
      <c r="C55" s="47"/>
      <c r="D55" s="43" t="s">
        <v>173</v>
      </c>
      <c r="E55" s="44">
        <v>0</v>
      </c>
      <c r="F55" s="45">
        <v>0</v>
      </c>
      <c r="G55" s="44">
        <v>0</v>
      </c>
      <c r="H55" s="73"/>
      <c r="J55" s="73"/>
      <c r="K55" s="73"/>
      <c r="L55" s="30"/>
    </row>
    <row r="56" spans="1:12">
      <c r="A56" s="206"/>
      <c r="B56" s="40" t="s">
        <v>58</v>
      </c>
      <c r="C56" s="48"/>
      <c r="D56" s="43" t="s">
        <v>174</v>
      </c>
      <c r="E56" s="44">
        <v>0</v>
      </c>
      <c r="F56" s="45">
        <v>0</v>
      </c>
      <c r="G56" s="44">
        <v>0</v>
      </c>
      <c r="H56" s="73"/>
      <c r="J56" s="73"/>
      <c r="K56" s="73"/>
      <c r="L56" s="30"/>
    </row>
    <row r="57" spans="1:12">
      <c r="A57" s="207"/>
      <c r="B57" s="81"/>
      <c r="C57" s="81"/>
      <c r="D57" s="81"/>
      <c r="E57" s="83"/>
      <c r="F57" s="84">
        <f>SUM(F54:F56)</f>
        <v>0</v>
      </c>
      <c r="G57" s="83"/>
      <c r="H57" s="73"/>
      <c r="I57" s="73"/>
      <c r="J57" s="73"/>
      <c r="K57" s="73"/>
    </row>
    <row r="58" spans="1:12">
      <c r="A58" s="204"/>
      <c r="B58" s="85"/>
      <c r="C58" s="182"/>
      <c r="D58" s="85"/>
      <c r="E58" s="87"/>
      <c r="F58" s="88">
        <f>F53+F57</f>
        <v>0</v>
      </c>
      <c r="G58" s="87"/>
      <c r="H58" s="73"/>
      <c r="I58" s="73"/>
      <c r="J58" s="73"/>
      <c r="K58" s="73"/>
    </row>
    <row r="59" spans="1:12" s="73" customFormat="1">
      <c r="A59" s="243"/>
      <c r="B59" s="40" t="s">
        <v>58</v>
      </c>
      <c r="C59" s="209" t="s">
        <v>53</v>
      </c>
      <c r="D59" s="183" t="s">
        <v>172</v>
      </c>
      <c r="E59" s="44">
        <v>931706.8</v>
      </c>
      <c r="F59" s="45">
        <v>-88271.76</v>
      </c>
      <c r="G59" s="44">
        <v>843435.04</v>
      </c>
      <c r="I59" s="30"/>
    </row>
    <row r="60" spans="1:12" s="73" customFormat="1">
      <c r="A60" s="210"/>
      <c r="B60" s="40" t="s">
        <v>58</v>
      </c>
      <c r="C60" s="210"/>
      <c r="D60" s="184" t="s">
        <v>173</v>
      </c>
      <c r="E60" s="44">
        <v>843435.04</v>
      </c>
      <c r="F60" s="45">
        <v>-87023.56</v>
      </c>
      <c r="G60" s="44">
        <v>756411.48</v>
      </c>
      <c r="I60" s="30"/>
    </row>
    <row r="61" spans="1:12" s="73" customFormat="1">
      <c r="A61" s="210"/>
      <c r="B61" s="40" t="s">
        <v>58</v>
      </c>
      <c r="C61" s="211"/>
      <c r="D61" s="184" t="s">
        <v>174</v>
      </c>
      <c r="E61" s="44">
        <v>756411.48</v>
      </c>
      <c r="F61" s="45">
        <v>-84017.62</v>
      </c>
      <c r="G61" s="44">
        <v>672393.86</v>
      </c>
      <c r="I61" s="30"/>
    </row>
    <row r="62" spans="1:12" s="73" customFormat="1">
      <c r="A62" s="210"/>
      <c r="B62" s="81"/>
      <c r="C62" s="208"/>
      <c r="D62" s="81"/>
      <c r="E62" s="83"/>
      <c r="F62" s="84">
        <f>SUM(F59:F61)</f>
        <v>-259312.94</v>
      </c>
      <c r="G62" s="83"/>
    </row>
    <row r="63" spans="1:12" s="34" customFormat="1">
      <c r="A63" s="206" t="s">
        <v>122</v>
      </c>
      <c r="B63" s="40" t="s">
        <v>104</v>
      </c>
      <c r="C63" s="42" t="s">
        <v>54</v>
      </c>
      <c r="D63" s="43" t="s">
        <v>172</v>
      </c>
      <c r="E63" s="44">
        <v>331175.03999999998</v>
      </c>
      <c r="F63" s="45">
        <v>-52727.67</v>
      </c>
      <c r="G63" s="44">
        <v>278447.37</v>
      </c>
      <c r="H63" s="73"/>
      <c r="J63" s="73"/>
      <c r="K63" s="73"/>
      <c r="L63" s="30"/>
    </row>
    <row r="64" spans="1:12" s="34" customFormat="1">
      <c r="A64" s="206"/>
      <c r="B64" s="40" t="s">
        <v>104</v>
      </c>
      <c r="C64" s="47"/>
      <c r="D64" s="43" t="s">
        <v>173</v>
      </c>
      <c r="E64" s="44">
        <v>278447.37</v>
      </c>
      <c r="F64" s="45">
        <v>-59381.1</v>
      </c>
      <c r="G64" s="44">
        <v>219066.27</v>
      </c>
      <c r="H64" s="73"/>
      <c r="J64" s="73"/>
      <c r="K64" s="73"/>
      <c r="L64" s="30"/>
    </row>
    <row r="65" spans="1:13">
      <c r="A65" s="206"/>
      <c r="B65" s="40" t="s">
        <v>104</v>
      </c>
      <c r="C65" s="48"/>
      <c r="D65" s="43" t="s">
        <v>174</v>
      </c>
      <c r="E65" s="44">
        <v>219066.27</v>
      </c>
      <c r="F65" s="45">
        <v>-44951.05</v>
      </c>
      <c r="G65" s="44">
        <v>174115.22</v>
      </c>
      <c r="H65" s="73"/>
      <c r="J65" s="73"/>
      <c r="K65" s="73"/>
      <c r="L65" s="30"/>
    </row>
    <row r="66" spans="1:13">
      <c r="A66" s="207"/>
      <c r="B66" s="81"/>
      <c r="C66" s="81"/>
      <c r="D66" s="81"/>
      <c r="E66" s="83"/>
      <c r="F66" s="84">
        <f>SUM(F63:F65)</f>
        <v>-157059.82</v>
      </c>
      <c r="G66" s="83"/>
      <c r="H66" s="73"/>
      <c r="I66" s="73"/>
      <c r="J66" s="73"/>
      <c r="K66" s="73"/>
      <c r="L66" s="22"/>
      <c r="M66" s="22"/>
    </row>
    <row r="67" spans="1:13">
      <c r="A67" s="242"/>
      <c r="B67" s="85"/>
      <c r="C67" s="85"/>
      <c r="D67" s="85"/>
      <c r="E67" s="87"/>
      <c r="F67" s="88">
        <f>F62+F66</f>
        <v>-416372.76</v>
      </c>
      <c r="G67" s="87"/>
      <c r="H67" s="73"/>
      <c r="I67" s="73"/>
      <c r="J67" s="73"/>
      <c r="K67" s="73"/>
      <c r="L67" s="22"/>
      <c r="M67" s="22"/>
    </row>
    <row r="68" spans="1:13">
      <c r="A68" s="39" t="s">
        <v>43</v>
      </c>
      <c r="B68" s="38"/>
      <c r="C68" s="50" t="s">
        <v>131</v>
      </c>
      <c r="D68" s="38"/>
      <c r="E68" s="38"/>
      <c r="F68" s="38"/>
      <c r="G68" s="38"/>
      <c r="H68" s="73"/>
      <c r="I68" s="73"/>
      <c r="J68" s="73"/>
      <c r="K68" s="73"/>
      <c r="L68" s="22"/>
      <c r="M68" s="22"/>
    </row>
    <row r="69" spans="1:13" ht="25.5">
      <c r="A69" s="163" t="s">
        <v>44</v>
      </c>
      <c r="B69" s="164" t="s">
        <v>45</v>
      </c>
      <c r="C69" s="165" t="s">
        <v>46</v>
      </c>
      <c r="D69" s="166" t="s">
        <v>47</v>
      </c>
      <c r="E69" s="167" t="s">
        <v>48</v>
      </c>
      <c r="F69" s="166" t="s">
        <v>49</v>
      </c>
      <c r="G69" s="166" t="s">
        <v>50</v>
      </c>
      <c r="H69" s="73"/>
      <c r="I69" s="73"/>
      <c r="J69" s="73"/>
      <c r="K69" s="73"/>
    </row>
    <row r="70" spans="1:13" s="73" customFormat="1">
      <c r="A70" s="41">
        <v>254328</v>
      </c>
      <c r="B70" s="40" t="s">
        <v>156</v>
      </c>
      <c r="C70" s="42" t="s">
        <v>53</v>
      </c>
      <c r="D70" s="43" t="s">
        <v>172</v>
      </c>
      <c r="E70" s="44">
        <v>-2135580.83</v>
      </c>
      <c r="F70" s="45">
        <v>287713.18</v>
      </c>
      <c r="G70" s="44">
        <v>-1847867.65</v>
      </c>
      <c r="I70" s="30"/>
    </row>
    <row r="71" spans="1:13" s="73" customFormat="1">
      <c r="A71" s="206"/>
      <c r="B71" s="40" t="s">
        <v>156</v>
      </c>
      <c r="C71" s="47"/>
      <c r="D71" s="43" t="s">
        <v>173</v>
      </c>
      <c r="E71" s="44">
        <v>-1847867.65</v>
      </c>
      <c r="F71" s="45">
        <v>264774.42</v>
      </c>
      <c r="G71" s="44">
        <v>-1583093.23</v>
      </c>
      <c r="I71" s="30"/>
    </row>
    <row r="72" spans="1:13" s="73" customFormat="1">
      <c r="A72" s="206"/>
      <c r="B72" s="40" t="s">
        <v>156</v>
      </c>
      <c r="C72" s="48"/>
      <c r="D72" s="43" t="s">
        <v>174</v>
      </c>
      <c r="E72" s="44">
        <v>-1583093.23</v>
      </c>
      <c r="F72" s="45">
        <v>271975.12</v>
      </c>
      <c r="G72" s="44">
        <v>-1311118.1100000001</v>
      </c>
      <c r="I72" s="30"/>
    </row>
    <row r="73" spans="1:13" s="73" customFormat="1">
      <c r="A73" s="206"/>
      <c r="B73" s="81"/>
      <c r="C73" s="81"/>
      <c r="D73" s="81"/>
      <c r="E73" s="83"/>
      <c r="F73" s="84">
        <f>SUM(F70:F72)</f>
        <v>824462.72</v>
      </c>
      <c r="G73" s="83"/>
      <c r="I73" s="238"/>
    </row>
    <row r="74" spans="1:13" s="73" customFormat="1">
      <c r="A74" s="206"/>
      <c r="B74" s="40" t="s">
        <v>156</v>
      </c>
      <c r="C74" s="42" t="s">
        <v>54</v>
      </c>
      <c r="D74" s="43" t="s">
        <v>172</v>
      </c>
      <c r="E74" s="44">
        <v>-2456015.56</v>
      </c>
      <c r="F74" s="45">
        <v>539310.72</v>
      </c>
      <c r="G74" s="44">
        <v>-1916704.84</v>
      </c>
      <c r="L74" s="30"/>
    </row>
    <row r="75" spans="1:13" s="73" customFormat="1">
      <c r="A75" s="206"/>
      <c r="B75" s="40" t="s">
        <v>156</v>
      </c>
      <c r="C75" s="47"/>
      <c r="D75" s="43" t="s">
        <v>173</v>
      </c>
      <c r="E75" s="44">
        <v>-1916704.84</v>
      </c>
      <c r="F75" s="45">
        <v>601328.53</v>
      </c>
      <c r="G75" s="44">
        <v>-1315376.31</v>
      </c>
      <c r="L75" s="30"/>
    </row>
    <row r="76" spans="1:13" s="73" customFormat="1">
      <c r="A76" s="206"/>
      <c r="B76" s="40" t="s">
        <v>156</v>
      </c>
      <c r="C76" s="48"/>
      <c r="D76" s="43" t="s">
        <v>174</v>
      </c>
      <c r="E76" s="44">
        <v>-1315376.31</v>
      </c>
      <c r="F76" s="45">
        <v>475641.17</v>
      </c>
      <c r="G76" s="44">
        <v>-839735.14</v>
      </c>
      <c r="L76" s="30"/>
    </row>
    <row r="77" spans="1:13" s="73" customFormat="1">
      <c r="A77" s="207"/>
      <c r="B77" s="81"/>
      <c r="C77" s="81"/>
      <c r="D77" s="81"/>
      <c r="E77" s="83"/>
      <c r="F77" s="84">
        <f>SUM(F74:F76)</f>
        <v>1616280.42</v>
      </c>
      <c r="G77" s="83"/>
    </row>
    <row r="78" spans="1:13" s="73" customFormat="1">
      <c r="A78" s="204"/>
      <c r="B78" s="85"/>
      <c r="C78" s="182"/>
      <c r="D78" s="85"/>
      <c r="E78" s="87"/>
      <c r="F78" s="88">
        <f>F73+F77</f>
        <v>2440743.1399999997</v>
      </c>
      <c r="G78" s="87"/>
    </row>
    <row r="79" spans="1:13">
      <c r="A79" s="205" t="s">
        <v>127</v>
      </c>
      <c r="B79" s="40" t="s">
        <v>128</v>
      </c>
      <c r="C79" s="42" t="s">
        <v>53</v>
      </c>
      <c r="D79" s="43" t="s">
        <v>172</v>
      </c>
      <c r="E79" s="44">
        <v>0</v>
      </c>
      <c r="F79" s="44">
        <v>0</v>
      </c>
      <c r="G79" s="44">
        <v>0</v>
      </c>
      <c r="H79" s="73"/>
      <c r="I79" s="30"/>
      <c r="J79" s="73"/>
      <c r="K79" s="73"/>
    </row>
    <row r="80" spans="1:13" ht="15.75">
      <c r="A80" s="206"/>
      <c r="B80" s="40" t="s">
        <v>128</v>
      </c>
      <c r="C80" s="47"/>
      <c r="D80" s="43" t="s">
        <v>173</v>
      </c>
      <c r="E80" s="44">
        <v>0</v>
      </c>
      <c r="F80" s="44">
        <v>0</v>
      </c>
      <c r="G80" s="44">
        <v>0</v>
      </c>
      <c r="H80" s="168"/>
      <c r="I80" s="30"/>
      <c r="J80" s="73"/>
      <c r="K80" s="73"/>
    </row>
    <row r="81" spans="1:15" s="34" customFormat="1" ht="15.75">
      <c r="A81" s="206"/>
      <c r="B81" s="40" t="s">
        <v>128</v>
      </c>
      <c r="C81" s="48"/>
      <c r="D81" s="43" t="s">
        <v>174</v>
      </c>
      <c r="E81" s="44">
        <v>0</v>
      </c>
      <c r="F81" s="44">
        <v>0</v>
      </c>
      <c r="G81" s="44">
        <v>0</v>
      </c>
      <c r="H81" s="168"/>
      <c r="I81" s="30"/>
      <c r="J81" s="73"/>
      <c r="K81" s="73"/>
    </row>
    <row r="82" spans="1:15">
      <c r="A82" s="206"/>
      <c r="B82" s="81"/>
      <c r="C82" s="81"/>
      <c r="D82" s="81"/>
      <c r="E82" s="83"/>
      <c r="F82" s="84">
        <f>SUM(F79:F81)</f>
        <v>0</v>
      </c>
      <c r="G82" s="83"/>
      <c r="H82" s="73"/>
      <c r="I82" s="73"/>
      <c r="J82" s="73"/>
      <c r="K82" s="73"/>
    </row>
    <row r="83" spans="1:15">
      <c r="A83" s="206"/>
      <c r="B83" s="40" t="s">
        <v>128</v>
      </c>
      <c r="C83" s="42" t="s">
        <v>54</v>
      </c>
      <c r="D83" s="43" t="s">
        <v>172</v>
      </c>
      <c r="E83" s="44">
        <v>0</v>
      </c>
      <c r="F83" s="44">
        <v>0</v>
      </c>
      <c r="G83" s="44">
        <v>0</v>
      </c>
      <c r="H83" s="73"/>
      <c r="J83" s="73"/>
      <c r="K83" s="73"/>
      <c r="L83" s="30"/>
    </row>
    <row r="84" spans="1:15" s="73" customFormat="1">
      <c r="A84" s="206"/>
      <c r="B84" s="40" t="s">
        <v>128</v>
      </c>
      <c r="C84" s="47"/>
      <c r="D84" s="43" t="s">
        <v>173</v>
      </c>
      <c r="E84" s="44">
        <v>0</v>
      </c>
      <c r="F84" s="44">
        <v>0</v>
      </c>
      <c r="G84" s="44">
        <v>0</v>
      </c>
      <c r="L84" s="30"/>
    </row>
    <row r="85" spans="1:15" s="73" customFormat="1">
      <c r="A85" s="206"/>
      <c r="B85" s="40" t="s">
        <v>128</v>
      </c>
      <c r="C85" s="48"/>
      <c r="D85" s="43" t="s">
        <v>174</v>
      </c>
      <c r="E85" s="44">
        <v>0</v>
      </c>
      <c r="F85" s="44">
        <v>0</v>
      </c>
      <c r="G85" s="44">
        <v>0</v>
      </c>
      <c r="L85" s="30"/>
    </row>
    <row r="86" spans="1:15" s="73" customFormat="1">
      <c r="A86" s="207"/>
      <c r="B86" s="81"/>
      <c r="C86" s="81"/>
      <c r="D86" s="81"/>
      <c r="E86" s="83"/>
      <c r="F86" s="84">
        <f>SUM(F83:F85)</f>
        <v>0</v>
      </c>
      <c r="G86" s="83"/>
    </row>
    <row r="87" spans="1:15" s="73" customFormat="1">
      <c r="A87" s="204"/>
      <c r="B87" s="85"/>
      <c r="C87" s="182"/>
      <c r="D87" s="85"/>
      <c r="E87" s="87"/>
      <c r="F87" s="88">
        <f>F82+F86</f>
        <v>0</v>
      </c>
      <c r="G87" s="87"/>
    </row>
    <row r="88" spans="1:15">
      <c r="A88" s="73"/>
      <c r="B88" s="73"/>
      <c r="C88" s="73"/>
      <c r="D88" s="73"/>
      <c r="E88" s="73"/>
      <c r="F88" s="73"/>
      <c r="G88" s="73"/>
      <c r="H88" s="73"/>
      <c r="I88" s="73"/>
      <c r="J88" s="73"/>
      <c r="K88" s="73"/>
    </row>
    <row r="89" spans="1:15">
      <c r="A89" s="39" t="s">
        <v>43</v>
      </c>
      <c r="B89" s="38"/>
      <c r="C89" s="169" t="s">
        <v>125</v>
      </c>
      <c r="D89" s="38"/>
      <c r="E89" s="38"/>
      <c r="F89" s="38"/>
      <c r="G89" s="38"/>
      <c r="H89" s="73"/>
      <c r="I89" s="73"/>
      <c r="J89" s="73"/>
      <c r="K89" s="73"/>
    </row>
    <row r="90" spans="1:15">
      <c r="A90" s="38"/>
      <c r="B90" s="38"/>
      <c r="C90" s="38"/>
      <c r="D90" s="38"/>
      <c r="E90" s="38"/>
      <c r="F90" s="38"/>
      <c r="G90" s="38"/>
      <c r="H90" s="73"/>
      <c r="I90" s="73"/>
      <c r="J90" s="73"/>
      <c r="K90" s="73"/>
    </row>
    <row r="91" spans="1:15" s="73" customFormat="1" ht="31.15" customHeight="1">
      <c r="A91" s="89" t="s">
        <v>44</v>
      </c>
      <c r="B91" s="90" t="s">
        <v>45</v>
      </c>
      <c r="C91" s="91" t="s">
        <v>46</v>
      </c>
      <c r="D91" s="89" t="s">
        <v>47</v>
      </c>
      <c r="E91" s="89" t="s">
        <v>48</v>
      </c>
      <c r="F91" s="89" t="s">
        <v>49</v>
      </c>
      <c r="G91" s="89" t="s">
        <v>50</v>
      </c>
      <c r="J91" s="21" t="s">
        <v>62</v>
      </c>
      <c r="L91" s="245" t="s">
        <v>151</v>
      </c>
      <c r="M91" s="245"/>
    </row>
    <row r="92" spans="1:15">
      <c r="A92" s="41" t="s">
        <v>59</v>
      </c>
      <c r="B92" s="40" t="s">
        <v>60</v>
      </c>
      <c r="C92" s="42" t="s">
        <v>53</v>
      </c>
      <c r="D92" s="43" t="s">
        <v>172</v>
      </c>
      <c r="E92" s="44">
        <v>-2744978.38</v>
      </c>
      <c r="F92" s="45">
        <v>-253193.95</v>
      </c>
      <c r="G92" s="44">
        <v>-2998172.33</v>
      </c>
      <c r="H92" s="73"/>
      <c r="I92" s="22"/>
      <c r="J92" s="30">
        <f>(G6+G15+G28+G37+G50+G79+G59+G190)*-0.21</f>
        <v>-3687615.7415999998</v>
      </c>
      <c r="K92" s="22">
        <f>G92-J92</f>
        <v>689443.41159999976</v>
      </c>
      <c r="L92" s="194">
        <f>(G6+G15+G28+G37+G50+G59+G70+G79+G190+G199)*-0.21</f>
        <v>-2998172.3750999998</v>
      </c>
      <c r="M92" s="194">
        <f>L92-G92</f>
        <v>-4.5099999755620956E-2</v>
      </c>
      <c r="O92" s="22"/>
    </row>
    <row r="93" spans="1:15">
      <c r="A93" s="46"/>
      <c r="B93" s="40" t="s">
        <v>60</v>
      </c>
      <c r="C93" s="47"/>
      <c r="D93" s="43" t="s">
        <v>173</v>
      </c>
      <c r="E93" s="44">
        <v>-2998172.33</v>
      </c>
      <c r="F93" s="45">
        <v>113161.1</v>
      </c>
      <c r="G93" s="44">
        <v>-2885011.23</v>
      </c>
      <c r="H93" s="73"/>
      <c r="I93" s="22"/>
      <c r="J93" s="30">
        <f>(G7+G16+G29+G38+G51+G80+G60+G191)*-0.21</f>
        <v>-3468132.9312</v>
      </c>
      <c r="K93" s="22">
        <f>G93-J93</f>
        <v>583121.70120000001</v>
      </c>
      <c r="L93" s="194">
        <f t="shared" ref="L93:L94" si="0">(G7+G16+G29+G38+G51+G60+G71+G80+G191+G200)*-0.21</f>
        <v>-2885011.2731999997</v>
      </c>
      <c r="M93" s="194">
        <f t="shared" ref="M93" si="1">L93-G93</f>
        <v>-4.319999972358346E-2</v>
      </c>
    </row>
    <row r="94" spans="1:15">
      <c r="A94" s="46"/>
      <c r="B94" s="40" t="s">
        <v>60</v>
      </c>
      <c r="C94" s="48"/>
      <c r="D94" s="43" t="s">
        <v>174</v>
      </c>
      <c r="E94" s="44">
        <v>-2885011.23</v>
      </c>
      <c r="F94" s="45">
        <v>449879.97</v>
      </c>
      <c r="G94" s="44">
        <v>-2435131.2599999998</v>
      </c>
      <c r="H94" s="188"/>
      <c r="I94" s="22"/>
      <c r="J94" s="30">
        <f>(G8+G17+G30+G39+G52+G81+G61+G192)*-0.21</f>
        <v>-2908170.6926999995</v>
      </c>
      <c r="K94" s="22">
        <f>G94-J94</f>
        <v>473039.43269999977</v>
      </c>
      <c r="L94" s="194">
        <f t="shared" si="0"/>
        <v>-2435131.3034999999</v>
      </c>
      <c r="M94" s="194">
        <f>L94-G94</f>
        <v>-4.3500000145286322E-2</v>
      </c>
    </row>
    <row r="95" spans="1:15" s="73" customFormat="1">
      <c r="A95" s="46"/>
      <c r="B95" s="81"/>
      <c r="C95" s="82"/>
      <c r="D95" s="81"/>
      <c r="E95" s="83"/>
      <c r="F95" s="84">
        <f>SUM(F92:F94)</f>
        <v>309847.12</v>
      </c>
      <c r="G95" s="83"/>
    </row>
    <row r="96" spans="1:15">
      <c r="A96" s="46"/>
      <c r="B96" s="40" t="s">
        <v>60</v>
      </c>
      <c r="C96" s="42" t="s">
        <v>54</v>
      </c>
      <c r="D96" s="43" t="s">
        <v>172</v>
      </c>
      <c r="E96" s="44">
        <v>84013.17</v>
      </c>
      <c r="F96" s="45">
        <v>-127029.49</v>
      </c>
      <c r="G96" s="44">
        <v>-43016.32</v>
      </c>
      <c r="H96" s="73"/>
      <c r="I96" s="73"/>
      <c r="J96" s="30">
        <f>(G10+G19+G32+G41+G54+G63+G194+G199)*-0.21</f>
        <v>-144133.00020000001</v>
      </c>
      <c r="K96" s="22">
        <f>G96-J96</f>
        <v>101116.6802</v>
      </c>
      <c r="L96" s="194">
        <f>(G10+G19+G32+G41+G54+G63+G74+G194+G203)*-0.21</f>
        <v>-43016.143800000005</v>
      </c>
      <c r="M96" s="194">
        <f>L96-G96</f>
        <v>0.17619999999442371</v>
      </c>
    </row>
    <row r="97" spans="1:13">
      <c r="A97" s="46"/>
      <c r="B97" s="40" t="s">
        <v>60</v>
      </c>
      <c r="C97" s="47"/>
      <c r="D97" s="43" t="s">
        <v>173</v>
      </c>
      <c r="E97" s="44">
        <v>-43016.32</v>
      </c>
      <c r="F97" s="45">
        <v>378541.03</v>
      </c>
      <c r="G97" s="44">
        <v>335524.71000000002</v>
      </c>
      <c r="H97" s="73"/>
      <c r="I97" s="73"/>
      <c r="J97" s="30">
        <f>(G11+G20+G33+G42+G55+G64+G195+G200)*-0.21</f>
        <v>309967.94850000006</v>
      </c>
      <c r="K97" s="22">
        <f>G97-J97</f>
        <v>25556.761499999964</v>
      </c>
      <c r="L97" s="194">
        <f t="shared" ref="L97:L98" si="2">(G11+G20+G33+G42+G55+G64+G75+G195+G204)*-0.21</f>
        <v>335524.89390000008</v>
      </c>
      <c r="M97" s="194">
        <f t="shared" ref="M97:M98" si="3">L97-G97</f>
        <v>0.18390000006183982</v>
      </c>
    </row>
    <row r="98" spans="1:13">
      <c r="A98" s="46"/>
      <c r="B98" s="40" t="s">
        <v>60</v>
      </c>
      <c r="C98" s="48"/>
      <c r="D98" s="43" t="s">
        <v>174</v>
      </c>
      <c r="E98" s="44">
        <v>335524.71000000002</v>
      </c>
      <c r="F98" s="45">
        <v>1255.97</v>
      </c>
      <c r="G98" s="44">
        <v>336780.68</v>
      </c>
      <c r="H98" s="188"/>
      <c r="I98" s="73"/>
      <c r="J98" s="30">
        <f>(G12+G21+G34+G43+G56+G65+G196+G201)*-0.21</f>
        <v>358141.07700000005</v>
      </c>
      <c r="K98" s="22">
        <f>G98-J98</f>
        <v>-21360.397000000055</v>
      </c>
      <c r="L98" s="194">
        <f t="shared" si="2"/>
        <v>336780.87030000001</v>
      </c>
      <c r="M98" s="194">
        <f t="shared" si="3"/>
        <v>0.19030000001657754</v>
      </c>
    </row>
    <row r="99" spans="1:13" s="73" customFormat="1">
      <c r="A99" s="49"/>
      <c r="B99" s="81"/>
      <c r="C99" s="82"/>
      <c r="D99" s="81"/>
      <c r="E99" s="83"/>
      <c r="F99" s="84">
        <f>SUM(F96:F98)</f>
        <v>252767.51000000004</v>
      </c>
      <c r="G99" s="83"/>
    </row>
    <row r="100" spans="1:13">
      <c r="A100" s="85"/>
      <c r="B100" s="86"/>
      <c r="C100" s="85"/>
      <c r="D100" s="85"/>
      <c r="E100" s="87"/>
      <c r="F100" s="88">
        <f>F95+F99</f>
        <v>562614.63</v>
      </c>
      <c r="G100" s="87"/>
      <c r="H100" s="73"/>
      <c r="I100" s="73"/>
      <c r="J100" s="73"/>
      <c r="K100" s="73"/>
    </row>
    <row r="101" spans="1:13" s="73" customFormat="1">
      <c r="A101" s="159"/>
      <c r="B101" s="162"/>
      <c r="C101" s="159"/>
      <c r="D101" s="159"/>
      <c r="E101" s="160"/>
      <c r="F101" s="161"/>
      <c r="G101" s="160"/>
    </row>
    <row r="102" spans="1:13" s="73" customFormat="1" ht="15.75">
      <c r="A102" s="244" t="s">
        <v>61</v>
      </c>
      <c r="B102" s="244"/>
      <c r="C102" s="244"/>
      <c r="D102" s="244"/>
      <c r="E102" s="244"/>
      <c r="F102" s="244"/>
      <c r="G102" s="244"/>
    </row>
    <row r="103" spans="1:13" s="73" customFormat="1" ht="15.75">
      <c r="A103" s="168"/>
      <c r="B103" s="168"/>
      <c r="C103" s="168"/>
      <c r="D103" s="168"/>
      <c r="E103" s="168"/>
      <c r="F103" s="168"/>
      <c r="G103" s="168"/>
    </row>
    <row r="104" spans="1:13" s="73" customFormat="1">
      <c r="A104" s="39" t="s">
        <v>43</v>
      </c>
      <c r="B104" s="38"/>
      <c r="C104" s="17" t="s">
        <v>124</v>
      </c>
      <c r="D104" s="38"/>
      <c r="E104" s="38"/>
      <c r="F104" s="38"/>
      <c r="G104" s="38"/>
    </row>
    <row r="105" spans="1:13" s="73" customFormat="1">
      <c r="A105" s="38"/>
      <c r="B105" s="38"/>
      <c r="C105" s="38"/>
      <c r="D105" s="38"/>
      <c r="E105" s="38"/>
      <c r="F105" s="38"/>
      <c r="G105" s="38"/>
    </row>
    <row r="106" spans="1:13" s="73" customFormat="1" ht="26.25">
      <c r="A106" s="89" t="s">
        <v>44</v>
      </c>
      <c r="B106" s="90" t="s">
        <v>45</v>
      </c>
      <c r="C106" s="91" t="s">
        <v>46</v>
      </c>
      <c r="D106" s="89" t="s">
        <v>47</v>
      </c>
      <c r="E106" s="89" t="s">
        <v>48</v>
      </c>
      <c r="F106" s="89" t="s">
        <v>49</v>
      </c>
      <c r="G106" s="89" t="s">
        <v>50</v>
      </c>
      <c r="K106" s="195"/>
    </row>
    <row r="107" spans="1:13" s="73" customFormat="1">
      <c r="A107" s="41" t="s">
        <v>65</v>
      </c>
      <c r="B107" s="40" t="s">
        <v>66</v>
      </c>
      <c r="C107" s="42" t="s">
        <v>53</v>
      </c>
      <c r="D107" s="43" t="s">
        <v>172</v>
      </c>
      <c r="E107" s="44">
        <v>0</v>
      </c>
      <c r="F107" s="45">
        <v>-535237.67000000004</v>
      </c>
      <c r="G107" s="44">
        <v>-535237.67000000004</v>
      </c>
      <c r="I107" s="50"/>
      <c r="K107" s="194"/>
    </row>
    <row r="108" spans="1:13" s="73" customFormat="1">
      <c r="A108" s="46"/>
      <c r="B108" s="40" t="s">
        <v>66</v>
      </c>
      <c r="C108" s="47"/>
      <c r="D108" s="43" t="s">
        <v>173</v>
      </c>
      <c r="E108" s="44">
        <v>-535237.67000000004</v>
      </c>
      <c r="F108" s="45">
        <v>664634.85</v>
      </c>
      <c r="G108" s="44">
        <v>129397.18</v>
      </c>
    </row>
    <row r="109" spans="1:13" s="73" customFormat="1">
      <c r="A109" s="46"/>
      <c r="B109" s="40" t="s">
        <v>66</v>
      </c>
      <c r="C109" s="48"/>
      <c r="D109" s="43" t="s">
        <v>174</v>
      </c>
      <c r="E109" s="44">
        <v>129397.18</v>
      </c>
      <c r="F109" s="45">
        <v>2878360.87</v>
      </c>
      <c r="G109" s="44">
        <v>3007758.05</v>
      </c>
    </row>
    <row r="110" spans="1:13" s="73" customFormat="1">
      <c r="A110" s="49"/>
      <c r="B110" s="85"/>
      <c r="C110" s="92"/>
      <c r="D110" s="85"/>
      <c r="E110" s="87"/>
      <c r="F110" s="88">
        <f>SUM(F107:F109)</f>
        <v>3007758.05</v>
      </c>
      <c r="G110" s="87"/>
    </row>
    <row r="111" spans="1:13">
      <c r="A111" s="41" t="s">
        <v>67</v>
      </c>
      <c r="B111" s="40" t="s">
        <v>68</v>
      </c>
      <c r="C111" s="42" t="s">
        <v>53</v>
      </c>
      <c r="D111" s="43" t="s">
        <v>172</v>
      </c>
      <c r="E111" s="44">
        <v>0</v>
      </c>
      <c r="F111" s="45">
        <v>-439563.27</v>
      </c>
      <c r="G111" s="44">
        <v>-439563.27</v>
      </c>
      <c r="H111" s="73"/>
      <c r="I111" s="73"/>
      <c r="J111" s="73"/>
      <c r="K111" s="194"/>
      <c r="L111" s="194"/>
    </row>
    <row r="112" spans="1:13">
      <c r="A112" s="46"/>
      <c r="B112" s="40" t="s">
        <v>68</v>
      </c>
      <c r="C112" s="47"/>
      <c r="D112" s="43" t="s">
        <v>173</v>
      </c>
      <c r="E112" s="44">
        <v>-439563.27</v>
      </c>
      <c r="F112" s="45">
        <v>363439.45</v>
      </c>
      <c r="G112" s="44">
        <v>-76123.820000000007</v>
      </c>
      <c r="H112" s="73"/>
      <c r="I112" s="73"/>
      <c r="J112" s="73"/>
      <c r="K112" s="73"/>
    </row>
    <row r="113" spans="1:11" s="73" customFormat="1">
      <c r="A113" s="46"/>
      <c r="B113" s="40" t="s">
        <v>68</v>
      </c>
      <c r="C113" s="48"/>
      <c r="D113" s="43" t="s">
        <v>174</v>
      </c>
      <c r="E113" s="44">
        <v>-76123.820000000007</v>
      </c>
      <c r="F113" s="45">
        <v>-233575.75</v>
      </c>
      <c r="G113" s="44">
        <v>-309699.57</v>
      </c>
    </row>
    <row r="114" spans="1:11">
      <c r="A114" s="49"/>
      <c r="B114" s="85"/>
      <c r="C114" s="92"/>
      <c r="D114" s="85"/>
      <c r="E114" s="87"/>
      <c r="F114" s="88">
        <f>SUM(F111:F113)</f>
        <v>-309699.57</v>
      </c>
      <c r="G114" s="87"/>
      <c r="H114" s="73"/>
      <c r="I114" s="73"/>
      <c r="J114" s="73"/>
      <c r="K114" s="73"/>
    </row>
    <row r="115" spans="1:11">
      <c r="A115" s="41" t="s">
        <v>69</v>
      </c>
      <c r="B115" s="40" t="s">
        <v>66</v>
      </c>
      <c r="C115" s="42" t="s">
        <v>54</v>
      </c>
      <c r="D115" s="43" t="s">
        <v>172</v>
      </c>
      <c r="E115" s="44">
        <v>0</v>
      </c>
      <c r="F115" s="45">
        <v>-52314.77</v>
      </c>
      <c r="G115" s="44">
        <v>-52314.77</v>
      </c>
      <c r="H115" s="73"/>
      <c r="I115" s="73"/>
      <c r="J115" s="73"/>
      <c r="K115" s="73"/>
    </row>
    <row r="116" spans="1:11">
      <c r="A116" s="46"/>
      <c r="B116" s="40" t="s">
        <v>66</v>
      </c>
      <c r="C116" s="47"/>
      <c r="D116" s="43" t="s">
        <v>173</v>
      </c>
      <c r="E116" s="44">
        <v>-52314.77</v>
      </c>
      <c r="F116" s="45">
        <v>1998013.92</v>
      </c>
      <c r="G116" s="44">
        <v>1945699.15</v>
      </c>
      <c r="H116" s="73"/>
      <c r="I116" s="73"/>
      <c r="J116" s="73"/>
      <c r="K116" s="73"/>
    </row>
    <row r="117" spans="1:11">
      <c r="A117" s="46"/>
      <c r="B117" s="40" t="s">
        <v>66</v>
      </c>
      <c r="C117" s="48"/>
      <c r="D117" s="43" t="s">
        <v>174</v>
      </c>
      <c r="E117" s="44">
        <v>1945699.15</v>
      </c>
      <c r="F117" s="45">
        <v>440460.46</v>
      </c>
      <c r="G117" s="44">
        <v>2386159.61</v>
      </c>
      <c r="H117" s="73"/>
      <c r="I117" s="73"/>
      <c r="J117" s="73"/>
      <c r="K117" s="73"/>
    </row>
    <row r="118" spans="1:11">
      <c r="A118" s="49"/>
      <c r="B118" s="85"/>
      <c r="C118" s="92"/>
      <c r="D118" s="85"/>
      <c r="E118" s="87"/>
      <c r="F118" s="88">
        <f>SUM(F115:F117)</f>
        <v>2386159.61</v>
      </c>
      <c r="G118" s="87"/>
      <c r="H118" s="73"/>
      <c r="I118" s="73"/>
      <c r="J118" s="73"/>
      <c r="K118" s="73"/>
    </row>
    <row r="119" spans="1:11">
      <c r="A119" s="41" t="s">
        <v>70</v>
      </c>
      <c r="B119" s="40" t="s">
        <v>68</v>
      </c>
      <c r="C119" s="42" t="s">
        <v>54</v>
      </c>
      <c r="D119" s="43" t="s">
        <v>172</v>
      </c>
      <c r="E119" s="44">
        <v>0</v>
      </c>
      <c r="F119" s="45">
        <v>-61658.99</v>
      </c>
      <c r="G119" s="44">
        <v>-61658.99</v>
      </c>
      <c r="H119" s="73"/>
      <c r="I119" s="73"/>
      <c r="J119" s="73"/>
      <c r="K119" s="73"/>
    </row>
    <row r="120" spans="1:11">
      <c r="A120" s="46"/>
      <c r="B120" s="40" t="s">
        <v>68</v>
      </c>
      <c r="C120" s="47"/>
      <c r="D120" s="43" t="s">
        <v>173</v>
      </c>
      <c r="E120" s="44">
        <v>-61658.99</v>
      </c>
      <c r="F120" s="45">
        <v>346060.84</v>
      </c>
      <c r="G120" s="44">
        <v>284401.84999999998</v>
      </c>
      <c r="H120" s="73"/>
      <c r="I120" s="73"/>
      <c r="J120" s="73"/>
      <c r="K120" s="73"/>
    </row>
    <row r="121" spans="1:11">
      <c r="A121" s="46"/>
      <c r="B121" s="40" t="s">
        <v>68</v>
      </c>
      <c r="C121" s="48"/>
      <c r="D121" s="43" t="s">
        <v>174</v>
      </c>
      <c r="E121" s="44">
        <v>284401.84999999998</v>
      </c>
      <c r="F121" s="45">
        <v>-10228.35</v>
      </c>
      <c r="G121" s="44">
        <v>274173.5</v>
      </c>
      <c r="H121" s="73"/>
      <c r="I121" s="73"/>
      <c r="J121" s="73"/>
      <c r="K121" s="73"/>
    </row>
    <row r="122" spans="1:11">
      <c r="A122" s="49"/>
      <c r="B122" s="85"/>
      <c r="C122" s="92"/>
      <c r="D122" s="85"/>
      <c r="E122" s="87"/>
      <c r="F122" s="88">
        <f>SUM(F119:F121)</f>
        <v>274173.50000000006</v>
      </c>
      <c r="G122" s="87"/>
      <c r="H122" s="73"/>
      <c r="I122" s="73"/>
      <c r="J122" s="73"/>
      <c r="K122" s="73"/>
    </row>
    <row r="123" spans="1:11">
      <c r="A123" s="73"/>
      <c r="B123" s="73"/>
      <c r="C123" s="73"/>
      <c r="D123" s="73"/>
      <c r="E123" s="73"/>
      <c r="F123" s="73"/>
      <c r="G123" s="73"/>
      <c r="H123" s="73"/>
      <c r="I123" s="73"/>
      <c r="J123" s="73"/>
      <c r="K123" s="73"/>
    </row>
    <row r="124" spans="1:11">
      <c r="A124" s="39" t="s">
        <v>43</v>
      </c>
      <c r="B124" s="73"/>
      <c r="C124" s="171" t="s">
        <v>132</v>
      </c>
      <c r="D124" s="73"/>
      <c r="E124" s="73"/>
      <c r="F124" s="73"/>
      <c r="G124" s="73"/>
      <c r="H124" s="73"/>
      <c r="I124" s="73"/>
      <c r="J124" s="73"/>
      <c r="K124" s="73"/>
    </row>
    <row r="125" spans="1:11">
      <c r="A125" s="73"/>
      <c r="B125" s="73"/>
      <c r="C125" s="73"/>
      <c r="D125" s="73"/>
      <c r="E125" s="73"/>
      <c r="F125" s="73"/>
      <c r="G125" s="73"/>
      <c r="H125" s="73"/>
      <c r="I125" s="73"/>
      <c r="J125" s="73"/>
      <c r="K125" s="73"/>
    </row>
    <row r="126" spans="1:11" ht="26.25">
      <c r="A126" s="212" t="s">
        <v>44</v>
      </c>
      <c r="B126" s="90" t="s">
        <v>45</v>
      </c>
      <c r="C126" s="91" t="s">
        <v>46</v>
      </c>
      <c r="D126" s="89" t="s">
        <v>47</v>
      </c>
      <c r="E126" s="89" t="s">
        <v>48</v>
      </c>
      <c r="F126" s="89" t="s">
        <v>49</v>
      </c>
      <c r="G126" s="89" t="s">
        <v>50</v>
      </c>
      <c r="H126" s="73"/>
      <c r="I126" s="73"/>
      <c r="J126" s="73"/>
      <c r="K126" s="73"/>
    </row>
    <row r="127" spans="1:11">
      <c r="A127" s="205" t="s">
        <v>133</v>
      </c>
      <c r="B127" s="173" t="s">
        <v>134</v>
      </c>
      <c r="C127" s="42" t="s">
        <v>53</v>
      </c>
      <c r="D127" s="43" t="s">
        <v>172</v>
      </c>
      <c r="E127" s="44">
        <v>0</v>
      </c>
      <c r="F127" s="45">
        <v>-296292.27</v>
      </c>
      <c r="G127" s="44">
        <v>-296292.27</v>
      </c>
      <c r="H127" s="73"/>
      <c r="I127" s="73"/>
      <c r="J127" s="73"/>
      <c r="K127" s="73"/>
    </row>
    <row r="128" spans="1:11">
      <c r="A128" s="206"/>
      <c r="B128" s="173" t="s">
        <v>134</v>
      </c>
      <c r="C128" s="47"/>
      <c r="D128" s="43" t="s">
        <v>173</v>
      </c>
      <c r="E128" s="44">
        <v>-296292.27</v>
      </c>
      <c r="F128" s="45">
        <v>-272162.63</v>
      </c>
      <c r="G128" s="44">
        <v>-568454.9</v>
      </c>
      <c r="H128" s="73"/>
      <c r="I128" s="73"/>
      <c r="J128" s="73"/>
      <c r="K128" s="73"/>
    </row>
    <row r="129" spans="1:11" s="73" customFormat="1">
      <c r="A129" s="206"/>
      <c r="B129" s="173" t="s">
        <v>134</v>
      </c>
      <c r="C129" s="48"/>
      <c r="D129" s="43" t="s">
        <v>174</v>
      </c>
      <c r="E129" s="44">
        <v>-568454.9</v>
      </c>
      <c r="F129" s="45">
        <v>-278208.34000000003</v>
      </c>
      <c r="G129" s="44">
        <v>-846663.24</v>
      </c>
    </row>
    <row r="130" spans="1:11">
      <c r="A130" s="207"/>
      <c r="B130" s="85"/>
      <c r="C130" s="92"/>
      <c r="D130" s="85"/>
      <c r="E130" s="87"/>
      <c r="F130" s="88">
        <f>SUM(F127:F129)</f>
        <v>-846663.24</v>
      </c>
      <c r="G130" s="87"/>
      <c r="H130" s="73"/>
      <c r="I130" s="73"/>
      <c r="J130" s="73"/>
      <c r="K130" s="73"/>
    </row>
    <row r="131" spans="1:11">
      <c r="A131" s="205" t="s">
        <v>135</v>
      </c>
      <c r="B131" s="173" t="s">
        <v>136</v>
      </c>
      <c r="C131" s="42" t="s">
        <v>53</v>
      </c>
      <c r="D131" s="43" t="s">
        <v>172</v>
      </c>
      <c r="E131" s="44">
        <v>0</v>
      </c>
      <c r="F131" s="45">
        <v>92094.86</v>
      </c>
      <c r="G131" s="44">
        <v>92094.86</v>
      </c>
      <c r="H131" s="73"/>
      <c r="I131" s="73"/>
      <c r="J131" s="73"/>
      <c r="K131" s="73"/>
    </row>
    <row r="132" spans="1:11">
      <c r="A132" s="206"/>
      <c r="B132" s="173" t="s">
        <v>136</v>
      </c>
      <c r="C132" s="47"/>
      <c r="D132" s="43" t="s">
        <v>173</v>
      </c>
      <c r="E132" s="44">
        <v>92094.86</v>
      </c>
      <c r="F132" s="45">
        <v>90469.13</v>
      </c>
      <c r="G132" s="44">
        <v>182563.99</v>
      </c>
      <c r="H132" s="73"/>
      <c r="I132" s="73"/>
      <c r="J132" s="73"/>
      <c r="K132" s="73"/>
    </row>
    <row r="133" spans="1:11" s="73" customFormat="1">
      <c r="A133" s="206"/>
      <c r="B133" s="173" t="s">
        <v>136</v>
      </c>
      <c r="C133" s="48"/>
      <c r="D133" s="43" t="s">
        <v>174</v>
      </c>
      <c r="E133" s="44">
        <v>182563.99</v>
      </c>
      <c r="F133" s="45">
        <v>87094.82</v>
      </c>
      <c r="G133" s="44">
        <v>269658.81</v>
      </c>
    </row>
    <row r="134" spans="1:11">
      <c r="A134" s="207"/>
      <c r="B134" s="85"/>
      <c r="C134" s="92"/>
      <c r="D134" s="85"/>
      <c r="E134" s="87"/>
      <c r="F134" s="88">
        <f>SUM(F131:F133)</f>
        <v>269658.81</v>
      </c>
      <c r="G134" s="87"/>
      <c r="H134" s="73"/>
      <c r="I134" s="73"/>
      <c r="J134" s="73"/>
      <c r="K134" s="73"/>
    </row>
    <row r="135" spans="1:11">
      <c r="A135" s="205" t="s">
        <v>137</v>
      </c>
      <c r="B135" s="173" t="s">
        <v>134</v>
      </c>
      <c r="C135" s="42" t="s">
        <v>54</v>
      </c>
      <c r="D135" s="43" t="s">
        <v>172</v>
      </c>
      <c r="E135" s="44">
        <v>0</v>
      </c>
      <c r="F135" s="45">
        <v>-548728.18000000005</v>
      </c>
      <c r="G135" s="44">
        <v>-548728.18000000005</v>
      </c>
      <c r="H135" s="73"/>
      <c r="I135" s="73"/>
      <c r="J135" s="73"/>
      <c r="K135" s="73"/>
    </row>
    <row r="136" spans="1:11">
      <c r="A136" s="206"/>
      <c r="B136" s="173" t="s">
        <v>134</v>
      </c>
      <c r="C136" s="47"/>
      <c r="D136" s="43" t="s">
        <v>173</v>
      </c>
      <c r="E136" s="44">
        <v>-548728.18000000005</v>
      </c>
      <c r="F136" s="45">
        <v>-608289.41</v>
      </c>
      <c r="G136" s="44">
        <v>-1157017.5900000001</v>
      </c>
      <c r="H136" s="73"/>
      <c r="I136" s="73"/>
      <c r="J136" s="73"/>
      <c r="K136" s="73"/>
    </row>
    <row r="137" spans="1:11" s="73" customFormat="1">
      <c r="A137" s="206"/>
      <c r="B137" s="173" t="s">
        <v>134</v>
      </c>
      <c r="C137" s="48"/>
      <c r="D137" s="43" t="s">
        <v>174</v>
      </c>
      <c r="E137" s="44">
        <v>-1157017.5900000001</v>
      </c>
      <c r="F137" s="45">
        <v>-480282.6</v>
      </c>
      <c r="G137" s="44">
        <v>-1637300.19</v>
      </c>
    </row>
    <row r="138" spans="1:11">
      <c r="A138" s="207"/>
      <c r="B138" s="85"/>
      <c r="C138" s="92"/>
      <c r="D138" s="85"/>
      <c r="E138" s="87"/>
      <c r="F138" s="88">
        <f>SUM(F135:F137)</f>
        <v>-1637300.19</v>
      </c>
      <c r="G138" s="87"/>
      <c r="H138" s="73"/>
      <c r="I138" s="73"/>
      <c r="J138" s="73"/>
      <c r="K138" s="73"/>
    </row>
    <row r="139" spans="1:11">
      <c r="A139" s="205" t="s">
        <v>138</v>
      </c>
      <c r="B139" s="173" t="s">
        <v>136</v>
      </c>
      <c r="C139" s="42" t="s">
        <v>54</v>
      </c>
      <c r="D139" s="43" t="s">
        <v>172</v>
      </c>
      <c r="E139" s="44">
        <v>0</v>
      </c>
      <c r="F139" s="45">
        <v>54040.6</v>
      </c>
      <c r="G139" s="44">
        <v>54040.6</v>
      </c>
      <c r="H139" s="73"/>
      <c r="I139" s="73"/>
      <c r="J139" s="73"/>
      <c r="K139" s="73"/>
    </row>
    <row r="140" spans="1:11">
      <c r="A140" s="206"/>
      <c r="B140" s="173" t="s">
        <v>136</v>
      </c>
      <c r="C140" s="47"/>
      <c r="D140" s="43" t="s">
        <v>173</v>
      </c>
      <c r="E140" s="44">
        <v>54040.6</v>
      </c>
      <c r="F140" s="45">
        <v>60452.59</v>
      </c>
      <c r="G140" s="44">
        <v>114493.19</v>
      </c>
      <c r="H140" s="73"/>
      <c r="I140" s="73"/>
      <c r="J140" s="73"/>
      <c r="K140" s="73"/>
    </row>
    <row r="141" spans="1:11" s="73" customFormat="1">
      <c r="A141" s="206"/>
      <c r="B141" s="173" t="s">
        <v>136</v>
      </c>
      <c r="C141" s="48"/>
      <c r="D141" s="43" t="s">
        <v>174</v>
      </c>
      <c r="E141" s="44">
        <v>114493.19</v>
      </c>
      <c r="F141" s="45">
        <v>45797.84</v>
      </c>
      <c r="G141" s="44">
        <v>160291.03</v>
      </c>
    </row>
    <row r="142" spans="1:11">
      <c r="A142" s="207"/>
      <c r="B142" s="85"/>
      <c r="C142" s="92"/>
      <c r="D142" s="85"/>
      <c r="E142" s="87"/>
      <c r="F142" s="88">
        <f>SUM(F139:F141)</f>
        <v>160291.03</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s="73" customFormat="1">
      <c r="A145" s="39" t="s">
        <v>43</v>
      </c>
      <c r="B145" s="38"/>
      <c r="C145" s="172" t="s">
        <v>126</v>
      </c>
      <c r="D145" s="38"/>
      <c r="E145" s="38"/>
      <c r="F145" s="38"/>
      <c r="G145" s="38"/>
    </row>
    <row r="146" spans="1:11" s="73" customFormat="1">
      <c r="A146" s="38"/>
      <c r="B146" s="38"/>
      <c r="C146" s="38"/>
      <c r="D146" s="38"/>
      <c r="E146" s="38"/>
      <c r="F146" s="38"/>
      <c r="G146" s="38"/>
    </row>
    <row r="147" spans="1:11" s="73" customFormat="1" ht="26.25">
      <c r="A147" s="89" t="s">
        <v>44</v>
      </c>
      <c r="B147" s="90" t="s">
        <v>45</v>
      </c>
      <c r="C147" s="91" t="s">
        <v>46</v>
      </c>
      <c r="D147" s="89" t="s">
        <v>47</v>
      </c>
      <c r="E147" s="89" t="s">
        <v>48</v>
      </c>
      <c r="F147" s="89" t="s">
        <v>49</v>
      </c>
      <c r="G147" s="89" t="s">
        <v>50</v>
      </c>
    </row>
    <row r="148" spans="1:11" s="73" customFormat="1" ht="15.75">
      <c r="A148" s="41">
        <v>419328</v>
      </c>
      <c r="B148" s="40" t="s">
        <v>149</v>
      </c>
      <c r="C148" s="42" t="s">
        <v>53</v>
      </c>
      <c r="D148" s="43" t="s">
        <v>172</v>
      </c>
      <c r="E148" s="44">
        <v>0</v>
      </c>
      <c r="F148" s="45">
        <v>-5927.04</v>
      </c>
      <c r="G148" s="44">
        <v>-5927.04</v>
      </c>
      <c r="H148" s="168"/>
    </row>
    <row r="149" spans="1:11">
      <c r="A149" s="46"/>
      <c r="B149" s="40" t="s">
        <v>149</v>
      </c>
      <c r="C149" s="47"/>
      <c r="D149" s="43" t="s">
        <v>173</v>
      </c>
      <c r="E149" s="44">
        <v>-5927.04</v>
      </c>
      <c r="F149" s="45">
        <v>-141037.98000000001</v>
      </c>
      <c r="G149" s="44">
        <v>-146965.01999999999</v>
      </c>
      <c r="H149" s="73"/>
      <c r="I149" s="73"/>
      <c r="J149" s="73"/>
      <c r="K149" s="73"/>
    </row>
    <row r="150" spans="1:11">
      <c r="A150" s="46"/>
      <c r="B150" s="40" t="s">
        <v>149</v>
      </c>
      <c r="C150" s="48"/>
      <c r="D150" s="43" t="s">
        <v>174</v>
      </c>
      <c r="E150" s="44">
        <v>-146965.01999999999</v>
      </c>
      <c r="F150" s="45">
        <v>-72155.33</v>
      </c>
      <c r="G150" s="44">
        <v>-219120.35</v>
      </c>
      <c r="H150" s="73"/>
      <c r="I150" s="73"/>
      <c r="J150" s="73"/>
      <c r="K150" s="73"/>
    </row>
    <row r="151" spans="1:11">
      <c r="A151" s="46"/>
      <c r="B151" s="81"/>
      <c r="C151" s="82"/>
      <c r="D151" s="81"/>
      <c r="E151" s="83"/>
      <c r="F151" s="84">
        <f>SUM(F148:F150)</f>
        <v>-219120.35000000003</v>
      </c>
      <c r="G151" s="83"/>
      <c r="H151" s="73"/>
      <c r="I151" s="73"/>
      <c r="J151" s="73"/>
      <c r="K151" s="73"/>
    </row>
    <row r="152" spans="1:11">
      <c r="A152" s="46"/>
      <c r="B152" s="40" t="s">
        <v>149</v>
      </c>
      <c r="C152" s="42" t="s">
        <v>54</v>
      </c>
      <c r="D152" s="43" t="s">
        <v>172</v>
      </c>
      <c r="E152" s="44">
        <v>0</v>
      </c>
      <c r="F152" s="45">
        <v>-1558.92</v>
      </c>
      <c r="G152" s="44">
        <v>-1558.92</v>
      </c>
      <c r="H152" s="73"/>
      <c r="I152" s="73"/>
      <c r="J152" s="73"/>
      <c r="K152" s="73"/>
    </row>
    <row r="153" spans="1:11">
      <c r="A153" s="46"/>
      <c r="B153" s="40" t="s">
        <v>149</v>
      </c>
      <c r="C153" s="47"/>
      <c r="D153" s="43" t="s">
        <v>173</v>
      </c>
      <c r="E153" s="44">
        <v>-1558.92</v>
      </c>
      <c r="F153" s="45">
        <v>-9288.2099999999991</v>
      </c>
      <c r="G153" s="44">
        <v>-10847.13</v>
      </c>
      <c r="H153" s="73"/>
      <c r="I153" s="73"/>
      <c r="J153" s="73"/>
      <c r="K153" s="73"/>
    </row>
    <row r="154" spans="1:11" s="73" customFormat="1">
      <c r="A154" s="46"/>
      <c r="B154" s="40" t="s">
        <v>149</v>
      </c>
      <c r="C154" s="48"/>
      <c r="D154" s="43" t="s">
        <v>174</v>
      </c>
      <c r="E154" s="44">
        <v>-10847.13</v>
      </c>
      <c r="F154" s="45">
        <v>-4981.78</v>
      </c>
      <c r="G154" s="44">
        <v>-15828.91</v>
      </c>
    </row>
    <row r="155" spans="1:11" s="73" customFormat="1">
      <c r="A155" s="49"/>
      <c r="B155" s="81"/>
      <c r="C155" s="82"/>
      <c r="D155" s="81"/>
      <c r="E155" s="83"/>
      <c r="F155" s="84">
        <f>SUM(F152:F154)</f>
        <v>-15828.91</v>
      </c>
      <c r="G155" s="83"/>
    </row>
    <row r="156" spans="1:11">
      <c r="A156" s="85"/>
      <c r="B156" s="92"/>
      <c r="C156" s="85"/>
      <c r="D156" s="85"/>
      <c r="E156" s="87"/>
      <c r="F156" s="88">
        <f>F151+F155</f>
        <v>-234949.26000000004</v>
      </c>
      <c r="G156" s="87"/>
      <c r="H156" s="73"/>
      <c r="I156" s="73"/>
      <c r="J156" s="73"/>
      <c r="K156" s="73"/>
    </row>
    <row r="157" spans="1:11" hidden="1">
      <c r="A157" s="41">
        <v>419605</v>
      </c>
      <c r="B157" s="40" t="s">
        <v>71</v>
      </c>
      <c r="C157" s="42" t="s">
        <v>53</v>
      </c>
      <c r="D157" s="43" t="s">
        <v>153</v>
      </c>
      <c r="E157" s="44">
        <v>-240406.13</v>
      </c>
      <c r="F157" s="45">
        <v>0</v>
      </c>
      <c r="G157" s="44">
        <v>-240406.13</v>
      </c>
      <c r="H157" s="73"/>
      <c r="I157" s="73"/>
      <c r="J157" s="73"/>
      <c r="K157" s="73"/>
    </row>
    <row r="158" spans="1:11" s="73" customFormat="1" hidden="1">
      <c r="A158" s="46"/>
      <c r="B158" s="40" t="s">
        <v>71</v>
      </c>
      <c r="C158" s="47"/>
      <c r="D158" s="43" t="s">
        <v>154</v>
      </c>
      <c r="E158" s="44">
        <v>-240406.13</v>
      </c>
      <c r="F158" s="45">
        <v>0</v>
      </c>
      <c r="G158" s="44">
        <v>-240406.13</v>
      </c>
    </row>
    <row r="159" spans="1:11" s="73" customFormat="1" hidden="1">
      <c r="A159" s="46"/>
      <c r="B159" s="40" t="s">
        <v>71</v>
      </c>
      <c r="C159" s="48"/>
      <c r="D159" s="43" t="s">
        <v>155</v>
      </c>
      <c r="E159" s="44">
        <v>-240406.13</v>
      </c>
      <c r="F159" s="45">
        <v>0</v>
      </c>
      <c r="G159" s="44">
        <v>-240406.13</v>
      </c>
      <c r="H159" s="213"/>
    </row>
    <row r="160" spans="1:11" s="73" customFormat="1" hidden="1">
      <c r="A160" s="46"/>
      <c r="B160" s="81"/>
      <c r="C160" s="82"/>
      <c r="D160" s="81"/>
      <c r="E160" s="83"/>
      <c r="F160" s="84">
        <f>SUM(F157:F159)</f>
        <v>0</v>
      </c>
      <c r="G160" s="83"/>
    </row>
    <row r="161" spans="1:11" hidden="1">
      <c r="A161" s="46"/>
      <c r="B161" s="40" t="s">
        <v>71</v>
      </c>
      <c r="C161" s="42" t="s">
        <v>54</v>
      </c>
      <c r="D161" s="43" t="s">
        <v>153</v>
      </c>
      <c r="E161" s="44">
        <v>-106414.61</v>
      </c>
      <c r="F161" s="45">
        <v>0</v>
      </c>
      <c r="G161" s="44">
        <v>-106414.61</v>
      </c>
      <c r="H161" s="73"/>
      <c r="I161" s="73"/>
      <c r="J161" s="73"/>
      <c r="K161" s="73"/>
    </row>
    <row r="162" spans="1:11" s="73" customFormat="1" hidden="1">
      <c r="A162" s="46"/>
      <c r="B162" s="40" t="s">
        <v>71</v>
      </c>
      <c r="C162" s="47"/>
      <c r="D162" s="43" t="s">
        <v>154</v>
      </c>
      <c r="E162" s="44">
        <v>-106414.61</v>
      </c>
      <c r="F162" s="45">
        <v>0</v>
      </c>
      <c r="G162" s="44">
        <v>-106414.61</v>
      </c>
    </row>
    <row r="163" spans="1:11" hidden="1">
      <c r="A163" s="46"/>
      <c r="B163" s="40" t="s">
        <v>71</v>
      </c>
      <c r="C163" s="48"/>
      <c r="D163" s="43" t="s">
        <v>155</v>
      </c>
      <c r="E163" s="44">
        <v>-106414.61</v>
      </c>
      <c r="F163" s="45">
        <v>0</v>
      </c>
      <c r="G163" s="44">
        <v>-106414.61</v>
      </c>
      <c r="H163" s="213"/>
      <c r="I163" s="73"/>
      <c r="J163" s="73"/>
      <c r="K163" s="73"/>
    </row>
    <row r="164" spans="1:11" hidden="1">
      <c r="A164" s="49"/>
      <c r="B164" s="81"/>
      <c r="C164" s="82"/>
      <c r="D164" s="81"/>
      <c r="E164" s="83"/>
      <c r="F164" s="84">
        <f>SUM(F161:F163)</f>
        <v>0</v>
      </c>
      <c r="G164" s="83"/>
      <c r="H164" s="73"/>
      <c r="I164" s="73"/>
      <c r="J164" s="73"/>
      <c r="K164" s="73"/>
    </row>
    <row r="165" spans="1:11" hidden="1">
      <c r="A165" s="85"/>
      <c r="B165" s="92"/>
      <c r="C165" s="85"/>
      <c r="D165" s="85"/>
      <c r="E165" s="87"/>
      <c r="F165" s="88">
        <f>F160+F164</f>
        <v>0</v>
      </c>
      <c r="G165" s="87"/>
      <c r="H165" s="73"/>
      <c r="I165" s="73"/>
      <c r="J165" s="73"/>
      <c r="K165" s="73"/>
    </row>
    <row r="166" spans="1:11">
      <c r="A166" s="41">
        <v>431328</v>
      </c>
      <c r="B166" s="40" t="s">
        <v>150</v>
      </c>
      <c r="C166" s="42" t="s">
        <v>53</v>
      </c>
      <c r="D166" s="43" t="s">
        <v>172</v>
      </c>
      <c r="E166" s="44">
        <v>0</v>
      </c>
      <c r="F166" s="45">
        <v>8579.09</v>
      </c>
      <c r="G166" s="44">
        <v>8579.09</v>
      </c>
      <c r="H166" s="73"/>
      <c r="I166" s="73"/>
      <c r="J166" s="73"/>
      <c r="K166" s="73"/>
    </row>
    <row r="167" spans="1:11">
      <c r="A167" s="46"/>
      <c r="B167" s="40" t="s">
        <v>150</v>
      </c>
      <c r="C167" s="47"/>
      <c r="D167" s="43" t="s">
        <v>173</v>
      </c>
      <c r="E167" s="44">
        <v>8579.09</v>
      </c>
      <c r="F167" s="45">
        <v>7388.21</v>
      </c>
      <c r="G167" s="44">
        <v>15967.3</v>
      </c>
      <c r="H167" s="73"/>
      <c r="I167" s="73"/>
      <c r="J167" s="73"/>
      <c r="K167" s="73"/>
    </row>
    <row r="168" spans="1:11" s="73" customFormat="1">
      <c r="A168" s="46"/>
      <c r="B168" s="40" t="s">
        <v>150</v>
      </c>
      <c r="C168" s="48"/>
      <c r="D168" s="43" t="s">
        <v>174</v>
      </c>
      <c r="E168" s="44">
        <v>15967.3</v>
      </c>
      <c r="F168" s="45">
        <v>12995.46</v>
      </c>
      <c r="G168" s="44">
        <v>28962.76</v>
      </c>
    </row>
    <row r="169" spans="1:11" s="73" customFormat="1">
      <c r="A169" s="46"/>
      <c r="B169" s="81"/>
      <c r="C169" s="82"/>
      <c r="D169" s="81"/>
      <c r="E169" s="83"/>
      <c r="F169" s="84">
        <f>SUM(F166:F168)</f>
        <v>28962.76</v>
      </c>
      <c r="G169" s="83"/>
    </row>
    <row r="170" spans="1:11" s="73" customFormat="1">
      <c r="A170" s="46"/>
      <c r="B170" s="40" t="s">
        <v>150</v>
      </c>
      <c r="C170" s="42" t="s">
        <v>54</v>
      </c>
      <c r="D170" s="43" t="s">
        <v>172</v>
      </c>
      <c r="E170" s="44">
        <v>0</v>
      </c>
      <c r="F170" s="45">
        <v>9417.4599999999991</v>
      </c>
      <c r="G170" s="44">
        <v>9417.4599999999991</v>
      </c>
    </row>
    <row r="171" spans="1:11" s="73" customFormat="1">
      <c r="A171" s="46"/>
      <c r="B171" s="40" t="s">
        <v>150</v>
      </c>
      <c r="C171" s="47"/>
      <c r="D171" s="43" t="s">
        <v>173</v>
      </c>
      <c r="E171" s="44">
        <v>9417.4599999999991</v>
      </c>
      <c r="F171" s="45">
        <v>11527.13</v>
      </c>
      <c r="G171" s="44">
        <v>20944.59</v>
      </c>
    </row>
    <row r="172" spans="1:11" s="73" customFormat="1">
      <c r="A172" s="46"/>
      <c r="B172" s="40" t="s">
        <v>150</v>
      </c>
      <c r="C172" s="48"/>
      <c r="D172" s="43" t="s">
        <v>174</v>
      </c>
      <c r="E172" s="44">
        <v>20944.59</v>
      </c>
      <c r="F172" s="45">
        <v>15215.27</v>
      </c>
      <c r="G172" s="44">
        <v>36159.86</v>
      </c>
    </row>
    <row r="173" spans="1:11" s="73" customFormat="1">
      <c r="A173" s="49"/>
      <c r="B173" s="81"/>
      <c r="C173" s="82"/>
      <c r="D173" s="81"/>
      <c r="E173" s="83"/>
      <c r="F173" s="84">
        <f>SUM(F170:F172)</f>
        <v>36159.86</v>
      </c>
      <c r="G173" s="83"/>
    </row>
    <row r="174" spans="1:11" s="73" customFormat="1">
      <c r="A174" s="85"/>
      <c r="B174" s="92"/>
      <c r="C174" s="85"/>
      <c r="D174" s="85"/>
      <c r="E174" s="87"/>
      <c r="F174" s="88">
        <f>F169+F173</f>
        <v>65122.619999999995</v>
      </c>
      <c r="G174" s="87"/>
    </row>
    <row r="175" spans="1:11" s="73" customFormat="1" hidden="1">
      <c r="A175" s="41" t="s">
        <v>72</v>
      </c>
      <c r="B175" s="40" t="s">
        <v>73</v>
      </c>
      <c r="C175" s="42" t="s">
        <v>53</v>
      </c>
      <c r="D175" s="43" t="s">
        <v>153</v>
      </c>
      <c r="E175" s="44">
        <v>63195.69</v>
      </c>
      <c r="F175" s="45">
        <v>0</v>
      </c>
      <c r="G175" s="44">
        <v>63195.69</v>
      </c>
      <c r="H175" s="188" t="s">
        <v>152</v>
      </c>
    </row>
    <row r="176" spans="1:11" s="73" customFormat="1" hidden="1">
      <c r="A176" s="46"/>
      <c r="B176" s="40" t="s">
        <v>73</v>
      </c>
      <c r="C176" s="47"/>
      <c r="D176" s="43" t="s">
        <v>154</v>
      </c>
      <c r="E176" s="44">
        <v>63195.69</v>
      </c>
      <c r="F176" s="45">
        <v>0</v>
      </c>
      <c r="G176" s="44">
        <v>63195.69</v>
      </c>
    </row>
    <row r="177" spans="1:11" s="73" customFormat="1" hidden="1">
      <c r="A177" s="46"/>
      <c r="B177" s="40" t="s">
        <v>73</v>
      </c>
      <c r="C177" s="48"/>
      <c r="D177" s="43" t="s">
        <v>155</v>
      </c>
      <c r="E177" s="44">
        <v>63195.69</v>
      </c>
      <c r="F177" s="45">
        <v>0</v>
      </c>
      <c r="G177" s="44">
        <v>63195.69</v>
      </c>
    </row>
    <row r="178" spans="1:11" s="73" customFormat="1" hidden="1">
      <c r="A178" s="46"/>
      <c r="B178" s="81"/>
      <c r="C178" s="82"/>
      <c r="D178" s="81"/>
      <c r="E178" s="83"/>
      <c r="F178" s="84">
        <f>SUM(F175:F177)</f>
        <v>0</v>
      </c>
      <c r="G178" s="83"/>
    </row>
    <row r="179" spans="1:11" s="73" customFormat="1" hidden="1">
      <c r="A179" s="46"/>
      <c r="B179" s="40" t="s">
        <v>73</v>
      </c>
      <c r="C179" s="42" t="s">
        <v>54</v>
      </c>
      <c r="D179" s="43" t="s">
        <v>153</v>
      </c>
      <c r="E179" s="44">
        <v>83949.42</v>
      </c>
      <c r="F179" s="45">
        <v>0</v>
      </c>
      <c r="G179" s="44">
        <v>83949.42</v>
      </c>
    </row>
    <row r="180" spans="1:11" s="73" customFormat="1" hidden="1">
      <c r="A180" s="46"/>
      <c r="B180" s="40" t="s">
        <v>73</v>
      </c>
      <c r="C180" s="47"/>
      <c r="D180" s="43" t="s">
        <v>154</v>
      </c>
      <c r="E180" s="44">
        <v>83949.42</v>
      </c>
      <c r="F180" s="45">
        <v>0</v>
      </c>
      <c r="G180" s="44">
        <v>83949.42</v>
      </c>
    </row>
    <row r="181" spans="1:11" s="73" customFormat="1" hidden="1">
      <c r="A181" s="46"/>
      <c r="B181" s="40" t="s">
        <v>73</v>
      </c>
      <c r="C181" s="48"/>
      <c r="D181" s="43" t="s">
        <v>155</v>
      </c>
      <c r="E181" s="44">
        <v>83949.42</v>
      </c>
      <c r="F181" s="45">
        <v>0</v>
      </c>
      <c r="G181" s="44">
        <v>83949.42</v>
      </c>
    </row>
    <row r="182" spans="1:11" s="73" customFormat="1" hidden="1">
      <c r="A182" s="49"/>
      <c r="B182" s="81"/>
      <c r="C182" s="82"/>
      <c r="D182" s="81"/>
      <c r="E182" s="83"/>
      <c r="F182" s="84">
        <f>SUM(F179:F181)</f>
        <v>0</v>
      </c>
      <c r="G182" s="83"/>
    </row>
    <row r="183" spans="1:11" s="73" customFormat="1" hidden="1">
      <c r="A183" s="85"/>
      <c r="B183" s="92"/>
      <c r="C183" s="85"/>
      <c r="D183" s="85"/>
      <c r="E183" s="87"/>
      <c r="F183" s="88">
        <f>F178+F182</f>
        <v>0</v>
      </c>
      <c r="G183" s="87"/>
    </row>
    <row r="184" spans="1:11" s="73" customFormat="1">
      <c r="A184" s="93"/>
      <c r="B184" s="93"/>
      <c r="C184" s="93"/>
      <c r="D184" s="93"/>
      <c r="E184" s="94"/>
      <c r="F184" s="95">
        <f>F156+F174+F165+F183</f>
        <v>-169826.64000000004</v>
      </c>
      <c r="G184" s="94"/>
    </row>
    <row r="185" spans="1:11" s="73" customFormat="1">
      <c r="A185" s="159"/>
      <c r="B185" s="159"/>
      <c r="C185" s="159"/>
      <c r="D185" s="159"/>
      <c r="E185" s="160"/>
      <c r="F185" s="161"/>
      <c r="G185" s="160"/>
    </row>
    <row r="186" spans="1:11" ht="14.45" customHeight="1">
      <c r="A186" s="244" t="s">
        <v>160</v>
      </c>
      <c r="B186" s="244"/>
      <c r="C186" s="244"/>
      <c r="D186" s="244"/>
      <c r="E186" s="244"/>
      <c r="F186" s="244"/>
      <c r="G186" s="244"/>
      <c r="H186" s="73"/>
      <c r="I186" s="73"/>
      <c r="J186" s="73"/>
      <c r="K186" s="73"/>
    </row>
    <row r="187" spans="1:11">
      <c r="A187" s="39" t="s">
        <v>43</v>
      </c>
      <c r="B187" s="73"/>
      <c r="C187" s="73"/>
      <c r="D187" s="73"/>
      <c r="E187" s="73"/>
      <c r="F187" s="73"/>
      <c r="G187" s="73"/>
      <c r="H187" s="73"/>
      <c r="I187" s="73"/>
      <c r="J187" s="73"/>
      <c r="K187" s="73"/>
    </row>
    <row r="188" spans="1:11">
      <c r="A188" s="73"/>
      <c r="B188" s="73"/>
      <c r="C188" s="73"/>
      <c r="D188" s="73"/>
      <c r="E188" s="73"/>
      <c r="F188" s="73"/>
      <c r="G188" s="73"/>
      <c r="H188" s="73"/>
      <c r="I188" s="73"/>
      <c r="J188" s="73"/>
      <c r="K188" s="73"/>
    </row>
    <row r="189" spans="1:11" ht="26.25">
      <c r="A189" s="89" t="s">
        <v>44</v>
      </c>
      <c r="B189" s="90" t="s">
        <v>45</v>
      </c>
      <c r="C189" s="91" t="s">
        <v>46</v>
      </c>
      <c r="D189" s="89" t="s">
        <v>47</v>
      </c>
      <c r="E189" s="89" t="s">
        <v>48</v>
      </c>
      <c r="F189" s="89" t="s">
        <v>49</v>
      </c>
      <c r="G189" s="89" t="s">
        <v>50</v>
      </c>
      <c r="H189" s="73"/>
      <c r="I189" s="73"/>
      <c r="J189" s="73"/>
      <c r="K189" s="73"/>
    </row>
    <row r="190" spans="1:11">
      <c r="A190" s="41" t="s">
        <v>87</v>
      </c>
      <c r="B190" s="40" t="s">
        <v>88</v>
      </c>
      <c r="C190" s="42" t="s">
        <v>53</v>
      </c>
      <c r="D190" s="43" t="s">
        <v>172</v>
      </c>
      <c r="E190" s="44">
        <v>-1396884.38</v>
      </c>
      <c r="F190" s="45">
        <v>1396884</v>
      </c>
      <c r="G190" s="44">
        <v>-0.38</v>
      </c>
      <c r="H190" s="73"/>
      <c r="I190" s="73"/>
      <c r="J190" s="73"/>
      <c r="K190" s="73"/>
    </row>
    <row r="191" spans="1:11">
      <c r="A191" s="46"/>
      <c r="B191" s="40" t="s">
        <v>88</v>
      </c>
      <c r="C191" s="47"/>
      <c r="D191" s="43" t="s">
        <v>173</v>
      </c>
      <c r="E191" s="44">
        <v>-0.38</v>
      </c>
      <c r="F191" s="45">
        <v>0.38</v>
      </c>
      <c r="G191" s="44">
        <v>0</v>
      </c>
      <c r="H191" s="73"/>
      <c r="I191" s="73"/>
      <c r="J191" s="73"/>
      <c r="K191" s="73"/>
    </row>
    <row r="192" spans="1:11">
      <c r="A192" s="46"/>
      <c r="B192" s="40" t="s">
        <v>88</v>
      </c>
      <c r="C192" s="48"/>
      <c r="D192" s="43" t="s">
        <v>174</v>
      </c>
      <c r="E192" s="44">
        <v>0</v>
      </c>
      <c r="F192" s="45">
        <v>0</v>
      </c>
      <c r="G192" s="44">
        <v>0</v>
      </c>
      <c r="H192" s="73"/>
      <c r="I192" s="73"/>
      <c r="J192" s="73"/>
      <c r="K192" s="73"/>
    </row>
    <row r="193" spans="1:11">
      <c r="A193" s="46"/>
      <c r="B193" s="81"/>
      <c r="C193" s="82"/>
      <c r="D193" s="81"/>
      <c r="E193" s="83"/>
      <c r="F193" s="84">
        <f>SUM(F190:F192)</f>
        <v>1396884.38</v>
      </c>
      <c r="G193" s="83"/>
      <c r="H193" s="73"/>
      <c r="I193" s="73"/>
      <c r="J193" s="73"/>
      <c r="K193" s="73"/>
    </row>
    <row r="194" spans="1:11">
      <c r="A194" s="46"/>
      <c r="B194" s="40" t="s">
        <v>88</v>
      </c>
      <c r="C194" s="42" t="s">
        <v>54</v>
      </c>
      <c r="D194" s="43" t="s">
        <v>172</v>
      </c>
      <c r="E194" s="44">
        <v>0</v>
      </c>
      <c r="F194" s="45">
        <v>0</v>
      </c>
      <c r="G194" s="44">
        <v>0</v>
      </c>
      <c r="H194" s="73"/>
      <c r="I194" s="73"/>
      <c r="J194" s="73"/>
      <c r="K194" s="73"/>
    </row>
    <row r="195" spans="1:11">
      <c r="A195" s="46"/>
      <c r="B195" s="40" t="s">
        <v>88</v>
      </c>
      <c r="C195" s="47"/>
      <c r="D195" s="43" t="s">
        <v>173</v>
      </c>
      <c r="E195" s="44">
        <v>0</v>
      </c>
      <c r="F195" s="45">
        <v>0</v>
      </c>
      <c r="G195" s="44">
        <v>0</v>
      </c>
      <c r="H195" s="73"/>
      <c r="I195" s="73"/>
      <c r="J195" s="73"/>
      <c r="K195" s="73"/>
    </row>
    <row r="196" spans="1:11">
      <c r="A196" s="46"/>
      <c r="B196" s="40" t="s">
        <v>88</v>
      </c>
      <c r="C196" s="48"/>
      <c r="D196" s="43" t="s">
        <v>174</v>
      </c>
      <c r="E196" s="44">
        <v>0</v>
      </c>
      <c r="F196" s="45">
        <v>0</v>
      </c>
      <c r="G196" s="44">
        <v>0</v>
      </c>
      <c r="H196" s="73"/>
      <c r="I196" s="73"/>
      <c r="J196" s="73"/>
      <c r="K196" s="73"/>
    </row>
    <row r="197" spans="1:11">
      <c r="A197" s="49"/>
      <c r="B197" s="81"/>
      <c r="C197" s="82"/>
      <c r="D197" s="81"/>
      <c r="E197" s="83"/>
      <c r="F197" s="84">
        <f>SUM(F194:F196)</f>
        <v>0</v>
      </c>
      <c r="G197" s="83"/>
      <c r="H197" s="73"/>
      <c r="I197" s="73"/>
      <c r="J197" s="73"/>
      <c r="K197" s="73"/>
    </row>
    <row r="198" spans="1:11">
      <c r="A198" s="182"/>
      <c r="B198" s="92" t="s">
        <v>143</v>
      </c>
      <c r="C198" s="85"/>
      <c r="D198" s="85"/>
      <c r="E198" s="87"/>
      <c r="F198" s="88">
        <f>F193+F197</f>
        <v>1396884.38</v>
      </c>
      <c r="G198" s="87"/>
      <c r="H198" s="73"/>
      <c r="I198" s="73"/>
      <c r="J198" s="73"/>
      <c r="K198" s="73"/>
    </row>
    <row r="199" spans="1:11">
      <c r="A199" s="205" t="s">
        <v>140</v>
      </c>
      <c r="B199" s="40" t="s">
        <v>141</v>
      </c>
      <c r="C199" s="42" t="s">
        <v>53</v>
      </c>
      <c r="D199" s="43" t="s">
        <v>172</v>
      </c>
      <c r="E199" s="44">
        <v>0</v>
      </c>
      <c r="F199" s="45">
        <v>-1435196</v>
      </c>
      <c r="G199" s="44">
        <v>-1435196</v>
      </c>
      <c r="H199" s="73"/>
      <c r="I199" s="73"/>
      <c r="J199" s="73"/>
      <c r="K199" s="73"/>
    </row>
    <row r="200" spans="1:11">
      <c r="A200" s="206"/>
      <c r="B200" s="40" t="s">
        <v>141</v>
      </c>
      <c r="C200" s="47"/>
      <c r="D200" s="43" t="s">
        <v>173</v>
      </c>
      <c r="E200" s="44">
        <v>-1435196</v>
      </c>
      <c r="F200" s="45">
        <v>241519.43</v>
      </c>
      <c r="G200" s="44">
        <v>-1193676.57</v>
      </c>
      <c r="H200" s="73"/>
      <c r="I200" s="73"/>
      <c r="J200" s="73"/>
      <c r="K200" s="73"/>
    </row>
    <row r="201" spans="1:11">
      <c r="A201" s="206"/>
      <c r="B201" s="40" t="s">
        <v>141</v>
      </c>
      <c r="C201" s="48"/>
      <c r="D201" s="43" t="s">
        <v>174</v>
      </c>
      <c r="E201" s="44">
        <v>-1193676.57</v>
      </c>
      <c r="F201" s="45">
        <v>252226.16</v>
      </c>
      <c r="G201" s="44">
        <v>-941450.41</v>
      </c>
      <c r="H201" s="73"/>
      <c r="I201" s="73"/>
      <c r="J201" s="73"/>
      <c r="K201" s="73"/>
    </row>
    <row r="202" spans="1:11">
      <c r="A202" s="206"/>
      <c r="B202" s="81"/>
      <c r="C202" s="82"/>
      <c r="D202" s="81"/>
      <c r="E202" s="83"/>
      <c r="F202" s="84">
        <f>SUM(F199:F201)</f>
        <v>-941450.41</v>
      </c>
      <c r="G202" s="83"/>
      <c r="H202" s="73"/>
      <c r="I202" s="73"/>
      <c r="J202" s="73"/>
      <c r="K202" s="73"/>
    </row>
    <row r="203" spans="1:11" s="73" customFormat="1">
      <c r="A203" s="206"/>
      <c r="B203" s="40" t="s">
        <v>141</v>
      </c>
      <c r="C203" s="42" t="s">
        <v>54</v>
      </c>
      <c r="D203" s="43" t="s">
        <v>172</v>
      </c>
      <c r="E203" s="44">
        <v>0</v>
      </c>
      <c r="F203" s="45">
        <v>0</v>
      </c>
      <c r="G203" s="44">
        <v>0</v>
      </c>
    </row>
    <row r="204" spans="1:11" s="73" customFormat="1">
      <c r="A204" s="206"/>
      <c r="B204" s="40" t="s">
        <v>141</v>
      </c>
      <c r="C204" s="47"/>
      <c r="D204" s="43" t="s">
        <v>173</v>
      </c>
      <c r="E204" s="44">
        <v>0</v>
      </c>
      <c r="F204" s="45">
        <v>0</v>
      </c>
      <c r="G204" s="44">
        <v>0</v>
      </c>
    </row>
    <row r="205" spans="1:11" s="73" customFormat="1">
      <c r="A205" s="206"/>
      <c r="B205" s="40" t="s">
        <v>141</v>
      </c>
      <c r="C205" s="48"/>
      <c r="D205" s="43" t="s">
        <v>174</v>
      </c>
      <c r="E205" s="44">
        <v>0</v>
      </c>
      <c r="F205" s="45">
        <v>0</v>
      </c>
      <c r="G205" s="44">
        <v>0</v>
      </c>
    </row>
    <row r="206" spans="1:11" s="73" customFormat="1">
      <c r="A206" s="207"/>
      <c r="B206" s="81"/>
      <c r="C206" s="82"/>
      <c r="D206" s="81"/>
      <c r="E206" s="83"/>
      <c r="F206" s="84">
        <f>SUM(F203:F205)</f>
        <v>0</v>
      </c>
      <c r="G206" s="83"/>
    </row>
    <row r="207" spans="1:11">
      <c r="A207" s="204"/>
      <c r="B207" s="92" t="s">
        <v>144</v>
      </c>
      <c r="C207" s="85"/>
      <c r="D207" s="85"/>
      <c r="E207" s="87"/>
      <c r="F207" s="88">
        <f>F202</f>
        <v>-941450.41</v>
      </c>
      <c r="G207" s="87"/>
      <c r="H207" s="73"/>
      <c r="I207" s="73"/>
      <c r="J207" s="73"/>
      <c r="K207" s="73"/>
    </row>
    <row r="208" spans="1:11">
      <c r="A208" s="205" t="s">
        <v>142</v>
      </c>
      <c r="B208" s="40" t="s">
        <v>90</v>
      </c>
      <c r="C208" s="42" t="s">
        <v>53</v>
      </c>
      <c r="D208" s="43" t="s">
        <v>172</v>
      </c>
      <c r="E208" s="44">
        <v>0</v>
      </c>
      <c r="F208" s="45">
        <v>38312</v>
      </c>
      <c r="G208" s="44">
        <v>38312</v>
      </c>
      <c r="H208" s="73"/>
      <c r="I208" s="73"/>
      <c r="J208" s="73"/>
      <c r="K208" s="73"/>
    </row>
    <row r="209" spans="1:11">
      <c r="A209" s="206"/>
      <c r="B209" s="40" t="s">
        <v>90</v>
      </c>
      <c r="C209" s="47"/>
      <c r="D209" s="43" t="s">
        <v>173</v>
      </c>
      <c r="E209" s="44">
        <v>38312</v>
      </c>
      <c r="F209" s="45">
        <v>-241519.81</v>
      </c>
      <c r="G209" s="44">
        <v>-203207.81</v>
      </c>
      <c r="H209" s="73"/>
      <c r="I209" s="73"/>
      <c r="J209" s="73"/>
      <c r="K209" s="73"/>
    </row>
    <row r="210" spans="1:11">
      <c r="A210" s="206"/>
      <c r="B210" s="40" t="s">
        <v>90</v>
      </c>
      <c r="C210" s="48"/>
      <c r="D210" s="43" t="s">
        <v>174</v>
      </c>
      <c r="E210" s="44">
        <v>-203207.81</v>
      </c>
      <c r="F210" s="45">
        <v>-252226.16</v>
      </c>
      <c r="G210" s="44">
        <v>-455433.97</v>
      </c>
    </row>
    <row r="211" spans="1:11">
      <c r="A211" s="207"/>
      <c r="B211" s="81"/>
      <c r="C211" s="82"/>
      <c r="D211" s="81"/>
      <c r="E211" s="83"/>
      <c r="F211" s="84">
        <f>SUM(F208:F210)</f>
        <v>-455433.97</v>
      </c>
      <c r="G211" s="83"/>
    </row>
    <row r="212" spans="1:11">
      <c r="A212" s="205" t="s">
        <v>89</v>
      </c>
      <c r="B212" s="40" t="s">
        <v>90</v>
      </c>
      <c r="C212" s="42" t="s">
        <v>54</v>
      </c>
      <c r="D212" s="43" t="s">
        <v>172</v>
      </c>
      <c r="E212" s="44">
        <v>0</v>
      </c>
      <c r="F212" s="45">
        <v>0</v>
      </c>
      <c r="G212" s="44">
        <v>0</v>
      </c>
    </row>
    <row r="213" spans="1:11">
      <c r="A213" s="206"/>
      <c r="B213" s="40" t="s">
        <v>90</v>
      </c>
      <c r="C213" s="47"/>
      <c r="D213" s="43" t="s">
        <v>173</v>
      </c>
      <c r="E213" s="44">
        <v>0</v>
      </c>
      <c r="F213" s="45">
        <v>0</v>
      </c>
      <c r="G213" s="44">
        <v>0</v>
      </c>
    </row>
    <row r="214" spans="1:11">
      <c r="A214" s="206"/>
      <c r="B214" s="40" t="s">
        <v>90</v>
      </c>
      <c r="C214" s="48"/>
      <c r="D214" s="43" t="s">
        <v>174</v>
      </c>
      <c r="E214" s="44">
        <v>0</v>
      </c>
      <c r="F214" s="45">
        <v>0</v>
      </c>
      <c r="G214" s="44">
        <v>0</v>
      </c>
    </row>
    <row r="215" spans="1:11">
      <c r="A215" s="207"/>
      <c r="B215" s="81"/>
      <c r="C215" s="82"/>
      <c r="D215" s="81"/>
      <c r="E215" s="83"/>
      <c r="F215" s="84">
        <f>SUM(F212:F214)</f>
        <v>0</v>
      </c>
      <c r="G215" s="83"/>
    </row>
  </sheetData>
  <mergeCells count="4">
    <mergeCell ref="A1:H1"/>
    <mergeCell ref="A102:G102"/>
    <mergeCell ref="A186:G186"/>
    <mergeCell ref="L91:M91"/>
  </mergeCells>
  <printOptions horizontalCentered="1"/>
  <pageMargins left="0.7" right="0.71" top="1.0900000000000001" bottom="0.75" header="0.5" footer="0.5"/>
  <pageSetup scale="79" firstPageNumber="3" fitToHeight="4" orientation="portrait" useFirstPageNumber="1" r:id="rId1"/>
  <headerFooter scaleWithDoc="0">
    <oddHeader>&amp;CAvista Corporation Decoupling Mechanism
Washington Jurisdiction
Quarterly Report for 1st Quarter 2019</oddHeader>
    <oddFooter xml:space="preserve">&amp;Cfile: &amp;F / &amp;A&amp;RPage &amp;P of 11
</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8"/>
  <sheetViews>
    <sheetView topLeftCell="A4" zoomScaleNormal="100" workbookViewId="0">
      <selection activeCell="A59" sqref="A59"/>
    </sheetView>
  </sheetViews>
  <sheetFormatPr defaultColWidth="8.85546875" defaultRowHeight="15"/>
  <cols>
    <col min="1" max="1" width="13.85546875" style="73" customWidth="1"/>
    <col min="2" max="2" width="3.85546875" style="73" customWidth="1"/>
    <col min="3" max="3" width="14.28515625" style="73" bestFit="1" customWidth="1"/>
    <col min="4" max="4" width="13.28515625" style="73" bestFit="1" customWidth="1"/>
    <col min="5" max="5" width="13.28515625" style="73" customWidth="1"/>
    <col min="6" max="6" width="12.28515625" style="73" customWidth="1"/>
    <col min="7" max="7" width="3.42578125" style="73" customWidth="1"/>
    <col min="8" max="8" width="15.7109375" style="73" bestFit="1" customWidth="1"/>
    <col min="9" max="9" width="3.85546875" style="73" customWidth="1"/>
    <col min="10" max="10" width="13.42578125" style="73" customWidth="1"/>
    <col min="11" max="11" width="3.85546875" style="73" customWidth="1"/>
    <col min="12" max="12" width="13.42578125" style="73" customWidth="1"/>
    <col min="13" max="13" width="13.85546875" style="73" customWidth="1"/>
    <col min="14" max="14" width="14.42578125" style="73" customWidth="1"/>
    <col min="15" max="15" width="13.5703125" style="73" customWidth="1"/>
    <col min="16" max="16" width="3.7109375" style="73" customWidth="1"/>
    <col min="17" max="17" width="12.7109375" style="73" customWidth="1"/>
    <col min="18" max="18" width="3.140625" style="73" customWidth="1"/>
    <col min="19" max="16384" width="8.85546875" style="73"/>
  </cols>
  <sheetData>
    <row r="1" spans="1:18" ht="28.15" customHeight="1">
      <c r="A1" s="247" t="s">
        <v>113</v>
      </c>
      <c r="B1" s="247"/>
      <c r="C1" s="247"/>
      <c r="D1" s="247"/>
      <c r="E1" s="247"/>
      <c r="F1" s="247"/>
      <c r="G1" s="247"/>
      <c r="H1" s="247"/>
      <c r="I1" s="247"/>
      <c r="J1" s="247" t="s">
        <v>113</v>
      </c>
      <c r="K1" s="247"/>
      <c r="L1" s="247"/>
      <c r="M1" s="247"/>
      <c r="N1" s="247"/>
      <c r="O1" s="247"/>
      <c r="P1" s="247"/>
      <c r="Q1" s="247"/>
      <c r="R1" s="247"/>
    </row>
    <row r="2" spans="1:18">
      <c r="C2" s="171" t="s">
        <v>118</v>
      </c>
      <c r="L2" s="171" t="s">
        <v>117</v>
      </c>
    </row>
    <row r="3" spans="1:18">
      <c r="A3" s="149"/>
      <c r="C3" s="176"/>
      <c r="H3" s="179"/>
      <c r="L3" s="176"/>
      <c r="Q3" s="179"/>
    </row>
    <row r="4" spans="1:18">
      <c r="A4" s="149"/>
      <c r="C4" s="176" t="s">
        <v>116</v>
      </c>
      <c r="D4" s="73">
        <v>419328</v>
      </c>
      <c r="E4" s="73">
        <v>431328</v>
      </c>
      <c r="F4" s="73" t="s">
        <v>115</v>
      </c>
      <c r="H4" s="179" t="s">
        <v>148</v>
      </c>
      <c r="L4" s="176" t="s">
        <v>116</v>
      </c>
      <c r="M4" s="73">
        <v>419328</v>
      </c>
      <c r="N4" s="73">
        <v>431328</v>
      </c>
      <c r="O4" s="73" t="s">
        <v>115</v>
      </c>
      <c r="Q4" s="179" t="str">
        <f>H4</f>
        <v>Recon Check</v>
      </c>
    </row>
    <row r="5" spans="1:18" ht="14.45" customHeight="1">
      <c r="A5" s="149">
        <v>43466</v>
      </c>
      <c r="C5" s="151">
        <f>D26+D42+D59+D77+D94+D110+D126+D142</f>
        <v>64999.112221749994</v>
      </c>
      <c r="D5" s="196">
        <v>5927.04</v>
      </c>
      <c r="E5" s="196">
        <v>-8579.09</v>
      </c>
      <c r="F5" s="151">
        <f>D5+E5</f>
        <v>-2652.05</v>
      </c>
      <c r="H5" s="151">
        <f>C5-F5</f>
        <v>67651.162221749997</v>
      </c>
      <c r="J5" s="149">
        <f>A5</f>
        <v>43466</v>
      </c>
      <c r="L5" s="151">
        <f>M26+M42+M59+M77+M94+M110+M126+M142</f>
        <v>-3759.0217956666665</v>
      </c>
      <c r="M5" s="196">
        <v>1558.92</v>
      </c>
      <c r="N5" s="196">
        <v>-9417.4599999999991</v>
      </c>
      <c r="O5" s="151">
        <f>M5+N5</f>
        <v>-7858.5399999999991</v>
      </c>
      <c r="Q5" s="151">
        <f>L5-O5</f>
        <v>4099.5182043333325</v>
      </c>
    </row>
    <row r="6" spans="1:18" ht="14.45" customHeight="1">
      <c r="A6" s="149">
        <v>43497</v>
      </c>
      <c r="C6" s="151">
        <f>D27+D43+D60+D78+D95+D111+D127+D143</f>
        <v>65997.591268257209</v>
      </c>
      <c r="D6" s="196">
        <v>141037.98000000001</v>
      </c>
      <c r="E6" s="196">
        <v>-7388.21</v>
      </c>
      <c r="F6" s="151">
        <f>D6+E6</f>
        <v>133649.77000000002</v>
      </c>
      <c r="H6" s="151">
        <f>C6-F6</f>
        <v>-67652.17873174281</v>
      </c>
      <c r="J6" s="149">
        <f t="shared" ref="J6:J16" si="0">A6</f>
        <v>43497</v>
      </c>
      <c r="L6" s="151">
        <f t="shared" ref="L6:L16" si="1">M27+M43+M60+M78+M95+M111+M127+M143</f>
        <v>-6338.4344014179615</v>
      </c>
      <c r="M6" s="196">
        <v>9288.2099999999991</v>
      </c>
      <c r="N6" s="196">
        <v>-11527.13</v>
      </c>
      <c r="O6" s="151">
        <f t="shared" ref="O6:O16" si="2">M6+N6</f>
        <v>-2238.92</v>
      </c>
      <c r="Q6" s="151">
        <f t="shared" ref="Q6:Q16" si="3">L6-O6</f>
        <v>-4099.5144014179614</v>
      </c>
    </row>
    <row r="7" spans="1:18" ht="14.45" customHeight="1">
      <c r="A7" s="149">
        <v>43525</v>
      </c>
      <c r="C7" s="151">
        <f t="shared" ref="C7:C16" si="4">D28+D44+D61+D79+D96+D112+D128+D144</f>
        <v>59159.867773898535</v>
      </c>
      <c r="D7" s="196">
        <v>72155.33</v>
      </c>
      <c r="E7" s="196">
        <v>-12995.46</v>
      </c>
      <c r="F7" s="151">
        <f t="shared" ref="F7:F16" si="5">D7+E7</f>
        <v>59159.87</v>
      </c>
      <c r="H7" s="151">
        <f>C7-F7</f>
        <v>-2.2261014673858881E-3</v>
      </c>
      <c r="J7" s="149">
        <f t="shared" si="0"/>
        <v>43525</v>
      </c>
      <c r="L7" s="151">
        <f t="shared" si="1"/>
        <v>-10233.496894167412</v>
      </c>
      <c r="M7" s="196">
        <v>4981.78</v>
      </c>
      <c r="N7" s="196">
        <v>-15215.27</v>
      </c>
      <c r="O7" s="151">
        <f t="shared" si="2"/>
        <v>-10233.490000000002</v>
      </c>
      <c r="Q7" s="151">
        <f t="shared" si="3"/>
        <v>-6.8941674107918516E-3</v>
      </c>
    </row>
    <row r="8" spans="1:18" ht="14.45" hidden="1" customHeight="1">
      <c r="A8" s="149">
        <v>43556</v>
      </c>
      <c r="C8" s="151">
        <f>D29+D45+D62+D80+D97+D113+D129+D145</f>
        <v>0</v>
      </c>
      <c r="D8" s="190"/>
      <c r="E8" s="190"/>
      <c r="F8" s="151">
        <f t="shared" si="5"/>
        <v>0</v>
      </c>
      <c r="H8" s="151">
        <f>C8-F8</f>
        <v>0</v>
      </c>
      <c r="J8" s="149">
        <f t="shared" si="0"/>
        <v>43556</v>
      </c>
      <c r="L8" s="151">
        <f t="shared" si="1"/>
        <v>0</v>
      </c>
      <c r="M8" s="190"/>
      <c r="N8" s="190"/>
      <c r="O8" s="151">
        <f t="shared" si="2"/>
        <v>0</v>
      </c>
      <c r="Q8" s="151">
        <f t="shared" si="3"/>
        <v>0</v>
      </c>
    </row>
    <row r="9" spans="1:18" ht="14.45" hidden="1" customHeight="1">
      <c r="A9" s="149">
        <v>43586</v>
      </c>
      <c r="C9" s="151">
        <f t="shared" si="4"/>
        <v>0</v>
      </c>
      <c r="D9" s="190"/>
      <c r="E9" s="190"/>
      <c r="F9" s="151">
        <f t="shared" si="5"/>
        <v>0</v>
      </c>
      <c r="H9" s="151">
        <f t="shared" ref="H9" si="6">C9-F9</f>
        <v>0</v>
      </c>
      <c r="J9" s="149">
        <f t="shared" si="0"/>
        <v>43586</v>
      </c>
      <c r="L9" s="151">
        <f t="shared" si="1"/>
        <v>0</v>
      </c>
      <c r="M9" s="190"/>
      <c r="N9" s="190"/>
      <c r="O9" s="151">
        <f t="shared" si="2"/>
        <v>0</v>
      </c>
      <c r="Q9" s="151">
        <f t="shared" si="3"/>
        <v>0</v>
      </c>
    </row>
    <row r="10" spans="1:18" ht="14.45" hidden="1" customHeight="1">
      <c r="A10" s="149">
        <v>43617</v>
      </c>
      <c r="C10" s="151">
        <f>D31+D47+D64+D82+D99+D115+D131+D147</f>
        <v>0</v>
      </c>
      <c r="D10" s="190"/>
      <c r="E10" s="196"/>
      <c r="F10" s="151">
        <f t="shared" si="5"/>
        <v>0</v>
      </c>
      <c r="H10" s="151">
        <f>C10-F10</f>
        <v>0</v>
      </c>
      <c r="J10" s="149">
        <f t="shared" si="0"/>
        <v>43617</v>
      </c>
      <c r="L10" s="151">
        <f>M31+M47+M64+M82+M99+M115+M131+M147</f>
        <v>0</v>
      </c>
      <c r="M10" s="190"/>
      <c r="N10" s="196"/>
      <c r="O10" s="151">
        <f>M10+N10</f>
        <v>0</v>
      </c>
      <c r="Q10" s="151">
        <f>L10-O10</f>
        <v>0</v>
      </c>
    </row>
    <row r="11" spans="1:18" ht="14.45" hidden="1" customHeight="1">
      <c r="A11" s="149">
        <v>43647</v>
      </c>
      <c r="C11" s="151">
        <f>D32+D48+D65+D83+D100+D116+D132+D148</f>
        <v>0</v>
      </c>
      <c r="D11" s="190"/>
      <c r="E11" s="190"/>
      <c r="F11" s="151">
        <f>D11+E11</f>
        <v>0</v>
      </c>
      <c r="H11" s="151">
        <f>C11-F11</f>
        <v>0</v>
      </c>
      <c r="J11" s="149">
        <f t="shared" si="0"/>
        <v>43647</v>
      </c>
      <c r="L11" s="151">
        <f>M32+M48+M65+M83+M100+M116+M132+M148</f>
        <v>0</v>
      </c>
      <c r="M11" s="190"/>
      <c r="N11" s="190"/>
      <c r="O11" s="151">
        <f t="shared" si="2"/>
        <v>0</v>
      </c>
      <c r="Q11" s="151">
        <f>L11-O11</f>
        <v>0</v>
      </c>
    </row>
    <row r="12" spans="1:18" ht="14.45" hidden="1" customHeight="1">
      <c r="A12" s="149">
        <v>43678</v>
      </c>
      <c r="C12" s="151">
        <f>D33+D49+D66+D84+D101+D117+D133+D149</f>
        <v>0</v>
      </c>
      <c r="D12" s="190"/>
      <c r="E12" s="190"/>
      <c r="F12" s="151">
        <f>D12+E12</f>
        <v>0</v>
      </c>
      <c r="H12" s="154">
        <f>C12-F12</f>
        <v>0</v>
      </c>
      <c r="J12" s="149">
        <f t="shared" si="0"/>
        <v>43678</v>
      </c>
      <c r="L12" s="151">
        <f>M33+M49+M66+M84+M101+M117+M133+M149</f>
        <v>0</v>
      </c>
      <c r="M12" s="190"/>
      <c r="N12" s="190"/>
      <c r="O12" s="151">
        <f>M12+N12</f>
        <v>0</v>
      </c>
      <c r="Q12" s="151">
        <f>L12-O12</f>
        <v>0</v>
      </c>
    </row>
    <row r="13" spans="1:18" ht="14.45" hidden="1" customHeight="1">
      <c r="A13" s="149">
        <v>43709</v>
      </c>
      <c r="C13" s="151">
        <f>D34+D50+D67+D85+D102+D118+D134+D150</f>
        <v>0</v>
      </c>
      <c r="D13" s="190"/>
      <c r="E13" s="190"/>
      <c r="F13" s="151">
        <f>D13+E13</f>
        <v>0</v>
      </c>
      <c r="H13" s="154">
        <f>C13-F13</f>
        <v>0</v>
      </c>
      <c r="I13" s="188"/>
      <c r="J13" s="149">
        <f t="shared" si="0"/>
        <v>43709</v>
      </c>
      <c r="L13" s="151">
        <f t="shared" si="1"/>
        <v>0</v>
      </c>
      <c r="M13" s="190"/>
      <c r="N13" s="190"/>
      <c r="O13" s="151">
        <f t="shared" si="2"/>
        <v>0</v>
      </c>
      <c r="Q13" s="154">
        <f t="shared" si="3"/>
        <v>0</v>
      </c>
    </row>
    <row r="14" spans="1:18" hidden="1">
      <c r="A14" s="149">
        <v>43739</v>
      </c>
      <c r="C14" s="151">
        <f t="shared" si="4"/>
        <v>0</v>
      </c>
      <c r="D14" s="190"/>
      <c r="E14" s="190"/>
      <c r="F14" s="151">
        <f>D14+E14</f>
        <v>0</v>
      </c>
      <c r="H14" s="154">
        <f>C14-F14</f>
        <v>0</v>
      </c>
      <c r="J14" s="149">
        <f t="shared" si="0"/>
        <v>43739</v>
      </c>
      <c r="L14" s="151">
        <f>M35+M51+M68+M86+M103+M119+M135+M151</f>
        <v>0</v>
      </c>
      <c r="M14" s="190"/>
      <c r="N14" s="190"/>
      <c r="O14" s="151">
        <f t="shared" si="2"/>
        <v>0</v>
      </c>
      <c r="Q14" s="151">
        <f>L14-O14</f>
        <v>0</v>
      </c>
    </row>
    <row r="15" spans="1:18" hidden="1">
      <c r="A15" s="149">
        <v>43770</v>
      </c>
      <c r="C15" s="151">
        <f t="shared" si="4"/>
        <v>0</v>
      </c>
      <c r="D15" s="190"/>
      <c r="E15" s="190"/>
      <c r="F15" s="151">
        <f>D15+E15</f>
        <v>0</v>
      </c>
      <c r="H15" s="154">
        <f t="shared" ref="H15:H16" si="7">C15-F15</f>
        <v>0</v>
      </c>
      <c r="J15" s="149">
        <f t="shared" si="0"/>
        <v>43770</v>
      </c>
      <c r="L15" s="151">
        <f>M36+M52+M69+M87+M104+M120+M136+M152</f>
        <v>0</v>
      </c>
      <c r="M15" s="190"/>
      <c r="N15" s="190"/>
      <c r="O15" s="151">
        <f>M15+N15</f>
        <v>0</v>
      </c>
      <c r="Q15" s="151">
        <f>L15-O15</f>
        <v>0</v>
      </c>
    </row>
    <row r="16" spans="1:18" hidden="1">
      <c r="A16" s="149">
        <v>43800</v>
      </c>
      <c r="C16" s="151">
        <f t="shared" si="4"/>
        <v>0</v>
      </c>
      <c r="D16" s="190"/>
      <c r="E16" s="190"/>
      <c r="F16" s="151">
        <f t="shared" si="5"/>
        <v>0</v>
      </c>
      <c r="H16" s="154">
        <f t="shared" si="7"/>
        <v>0</v>
      </c>
      <c r="J16" s="149">
        <f t="shared" si="0"/>
        <v>43800</v>
      </c>
      <c r="L16" s="151">
        <f t="shared" si="1"/>
        <v>0</v>
      </c>
      <c r="M16" s="190"/>
      <c r="N16" s="190"/>
      <c r="O16" s="151">
        <f t="shared" si="2"/>
        <v>0</v>
      </c>
      <c r="Q16" s="151">
        <f t="shared" si="3"/>
        <v>0</v>
      </c>
    </row>
    <row r="17" spans="1:17" ht="14.45" customHeight="1">
      <c r="A17" s="180" t="s">
        <v>114</v>
      </c>
      <c r="B17" s="170"/>
      <c r="C17" s="181">
        <f>SUM(C5:C7)</f>
        <v>190156.57126390573</v>
      </c>
      <c r="D17" s="181">
        <f>SUM(D5:D7)</f>
        <v>219120.35000000003</v>
      </c>
      <c r="E17" s="181">
        <f t="shared" ref="E17:F17" si="8">SUM(E5:E7)</f>
        <v>-28962.76</v>
      </c>
      <c r="F17" s="181">
        <f t="shared" si="8"/>
        <v>190157.59000000003</v>
      </c>
      <c r="G17" s="170"/>
      <c r="H17" s="181">
        <f>C17-F17</f>
        <v>-1.0187360942945816</v>
      </c>
      <c r="I17" s="170"/>
      <c r="J17" s="180" t="s">
        <v>114</v>
      </c>
      <c r="K17" s="170"/>
      <c r="L17" s="181">
        <f>SUM(L5:L7)</f>
        <v>-20330.953091252042</v>
      </c>
      <c r="M17" s="181">
        <f t="shared" ref="M17:O17" si="9">SUM(M5:M7)</f>
        <v>15828.91</v>
      </c>
      <c r="N17" s="181">
        <f t="shared" si="9"/>
        <v>-36159.86</v>
      </c>
      <c r="O17" s="181">
        <f t="shared" si="9"/>
        <v>-20330.95</v>
      </c>
      <c r="P17" s="170"/>
      <c r="Q17" s="181">
        <f>L17-O17</f>
        <v>-3.0912520414858591E-3</v>
      </c>
    </row>
    <row r="18" spans="1:17" ht="14.45" hidden="1" customHeight="1">
      <c r="A18" s="180" t="s">
        <v>119</v>
      </c>
      <c r="B18" s="170"/>
      <c r="C18" s="181">
        <f>SUM(C8:C10)</f>
        <v>0</v>
      </c>
      <c r="D18" s="181">
        <f>SUM(D8:D10)</f>
        <v>0</v>
      </c>
      <c r="E18" s="181">
        <f t="shared" ref="E18:F18" si="10">SUM(E8:E10)</f>
        <v>0</v>
      </c>
      <c r="F18" s="181">
        <f t="shared" si="10"/>
        <v>0</v>
      </c>
      <c r="G18" s="170"/>
      <c r="H18" s="181">
        <f>SUM(H8:H10)</f>
        <v>0</v>
      </c>
      <c r="I18" s="170"/>
      <c r="J18" s="180" t="s">
        <v>119</v>
      </c>
      <c r="K18" s="170"/>
      <c r="L18" s="181">
        <f>SUM(L8:L10)</f>
        <v>0</v>
      </c>
      <c r="M18" s="181">
        <f t="shared" ref="M18:O18" si="11">SUM(M8:M10)</f>
        <v>0</v>
      </c>
      <c r="N18" s="181">
        <f t="shared" si="11"/>
        <v>0</v>
      </c>
      <c r="O18" s="181">
        <f t="shared" si="11"/>
        <v>0</v>
      </c>
      <c r="P18" s="170"/>
      <c r="Q18" s="181">
        <f>L18-O18</f>
        <v>0</v>
      </c>
    </row>
    <row r="19" spans="1:17" ht="14.45" hidden="1" customHeight="1">
      <c r="A19" s="180" t="s">
        <v>120</v>
      </c>
      <c r="B19" s="170"/>
      <c r="C19" s="181">
        <f>SUM(C11:C13)</f>
        <v>0</v>
      </c>
      <c r="D19" s="181">
        <f t="shared" ref="D19:E19" si="12">SUM(D11:D13)</f>
        <v>0</v>
      </c>
      <c r="E19" s="181">
        <f t="shared" si="12"/>
        <v>0</v>
      </c>
      <c r="F19" s="181">
        <f>SUM(F11:F13)</f>
        <v>0</v>
      </c>
      <c r="G19" s="170"/>
      <c r="H19" s="181">
        <f>C19-F19</f>
        <v>0</v>
      </c>
      <c r="I19" s="170"/>
      <c r="J19" s="180" t="s">
        <v>121</v>
      </c>
      <c r="K19" s="170"/>
      <c r="L19" s="181">
        <f>SUM(L11:L13)</f>
        <v>0</v>
      </c>
      <c r="M19" s="181">
        <f>SUM(M11:M13)</f>
        <v>0</v>
      </c>
      <c r="N19" s="181">
        <f t="shared" ref="N19:O19" si="13">SUM(N11:N13)</f>
        <v>0</v>
      </c>
      <c r="O19" s="181">
        <f t="shared" si="13"/>
        <v>0</v>
      </c>
      <c r="P19" s="170"/>
      <c r="Q19" s="181">
        <f>L19-O19</f>
        <v>0</v>
      </c>
    </row>
    <row r="20" spans="1:17" s="170" customFormat="1" hidden="1">
      <c r="A20" s="180" t="s">
        <v>123</v>
      </c>
      <c r="C20" s="181">
        <f>SUM(C14:C16)</f>
        <v>0</v>
      </c>
      <c r="D20" s="181">
        <f t="shared" ref="D20:F20" si="14">SUM(D14:D16)</f>
        <v>0</v>
      </c>
      <c r="E20" s="181">
        <f t="shared" si="14"/>
        <v>0</v>
      </c>
      <c r="F20" s="181">
        <f t="shared" si="14"/>
        <v>0</v>
      </c>
      <c r="H20" s="181">
        <f>C20-F20</f>
        <v>0</v>
      </c>
      <c r="J20" s="180" t="s">
        <v>123</v>
      </c>
      <c r="L20" s="181">
        <f>SUM(L14:L16)</f>
        <v>0</v>
      </c>
      <c r="M20" s="181">
        <f t="shared" ref="M20:O20" si="15">SUM(M14:M16)</f>
        <v>0</v>
      </c>
      <c r="N20" s="181">
        <f t="shared" si="15"/>
        <v>0</v>
      </c>
      <c r="O20" s="181">
        <f t="shared" si="15"/>
        <v>0</v>
      </c>
      <c r="Q20" s="181">
        <f>L20-O20</f>
        <v>0</v>
      </c>
    </row>
    <row r="21" spans="1:17" s="170" customFormat="1">
      <c r="A21" s="180" t="s">
        <v>159</v>
      </c>
      <c r="C21" s="181">
        <f>SUM(C5:C16)</f>
        <v>190156.57126390573</v>
      </c>
      <c r="D21" s="181">
        <f t="shared" ref="D21:F21" si="16">SUM(D5:D16)</f>
        <v>219120.35000000003</v>
      </c>
      <c r="E21" s="181">
        <f t="shared" si="16"/>
        <v>-28962.76</v>
      </c>
      <c r="F21" s="181">
        <f t="shared" si="16"/>
        <v>190157.59000000003</v>
      </c>
      <c r="H21" s="181">
        <f>C21-F21</f>
        <v>-1.0187360942945816</v>
      </c>
      <c r="J21" s="180" t="s">
        <v>159</v>
      </c>
      <c r="L21" s="181">
        <f>SUM(L5:L16)</f>
        <v>-20330.953091252042</v>
      </c>
      <c r="M21" s="181">
        <f t="shared" ref="M21:O21" si="17">SUM(M5:M16)</f>
        <v>15828.91</v>
      </c>
      <c r="N21" s="181">
        <f t="shared" si="17"/>
        <v>-36159.86</v>
      </c>
      <c r="O21" s="181">
        <f t="shared" si="17"/>
        <v>-20330.95</v>
      </c>
      <c r="Q21" s="181">
        <f>L21-O21</f>
        <v>-3.0912520414858591E-3</v>
      </c>
    </row>
    <row r="23" spans="1:17">
      <c r="A23" s="73">
        <v>186328</v>
      </c>
      <c r="B23" s="73" t="s">
        <v>53</v>
      </c>
      <c r="C23" s="176" t="s">
        <v>105</v>
      </c>
      <c r="D23" s="176" t="s">
        <v>106</v>
      </c>
      <c r="E23" s="176"/>
      <c r="F23" s="176" t="s">
        <v>108</v>
      </c>
      <c r="H23" s="176" t="s">
        <v>106</v>
      </c>
      <c r="J23" s="73">
        <v>186328</v>
      </c>
      <c r="K23" s="73" t="s">
        <v>54</v>
      </c>
      <c r="L23" s="176" t="s">
        <v>105</v>
      </c>
      <c r="M23" s="176" t="s">
        <v>106</v>
      </c>
      <c r="N23" s="176"/>
      <c r="O23" s="176" t="s">
        <v>108</v>
      </c>
      <c r="Q23" s="176" t="s">
        <v>106</v>
      </c>
    </row>
    <row r="24" spans="1:17">
      <c r="A24" s="180" t="s">
        <v>157</v>
      </c>
      <c r="C24" s="176" t="s">
        <v>109</v>
      </c>
      <c r="D24" s="176" t="s">
        <v>110</v>
      </c>
      <c r="E24" s="176" t="s">
        <v>111</v>
      </c>
      <c r="F24" s="176" t="s">
        <v>107</v>
      </c>
      <c r="H24" s="176" t="s">
        <v>112</v>
      </c>
      <c r="J24" s="180" t="str">
        <f>A24</f>
        <v>Residential</v>
      </c>
      <c r="L24" s="176" t="s">
        <v>109</v>
      </c>
      <c r="M24" s="176" t="s">
        <v>110</v>
      </c>
      <c r="N24" s="176" t="s">
        <v>111</v>
      </c>
      <c r="O24" s="176" t="s">
        <v>107</v>
      </c>
      <c r="Q24" s="176" t="s">
        <v>112</v>
      </c>
    </row>
    <row r="25" spans="1:17" ht="14.45" customHeight="1">
      <c r="A25" s="149">
        <v>43435</v>
      </c>
      <c r="B25" s="150"/>
      <c r="C25" s="150"/>
      <c r="F25" s="190">
        <v>0</v>
      </c>
      <c r="J25" s="149">
        <f>A25</f>
        <v>43435</v>
      </c>
      <c r="K25" s="150"/>
      <c r="L25" s="150"/>
      <c r="O25" s="190">
        <v>0</v>
      </c>
    </row>
    <row r="26" spans="1:17" ht="14.45" customHeight="1">
      <c r="A26" s="149">
        <f t="shared" ref="A26:A37" si="18">A5</f>
        <v>43466</v>
      </c>
      <c r="C26" s="190">
        <f>-'Accounting Balances'!F107</f>
        <v>535237.67000000004</v>
      </c>
      <c r="D26" s="151">
        <f>(F25+(C26+E26)/2)*H26/12</f>
        <v>1155.2213044166667</v>
      </c>
      <c r="F26" s="151">
        <f>F25+C26+D26+E26</f>
        <v>536392.8913044167</v>
      </c>
      <c r="H26" s="193">
        <v>5.1799999999999999E-2</v>
      </c>
      <c r="J26" s="149">
        <f t="shared" ref="J26:J37" si="19">A26</f>
        <v>43466</v>
      </c>
      <c r="L26" s="190">
        <f>-'Accounting Balances'!F115</f>
        <v>52314.77</v>
      </c>
      <c r="M26" s="151">
        <f t="shared" ref="M26:M37" si="20">(O25+(L26+N26)/2)*Q26/12</f>
        <v>112.91271191666665</v>
      </c>
      <c r="O26" s="151">
        <f t="shared" ref="O26:O37" si="21">O25+L26+M26+N26</f>
        <v>52427.682711916663</v>
      </c>
      <c r="Q26" s="152">
        <f>H26</f>
        <v>5.1799999999999999E-2</v>
      </c>
    </row>
    <row r="27" spans="1:17" ht="14.45" customHeight="1">
      <c r="A27" s="149">
        <f t="shared" si="18"/>
        <v>43497</v>
      </c>
      <c r="C27" s="190">
        <f>-'Accounting Balances'!F108</f>
        <v>-664634.85</v>
      </c>
      <c r="D27" s="151">
        <f t="shared" ref="D27:D36" si="22">(F26+(C27+E27)/2)*H27/12</f>
        <v>880.92576288073212</v>
      </c>
      <c r="F27" s="151">
        <f t="shared" ref="F27:F37" si="23">F26+C27+D27+E27</f>
        <v>-127361.03293270254</v>
      </c>
      <c r="H27" s="152">
        <f>H26</f>
        <v>5.1799999999999999E-2</v>
      </c>
      <c r="J27" s="149">
        <f t="shared" si="19"/>
        <v>43497</v>
      </c>
      <c r="L27" s="190">
        <f>-'Accounting Balances'!F116</f>
        <v>-1998013.92</v>
      </c>
      <c r="M27" s="151">
        <f t="shared" si="20"/>
        <v>-4086.0672136268931</v>
      </c>
      <c r="O27" s="151">
        <f t="shared" si="21"/>
        <v>-1949672.30450171</v>
      </c>
      <c r="Q27" s="152">
        <f t="shared" ref="Q27:Q37" si="24">H27</f>
        <v>5.1799999999999999E-2</v>
      </c>
    </row>
    <row r="28" spans="1:17" ht="14.45" customHeight="1">
      <c r="A28" s="149">
        <f t="shared" si="18"/>
        <v>43525</v>
      </c>
      <c r="C28" s="190">
        <f>-'Accounting Balances'!F109</f>
        <v>-2878360.87</v>
      </c>
      <c r="D28" s="151">
        <f t="shared" si="22"/>
        <v>-6762.2373365761659</v>
      </c>
      <c r="F28" s="151">
        <f>F27+C28+D28+E28</f>
        <v>-3012484.1402692785</v>
      </c>
      <c r="H28" s="152">
        <f t="shared" ref="H28:H37" si="25">H27</f>
        <v>5.1799999999999999E-2</v>
      </c>
      <c r="J28" s="149">
        <f t="shared" si="19"/>
        <v>43525</v>
      </c>
      <c r="L28" s="190">
        <f>-'Accounting Balances'!F117</f>
        <v>-440460.46</v>
      </c>
      <c r="M28" s="151">
        <f t="shared" si="20"/>
        <v>-9366.7459405990467</v>
      </c>
      <c r="O28" s="151">
        <f t="shared" si="21"/>
        <v>-2399499.5104423091</v>
      </c>
      <c r="Q28" s="152">
        <f t="shared" si="24"/>
        <v>5.1799999999999999E-2</v>
      </c>
    </row>
    <row r="29" spans="1:17" ht="14.45" hidden="1" customHeight="1">
      <c r="A29" s="149">
        <f t="shared" si="18"/>
        <v>43556</v>
      </c>
      <c r="C29" s="190"/>
      <c r="D29" s="151">
        <f>(F28+(C29+E29)/2)*H29/12</f>
        <v>0</v>
      </c>
      <c r="F29" s="151">
        <f>F28+C29+D29+E29</f>
        <v>-3012484.1402692785</v>
      </c>
      <c r="H29" s="152">
        <v>0</v>
      </c>
      <c r="J29" s="149">
        <f t="shared" si="19"/>
        <v>43556</v>
      </c>
      <c r="L29" s="190"/>
      <c r="M29" s="151">
        <f t="shared" si="20"/>
        <v>0</v>
      </c>
      <c r="O29" s="151">
        <f t="shared" si="21"/>
        <v>-2399499.5104423091</v>
      </c>
      <c r="Q29" s="152">
        <f t="shared" si="24"/>
        <v>0</v>
      </c>
    </row>
    <row r="30" spans="1:17" ht="14.45" hidden="1" customHeight="1">
      <c r="A30" s="149">
        <f t="shared" si="18"/>
        <v>43586</v>
      </c>
      <c r="C30" s="190"/>
      <c r="D30" s="151">
        <f t="shared" si="22"/>
        <v>0</v>
      </c>
      <c r="F30" s="151">
        <f t="shared" si="23"/>
        <v>-3012484.1402692785</v>
      </c>
      <c r="H30" s="152">
        <f t="shared" si="25"/>
        <v>0</v>
      </c>
      <c r="J30" s="149">
        <f t="shared" si="19"/>
        <v>43586</v>
      </c>
      <c r="L30" s="190"/>
      <c r="M30" s="151">
        <f t="shared" si="20"/>
        <v>0</v>
      </c>
      <c r="O30" s="151">
        <f t="shared" si="21"/>
        <v>-2399499.5104423091</v>
      </c>
      <c r="Q30" s="152">
        <f t="shared" si="24"/>
        <v>0</v>
      </c>
    </row>
    <row r="31" spans="1:17" ht="14.45" hidden="1" customHeight="1">
      <c r="A31" s="149">
        <f t="shared" si="18"/>
        <v>43617</v>
      </c>
      <c r="C31" s="190"/>
      <c r="D31" s="151">
        <f>(F30+(C31+E31)/2)*H31/12</f>
        <v>0</v>
      </c>
      <c r="F31" s="151">
        <f t="shared" si="23"/>
        <v>-3012484.1402692785</v>
      </c>
      <c r="H31" s="152">
        <f t="shared" si="25"/>
        <v>0</v>
      </c>
      <c r="J31" s="149">
        <f t="shared" si="19"/>
        <v>43617</v>
      </c>
      <c r="L31" s="190"/>
      <c r="M31" s="151">
        <f t="shared" si="20"/>
        <v>0</v>
      </c>
      <c r="O31" s="151">
        <f t="shared" si="21"/>
        <v>-2399499.5104423091</v>
      </c>
      <c r="Q31" s="152">
        <f t="shared" si="24"/>
        <v>0</v>
      </c>
    </row>
    <row r="32" spans="1:17" ht="14.45" hidden="1" customHeight="1">
      <c r="A32" s="149">
        <f t="shared" si="18"/>
        <v>43647</v>
      </c>
      <c r="C32" s="190"/>
      <c r="D32" s="151">
        <f>(F31+(C32+E32)/2)*H32/12</f>
        <v>0</v>
      </c>
      <c r="F32" s="151">
        <f t="shared" si="23"/>
        <v>-3012484.1402692785</v>
      </c>
      <c r="H32" s="152">
        <f t="shared" si="25"/>
        <v>0</v>
      </c>
      <c r="J32" s="149">
        <f t="shared" si="19"/>
        <v>43647</v>
      </c>
      <c r="L32" s="190"/>
      <c r="M32" s="151">
        <f t="shared" si="20"/>
        <v>0</v>
      </c>
      <c r="O32" s="151">
        <f t="shared" si="21"/>
        <v>-2399499.5104423091</v>
      </c>
      <c r="Q32" s="152">
        <f t="shared" si="24"/>
        <v>0</v>
      </c>
    </row>
    <row r="33" spans="1:17" ht="14.45" hidden="1" customHeight="1">
      <c r="A33" s="149">
        <f t="shared" si="18"/>
        <v>43678</v>
      </c>
      <c r="C33" s="190"/>
      <c r="D33" s="151">
        <f>(F32+(C33+E33)/2)*H33/12</f>
        <v>0</v>
      </c>
      <c r="F33" s="151">
        <f t="shared" si="23"/>
        <v>-3012484.1402692785</v>
      </c>
      <c r="H33" s="152">
        <f t="shared" si="25"/>
        <v>0</v>
      </c>
      <c r="J33" s="149">
        <f t="shared" si="19"/>
        <v>43678</v>
      </c>
      <c r="L33" s="190"/>
      <c r="M33" s="151">
        <f t="shared" si="20"/>
        <v>0</v>
      </c>
      <c r="O33" s="151">
        <f t="shared" si="21"/>
        <v>-2399499.5104423091</v>
      </c>
      <c r="Q33" s="152">
        <f t="shared" si="24"/>
        <v>0</v>
      </c>
    </row>
    <row r="34" spans="1:17" hidden="1">
      <c r="A34" s="149">
        <f t="shared" si="18"/>
        <v>43709</v>
      </c>
      <c r="C34" s="190"/>
      <c r="D34" s="151">
        <f>(F33+(C34+E34)/2)*H34/12</f>
        <v>0</v>
      </c>
      <c r="F34" s="151">
        <f t="shared" si="23"/>
        <v>-3012484.1402692785</v>
      </c>
      <c r="H34" s="152">
        <f t="shared" si="25"/>
        <v>0</v>
      </c>
      <c r="J34" s="149">
        <f t="shared" si="19"/>
        <v>43709</v>
      </c>
      <c r="L34" s="190"/>
      <c r="M34" s="151">
        <f>(O33+(L34+N34)/2)*Q34/12</f>
        <v>0</v>
      </c>
      <c r="O34" s="151">
        <f t="shared" si="21"/>
        <v>-2399499.5104423091</v>
      </c>
      <c r="Q34" s="152">
        <f t="shared" si="24"/>
        <v>0</v>
      </c>
    </row>
    <row r="35" spans="1:17" hidden="1">
      <c r="A35" s="149">
        <f t="shared" si="18"/>
        <v>43739</v>
      </c>
      <c r="C35" s="190"/>
      <c r="D35" s="151">
        <f t="shared" si="22"/>
        <v>0</v>
      </c>
      <c r="F35" s="151">
        <f t="shared" si="23"/>
        <v>-3012484.1402692785</v>
      </c>
      <c r="H35" s="152">
        <f t="shared" si="25"/>
        <v>0</v>
      </c>
      <c r="J35" s="149">
        <f t="shared" si="19"/>
        <v>43739</v>
      </c>
      <c r="L35" s="190"/>
      <c r="M35" s="151">
        <f t="shared" si="20"/>
        <v>0</v>
      </c>
      <c r="O35" s="151">
        <f t="shared" si="21"/>
        <v>-2399499.5104423091</v>
      </c>
      <c r="Q35" s="152">
        <f t="shared" si="24"/>
        <v>0</v>
      </c>
    </row>
    <row r="36" spans="1:17" hidden="1">
      <c r="A36" s="149">
        <f t="shared" si="18"/>
        <v>43770</v>
      </c>
      <c r="C36" s="190"/>
      <c r="D36" s="151">
        <f t="shared" si="22"/>
        <v>0</v>
      </c>
      <c r="E36" s="22"/>
      <c r="F36" s="151">
        <f t="shared" si="23"/>
        <v>-3012484.1402692785</v>
      </c>
      <c r="H36" s="152">
        <f t="shared" si="25"/>
        <v>0</v>
      </c>
      <c r="J36" s="149">
        <f t="shared" si="19"/>
        <v>43770</v>
      </c>
      <c r="L36" s="190"/>
      <c r="M36" s="151">
        <f t="shared" si="20"/>
        <v>0</v>
      </c>
      <c r="N36" s="22"/>
      <c r="O36" s="151">
        <f t="shared" si="21"/>
        <v>-2399499.5104423091</v>
      </c>
      <c r="Q36" s="152">
        <f t="shared" si="24"/>
        <v>0</v>
      </c>
    </row>
    <row r="37" spans="1:17" hidden="1">
      <c r="A37" s="149">
        <f t="shared" si="18"/>
        <v>43800</v>
      </c>
      <c r="B37" s="150"/>
      <c r="C37" s="190"/>
      <c r="D37" s="151">
        <f>(F36+(C37+E37)/2)*H37/12</f>
        <v>0</v>
      </c>
      <c r="E37" s="22"/>
      <c r="F37" s="151">
        <f t="shared" si="23"/>
        <v>-3012484.1402692785</v>
      </c>
      <c r="H37" s="152">
        <f t="shared" si="25"/>
        <v>0</v>
      </c>
      <c r="J37" s="149">
        <f t="shared" si="19"/>
        <v>43800</v>
      </c>
      <c r="K37" s="150"/>
      <c r="L37" s="190"/>
      <c r="M37" s="151">
        <f t="shared" si="20"/>
        <v>0</v>
      </c>
      <c r="N37" s="22"/>
      <c r="O37" s="151">
        <f t="shared" si="21"/>
        <v>-2399499.5104423091</v>
      </c>
      <c r="Q37" s="152">
        <f t="shared" si="24"/>
        <v>0</v>
      </c>
    </row>
    <row r="38" spans="1:17">
      <c r="F38" s="151"/>
      <c r="O38" s="151"/>
    </row>
    <row r="39" spans="1:17">
      <c r="A39" s="73">
        <v>186338</v>
      </c>
      <c r="B39" s="73" t="s">
        <v>53</v>
      </c>
      <c r="C39" s="176" t="s">
        <v>105</v>
      </c>
      <c r="D39" s="176" t="s">
        <v>106</v>
      </c>
      <c r="E39" s="176"/>
      <c r="F39" s="151" t="s">
        <v>108</v>
      </c>
      <c r="H39" s="176" t="s">
        <v>106</v>
      </c>
      <c r="J39" s="73">
        <v>186338</v>
      </c>
      <c r="K39" s="73" t="s">
        <v>54</v>
      </c>
      <c r="L39" s="176" t="s">
        <v>105</v>
      </c>
      <c r="M39" s="176" t="s">
        <v>106</v>
      </c>
      <c r="N39" s="176"/>
      <c r="O39" s="151" t="s">
        <v>108</v>
      </c>
      <c r="Q39" s="176" t="s">
        <v>106</v>
      </c>
    </row>
    <row r="40" spans="1:17">
      <c r="A40" s="180" t="s">
        <v>158</v>
      </c>
      <c r="C40" s="176" t="s">
        <v>109</v>
      </c>
      <c r="D40" s="176" t="s">
        <v>110</v>
      </c>
      <c r="E40" s="176" t="s">
        <v>111</v>
      </c>
      <c r="F40" s="151" t="s">
        <v>107</v>
      </c>
      <c r="H40" s="176" t="s">
        <v>112</v>
      </c>
      <c r="J40" s="180" t="str">
        <f>A40</f>
        <v>Non-Residential</v>
      </c>
      <c r="L40" s="176" t="s">
        <v>109</v>
      </c>
      <c r="M40" s="176" t="s">
        <v>110</v>
      </c>
      <c r="N40" s="176" t="s">
        <v>111</v>
      </c>
      <c r="O40" s="151" t="s">
        <v>107</v>
      </c>
      <c r="Q40" s="176" t="s">
        <v>112</v>
      </c>
    </row>
    <row r="41" spans="1:17" ht="14.45" customHeight="1">
      <c r="A41" s="149">
        <f>$A$25</f>
        <v>43435</v>
      </c>
      <c r="B41" s="150"/>
      <c r="C41" s="150"/>
      <c r="F41" s="190">
        <v>0</v>
      </c>
      <c r="J41" s="149">
        <f>A41</f>
        <v>43435</v>
      </c>
      <c r="K41" s="150"/>
      <c r="L41" s="150"/>
      <c r="O41" s="190">
        <v>0</v>
      </c>
    </row>
    <row r="42" spans="1:17" ht="14.45" customHeight="1">
      <c r="A42" s="149">
        <f>A41+31</f>
        <v>43466</v>
      </c>
      <c r="C42" s="190">
        <f>-'Accounting Balances'!F111</f>
        <v>439563.27</v>
      </c>
      <c r="D42" s="151">
        <f t="shared" ref="D42:D53" si="26">(F41+(C42+E42)/2)*H42/12</f>
        <v>948.72405775000004</v>
      </c>
      <c r="F42" s="151">
        <f t="shared" ref="F42:F53" si="27">F41+C42+D42+E42</f>
        <v>440511.99405775004</v>
      </c>
      <c r="H42" s="152">
        <f>H26</f>
        <v>5.1799999999999999E-2</v>
      </c>
      <c r="J42" s="149">
        <f t="shared" ref="J42:J53" si="28">A42</f>
        <v>43466</v>
      </c>
      <c r="L42" s="190">
        <f>-'Accounting Balances'!F119</f>
        <v>61658.99</v>
      </c>
      <c r="M42" s="151">
        <f t="shared" ref="M42:M53" si="29">(O41+(L42+N42)/2)*Q42/12</f>
        <v>133.08065341666665</v>
      </c>
      <c r="O42" s="151">
        <f t="shared" ref="O42:O53" si="30">O41+L42+M42+N42</f>
        <v>61792.070653416667</v>
      </c>
      <c r="Q42" s="152">
        <f t="shared" ref="Q42:Q53" si="31">H42</f>
        <v>5.1799999999999999E-2</v>
      </c>
    </row>
    <row r="43" spans="1:17" ht="14.45" customHeight="1">
      <c r="A43" s="149">
        <f t="shared" ref="A43:A53" si="32">A42+31</f>
        <v>43497</v>
      </c>
      <c r="C43" s="190">
        <f>-'Accounting Balances'!F112</f>
        <v>-363439.45</v>
      </c>
      <c r="D43" s="151">
        <f t="shared" si="26"/>
        <v>1117.1199614326208</v>
      </c>
      <c r="F43" s="151">
        <f t="shared" si="27"/>
        <v>78189.664019182645</v>
      </c>
      <c r="H43" s="152">
        <f t="shared" ref="H43:H53" si="33">H27</f>
        <v>5.1799999999999999E-2</v>
      </c>
      <c r="J43" s="149">
        <f t="shared" si="28"/>
        <v>43497</v>
      </c>
      <c r="L43" s="190">
        <f>-'Accounting Balances'!F120</f>
        <v>-346060.84</v>
      </c>
      <c r="M43" s="151">
        <f t="shared" si="29"/>
        <v>-480.17887467941813</v>
      </c>
      <c r="O43" s="151">
        <f t="shared" si="30"/>
        <v>-284748.94822126278</v>
      </c>
      <c r="Q43" s="152">
        <f t="shared" si="31"/>
        <v>5.1799999999999999E-2</v>
      </c>
    </row>
    <row r="44" spans="1:17" ht="14.45" customHeight="1">
      <c r="A44" s="149">
        <f t="shared" si="32"/>
        <v>43528</v>
      </c>
      <c r="C44" s="190">
        <f>-'Accounting Balances'!F113</f>
        <v>233575.75</v>
      </c>
      <c r="D44" s="151">
        <f t="shared" si="26"/>
        <v>841.65304343280513</v>
      </c>
      <c r="F44" s="151">
        <f t="shared" si="27"/>
        <v>312607.06706261548</v>
      </c>
      <c r="H44" s="152">
        <f t="shared" si="33"/>
        <v>5.1799999999999999E-2</v>
      </c>
      <c r="J44" s="149">
        <f t="shared" si="28"/>
        <v>43528</v>
      </c>
      <c r="L44" s="190">
        <f>-'Accounting Balances'!F121</f>
        <v>10228.35</v>
      </c>
      <c r="M44" s="151">
        <f t="shared" si="29"/>
        <v>-1207.0901044051177</v>
      </c>
      <c r="O44" s="151">
        <f t="shared" si="30"/>
        <v>-275727.68832566793</v>
      </c>
      <c r="Q44" s="152">
        <f t="shared" si="31"/>
        <v>5.1799999999999999E-2</v>
      </c>
    </row>
    <row r="45" spans="1:17" ht="14.45" hidden="1" customHeight="1">
      <c r="A45" s="149">
        <f t="shared" si="32"/>
        <v>43559</v>
      </c>
      <c r="C45" s="190"/>
      <c r="D45" s="151">
        <f>(F44+(C45+E45)/2)*H45/12</f>
        <v>0</v>
      </c>
      <c r="F45" s="151">
        <f t="shared" si="27"/>
        <v>312607.06706261548</v>
      </c>
      <c r="H45" s="152">
        <f t="shared" si="33"/>
        <v>0</v>
      </c>
      <c r="J45" s="149">
        <f t="shared" si="28"/>
        <v>43559</v>
      </c>
      <c r="L45" s="190"/>
      <c r="M45" s="151">
        <f t="shared" si="29"/>
        <v>0</v>
      </c>
      <c r="O45" s="151">
        <f t="shared" si="30"/>
        <v>-275727.68832566793</v>
      </c>
      <c r="Q45" s="152">
        <f t="shared" si="31"/>
        <v>0</v>
      </c>
    </row>
    <row r="46" spans="1:17" ht="14.45" hidden="1" customHeight="1">
      <c r="A46" s="149">
        <f t="shared" si="32"/>
        <v>43590</v>
      </c>
      <c r="C46" s="190"/>
      <c r="D46" s="151">
        <f>(F45+(C46+E46)/2)*H46/12</f>
        <v>0</v>
      </c>
      <c r="F46" s="151">
        <f t="shared" si="27"/>
        <v>312607.06706261548</v>
      </c>
      <c r="H46" s="152">
        <f t="shared" si="33"/>
        <v>0</v>
      </c>
      <c r="J46" s="149">
        <f t="shared" si="28"/>
        <v>43590</v>
      </c>
      <c r="L46" s="190"/>
      <c r="M46" s="151">
        <f t="shared" si="29"/>
        <v>0</v>
      </c>
      <c r="O46" s="151">
        <f t="shared" si="30"/>
        <v>-275727.68832566793</v>
      </c>
      <c r="Q46" s="152">
        <f t="shared" si="31"/>
        <v>0</v>
      </c>
    </row>
    <row r="47" spans="1:17" ht="14.45" hidden="1" customHeight="1">
      <c r="A47" s="149">
        <f t="shared" si="32"/>
        <v>43621</v>
      </c>
      <c r="C47" s="190"/>
      <c r="D47" s="151">
        <f t="shared" si="26"/>
        <v>0</v>
      </c>
      <c r="F47" s="151">
        <f t="shared" si="27"/>
        <v>312607.06706261548</v>
      </c>
      <c r="H47" s="152">
        <f t="shared" si="33"/>
        <v>0</v>
      </c>
      <c r="J47" s="149">
        <f t="shared" si="28"/>
        <v>43621</v>
      </c>
      <c r="L47" s="190"/>
      <c r="M47" s="151">
        <f>(O46+(L47+N47)/2)*Q47/12</f>
        <v>0</v>
      </c>
      <c r="O47" s="151">
        <f t="shared" si="30"/>
        <v>-275727.68832566793</v>
      </c>
      <c r="Q47" s="152">
        <f t="shared" si="31"/>
        <v>0</v>
      </c>
    </row>
    <row r="48" spans="1:17" ht="14.45" hidden="1" customHeight="1">
      <c r="A48" s="149">
        <f t="shared" si="32"/>
        <v>43652</v>
      </c>
      <c r="C48" s="190"/>
      <c r="D48" s="151">
        <f>(F47+(C48+E48)/2)*H48/12</f>
        <v>0</v>
      </c>
      <c r="F48" s="151">
        <f t="shared" si="27"/>
        <v>312607.06706261548</v>
      </c>
      <c r="H48" s="152">
        <f t="shared" si="33"/>
        <v>0</v>
      </c>
      <c r="J48" s="149">
        <f t="shared" si="28"/>
        <v>43652</v>
      </c>
      <c r="L48" s="190"/>
      <c r="M48" s="151">
        <f t="shared" si="29"/>
        <v>0</v>
      </c>
      <c r="O48" s="151">
        <f t="shared" si="30"/>
        <v>-275727.68832566793</v>
      </c>
      <c r="Q48" s="152">
        <f t="shared" si="31"/>
        <v>0</v>
      </c>
    </row>
    <row r="49" spans="1:18" ht="14.45" hidden="1" customHeight="1">
      <c r="A49" s="149">
        <f t="shared" si="32"/>
        <v>43683</v>
      </c>
      <c r="C49" s="190"/>
      <c r="D49" s="151">
        <f>(F48+(C49+E49)/2)*H49/12</f>
        <v>0</v>
      </c>
      <c r="F49" s="151">
        <f t="shared" si="27"/>
        <v>312607.06706261548</v>
      </c>
      <c r="H49" s="152">
        <f t="shared" si="33"/>
        <v>0</v>
      </c>
      <c r="J49" s="149">
        <f t="shared" si="28"/>
        <v>43683</v>
      </c>
      <c r="L49" s="190"/>
      <c r="M49" s="151">
        <f t="shared" si="29"/>
        <v>0</v>
      </c>
      <c r="O49" s="151">
        <f t="shared" si="30"/>
        <v>-275727.68832566793</v>
      </c>
      <c r="Q49" s="152">
        <f t="shared" si="31"/>
        <v>0</v>
      </c>
    </row>
    <row r="50" spans="1:18" hidden="1">
      <c r="A50" s="149">
        <f t="shared" si="32"/>
        <v>43714</v>
      </c>
      <c r="C50" s="190"/>
      <c r="D50" s="151">
        <f>(F49+(C50+E50)/2)*H50/12</f>
        <v>0</v>
      </c>
      <c r="F50" s="151">
        <f>F49+C50+D50+E50</f>
        <v>312607.06706261548</v>
      </c>
      <c r="H50" s="152">
        <f t="shared" si="33"/>
        <v>0</v>
      </c>
      <c r="J50" s="149">
        <f t="shared" si="28"/>
        <v>43714</v>
      </c>
      <c r="L50" s="190"/>
      <c r="M50" s="151">
        <f>(O49+(L50+N50)/2)*Q50/12</f>
        <v>0</v>
      </c>
      <c r="O50" s="151">
        <f>O49+L50+M50+N50</f>
        <v>-275727.68832566793</v>
      </c>
      <c r="Q50" s="152">
        <f t="shared" si="31"/>
        <v>0</v>
      </c>
    </row>
    <row r="51" spans="1:18" hidden="1">
      <c r="A51" s="149">
        <f t="shared" si="32"/>
        <v>43745</v>
      </c>
      <c r="C51" s="190"/>
      <c r="D51" s="151">
        <f t="shared" si="26"/>
        <v>0</v>
      </c>
      <c r="F51" s="151">
        <f t="shared" si="27"/>
        <v>312607.06706261548</v>
      </c>
      <c r="H51" s="152">
        <f t="shared" si="33"/>
        <v>0</v>
      </c>
      <c r="J51" s="149">
        <f t="shared" si="28"/>
        <v>43745</v>
      </c>
      <c r="L51" s="190"/>
      <c r="M51" s="151">
        <f t="shared" si="29"/>
        <v>0</v>
      </c>
      <c r="O51" s="151">
        <f t="shared" si="30"/>
        <v>-275727.68832566793</v>
      </c>
      <c r="Q51" s="152">
        <f t="shared" si="31"/>
        <v>0</v>
      </c>
    </row>
    <row r="52" spans="1:18" hidden="1">
      <c r="A52" s="149">
        <f t="shared" si="32"/>
        <v>43776</v>
      </c>
      <c r="C52" s="190"/>
      <c r="D52" s="151">
        <f t="shared" si="26"/>
        <v>0</v>
      </c>
      <c r="E52" s="22"/>
      <c r="F52" s="151">
        <f t="shared" si="27"/>
        <v>312607.06706261548</v>
      </c>
      <c r="H52" s="152">
        <f t="shared" si="33"/>
        <v>0</v>
      </c>
      <c r="J52" s="149">
        <f t="shared" si="28"/>
        <v>43776</v>
      </c>
      <c r="L52" s="191"/>
      <c r="M52" s="151">
        <f t="shared" si="29"/>
        <v>0</v>
      </c>
      <c r="N52" s="22"/>
      <c r="O52" s="151">
        <f t="shared" si="30"/>
        <v>-275727.68832566793</v>
      </c>
      <c r="Q52" s="152">
        <f t="shared" si="31"/>
        <v>0</v>
      </c>
    </row>
    <row r="53" spans="1:18" hidden="1">
      <c r="A53" s="149">
        <f t="shared" si="32"/>
        <v>43807</v>
      </c>
      <c r="B53" s="150"/>
      <c r="C53" s="190"/>
      <c r="D53" s="151">
        <f t="shared" si="26"/>
        <v>0</v>
      </c>
      <c r="E53" s="22"/>
      <c r="F53" s="151">
        <f t="shared" si="27"/>
        <v>312607.06706261548</v>
      </c>
      <c r="H53" s="152">
        <f t="shared" si="33"/>
        <v>0</v>
      </c>
      <c r="J53" s="149">
        <f t="shared" si="28"/>
        <v>43807</v>
      </c>
      <c r="K53" s="150"/>
      <c r="L53" s="190"/>
      <c r="M53" s="151">
        <f t="shared" si="29"/>
        <v>0</v>
      </c>
      <c r="N53" s="22"/>
      <c r="O53" s="151">
        <f t="shared" si="30"/>
        <v>-275727.68832566793</v>
      </c>
      <c r="Q53" s="152">
        <f t="shared" si="31"/>
        <v>0</v>
      </c>
    </row>
    <row r="54" spans="1:18">
      <c r="F54" s="151"/>
      <c r="O54" s="151"/>
    </row>
    <row r="55" spans="1:18">
      <c r="A55" s="73">
        <v>182329</v>
      </c>
      <c r="B55" s="73" t="s">
        <v>53</v>
      </c>
      <c r="C55" s="176" t="s">
        <v>105</v>
      </c>
      <c r="D55" s="176" t="s">
        <v>106</v>
      </c>
      <c r="E55" s="176"/>
      <c r="F55" s="151" t="s">
        <v>108</v>
      </c>
      <c r="H55" s="176" t="s">
        <v>106</v>
      </c>
      <c r="J55" s="73">
        <v>182329</v>
      </c>
      <c r="K55" s="73" t="s">
        <v>54</v>
      </c>
      <c r="L55" s="176" t="s">
        <v>105</v>
      </c>
      <c r="M55" s="176" t="s">
        <v>106</v>
      </c>
      <c r="N55" s="176"/>
      <c r="O55" s="151" t="s">
        <v>108</v>
      </c>
      <c r="Q55" s="176" t="s">
        <v>106</v>
      </c>
    </row>
    <row r="56" spans="1:18">
      <c r="A56" s="180" t="s">
        <v>157</v>
      </c>
      <c r="C56" s="176" t="s">
        <v>109</v>
      </c>
      <c r="D56" s="176" t="s">
        <v>110</v>
      </c>
      <c r="E56" s="176" t="s">
        <v>111</v>
      </c>
      <c r="F56" s="151" t="s">
        <v>107</v>
      </c>
      <c r="H56" s="176" t="s">
        <v>112</v>
      </c>
      <c r="J56" s="180" t="str">
        <f>A56</f>
        <v>Residential</v>
      </c>
      <c r="L56" s="176" t="s">
        <v>109</v>
      </c>
      <c r="M56" s="176" t="s">
        <v>110</v>
      </c>
      <c r="N56" s="176" t="s">
        <v>111</v>
      </c>
      <c r="O56" s="151" t="s">
        <v>107</v>
      </c>
      <c r="Q56" s="176" t="s">
        <v>112</v>
      </c>
    </row>
    <row r="57" spans="1:18" ht="14.45" customHeight="1">
      <c r="A57" s="149">
        <f>$A$25</f>
        <v>43435</v>
      </c>
      <c r="B57" s="150"/>
      <c r="C57" s="150"/>
      <c r="F57" s="196">
        <f>'Accounting Balances'!E6</f>
        <v>8620259.25</v>
      </c>
      <c r="J57" s="149">
        <f>A57</f>
        <v>43435</v>
      </c>
      <c r="K57" s="150"/>
      <c r="L57" s="150"/>
      <c r="O57" s="196">
        <f>'Accounting Balances'!E10</f>
        <v>740535.51</v>
      </c>
    </row>
    <row r="58" spans="1:18" ht="14.45" customHeight="1">
      <c r="A58" s="174" t="s">
        <v>178</v>
      </c>
      <c r="B58" s="150"/>
      <c r="C58" s="150"/>
      <c r="F58" s="196">
        <v>0</v>
      </c>
      <c r="I58" s="188"/>
      <c r="J58" s="174" t="str">
        <f t="shared" ref="J58:J70" si="34">A58</f>
        <v>Provision for Rate Refund - December 2018 estimate</v>
      </c>
      <c r="K58" s="150"/>
      <c r="L58" s="150"/>
      <c r="O58" s="196">
        <v>-596814</v>
      </c>
      <c r="R58" s="188"/>
    </row>
    <row r="59" spans="1:18" ht="14.45" customHeight="1">
      <c r="A59" s="149">
        <f>A57+31</f>
        <v>43466</v>
      </c>
      <c r="C59" s="151"/>
      <c r="D59" s="151">
        <f>(F57+F$58+(E59)/2)*H59/12</f>
        <v>37210.785762499996</v>
      </c>
      <c r="F59" s="151">
        <f>F57+C59+D59+E59</f>
        <v>8657470.0357625</v>
      </c>
      <c r="H59" s="152">
        <f t="shared" ref="H59:H70" si="35">H26</f>
        <v>5.1799999999999999E-2</v>
      </c>
      <c r="J59" s="149">
        <f t="shared" si="34"/>
        <v>43466</v>
      </c>
      <c r="L59" s="190"/>
      <c r="M59" s="151">
        <f>(O57+O$58+(N59)/2)*Q59/12</f>
        <v>620.3978515</v>
      </c>
      <c r="O59" s="151">
        <f>O57+L59+M59+N59</f>
        <v>741155.90785149997</v>
      </c>
      <c r="Q59" s="152">
        <f t="shared" ref="Q59:Q70" si="36">H59</f>
        <v>5.1799999999999999E-2</v>
      </c>
    </row>
    <row r="60" spans="1:18" ht="14.45" customHeight="1">
      <c r="A60" s="149">
        <f t="shared" ref="A60:A70" si="37">A59+31</f>
        <v>43497</v>
      </c>
      <c r="C60" s="151"/>
      <c r="D60" s="151">
        <f>(F59+F$58+(E60)/2)*H60/12</f>
        <v>37371.412321041462</v>
      </c>
      <c r="F60" s="151">
        <f>F59+C60+D60+E60</f>
        <v>8694841.4480835423</v>
      </c>
      <c r="H60" s="152">
        <f t="shared" si="35"/>
        <v>5.1799999999999999E-2</v>
      </c>
      <c r="J60" s="149">
        <f t="shared" si="34"/>
        <v>43497</v>
      </c>
      <c r="L60" s="190"/>
      <c r="M60" s="151">
        <f>(O59+O$58+(N60)/2)*Q60/12</f>
        <v>623.07590222564147</v>
      </c>
      <c r="O60" s="151">
        <f t="shared" ref="O60:O70" si="38">O59+L60+M60+N60</f>
        <v>741778.98375372565</v>
      </c>
      <c r="Q60" s="152">
        <f t="shared" si="36"/>
        <v>5.1799999999999999E-2</v>
      </c>
    </row>
    <row r="61" spans="1:18" ht="14.45" customHeight="1">
      <c r="A61" s="149">
        <f t="shared" si="37"/>
        <v>43528</v>
      </c>
      <c r="C61" s="151"/>
      <c r="D61" s="151">
        <f t="shared" ref="D61:D67" si="39">(F60+F$58+(E61)/2)*H61/12</f>
        <v>37532.732250893961</v>
      </c>
      <c r="F61" s="151">
        <f t="shared" ref="F61:F70" si="40">F60+C61+D61+E61</f>
        <v>8732374.1803344358</v>
      </c>
      <c r="H61" s="152">
        <f t="shared" si="35"/>
        <v>5.1799999999999999E-2</v>
      </c>
      <c r="J61" s="149">
        <f t="shared" si="34"/>
        <v>43528</v>
      </c>
      <c r="L61" s="190"/>
      <c r="M61" s="151">
        <f t="shared" ref="M61:M67" si="41">(O60+O$58+(N61)/2)*Q61/12</f>
        <v>625.76551320358237</v>
      </c>
      <c r="O61" s="151">
        <f t="shared" si="38"/>
        <v>742404.74926692923</v>
      </c>
      <c r="Q61" s="152">
        <f t="shared" si="36"/>
        <v>5.1799999999999999E-2</v>
      </c>
    </row>
    <row r="62" spans="1:18" ht="14.45" hidden="1" customHeight="1">
      <c r="A62" s="149">
        <f t="shared" si="37"/>
        <v>43559</v>
      </c>
      <c r="C62" s="151"/>
      <c r="D62" s="151">
        <f t="shared" si="39"/>
        <v>0</v>
      </c>
      <c r="F62" s="151">
        <f t="shared" si="40"/>
        <v>8732374.1803344358</v>
      </c>
      <c r="H62" s="152">
        <f t="shared" si="35"/>
        <v>0</v>
      </c>
      <c r="J62" s="149">
        <f t="shared" si="34"/>
        <v>43559</v>
      </c>
      <c r="L62" s="151"/>
      <c r="M62" s="151">
        <f t="shared" si="41"/>
        <v>0</v>
      </c>
      <c r="O62" s="151">
        <f t="shared" si="38"/>
        <v>742404.74926692923</v>
      </c>
      <c r="Q62" s="152">
        <f t="shared" si="36"/>
        <v>0</v>
      </c>
    </row>
    <row r="63" spans="1:18" ht="14.45" hidden="1" customHeight="1">
      <c r="A63" s="149">
        <f t="shared" si="37"/>
        <v>43590</v>
      </c>
      <c r="C63" s="151"/>
      <c r="D63" s="151">
        <f t="shared" si="39"/>
        <v>0</v>
      </c>
      <c r="F63" s="151">
        <f t="shared" si="40"/>
        <v>8732374.1803344358</v>
      </c>
      <c r="H63" s="152">
        <f t="shared" si="35"/>
        <v>0</v>
      </c>
      <c r="J63" s="149">
        <f t="shared" si="34"/>
        <v>43590</v>
      </c>
      <c r="L63" s="151"/>
      <c r="M63" s="151">
        <f t="shared" si="41"/>
        <v>0</v>
      </c>
      <c r="O63" s="151">
        <f t="shared" si="38"/>
        <v>742404.74926692923</v>
      </c>
      <c r="Q63" s="152">
        <f t="shared" si="36"/>
        <v>0</v>
      </c>
    </row>
    <row r="64" spans="1:18" ht="14.45" hidden="1" customHeight="1">
      <c r="A64" s="149">
        <f t="shared" si="37"/>
        <v>43621</v>
      </c>
      <c r="C64" s="151"/>
      <c r="D64" s="151">
        <f t="shared" si="39"/>
        <v>0</v>
      </c>
      <c r="F64" s="151">
        <f t="shared" si="40"/>
        <v>8732374.1803344358</v>
      </c>
      <c r="H64" s="152">
        <f t="shared" si="35"/>
        <v>0</v>
      </c>
      <c r="J64" s="149">
        <f t="shared" si="34"/>
        <v>43621</v>
      </c>
      <c r="L64" s="151"/>
      <c r="M64" s="151">
        <f t="shared" si="41"/>
        <v>0</v>
      </c>
      <c r="O64" s="151">
        <f t="shared" si="38"/>
        <v>742404.74926692923</v>
      </c>
      <c r="Q64" s="152">
        <f t="shared" si="36"/>
        <v>0</v>
      </c>
    </row>
    <row r="65" spans="1:17" ht="14.45" hidden="1" customHeight="1">
      <c r="A65" s="149">
        <f t="shared" si="37"/>
        <v>43652</v>
      </c>
      <c r="C65" s="151"/>
      <c r="D65" s="151">
        <f t="shared" si="39"/>
        <v>0</v>
      </c>
      <c r="F65" s="151">
        <f>F64+C65+D65+E65</f>
        <v>8732374.1803344358</v>
      </c>
      <c r="H65" s="152">
        <f t="shared" si="35"/>
        <v>0</v>
      </c>
      <c r="J65" s="149">
        <f t="shared" si="34"/>
        <v>43652</v>
      </c>
      <c r="L65" s="151"/>
      <c r="M65" s="151">
        <f t="shared" si="41"/>
        <v>0</v>
      </c>
      <c r="O65" s="151">
        <f t="shared" si="38"/>
        <v>742404.74926692923</v>
      </c>
      <c r="Q65" s="152">
        <f t="shared" si="36"/>
        <v>0</v>
      </c>
    </row>
    <row r="66" spans="1:17" ht="14.45" hidden="1" customHeight="1">
      <c r="A66" s="149">
        <f>A65+31</f>
        <v>43683</v>
      </c>
      <c r="C66" s="151"/>
      <c r="D66" s="151">
        <f t="shared" si="39"/>
        <v>0</v>
      </c>
      <c r="F66" s="151">
        <f>F65+C66+D66+E66</f>
        <v>8732374.1803344358</v>
      </c>
      <c r="H66" s="152">
        <f t="shared" si="35"/>
        <v>0</v>
      </c>
      <c r="J66" s="149">
        <f t="shared" si="34"/>
        <v>43683</v>
      </c>
      <c r="L66" s="151"/>
      <c r="M66" s="151">
        <f t="shared" si="41"/>
        <v>0</v>
      </c>
      <c r="O66" s="151">
        <f t="shared" si="38"/>
        <v>742404.74926692923</v>
      </c>
      <c r="Q66" s="152">
        <f t="shared" si="36"/>
        <v>0</v>
      </c>
    </row>
    <row r="67" spans="1:17" hidden="1">
      <c r="A67" s="149">
        <f t="shared" si="37"/>
        <v>43714</v>
      </c>
      <c r="C67" s="151">
        <f>F58</f>
        <v>0</v>
      </c>
      <c r="D67" s="151">
        <f t="shared" si="39"/>
        <v>0</v>
      </c>
      <c r="F67" s="151">
        <f>F66+C67+D67+E67</f>
        <v>8732374.1803344358</v>
      </c>
      <c r="H67" s="152">
        <f t="shared" si="35"/>
        <v>0</v>
      </c>
      <c r="J67" s="149">
        <f t="shared" si="34"/>
        <v>43714</v>
      </c>
      <c r="L67" s="151">
        <f>O58</f>
        <v>-596814</v>
      </c>
      <c r="M67" s="151">
        <f t="shared" si="41"/>
        <v>0</v>
      </c>
      <c r="O67" s="151">
        <f t="shared" si="38"/>
        <v>145590.74926692923</v>
      </c>
      <c r="Q67" s="152">
        <f t="shared" si="36"/>
        <v>0</v>
      </c>
    </row>
    <row r="68" spans="1:17" hidden="1">
      <c r="A68" s="149">
        <f t="shared" si="37"/>
        <v>43745</v>
      </c>
      <c r="C68" s="151"/>
      <c r="D68" s="151">
        <f>(F67+(E68)/2)*H68/12</f>
        <v>0</v>
      </c>
      <c r="F68" s="151">
        <f t="shared" si="40"/>
        <v>8732374.1803344358</v>
      </c>
      <c r="H68" s="152">
        <f t="shared" si="35"/>
        <v>0</v>
      </c>
      <c r="J68" s="149">
        <f t="shared" si="34"/>
        <v>43745</v>
      </c>
      <c r="L68" s="151"/>
      <c r="M68" s="151">
        <f>(O67+(L68+N68)/2)*Q68/12</f>
        <v>0</v>
      </c>
      <c r="O68" s="151">
        <f t="shared" si="38"/>
        <v>145590.74926692923</v>
      </c>
      <c r="Q68" s="152">
        <f t="shared" si="36"/>
        <v>0</v>
      </c>
    </row>
    <row r="69" spans="1:17" hidden="1">
      <c r="A69" s="149">
        <f t="shared" si="37"/>
        <v>43776</v>
      </c>
      <c r="B69" s="73" t="s">
        <v>139</v>
      </c>
      <c r="C69" s="151">
        <f>-F68</f>
        <v>-8732374.1803344358</v>
      </c>
      <c r="D69" s="151">
        <v>0</v>
      </c>
      <c r="E69" s="185"/>
      <c r="F69" s="151">
        <f t="shared" si="40"/>
        <v>0</v>
      </c>
      <c r="H69" s="152">
        <f t="shared" si="35"/>
        <v>0</v>
      </c>
      <c r="J69" s="149">
        <f t="shared" si="34"/>
        <v>43776</v>
      </c>
      <c r="K69" s="73" t="s">
        <v>139</v>
      </c>
      <c r="L69" s="151">
        <f>-O68</f>
        <v>-145590.74926692923</v>
      </c>
      <c r="M69" s="151">
        <v>0</v>
      </c>
      <c r="N69" s="185"/>
      <c r="O69" s="151">
        <f>O68+L69+M69+N69</f>
        <v>0</v>
      </c>
      <c r="Q69" s="152">
        <f t="shared" si="36"/>
        <v>0</v>
      </c>
    </row>
    <row r="70" spans="1:17" hidden="1">
      <c r="A70" s="149">
        <f t="shared" si="37"/>
        <v>43807</v>
      </c>
      <c r="B70" s="150"/>
      <c r="C70" s="151"/>
      <c r="D70" s="151">
        <f t="shared" ref="D70" si="42">(F69+(E70)/2)*H70/12</f>
        <v>0</v>
      </c>
      <c r="E70" s="22"/>
      <c r="F70" s="151">
        <f t="shared" si="40"/>
        <v>0</v>
      </c>
      <c r="H70" s="152">
        <f t="shared" si="35"/>
        <v>0</v>
      </c>
      <c r="J70" s="149">
        <f t="shared" si="34"/>
        <v>43807</v>
      </c>
      <c r="K70" s="150"/>
      <c r="L70" s="151"/>
      <c r="M70" s="151">
        <f t="shared" ref="M70" si="43">(O69+(L70+N70)/2)*Q70/12</f>
        <v>0</v>
      </c>
      <c r="N70" s="22"/>
      <c r="O70" s="151">
        <f t="shared" si="38"/>
        <v>0</v>
      </c>
      <c r="Q70" s="152">
        <f t="shared" si="36"/>
        <v>0</v>
      </c>
    </row>
    <row r="71" spans="1:17" ht="30.75" hidden="1" customHeight="1">
      <c r="B71" s="155" t="s">
        <v>139</v>
      </c>
      <c r="C71" s="246" t="s">
        <v>147</v>
      </c>
      <c r="D71" s="246"/>
      <c r="E71" s="246"/>
      <c r="F71" s="246"/>
      <c r="G71" s="246"/>
      <c r="H71" s="246"/>
      <c r="K71" s="155" t="s">
        <v>139</v>
      </c>
      <c r="L71" s="246" t="s">
        <v>147</v>
      </c>
      <c r="M71" s="246"/>
      <c r="N71" s="246"/>
      <c r="O71" s="246"/>
      <c r="P71" s="246"/>
      <c r="Q71" s="246"/>
    </row>
    <row r="72" spans="1:17" ht="14.45" customHeight="1">
      <c r="B72" s="155"/>
      <c r="C72" s="175"/>
      <c r="D72" s="175"/>
      <c r="E72" s="175"/>
      <c r="F72" s="175"/>
      <c r="G72" s="175"/>
      <c r="H72" s="175"/>
      <c r="O72" s="151"/>
    </row>
    <row r="73" spans="1:17">
      <c r="A73" s="73">
        <v>182339</v>
      </c>
      <c r="B73" s="73" t="s">
        <v>53</v>
      </c>
      <c r="C73" s="176" t="s">
        <v>105</v>
      </c>
      <c r="D73" s="176" t="s">
        <v>106</v>
      </c>
      <c r="E73" s="176"/>
      <c r="F73" s="151" t="s">
        <v>108</v>
      </c>
      <c r="H73" s="176" t="s">
        <v>106</v>
      </c>
      <c r="J73" s="73">
        <v>182339</v>
      </c>
      <c r="K73" s="73" t="s">
        <v>54</v>
      </c>
      <c r="L73" s="176" t="s">
        <v>105</v>
      </c>
      <c r="M73" s="176" t="s">
        <v>106</v>
      </c>
      <c r="N73" s="176"/>
      <c r="O73" s="151" t="s">
        <v>108</v>
      </c>
      <c r="Q73" s="176" t="s">
        <v>106</v>
      </c>
    </row>
    <row r="74" spans="1:17">
      <c r="A74" s="180" t="s">
        <v>158</v>
      </c>
      <c r="C74" s="176" t="s">
        <v>109</v>
      </c>
      <c r="D74" s="176" t="s">
        <v>110</v>
      </c>
      <c r="E74" s="176" t="s">
        <v>111</v>
      </c>
      <c r="F74" s="151" t="s">
        <v>107</v>
      </c>
      <c r="H74" s="176" t="s">
        <v>112</v>
      </c>
      <c r="J74" s="180" t="str">
        <f>A74</f>
        <v>Non-Residential</v>
      </c>
      <c r="L74" s="176" t="s">
        <v>109</v>
      </c>
      <c r="M74" s="176" t="s">
        <v>110</v>
      </c>
      <c r="N74" s="176" t="s">
        <v>111</v>
      </c>
      <c r="O74" s="151" t="s">
        <v>107</v>
      </c>
      <c r="Q74" s="176" t="s">
        <v>112</v>
      </c>
    </row>
    <row r="75" spans="1:17" ht="14.45" customHeight="1">
      <c r="A75" s="149">
        <f>$A$25</f>
        <v>43435</v>
      </c>
      <c r="B75" s="150"/>
      <c r="C75" s="150"/>
      <c r="F75" s="196">
        <f>'Accounting Balances'!E15</f>
        <v>7051825</v>
      </c>
      <c r="J75" s="149">
        <f>A75</f>
        <v>43435</v>
      </c>
      <c r="K75" s="150"/>
      <c r="L75" s="150"/>
      <c r="O75" s="196">
        <f>'Accounting Balances'!E19</f>
        <v>984241.48</v>
      </c>
    </row>
    <row r="76" spans="1:17" ht="14.45" customHeight="1">
      <c r="A76" s="174" t="str">
        <f>A58</f>
        <v>Provision for Rate Refund - December 2018 estimate</v>
      </c>
      <c r="B76" s="150"/>
      <c r="C76" s="150"/>
      <c r="F76" s="196">
        <v>0</v>
      </c>
      <c r="J76" s="174" t="str">
        <f t="shared" ref="J76:J88" si="44">A76</f>
        <v>Provision for Rate Refund - December 2018 estimate</v>
      </c>
      <c r="K76" s="150"/>
      <c r="L76" s="150"/>
      <c r="O76" s="196">
        <v>-178269</v>
      </c>
    </row>
    <row r="77" spans="1:17" ht="14.45" customHeight="1">
      <c r="A77" s="149">
        <f>A75+31</f>
        <v>43466</v>
      </c>
      <c r="C77" s="151"/>
      <c r="D77" s="151">
        <f>(F75+F$76+(E77)/2)*H77/12</f>
        <v>30440.377916666665</v>
      </c>
      <c r="F77" s="151">
        <f>F75+C77+D77+E77</f>
        <v>7082265.3779166667</v>
      </c>
      <c r="H77" s="152">
        <f t="shared" ref="H77:H88" si="45">H26</f>
        <v>5.1799999999999999E-2</v>
      </c>
      <c r="J77" s="149">
        <f t="shared" si="44"/>
        <v>43466</v>
      </c>
      <c r="L77" s="151"/>
      <c r="M77" s="151">
        <f>(O75+O$76+(N77)/2)*Q77/12</f>
        <v>3479.1145386666667</v>
      </c>
      <c r="O77" s="151">
        <f>O75+L77+M77+N77</f>
        <v>987720.59453866666</v>
      </c>
      <c r="Q77" s="152">
        <f t="shared" ref="Q77:Q88" si="46">H77</f>
        <v>5.1799999999999999E-2</v>
      </c>
    </row>
    <row r="78" spans="1:17" ht="14.45" customHeight="1">
      <c r="A78" s="149">
        <f t="shared" ref="A78:A88" si="47">A77+31</f>
        <v>43497</v>
      </c>
      <c r="C78" s="151"/>
      <c r="D78" s="151">
        <f>(F77+F$76+(E78)/2)*H78/12</f>
        <v>30571.778881340277</v>
      </c>
      <c r="F78" s="151">
        <f>F77+C78+D78+E78</f>
        <v>7112837.156798007</v>
      </c>
      <c r="H78" s="152">
        <f t="shared" si="45"/>
        <v>5.1799999999999999E-2</v>
      </c>
      <c r="J78" s="149">
        <f t="shared" si="44"/>
        <v>43497</v>
      </c>
      <c r="L78" s="151"/>
      <c r="M78" s="151">
        <f>(O77+O$76+(N78)/2)*Q78/12</f>
        <v>3494.1327164252439</v>
      </c>
      <c r="O78" s="151">
        <f>O77+L78+M78+N78</f>
        <v>991214.72725509189</v>
      </c>
      <c r="Q78" s="152">
        <f t="shared" si="46"/>
        <v>5.1799999999999999E-2</v>
      </c>
    </row>
    <row r="79" spans="1:17" ht="14.45" customHeight="1">
      <c r="A79" s="149">
        <f t="shared" si="47"/>
        <v>43528</v>
      </c>
      <c r="C79" s="151"/>
      <c r="D79" s="151">
        <f t="shared" ref="D79:D85" si="48">(F78+F$76+(E79)/2)*H79/12</f>
        <v>30703.747060178062</v>
      </c>
      <c r="F79" s="151">
        <f>F78+C79+D79+E79</f>
        <v>7143540.9038581848</v>
      </c>
      <c r="H79" s="152">
        <f t="shared" si="45"/>
        <v>5.1799999999999999E-2</v>
      </c>
      <c r="J79" s="149">
        <f t="shared" si="44"/>
        <v>43528</v>
      </c>
      <c r="L79" s="151"/>
      <c r="M79" s="151">
        <f t="shared" ref="M79:M85" si="49">(O78+O$76+(N79)/2)*Q79/12</f>
        <v>3509.2157226511463</v>
      </c>
      <c r="O79" s="151">
        <f>O78+L79+M79+N79</f>
        <v>994723.94297774299</v>
      </c>
      <c r="Q79" s="152">
        <f t="shared" si="46"/>
        <v>5.1799999999999999E-2</v>
      </c>
    </row>
    <row r="80" spans="1:17" ht="14.45" hidden="1" customHeight="1">
      <c r="A80" s="149">
        <f t="shared" si="47"/>
        <v>43559</v>
      </c>
      <c r="C80" s="151"/>
      <c r="D80" s="151">
        <f t="shared" si="48"/>
        <v>0</v>
      </c>
      <c r="F80" s="151">
        <f t="shared" ref="F80:F88" si="50">F79+C80+D80+E80</f>
        <v>7143540.9038581848</v>
      </c>
      <c r="H80" s="152">
        <f t="shared" si="45"/>
        <v>0</v>
      </c>
      <c r="J80" s="149">
        <f t="shared" si="44"/>
        <v>43559</v>
      </c>
      <c r="L80" s="151"/>
      <c r="M80" s="151">
        <f t="shared" si="49"/>
        <v>0</v>
      </c>
      <c r="O80" s="151">
        <f t="shared" ref="O80:O86" si="51">O79+L80+M80+N80</f>
        <v>994723.94297774299</v>
      </c>
      <c r="Q80" s="152">
        <f t="shared" si="46"/>
        <v>0</v>
      </c>
    </row>
    <row r="81" spans="1:17" ht="14.45" hidden="1" customHeight="1">
      <c r="A81" s="149">
        <f t="shared" si="47"/>
        <v>43590</v>
      </c>
      <c r="C81" s="151"/>
      <c r="D81" s="151">
        <f t="shared" si="48"/>
        <v>0</v>
      </c>
      <c r="F81" s="151">
        <f t="shared" si="50"/>
        <v>7143540.9038581848</v>
      </c>
      <c r="H81" s="152">
        <f t="shared" si="45"/>
        <v>0</v>
      </c>
      <c r="J81" s="149">
        <f t="shared" si="44"/>
        <v>43590</v>
      </c>
      <c r="L81" s="151"/>
      <c r="M81" s="151">
        <f t="shared" si="49"/>
        <v>0</v>
      </c>
      <c r="O81" s="151">
        <f t="shared" si="51"/>
        <v>994723.94297774299</v>
      </c>
      <c r="Q81" s="152">
        <f t="shared" si="46"/>
        <v>0</v>
      </c>
    </row>
    <row r="82" spans="1:17" ht="14.45" hidden="1" customHeight="1">
      <c r="A82" s="149">
        <f t="shared" si="47"/>
        <v>43621</v>
      </c>
      <c r="C82" s="151"/>
      <c r="D82" s="151">
        <f t="shared" si="48"/>
        <v>0</v>
      </c>
      <c r="F82" s="151">
        <f t="shared" si="50"/>
        <v>7143540.9038581848</v>
      </c>
      <c r="H82" s="152">
        <f t="shared" si="45"/>
        <v>0</v>
      </c>
      <c r="J82" s="149">
        <f t="shared" si="44"/>
        <v>43621</v>
      </c>
      <c r="L82" s="151"/>
      <c r="M82" s="151">
        <f t="shared" si="49"/>
        <v>0</v>
      </c>
      <c r="O82" s="151">
        <f t="shared" si="51"/>
        <v>994723.94297774299</v>
      </c>
      <c r="Q82" s="152">
        <f t="shared" si="46"/>
        <v>0</v>
      </c>
    </row>
    <row r="83" spans="1:17" ht="14.45" hidden="1" customHeight="1">
      <c r="A83" s="149">
        <f t="shared" si="47"/>
        <v>43652</v>
      </c>
      <c r="C83" s="151"/>
      <c r="D83" s="151">
        <f t="shared" si="48"/>
        <v>0</v>
      </c>
      <c r="F83" s="151">
        <f>F82+C83+D83+E83</f>
        <v>7143540.9038581848</v>
      </c>
      <c r="H83" s="152">
        <f t="shared" si="45"/>
        <v>0</v>
      </c>
      <c r="J83" s="149">
        <f t="shared" si="44"/>
        <v>43652</v>
      </c>
      <c r="L83" s="151"/>
      <c r="M83" s="151">
        <f t="shared" si="49"/>
        <v>0</v>
      </c>
      <c r="O83" s="151">
        <f t="shared" si="51"/>
        <v>994723.94297774299</v>
      </c>
      <c r="Q83" s="152">
        <f t="shared" si="46"/>
        <v>0</v>
      </c>
    </row>
    <row r="84" spans="1:17" ht="14.45" hidden="1" customHeight="1">
      <c r="A84" s="149">
        <f>A83+31</f>
        <v>43683</v>
      </c>
      <c r="C84" s="151"/>
      <c r="D84" s="151">
        <f t="shared" si="48"/>
        <v>0</v>
      </c>
      <c r="F84" s="151">
        <f>F83+C84+D84+E84</f>
        <v>7143540.9038581848</v>
      </c>
      <c r="H84" s="152">
        <f t="shared" si="45"/>
        <v>0</v>
      </c>
      <c r="J84" s="149">
        <f t="shared" si="44"/>
        <v>43683</v>
      </c>
      <c r="L84" s="151"/>
      <c r="M84" s="151">
        <f t="shared" si="49"/>
        <v>0</v>
      </c>
      <c r="O84" s="151">
        <f t="shared" si="51"/>
        <v>994723.94297774299</v>
      </c>
      <c r="Q84" s="152">
        <f t="shared" si="46"/>
        <v>0</v>
      </c>
    </row>
    <row r="85" spans="1:17" hidden="1">
      <c r="A85" s="149">
        <f t="shared" si="47"/>
        <v>43714</v>
      </c>
      <c r="C85" s="151">
        <f>F76</f>
        <v>0</v>
      </c>
      <c r="D85" s="151">
        <f t="shared" si="48"/>
        <v>0</v>
      </c>
      <c r="F85" s="151">
        <f>F84+C85+D85+E85</f>
        <v>7143540.9038581848</v>
      </c>
      <c r="H85" s="152">
        <f t="shared" si="45"/>
        <v>0</v>
      </c>
      <c r="J85" s="149">
        <f t="shared" si="44"/>
        <v>43714</v>
      </c>
      <c r="L85" s="151">
        <f>O76</f>
        <v>-178269</v>
      </c>
      <c r="M85" s="151">
        <f t="shared" si="49"/>
        <v>0</v>
      </c>
      <c r="O85" s="151">
        <f t="shared" si="51"/>
        <v>816454.94297774299</v>
      </c>
      <c r="Q85" s="152">
        <f t="shared" si="46"/>
        <v>0</v>
      </c>
    </row>
    <row r="86" spans="1:17" hidden="1">
      <c r="A86" s="149">
        <f t="shared" si="47"/>
        <v>43745</v>
      </c>
      <c r="C86" s="151"/>
      <c r="D86" s="151">
        <f>(F85+(C86+E86)/2)*H86/12</f>
        <v>0</v>
      </c>
      <c r="F86" s="151">
        <f>F85+C86+D86+E86</f>
        <v>7143540.9038581848</v>
      </c>
      <c r="H86" s="152">
        <f t="shared" si="45"/>
        <v>0</v>
      </c>
      <c r="J86" s="149">
        <f t="shared" si="44"/>
        <v>43745</v>
      </c>
      <c r="L86" s="151"/>
      <c r="M86" s="151">
        <f>(O85+(L86+N86)/2)*Q86/12</f>
        <v>0</v>
      </c>
      <c r="O86" s="151">
        <f t="shared" si="51"/>
        <v>816454.94297774299</v>
      </c>
      <c r="Q86" s="152">
        <f t="shared" si="46"/>
        <v>0</v>
      </c>
    </row>
    <row r="87" spans="1:17" hidden="1">
      <c r="A87" s="149">
        <f t="shared" si="47"/>
        <v>43776</v>
      </c>
      <c r="B87" s="73" t="s">
        <v>139</v>
      </c>
      <c r="C87" s="151">
        <f>-F86</f>
        <v>-7143540.9038581848</v>
      </c>
      <c r="D87" s="151">
        <f>(F86+C87+(E87)/2)*H87/12</f>
        <v>0</v>
      </c>
      <c r="E87" s="186"/>
      <c r="F87" s="151">
        <f t="shared" si="50"/>
        <v>0</v>
      </c>
      <c r="H87" s="152">
        <f t="shared" si="45"/>
        <v>0</v>
      </c>
      <c r="J87" s="149">
        <f t="shared" si="44"/>
        <v>43776</v>
      </c>
      <c r="K87" s="73" t="s">
        <v>139</v>
      </c>
      <c r="L87" s="151">
        <f>-O86</f>
        <v>-816454.94297774299</v>
      </c>
      <c r="M87" s="151">
        <f>(O86+L87+(N87)/2)*Q87/12</f>
        <v>0</v>
      </c>
      <c r="N87" s="187"/>
      <c r="O87" s="151">
        <f>O86+L87+M87+N87</f>
        <v>0</v>
      </c>
      <c r="Q87" s="152">
        <f t="shared" si="46"/>
        <v>0</v>
      </c>
    </row>
    <row r="88" spans="1:17" hidden="1">
      <c r="A88" s="149">
        <f t="shared" si="47"/>
        <v>43807</v>
      </c>
      <c r="C88" s="151"/>
      <c r="D88" s="151">
        <f t="shared" ref="D88" si="52">(F87+(C88+E88)/2)*H88/12</f>
        <v>0</v>
      </c>
      <c r="F88" s="151">
        <f t="shared" si="50"/>
        <v>0</v>
      </c>
      <c r="H88" s="152">
        <f t="shared" si="45"/>
        <v>0</v>
      </c>
      <c r="J88" s="149">
        <f t="shared" si="44"/>
        <v>43807</v>
      </c>
      <c r="L88" s="151"/>
      <c r="M88" s="151">
        <f t="shared" ref="M88" si="53">(O87+(L88+N88)/2)*Q88/12</f>
        <v>0</v>
      </c>
      <c r="O88" s="151">
        <f t="shared" ref="O88" si="54">O87+L88+M88+N88</f>
        <v>0</v>
      </c>
      <c r="Q88" s="152">
        <f t="shared" si="46"/>
        <v>0</v>
      </c>
    </row>
    <row r="89" spans="1:17" ht="29.25" hidden="1" customHeight="1">
      <c r="A89" s="149"/>
      <c r="B89" s="155" t="s">
        <v>139</v>
      </c>
      <c r="C89" s="246" t="s">
        <v>147</v>
      </c>
      <c r="D89" s="246"/>
      <c r="E89" s="246"/>
      <c r="F89" s="246"/>
      <c r="G89" s="246"/>
      <c r="H89" s="246"/>
      <c r="J89" s="149"/>
      <c r="K89" s="155" t="s">
        <v>139</v>
      </c>
      <c r="L89" s="246" t="s">
        <v>147</v>
      </c>
      <c r="M89" s="246"/>
      <c r="N89" s="246"/>
      <c r="O89" s="246"/>
      <c r="P89" s="246"/>
      <c r="Q89" s="246"/>
    </row>
    <row r="90" spans="1:17" ht="14.45" customHeight="1">
      <c r="A90" s="149"/>
      <c r="B90" s="155"/>
      <c r="C90" s="175"/>
      <c r="D90" s="175"/>
      <c r="E90" s="175"/>
      <c r="F90" s="175"/>
      <c r="G90" s="175"/>
      <c r="H90" s="175"/>
      <c r="J90" s="149"/>
      <c r="L90" s="151"/>
      <c r="M90" s="151"/>
      <c r="O90" s="151"/>
      <c r="Q90" s="152"/>
    </row>
    <row r="91" spans="1:17">
      <c r="A91" s="73">
        <v>182328</v>
      </c>
      <c r="B91" s="73" t="s">
        <v>53</v>
      </c>
      <c r="C91" s="176" t="s">
        <v>105</v>
      </c>
      <c r="D91" s="176" t="s">
        <v>106</v>
      </c>
      <c r="E91" s="176"/>
      <c r="F91" s="151" t="s">
        <v>108</v>
      </c>
      <c r="H91" s="176" t="s">
        <v>106</v>
      </c>
      <c r="J91" s="73">
        <v>182328</v>
      </c>
      <c r="K91" s="73" t="s">
        <v>54</v>
      </c>
      <c r="L91" s="176" t="s">
        <v>105</v>
      </c>
      <c r="M91" s="176" t="s">
        <v>106</v>
      </c>
      <c r="N91" s="176"/>
      <c r="O91" s="151" t="s">
        <v>108</v>
      </c>
      <c r="Q91" s="176" t="s">
        <v>106</v>
      </c>
    </row>
    <row r="92" spans="1:17">
      <c r="A92" s="180" t="s">
        <v>157</v>
      </c>
      <c r="C92" s="176" t="s">
        <v>109</v>
      </c>
      <c r="D92" s="176" t="s">
        <v>110</v>
      </c>
      <c r="E92" s="176" t="s">
        <v>111</v>
      </c>
      <c r="F92" s="151" t="s">
        <v>107</v>
      </c>
      <c r="H92" s="176" t="s">
        <v>112</v>
      </c>
      <c r="J92" s="180" t="str">
        <f>A92</f>
        <v>Residential</v>
      </c>
      <c r="L92" s="176" t="s">
        <v>109</v>
      </c>
      <c r="M92" s="176" t="s">
        <v>110</v>
      </c>
      <c r="N92" s="176" t="s">
        <v>111</v>
      </c>
      <c r="O92" s="151" t="s">
        <v>107</v>
      </c>
      <c r="Q92" s="176" t="s">
        <v>112</v>
      </c>
    </row>
    <row r="93" spans="1:17" ht="14.45" customHeight="1">
      <c r="A93" s="149">
        <f>$A$25</f>
        <v>43435</v>
      </c>
      <c r="B93" s="150"/>
      <c r="C93" s="150"/>
      <c r="F93" s="196">
        <f>'Accounting Balances'!E50</f>
        <v>0</v>
      </c>
      <c r="J93" s="149">
        <f t="shared" ref="J93:J105" si="55">A93</f>
        <v>43435</v>
      </c>
      <c r="K93" s="150"/>
      <c r="L93" s="150"/>
      <c r="O93" s="196">
        <f>'Accounting Balances'!E54</f>
        <v>0</v>
      </c>
    </row>
    <row r="94" spans="1:17" ht="14.45" customHeight="1">
      <c r="A94" s="149">
        <f>A93+31</f>
        <v>43466</v>
      </c>
      <c r="C94" s="151"/>
      <c r="D94" s="151">
        <f t="shared" ref="D94:D97" si="56">(F93+(C94+E94)/2)*H94/12</f>
        <v>0</v>
      </c>
      <c r="E94" s="196"/>
      <c r="F94" s="154">
        <f t="shared" ref="F94:F99" si="57">F93+C94+D94+E94</f>
        <v>0</v>
      </c>
      <c r="G94" s="38"/>
      <c r="H94" s="197">
        <f t="shared" ref="H94:H102" si="58">H26</f>
        <v>5.1799999999999999E-2</v>
      </c>
      <c r="I94" s="38"/>
      <c r="J94" s="198">
        <f t="shared" si="55"/>
        <v>43466</v>
      </c>
      <c r="K94" s="38"/>
      <c r="L94" s="154"/>
      <c r="M94" s="154">
        <f t="shared" ref="M94:M98" si="59">(O93+(L94+N94)/2)*Q94/12</f>
        <v>0</v>
      </c>
      <c r="N94" s="196"/>
      <c r="O94" s="151">
        <f t="shared" ref="O94:O105" si="60">O93+L94+M94+N94</f>
        <v>0</v>
      </c>
      <c r="Q94" s="152">
        <f>H94</f>
        <v>5.1799999999999999E-2</v>
      </c>
    </row>
    <row r="95" spans="1:17" ht="14.45" customHeight="1">
      <c r="A95" s="149">
        <f t="shared" ref="A95:A105" si="61">A94+31</f>
        <v>43497</v>
      </c>
      <c r="C95" s="151"/>
      <c r="D95" s="151">
        <f t="shared" si="56"/>
        <v>0</v>
      </c>
      <c r="E95" s="196"/>
      <c r="F95" s="154">
        <f t="shared" si="57"/>
        <v>0</v>
      </c>
      <c r="G95" s="38"/>
      <c r="H95" s="197">
        <f t="shared" si="58"/>
        <v>5.1799999999999999E-2</v>
      </c>
      <c r="I95" s="38"/>
      <c r="J95" s="198">
        <f t="shared" si="55"/>
        <v>43497</v>
      </c>
      <c r="K95" s="38"/>
      <c r="L95" s="154"/>
      <c r="M95" s="154">
        <f t="shared" si="59"/>
        <v>0</v>
      </c>
      <c r="N95" s="196"/>
      <c r="O95" s="151">
        <f t="shared" si="60"/>
        <v>0</v>
      </c>
      <c r="Q95" s="152">
        <f t="shared" ref="Q95:Q105" si="62">H95</f>
        <v>5.1799999999999999E-2</v>
      </c>
    </row>
    <row r="96" spans="1:17" ht="14.45" customHeight="1">
      <c r="A96" s="149">
        <f t="shared" si="61"/>
        <v>43528</v>
      </c>
      <c r="C96" s="151"/>
      <c r="D96" s="151">
        <f t="shared" si="56"/>
        <v>0</v>
      </c>
      <c r="E96" s="196"/>
      <c r="F96" s="154">
        <f t="shared" si="57"/>
        <v>0</v>
      </c>
      <c r="G96" s="38"/>
      <c r="H96" s="197">
        <f t="shared" si="58"/>
        <v>5.1799999999999999E-2</v>
      </c>
      <c r="I96" s="38"/>
      <c r="J96" s="198">
        <f t="shared" si="55"/>
        <v>43528</v>
      </c>
      <c r="K96" s="38"/>
      <c r="L96" s="154"/>
      <c r="M96" s="154">
        <f t="shared" si="59"/>
        <v>0</v>
      </c>
      <c r="N96" s="196"/>
      <c r="O96" s="151">
        <f t="shared" si="60"/>
        <v>0</v>
      </c>
      <c r="Q96" s="152">
        <f t="shared" si="62"/>
        <v>5.1799999999999999E-2</v>
      </c>
    </row>
    <row r="97" spans="1:20" ht="14.45" hidden="1" customHeight="1">
      <c r="A97" s="149">
        <f t="shared" si="61"/>
        <v>43559</v>
      </c>
      <c r="C97" s="151"/>
      <c r="D97" s="151">
        <f t="shared" si="56"/>
        <v>0</v>
      </c>
      <c r="E97" s="196"/>
      <c r="F97" s="154">
        <f>F96+C97+D97+E97</f>
        <v>0</v>
      </c>
      <c r="G97" s="38"/>
      <c r="H97" s="197">
        <f t="shared" si="58"/>
        <v>0</v>
      </c>
      <c r="I97" s="38"/>
      <c r="J97" s="198">
        <f t="shared" si="55"/>
        <v>43559</v>
      </c>
      <c r="K97" s="38"/>
      <c r="L97" s="154"/>
      <c r="M97" s="154">
        <f t="shared" si="59"/>
        <v>0</v>
      </c>
      <c r="N97" s="196"/>
      <c r="O97" s="151">
        <f t="shared" si="60"/>
        <v>0</v>
      </c>
      <c r="Q97" s="152">
        <f t="shared" si="62"/>
        <v>0</v>
      </c>
    </row>
    <row r="98" spans="1:20" ht="14.45" hidden="1" customHeight="1">
      <c r="A98" s="149">
        <f t="shared" si="61"/>
        <v>43590</v>
      </c>
      <c r="C98" s="151"/>
      <c r="D98" s="151">
        <f>(F97+(C98+E98)/2)*H98/12</f>
        <v>0</v>
      </c>
      <c r="E98" s="196"/>
      <c r="F98" s="154">
        <f>F97+C98+D98+E98</f>
        <v>0</v>
      </c>
      <c r="G98" s="38"/>
      <c r="H98" s="197">
        <f t="shared" si="58"/>
        <v>0</v>
      </c>
      <c r="I98" s="38"/>
      <c r="J98" s="198">
        <f t="shared" si="55"/>
        <v>43590</v>
      </c>
      <c r="K98" s="38"/>
      <c r="L98" s="154"/>
      <c r="M98" s="154">
        <f t="shared" si="59"/>
        <v>0</v>
      </c>
      <c r="N98" s="196"/>
      <c r="O98" s="151">
        <f t="shared" si="60"/>
        <v>0</v>
      </c>
      <c r="Q98" s="152">
        <f t="shared" si="62"/>
        <v>0</v>
      </c>
    </row>
    <row r="99" spans="1:20" ht="14.45" hidden="1" customHeight="1">
      <c r="A99" s="149">
        <f t="shared" si="61"/>
        <v>43621</v>
      </c>
      <c r="C99" s="151"/>
      <c r="D99" s="151">
        <f>(F98+(C99+E99)/2)*H99/12</f>
        <v>0</v>
      </c>
      <c r="E99" s="196"/>
      <c r="F99" s="154">
        <f t="shared" si="57"/>
        <v>0</v>
      </c>
      <c r="G99" s="38"/>
      <c r="H99" s="197">
        <f t="shared" si="58"/>
        <v>0</v>
      </c>
      <c r="I99" s="38"/>
      <c r="J99" s="198">
        <f t="shared" si="55"/>
        <v>43621</v>
      </c>
      <c r="K99" s="38"/>
      <c r="L99" s="154"/>
      <c r="M99" s="154">
        <f>(O98+(L99+N99)/2)*Q99/12</f>
        <v>0</v>
      </c>
      <c r="N99" s="196"/>
      <c r="O99" s="151">
        <f t="shared" si="60"/>
        <v>0</v>
      </c>
      <c r="Q99" s="152">
        <f t="shared" si="62"/>
        <v>0</v>
      </c>
    </row>
    <row r="100" spans="1:20" ht="14.45" hidden="1" customHeight="1">
      <c r="A100" s="149">
        <f t="shared" si="61"/>
        <v>43652</v>
      </c>
      <c r="C100" s="151"/>
      <c r="D100" s="151">
        <f>(F99+(C100+E100)/2)*H100/12</f>
        <v>0</v>
      </c>
      <c r="E100" s="196"/>
      <c r="F100" s="154">
        <f t="shared" ref="F100:F105" si="63">F99+C100+D100+E100</f>
        <v>0</v>
      </c>
      <c r="G100" s="38"/>
      <c r="H100" s="197">
        <f t="shared" si="58"/>
        <v>0</v>
      </c>
      <c r="I100" s="38"/>
      <c r="J100" s="198">
        <f t="shared" si="55"/>
        <v>43652</v>
      </c>
      <c r="K100" s="38"/>
      <c r="L100" s="154"/>
      <c r="M100" s="154">
        <f>(O99+(L100+N100)/2)*Q100/12</f>
        <v>0</v>
      </c>
      <c r="N100" s="196"/>
      <c r="O100" s="151">
        <f t="shared" si="60"/>
        <v>0</v>
      </c>
      <c r="Q100" s="152">
        <f t="shared" si="62"/>
        <v>0</v>
      </c>
    </row>
    <row r="101" spans="1:20" ht="14.45" hidden="1" customHeight="1">
      <c r="A101" s="149">
        <f t="shared" si="61"/>
        <v>43683</v>
      </c>
      <c r="C101" s="151"/>
      <c r="D101" s="151">
        <f t="shared" ref="D101:D105" si="64">(F100+(C101+E101)/2)*H101/12</f>
        <v>0</v>
      </c>
      <c r="E101" s="196"/>
      <c r="F101" s="154">
        <f>F100+C101+D101+E101</f>
        <v>0</v>
      </c>
      <c r="G101" s="38"/>
      <c r="H101" s="197">
        <f t="shared" si="58"/>
        <v>0</v>
      </c>
      <c r="I101" s="38"/>
      <c r="J101" s="198">
        <f t="shared" si="55"/>
        <v>43683</v>
      </c>
      <c r="K101" s="38"/>
      <c r="L101" s="154"/>
      <c r="M101" s="154">
        <f>(O100+(L101+N101)/2)*Q101/12</f>
        <v>0</v>
      </c>
      <c r="N101" s="196"/>
      <c r="O101" s="151">
        <f t="shared" si="60"/>
        <v>0</v>
      </c>
      <c r="Q101" s="152">
        <f t="shared" si="62"/>
        <v>0</v>
      </c>
    </row>
    <row r="102" spans="1:20" hidden="1">
      <c r="A102" s="149">
        <f t="shared" si="61"/>
        <v>43714</v>
      </c>
      <c r="C102" s="151"/>
      <c r="D102" s="151">
        <f>(F101+(C102+E102)/2)*H102/12</f>
        <v>0</v>
      </c>
      <c r="E102" s="196"/>
      <c r="F102" s="154">
        <f>F101+C102+D102+E102</f>
        <v>0</v>
      </c>
      <c r="G102" s="38"/>
      <c r="H102" s="197">
        <f t="shared" si="58"/>
        <v>0</v>
      </c>
      <c r="I102" s="38"/>
      <c r="J102" s="198">
        <f t="shared" si="55"/>
        <v>43714</v>
      </c>
      <c r="K102" s="38"/>
      <c r="L102" s="199"/>
      <c r="M102" s="154">
        <f>(O101+(L102+N102)/2)*Q102/12</f>
        <v>0</v>
      </c>
      <c r="N102" s="196"/>
      <c r="O102" s="151">
        <f>O101+L102+M102+N102</f>
        <v>0</v>
      </c>
      <c r="Q102" s="152">
        <f t="shared" si="62"/>
        <v>0</v>
      </c>
    </row>
    <row r="103" spans="1:20" hidden="1">
      <c r="A103" s="149">
        <f t="shared" si="61"/>
        <v>43745</v>
      </c>
      <c r="B103" s="73" t="s">
        <v>139</v>
      </c>
      <c r="C103" s="154">
        <f>IF($C$69&lt;0,-$C$69,0)</f>
        <v>8732374.1803344358</v>
      </c>
      <c r="D103" s="151">
        <f t="shared" ref="D103" si="65">(F102+(E103)/2)*H103/12</f>
        <v>0</v>
      </c>
      <c r="E103" s="196"/>
      <c r="F103" s="154">
        <f>F102+C103+D103+E103</f>
        <v>8732374.1803344358</v>
      </c>
      <c r="G103" s="38"/>
      <c r="H103" s="197">
        <f>H35</f>
        <v>0</v>
      </c>
      <c r="I103" s="38"/>
      <c r="J103" s="198">
        <f t="shared" si="55"/>
        <v>43745</v>
      </c>
      <c r="K103" s="38" t="s">
        <v>139</v>
      </c>
      <c r="L103" s="154">
        <f>IF($L$69&lt;0,-$L$69,0)</f>
        <v>145590.74926692923</v>
      </c>
      <c r="M103" s="151">
        <f t="shared" ref="M103" si="66">(O102+(N103)/2)*Q103/12</f>
        <v>0</v>
      </c>
      <c r="N103" s="196"/>
      <c r="O103" s="151">
        <f>O102+L103+M103+N103</f>
        <v>145590.74926692923</v>
      </c>
      <c r="Q103" s="152">
        <f t="shared" si="62"/>
        <v>0</v>
      </c>
      <c r="T103" s="196"/>
    </row>
    <row r="104" spans="1:20" hidden="1">
      <c r="A104" s="149">
        <f t="shared" si="61"/>
        <v>43776</v>
      </c>
      <c r="B104" s="73" t="s">
        <v>139</v>
      </c>
      <c r="C104" s="156">
        <f>IF(($F$68+$F$103)&lt;0,-$F$103,0)</f>
        <v>0</v>
      </c>
      <c r="D104" s="151">
        <f>(F103+C104+(E104)/2)*H104/12</f>
        <v>0</v>
      </c>
      <c r="E104" s="200"/>
      <c r="F104" s="154">
        <f>F103+C104+D104+E104</f>
        <v>8732374.1803344358</v>
      </c>
      <c r="G104" s="38"/>
      <c r="H104" s="197">
        <f>H103</f>
        <v>0</v>
      </c>
      <c r="I104" s="38"/>
      <c r="J104" s="198">
        <f t="shared" si="55"/>
        <v>43776</v>
      </c>
      <c r="K104" s="38" t="s">
        <v>139</v>
      </c>
      <c r="L104" s="156">
        <f>IF(($O$68+$O$103)&lt;0,-$O$103,0)</f>
        <v>0</v>
      </c>
      <c r="M104" s="151">
        <f>(O103+L104+(N104)/2)*Q104/12</f>
        <v>0</v>
      </c>
      <c r="N104" s="196"/>
      <c r="O104" s="151">
        <f>O103+L104+M104+N104</f>
        <v>145590.74926692923</v>
      </c>
      <c r="Q104" s="152">
        <f t="shared" si="62"/>
        <v>0</v>
      </c>
      <c r="T104" s="196"/>
    </row>
    <row r="105" spans="1:20" ht="13.9" hidden="1" customHeight="1">
      <c r="A105" s="149">
        <f t="shared" si="61"/>
        <v>43807</v>
      </c>
      <c r="B105" s="150"/>
      <c r="C105" s="156"/>
      <c r="D105" s="151">
        <f t="shared" si="64"/>
        <v>0</v>
      </c>
      <c r="E105" s="196"/>
      <c r="F105" s="154">
        <f t="shared" si="63"/>
        <v>8732374.1803344358</v>
      </c>
      <c r="G105" s="38"/>
      <c r="H105" s="197">
        <f>H104</f>
        <v>0</v>
      </c>
      <c r="I105" s="38"/>
      <c r="J105" s="198">
        <f t="shared" si="55"/>
        <v>43807</v>
      </c>
      <c r="K105" s="201"/>
      <c r="L105" s="157"/>
      <c r="M105" s="154">
        <f>(O104+(L105+N105)/2)*Q105/12</f>
        <v>0</v>
      </c>
      <c r="N105" s="196"/>
      <c r="O105" s="151">
        <f t="shared" si="60"/>
        <v>145590.74926692923</v>
      </c>
      <c r="Q105" s="152">
        <f t="shared" si="62"/>
        <v>0</v>
      </c>
      <c r="T105" s="196"/>
    </row>
    <row r="106" spans="1:20" ht="11.45" customHeight="1">
      <c r="E106" s="38"/>
      <c r="F106" s="154"/>
      <c r="G106" s="38"/>
      <c r="H106" s="38"/>
      <c r="I106" s="38"/>
      <c r="J106" s="38"/>
      <c r="K106" s="38"/>
      <c r="L106" s="38"/>
      <c r="M106" s="38"/>
      <c r="N106" s="38"/>
      <c r="O106" s="151"/>
    </row>
    <row r="107" spans="1:20" ht="16.149999999999999" customHeight="1">
      <c r="A107" s="73">
        <v>182338</v>
      </c>
      <c r="B107" s="73" t="s">
        <v>53</v>
      </c>
      <c r="C107" s="176" t="s">
        <v>105</v>
      </c>
      <c r="D107" s="176" t="s">
        <v>106</v>
      </c>
      <c r="E107" s="202"/>
      <c r="F107" s="154" t="s">
        <v>108</v>
      </c>
      <c r="G107" s="38"/>
      <c r="H107" s="202" t="s">
        <v>106</v>
      </c>
      <c r="I107" s="38"/>
      <c r="J107" s="38">
        <v>182338</v>
      </c>
      <c r="K107" s="38" t="s">
        <v>54</v>
      </c>
      <c r="L107" s="202" t="s">
        <v>105</v>
      </c>
      <c r="M107" s="202" t="s">
        <v>106</v>
      </c>
      <c r="N107" s="202"/>
      <c r="O107" s="151" t="s">
        <v>108</v>
      </c>
      <c r="Q107" s="176" t="s">
        <v>106</v>
      </c>
    </row>
    <row r="108" spans="1:20">
      <c r="A108" s="180" t="s">
        <v>158</v>
      </c>
      <c r="C108" s="176" t="s">
        <v>109</v>
      </c>
      <c r="D108" s="176" t="s">
        <v>110</v>
      </c>
      <c r="E108" s="202" t="s">
        <v>111</v>
      </c>
      <c r="F108" s="154" t="s">
        <v>107</v>
      </c>
      <c r="G108" s="38"/>
      <c r="H108" s="202" t="s">
        <v>112</v>
      </c>
      <c r="I108" s="38"/>
      <c r="J108" s="180" t="str">
        <f>A108</f>
        <v>Non-Residential</v>
      </c>
      <c r="K108" s="38"/>
      <c r="L108" s="202" t="s">
        <v>109</v>
      </c>
      <c r="M108" s="202" t="s">
        <v>110</v>
      </c>
      <c r="N108" s="202" t="s">
        <v>111</v>
      </c>
      <c r="O108" s="151" t="s">
        <v>107</v>
      </c>
      <c r="Q108" s="176" t="s">
        <v>112</v>
      </c>
    </row>
    <row r="109" spans="1:20">
      <c r="A109" s="149">
        <f>$A$25</f>
        <v>43435</v>
      </c>
      <c r="B109" s="150"/>
      <c r="C109" s="150"/>
      <c r="E109" s="38"/>
      <c r="F109" s="196">
        <f>'Accounting Balances'!E59</f>
        <v>931706.8</v>
      </c>
      <c r="G109" s="38"/>
      <c r="H109" s="38"/>
      <c r="I109" s="38"/>
      <c r="J109" s="198">
        <f t="shared" ref="J109:J121" si="67">A109</f>
        <v>43435</v>
      </c>
      <c r="K109" s="201"/>
      <c r="L109" s="201"/>
      <c r="M109" s="38"/>
      <c r="N109" s="38"/>
      <c r="O109" s="196">
        <f>'Accounting Balances'!E63</f>
        <v>331175.03999999998</v>
      </c>
    </row>
    <row r="110" spans="1:20">
      <c r="A110" s="149">
        <f>A109+31</f>
        <v>43466</v>
      </c>
      <c r="C110" s="151"/>
      <c r="D110" s="151">
        <f>(F109+(C110+E110)/2)*H110/12</f>
        <v>3823.0962804999999</v>
      </c>
      <c r="E110" s="196">
        <f>-'Accounting Balances'!F131</f>
        <v>-92094.86</v>
      </c>
      <c r="F110" s="154">
        <f>F109+C110+D110+E110</f>
        <v>843435.0362805</v>
      </c>
      <c r="G110" s="38"/>
      <c r="H110" s="197">
        <f t="shared" ref="H110:H121" si="68">H26</f>
        <v>5.1799999999999999E-2</v>
      </c>
      <c r="I110" s="38"/>
      <c r="J110" s="198">
        <f t="shared" si="67"/>
        <v>43466</v>
      </c>
      <c r="K110" s="38"/>
      <c r="L110" s="154"/>
      <c r="M110" s="154">
        <f>(O109+(L110+N110)/2)*Q110/12</f>
        <v>1312.9346276666665</v>
      </c>
      <c r="N110" s="196">
        <f>-'Accounting Balances'!F139</f>
        <v>-54040.6</v>
      </c>
      <c r="O110" s="151">
        <f>O109+L110+M110+N110</f>
        <v>278447.37462766666</v>
      </c>
      <c r="Q110" s="152">
        <f>H110</f>
        <v>5.1799999999999999E-2</v>
      </c>
    </row>
    <row r="111" spans="1:20">
      <c r="A111" s="149">
        <f t="shared" ref="A111:A121" si="69">A110+31</f>
        <v>43497</v>
      </c>
      <c r="C111" s="151"/>
      <c r="D111" s="151">
        <f>(F110+(C111+E111)/2)*H111/12</f>
        <v>3445.5653676941583</v>
      </c>
      <c r="E111" s="196">
        <f>-'Accounting Balances'!F132</f>
        <v>-90469.13</v>
      </c>
      <c r="F111" s="154">
        <f>F110+C111+D111+E111</f>
        <v>756411.47164819413</v>
      </c>
      <c r="G111" s="38"/>
      <c r="H111" s="197">
        <f t="shared" si="68"/>
        <v>5.1799999999999999E-2</v>
      </c>
      <c r="I111" s="38"/>
      <c r="J111" s="198">
        <f t="shared" si="67"/>
        <v>43497</v>
      </c>
      <c r="K111" s="38"/>
      <c r="L111" s="154"/>
      <c r="M111" s="154">
        <f>(O110+(L111+N111)/2)*Q111/12</f>
        <v>1071.4876603927612</v>
      </c>
      <c r="N111" s="196">
        <f>-'Accounting Balances'!F140</f>
        <v>-60452.59</v>
      </c>
      <c r="O111" s="151">
        <f>O110+L111+M111+N111</f>
        <v>219066.27228805944</v>
      </c>
      <c r="Q111" s="152">
        <f t="shared" ref="Q111:Q121" si="70">H111</f>
        <v>5.1799999999999999E-2</v>
      </c>
    </row>
    <row r="112" spans="1:20">
      <c r="A112" s="149">
        <f t="shared" si="69"/>
        <v>43528</v>
      </c>
      <c r="C112" s="151"/>
      <c r="D112" s="151">
        <f>(F111+(C112+E112)/2)*H112/12</f>
        <v>3077.1965327813709</v>
      </c>
      <c r="E112" s="196">
        <f>-'Accounting Balances'!F133</f>
        <v>-87094.82</v>
      </c>
      <c r="F112" s="154">
        <f>F111+C112+D112+E112</f>
        <v>672393.84818097553</v>
      </c>
      <c r="G112" s="38"/>
      <c r="H112" s="197">
        <f t="shared" si="68"/>
        <v>5.1799999999999999E-2</v>
      </c>
      <c r="I112" s="38"/>
      <c r="J112" s="198">
        <f t="shared" si="67"/>
        <v>43528</v>
      </c>
      <c r="K112" s="38"/>
      <c r="L112" s="154"/>
      <c r="M112" s="154">
        <f>(O111+(L112+N112)/2)*Q112/12</f>
        <v>846.78907071012316</v>
      </c>
      <c r="N112" s="196">
        <f>-'Accounting Balances'!F141</f>
        <v>-45797.84</v>
      </c>
      <c r="O112" s="151">
        <f>O111+L112+M112+N112</f>
        <v>174115.22135876957</v>
      </c>
      <c r="Q112" s="152">
        <f t="shared" si="70"/>
        <v>5.1799999999999999E-2</v>
      </c>
    </row>
    <row r="113" spans="1:17" hidden="1">
      <c r="A113" s="149">
        <f t="shared" si="69"/>
        <v>43559</v>
      </c>
      <c r="C113" s="151"/>
      <c r="D113" s="151">
        <f>(F112+(C113+E113)/2)*H113/12</f>
        <v>0</v>
      </c>
      <c r="E113" s="196"/>
      <c r="F113" s="154">
        <f>F112+C113+D113+E113</f>
        <v>672393.84818097553</v>
      </c>
      <c r="G113" s="38"/>
      <c r="H113" s="197">
        <f t="shared" si="68"/>
        <v>0</v>
      </c>
      <c r="I113" s="38"/>
      <c r="J113" s="198">
        <f t="shared" si="67"/>
        <v>43559</v>
      </c>
      <c r="K113" s="38"/>
      <c r="L113" s="154"/>
      <c r="M113" s="154">
        <f>(O112+(L113+N113)/2)*Q113/12</f>
        <v>0</v>
      </c>
      <c r="N113" s="196"/>
      <c r="O113" s="151">
        <f>O112+L113+M113+N113</f>
        <v>174115.22135876957</v>
      </c>
      <c r="Q113" s="152">
        <f t="shared" si="70"/>
        <v>0</v>
      </c>
    </row>
    <row r="114" spans="1:17" hidden="1">
      <c r="A114" s="149">
        <f t="shared" si="69"/>
        <v>43590</v>
      </c>
      <c r="C114" s="151"/>
      <c r="D114" s="151">
        <f t="shared" ref="D114:D121" si="71">(F113+(C114+E114)/2)*H114/12</f>
        <v>0</v>
      </c>
      <c r="E114" s="196"/>
      <c r="F114" s="154">
        <f t="shared" ref="F114:F121" si="72">F113+C114+D114+E114</f>
        <v>672393.84818097553</v>
      </c>
      <c r="G114" s="38"/>
      <c r="H114" s="197">
        <f t="shared" si="68"/>
        <v>0</v>
      </c>
      <c r="I114" s="38"/>
      <c r="J114" s="198">
        <f t="shared" si="67"/>
        <v>43590</v>
      </c>
      <c r="K114" s="38"/>
      <c r="L114" s="154"/>
      <c r="M114" s="154">
        <f t="shared" ref="M114:M121" si="73">(O113+(L114+N114)/2)*Q114/12</f>
        <v>0</v>
      </c>
      <c r="N114" s="196"/>
      <c r="O114" s="151">
        <f t="shared" ref="O114:O121" si="74">O113+L114+M114+N114</f>
        <v>174115.22135876957</v>
      </c>
      <c r="Q114" s="152">
        <f t="shared" si="70"/>
        <v>0</v>
      </c>
    </row>
    <row r="115" spans="1:17" hidden="1">
      <c r="A115" s="149">
        <f t="shared" si="69"/>
        <v>43621</v>
      </c>
      <c r="C115" s="151"/>
      <c r="D115" s="151">
        <f t="shared" si="71"/>
        <v>0</v>
      </c>
      <c r="E115" s="196"/>
      <c r="F115" s="154">
        <f t="shared" si="72"/>
        <v>672393.84818097553</v>
      </c>
      <c r="G115" s="38"/>
      <c r="H115" s="197">
        <f t="shared" si="68"/>
        <v>0</v>
      </c>
      <c r="I115" s="38"/>
      <c r="J115" s="198">
        <f t="shared" si="67"/>
        <v>43621</v>
      </c>
      <c r="K115" s="38"/>
      <c r="L115" s="154"/>
      <c r="M115" s="154">
        <f t="shared" si="73"/>
        <v>0</v>
      </c>
      <c r="N115" s="196"/>
      <c r="O115" s="151">
        <f t="shared" si="74"/>
        <v>174115.22135876957</v>
      </c>
      <c r="Q115" s="152">
        <f t="shared" si="70"/>
        <v>0</v>
      </c>
    </row>
    <row r="116" spans="1:17" hidden="1">
      <c r="A116" s="149">
        <f t="shared" si="69"/>
        <v>43652</v>
      </c>
      <c r="C116" s="151"/>
      <c r="D116" s="151">
        <f t="shared" si="71"/>
        <v>0</v>
      </c>
      <c r="E116" s="196"/>
      <c r="F116" s="154">
        <f t="shared" si="72"/>
        <v>672393.84818097553</v>
      </c>
      <c r="G116" s="38"/>
      <c r="H116" s="197">
        <f t="shared" si="68"/>
        <v>0</v>
      </c>
      <c r="I116" s="38"/>
      <c r="J116" s="198">
        <f t="shared" si="67"/>
        <v>43652</v>
      </c>
      <c r="K116" s="38"/>
      <c r="L116" s="154"/>
      <c r="M116" s="154">
        <f t="shared" si="73"/>
        <v>0</v>
      </c>
      <c r="N116" s="196"/>
      <c r="O116" s="151">
        <f t="shared" si="74"/>
        <v>174115.22135876957</v>
      </c>
      <c r="Q116" s="152">
        <f t="shared" si="70"/>
        <v>0</v>
      </c>
    </row>
    <row r="117" spans="1:17" hidden="1">
      <c r="A117" s="149">
        <f t="shared" si="69"/>
        <v>43683</v>
      </c>
      <c r="C117" s="151"/>
      <c r="D117" s="151">
        <f t="shared" si="71"/>
        <v>0</v>
      </c>
      <c r="E117" s="196"/>
      <c r="F117" s="154">
        <f t="shared" si="72"/>
        <v>672393.84818097553</v>
      </c>
      <c r="G117" s="38"/>
      <c r="H117" s="197">
        <f t="shared" si="68"/>
        <v>0</v>
      </c>
      <c r="I117" s="38"/>
      <c r="J117" s="198">
        <f t="shared" si="67"/>
        <v>43683</v>
      </c>
      <c r="K117" s="38"/>
      <c r="L117" s="154"/>
      <c r="M117" s="154">
        <f>(O116+(L117+N117)/2)*Q117/12</f>
        <v>0</v>
      </c>
      <c r="N117" s="196"/>
      <c r="O117" s="151">
        <f t="shared" si="74"/>
        <v>174115.22135876957</v>
      </c>
      <c r="Q117" s="152">
        <f t="shared" si="70"/>
        <v>0</v>
      </c>
    </row>
    <row r="118" spans="1:17" hidden="1">
      <c r="A118" s="149">
        <f t="shared" si="69"/>
        <v>43714</v>
      </c>
      <c r="C118" s="151"/>
      <c r="D118" s="151">
        <f>(F117+(C118+E118)/2)*H118/12</f>
        <v>0</v>
      </c>
      <c r="E118" s="196"/>
      <c r="F118" s="154">
        <f>F117+C118+D118+E118</f>
        <v>672393.84818097553</v>
      </c>
      <c r="G118" s="38"/>
      <c r="H118" s="197">
        <f t="shared" si="68"/>
        <v>0</v>
      </c>
      <c r="I118" s="38"/>
      <c r="J118" s="198">
        <f t="shared" si="67"/>
        <v>43714</v>
      </c>
      <c r="K118" s="38"/>
      <c r="L118" s="154"/>
      <c r="M118" s="154">
        <f t="shared" si="73"/>
        <v>0</v>
      </c>
      <c r="N118" s="196"/>
      <c r="O118" s="151">
        <f>O117+L118+M118+N118</f>
        <v>174115.22135876957</v>
      </c>
      <c r="Q118" s="152">
        <f t="shared" si="70"/>
        <v>0</v>
      </c>
    </row>
    <row r="119" spans="1:17" hidden="1">
      <c r="A119" s="149">
        <f t="shared" si="69"/>
        <v>43745</v>
      </c>
      <c r="B119" s="73" t="s">
        <v>139</v>
      </c>
      <c r="C119" s="154">
        <f>IF($C$87&lt;0,-$C$87,0)</f>
        <v>7143540.9038581848</v>
      </c>
      <c r="D119" s="151">
        <f>(F118+0+(E119)/2)*H119/12</f>
        <v>0</v>
      </c>
      <c r="E119" s="196"/>
      <c r="F119" s="154">
        <f t="shared" si="72"/>
        <v>7815934.7520391606</v>
      </c>
      <c r="G119" s="38"/>
      <c r="H119" s="197">
        <f t="shared" si="68"/>
        <v>0</v>
      </c>
      <c r="I119" s="38"/>
      <c r="J119" s="198">
        <f t="shared" si="67"/>
        <v>43745</v>
      </c>
      <c r="K119" s="73" t="s">
        <v>139</v>
      </c>
      <c r="L119" s="154">
        <f>IF($L$87&lt;0,-$L$87,0)</f>
        <v>816454.94297774299</v>
      </c>
      <c r="M119" s="151">
        <f>(O118+(N119)/2)*Q119/12</f>
        <v>0</v>
      </c>
      <c r="N119" s="196"/>
      <c r="O119" s="151">
        <f t="shared" si="74"/>
        <v>990570.16433651256</v>
      </c>
      <c r="Q119" s="152">
        <f t="shared" si="70"/>
        <v>0</v>
      </c>
    </row>
    <row r="120" spans="1:17" hidden="1">
      <c r="A120" s="149">
        <f t="shared" si="69"/>
        <v>43776</v>
      </c>
      <c r="B120" s="73" t="s">
        <v>139</v>
      </c>
      <c r="C120" s="156">
        <f>IF(($F$86+$F$119)&lt;0,-$F$119,0)</f>
        <v>0</v>
      </c>
      <c r="D120" s="151">
        <f t="shared" si="71"/>
        <v>0</v>
      </c>
      <c r="E120" s="196"/>
      <c r="F120" s="154">
        <f t="shared" si="72"/>
        <v>7815934.7520391606</v>
      </c>
      <c r="G120" s="38"/>
      <c r="H120" s="197">
        <f t="shared" si="68"/>
        <v>0</v>
      </c>
      <c r="I120" s="38"/>
      <c r="J120" s="198">
        <f t="shared" si="67"/>
        <v>43776</v>
      </c>
      <c r="K120" s="38" t="s">
        <v>139</v>
      </c>
      <c r="L120" s="156">
        <f>IF(($O$86+$O$119)&lt;0,-$O$119,0)</f>
        <v>0</v>
      </c>
      <c r="M120" s="151">
        <f>(O119+L120+(N120)/2)*Q120/12</f>
        <v>0</v>
      </c>
      <c r="N120" s="196"/>
      <c r="O120" s="151">
        <f t="shared" si="74"/>
        <v>990570.16433651256</v>
      </c>
      <c r="Q120" s="152">
        <f t="shared" si="70"/>
        <v>0</v>
      </c>
    </row>
    <row r="121" spans="1:17" hidden="1">
      <c r="A121" s="149">
        <f t="shared" si="69"/>
        <v>43807</v>
      </c>
      <c r="C121" s="151"/>
      <c r="D121" s="151">
        <f t="shared" si="71"/>
        <v>0</v>
      </c>
      <c r="E121" s="196"/>
      <c r="F121" s="154">
        <f t="shared" si="72"/>
        <v>7815934.7520391606</v>
      </c>
      <c r="G121" s="38"/>
      <c r="H121" s="197">
        <f t="shared" si="68"/>
        <v>0</v>
      </c>
      <c r="I121" s="38"/>
      <c r="J121" s="198">
        <f t="shared" si="67"/>
        <v>43807</v>
      </c>
      <c r="K121" s="38"/>
      <c r="L121" s="154"/>
      <c r="M121" s="154">
        <f t="shared" si="73"/>
        <v>0</v>
      </c>
      <c r="N121" s="196"/>
      <c r="O121" s="151">
        <f t="shared" si="74"/>
        <v>990570.16433651256</v>
      </c>
      <c r="Q121" s="152">
        <f t="shared" si="70"/>
        <v>0</v>
      </c>
    </row>
    <row r="122" spans="1:17">
      <c r="A122" s="149"/>
      <c r="C122" s="151"/>
      <c r="D122" s="151"/>
      <c r="F122" s="151"/>
      <c r="H122" s="152"/>
      <c r="J122" s="149"/>
      <c r="L122" s="151"/>
      <c r="M122" s="151"/>
      <c r="O122" s="151"/>
      <c r="Q122" s="152"/>
    </row>
    <row r="123" spans="1:17">
      <c r="A123" s="73">
        <v>254328</v>
      </c>
      <c r="B123" s="73" t="s">
        <v>53</v>
      </c>
      <c r="C123" s="176" t="s">
        <v>105</v>
      </c>
      <c r="D123" s="176" t="s">
        <v>106</v>
      </c>
      <c r="E123" s="176"/>
      <c r="F123" s="151" t="s">
        <v>108</v>
      </c>
      <c r="H123" s="176" t="s">
        <v>106</v>
      </c>
      <c r="J123" s="73">
        <v>254328</v>
      </c>
      <c r="K123" s="73" t="s">
        <v>54</v>
      </c>
      <c r="L123" s="176" t="s">
        <v>105</v>
      </c>
      <c r="M123" s="176" t="s">
        <v>106</v>
      </c>
      <c r="N123" s="176"/>
      <c r="O123" s="151" t="s">
        <v>108</v>
      </c>
      <c r="Q123" s="176" t="s">
        <v>106</v>
      </c>
    </row>
    <row r="124" spans="1:17">
      <c r="A124" s="180" t="s">
        <v>157</v>
      </c>
      <c r="C124" s="176" t="s">
        <v>109</v>
      </c>
      <c r="D124" s="176" t="s">
        <v>110</v>
      </c>
      <c r="E124" s="176" t="s">
        <v>111</v>
      </c>
      <c r="F124" s="151" t="s">
        <v>107</v>
      </c>
      <c r="H124" s="176" t="s">
        <v>112</v>
      </c>
      <c r="J124" s="180" t="str">
        <f>A124</f>
        <v>Residential</v>
      </c>
      <c r="L124" s="176" t="s">
        <v>109</v>
      </c>
      <c r="M124" s="176" t="s">
        <v>110</v>
      </c>
      <c r="N124" s="176" t="s">
        <v>111</v>
      </c>
      <c r="O124" s="151" t="s">
        <v>107</v>
      </c>
      <c r="Q124" s="176" t="s">
        <v>112</v>
      </c>
    </row>
    <row r="125" spans="1:17">
      <c r="A125" s="149">
        <f>$A$25</f>
        <v>43435</v>
      </c>
      <c r="B125" s="150"/>
      <c r="C125" s="150"/>
      <c r="F125" s="190">
        <v>-2135580.83</v>
      </c>
      <c r="J125" s="149">
        <f t="shared" ref="J125:J137" si="75">A125</f>
        <v>43435</v>
      </c>
      <c r="K125" s="150"/>
      <c r="L125" s="150"/>
      <c r="O125" s="190">
        <v>-2456015.56</v>
      </c>
    </row>
    <row r="126" spans="1:17">
      <c r="A126" s="149">
        <f>A125+31</f>
        <v>43466</v>
      </c>
      <c r="C126" s="151"/>
      <c r="D126" s="151">
        <f t="shared" ref="D126:D137" si="76">(F125+(C126+E126)/2)*H126/12</f>
        <v>-8579.0931000833334</v>
      </c>
      <c r="E126" s="239">
        <f>-'Accounting Balances'!F127</f>
        <v>296292.27</v>
      </c>
      <c r="F126" s="151">
        <f t="shared" ref="F126:F137" si="77">F125+C126+D126+E126</f>
        <v>-1847867.6531000836</v>
      </c>
      <c r="H126" s="152">
        <f t="shared" ref="H126:H137" si="78">H26</f>
        <v>5.1799999999999999E-2</v>
      </c>
      <c r="J126" s="149">
        <f t="shared" si="75"/>
        <v>43466</v>
      </c>
      <c r="L126" s="151"/>
      <c r="M126" s="151">
        <f t="shared" ref="M126:M137" si="79">(O125+(L126+N126)/2)*Q126/12</f>
        <v>-9417.4621788333334</v>
      </c>
      <c r="N126" s="239">
        <f>-'Accounting Balances'!F135</f>
        <v>548728.18000000005</v>
      </c>
      <c r="O126" s="151">
        <f t="shared" ref="O126:O137" si="80">O125+L126+M126+N126</f>
        <v>-1916704.8421788332</v>
      </c>
      <c r="Q126" s="152">
        <f>H126</f>
        <v>5.1799999999999999E-2</v>
      </c>
    </row>
    <row r="127" spans="1:17">
      <c r="A127" s="149">
        <f t="shared" ref="A127:A137" si="81">A126+31</f>
        <v>43497</v>
      </c>
      <c r="C127" s="151"/>
      <c r="D127" s="151">
        <f t="shared" si="76"/>
        <v>-7389.2110261320277</v>
      </c>
      <c r="E127" s="239">
        <f>-'Accounting Balances'!F128</f>
        <v>272162.63</v>
      </c>
      <c r="F127" s="151">
        <f t="shared" si="77"/>
        <v>-1583094.2341262158</v>
      </c>
      <c r="H127" s="152">
        <f t="shared" si="78"/>
        <v>5.1799999999999999E-2</v>
      </c>
      <c r="J127" s="149">
        <f t="shared" si="75"/>
        <v>43497</v>
      </c>
      <c r="L127" s="151"/>
      <c r="M127" s="151">
        <f t="shared" si="79"/>
        <v>-6960.8845921552966</v>
      </c>
      <c r="N127" s="239">
        <f>-'Accounting Balances'!F136</f>
        <v>608289.41</v>
      </c>
      <c r="O127" s="151">
        <f t="shared" si="80"/>
        <v>-1315376.3167709885</v>
      </c>
      <c r="Q127" s="152">
        <f t="shared" ref="Q127:Q137" si="82">H127</f>
        <v>5.1799999999999999E-2</v>
      </c>
    </row>
    <row r="128" spans="1:17">
      <c r="A128" s="149">
        <f t="shared" si="81"/>
        <v>43528</v>
      </c>
      <c r="C128" s="151"/>
      <c r="D128" s="151">
        <f t="shared" si="76"/>
        <v>-6233.2237768114983</v>
      </c>
      <c r="E128" s="239">
        <f>-'Accounting Balances'!F129</f>
        <v>278208.34000000003</v>
      </c>
      <c r="F128" s="151">
        <f t="shared" si="77"/>
        <v>-1311119.1179030272</v>
      </c>
      <c r="H128" s="152">
        <f t="shared" si="78"/>
        <v>5.1799999999999999E-2</v>
      </c>
      <c r="J128" s="149">
        <f t="shared" si="75"/>
        <v>43528</v>
      </c>
      <c r="L128" s="151"/>
      <c r="M128" s="151">
        <f t="shared" si="79"/>
        <v>-4641.4311557280998</v>
      </c>
      <c r="N128" s="239">
        <f>-'Accounting Balances'!F137</f>
        <v>480282.6</v>
      </c>
      <c r="O128" s="151">
        <f t="shared" si="80"/>
        <v>-839735.14792671672</v>
      </c>
      <c r="Q128" s="152">
        <f t="shared" si="82"/>
        <v>5.1799999999999999E-2</v>
      </c>
    </row>
    <row r="129" spans="1:17" hidden="1">
      <c r="A129" s="149">
        <f t="shared" si="81"/>
        <v>43559</v>
      </c>
      <c r="C129" s="151"/>
      <c r="D129" s="151">
        <f t="shared" si="76"/>
        <v>0</v>
      </c>
      <c r="E129" s="192"/>
      <c r="F129" s="151">
        <f t="shared" si="77"/>
        <v>-1311119.1179030272</v>
      </c>
      <c r="H129" s="152">
        <f t="shared" si="78"/>
        <v>0</v>
      </c>
      <c r="J129" s="149">
        <f t="shared" si="75"/>
        <v>43559</v>
      </c>
      <c r="L129" s="151"/>
      <c r="M129" s="151">
        <f t="shared" si="79"/>
        <v>0</v>
      </c>
      <c r="N129" s="192"/>
      <c r="O129" s="151">
        <f t="shared" si="80"/>
        <v>-839735.14792671672</v>
      </c>
      <c r="Q129" s="152">
        <f t="shared" si="82"/>
        <v>0</v>
      </c>
    </row>
    <row r="130" spans="1:17" hidden="1">
      <c r="A130" s="149">
        <f t="shared" si="81"/>
        <v>43590</v>
      </c>
      <c r="C130" s="151"/>
      <c r="D130" s="151">
        <f t="shared" si="76"/>
        <v>0</v>
      </c>
      <c r="E130" s="192"/>
      <c r="F130" s="151">
        <f t="shared" si="77"/>
        <v>-1311119.1179030272</v>
      </c>
      <c r="H130" s="152">
        <f t="shared" si="78"/>
        <v>0</v>
      </c>
      <c r="J130" s="149">
        <f t="shared" si="75"/>
        <v>43590</v>
      </c>
      <c r="L130" s="151"/>
      <c r="M130" s="151">
        <f t="shared" si="79"/>
        <v>0</v>
      </c>
      <c r="N130" s="192"/>
      <c r="O130" s="151">
        <f t="shared" si="80"/>
        <v>-839735.14792671672</v>
      </c>
      <c r="Q130" s="152">
        <f t="shared" si="82"/>
        <v>0</v>
      </c>
    </row>
    <row r="131" spans="1:17" hidden="1">
      <c r="A131" s="149">
        <f t="shared" si="81"/>
        <v>43621</v>
      </c>
      <c r="C131" s="151"/>
      <c r="D131" s="151">
        <f t="shared" si="76"/>
        <v>0</v>
      </c>
      <c r="E131" s="192"/>
      <c r="F131" s="151">
        <f t="shared" si="77"/>
        <v>-1311119.1179030272</v>
      </c>
      <c r="H131" s="152">
        <f t="shared" si="78"/>
        <v>0</v>
      </c>
      <c r="J131" s="149">
        <f t="shared" si="75"/>
        <v>43621</v>
      </c>
      <c r="L131" s="151"/>
      <c r="M131" s="151">
        <f t="shared" si="79"/>
        <v>0</v>
      </c>
      <c r="N131" s="192"/>
      <c r="O131" s="151">
        <f t="shared" si="80"/>
        <v>-839735.14792671672</v>
      </c>
      <c r="Q131" s="152">
        <f t="shared" si="82"/>
        <v>0</v>
      </c>
    </row>
    <row r="132" spans="1:17" hidden="1">
      <c r="A132" s="149">
        <f t="shared" si="81"/>
        <v>43652</v>
      </c>
      <c r="C132" s="151"/>
      <c r="D132" s="151">
        <f t="shared" si="76"/>
        <v>0</v>
      </c>
      <c r="E132" s="192"/>
      <c r="F132" s="151">
        <f t="shared" si="77"/>
        <v>-1311119.1179030272</v>
      </c>
      <c r="H132" s="152">
        <f t="shared" si="78"/>
        <v>0</v>
      </c>
      <c r="J132" s="149">
        <f t="shared" si="75"/>
        <v>43652</v>
      </c>
      <c r="L132" s="151"/>
      <c r="M132" s="151">
        <f t="shared" si="79"/>
        <v>0</v>
      </c>
      <c r="N132" s="192"/>
      <c r="O132" s="151">
        <f t="shared" si="80"/>
        <v>-839735.14792671672</v>
      </c>
      <c r="Q132" s="152">
        <f t="shared" si="82"/>
        <v>0</v>
      </c>
    </row>
    <row r="133" spans="1:17" hidden="1">
      <c r="A133" s="149">
        <f t="shared" si="81"/>
        <v>43683</v>
      </c>
      <c r="C133" s="151"/>
      <c r="D133" s="151">
        <f t="shared" si="76"/>
        <v>0</v>
      </c>
      <c r="E133" s="192"/>
      <c r="F133" s="151">
        <f t="shared" si="77"/>
        <v>-1311119.1179030272</v>
      </c>
      <c r="H133" s="152">
        <f t="shared" si="78"/>
        <v>0</v>
      </c>
      <c r="J133" s="149">
        <f t="shared" si="75"/>
        <v>43683</v>
      </c>
      <c r="L133" s="151"/>
      <c r="M133" s="151">
        <f t="shared" si="79"/>
        <v>0</v>
      </c>
      <c r="N133" s="192"/>
      <c r="O133" s="151">
        <f t="shared" si="80"/>
        <v>-839735.14792671672</v>
      </c>
      <c r="Q133" s="152">
        <f t="shared" si="82"/>
        <v>0</v>
      </c>
    </row>
    <row r="134" spans="1:17" hidden="1">
      <c r="A134" s="149">
        <f t="shared" si="81"/>
        <v>43714</v>
      </c>
      <c r="C134" s="151"/>
      <c r="D134" s="151">
        <f t="shared" si="76"/>
        <v>0</v>
      </c>
      <c r="E134" s="192"/>
      <c r="F134" s="151">
        <f t="shared" si="77"/>
        <v>-1311119.1179030272</v>
      </c>
      <c r="H134" s="152">
        <f t="shared" si="78"/>
        <v>0</v>
      </c>
      <c r="J134" s="149">
        <f t="shared" si="75"/>
        <v>43714</v>
      </c>
      <c r="L134" s="151"/>
      <c r="M134" s="151">
        <f t="shared" si="79"/>
        <v>0</v>
      </c>
      <c r="N134" s="192"/>
      <c r="O134" s="151">
        <f t="shared" si="80"/>
        <v>-839735.14792671672</v>
      </c>
      <c r="Q134" s="152">
        <f t="shared" si="82"/>
        <v>0</v>
      </c>
    </row>
    <row r="135" spans="1:17" hidden="1">
      <c r="A135" s="149">
        <f t="shared" si="81"/>
        <v>43745</v>
      </c>
      <c r="B135" s="73" t="s">
        <v>139</v>
      </c>
      <c r="C135" s="154">
        <f>IF($C$69&gt;0,IF(($F$68+$F$103)&lt;0,-$C$69,0),0)-$C$104</f>
        <v>0</v>
      </c>
      <c r="D135" s="151">
        <f t="shared" ref="D135" si="83">(F134+(E135)/2)*H135/12</f>
        <v>0</v>
      </c>
      <c r="E135" s="192"/>
      <c r="F135" s="151">
        <f t="shared" si="77"/>
        <v>-1311119.1179030272</v>
      </c>
      <c r="H135" s="152">
        <f t="shared" si="78"/>
        <v>0</v>
      </c>
      <c r="J135" s="149">
        <f t="shared" si="75"/>
        <v>43745</v>
      </c>
      <c r="K135" s="73" t="s">
        <v>139</v>
      </c>
      <c r="L135" s="154">
        <f>IF($L$69&gt;0,IF(($O$68+$O$103)&lt;0,-$L$69,0),0)-$L$104</f>
        <v>0</v>
      </c>
      <c r="M135" s="151">
        <f t="shared" ref="M135" si="84">(O134+(N135)/2)*Q135/12</f>
        <v>0</v>
      </c>
      <c r="N135" s="192"/>
      <c r="O135" s="151">
        <f t="shared" si="80"/>
        <v>-839735.14792671672</v>
      </c>
      <c r="Q135" s="152">
        <f t="shared" si="82"/>
        <v>0</v>
      </c>
    </row>
    <row r="136" spans="1:17" hidden="1">
      <c r="A136" s="149">
        <f t="shared" si="81"/>
        <v>43776</v>
      </c>
      <c r="D136" s="151">
        <f t="shared" si="76"/>
        <v>0</v>
      </c>
      <c r="E136" s="215"/>
      <c r="F136" s="151">
        <f t="shared" si="77"/>
        <v>-1311119.1179030272</v>
      </c>
      <c r="H136" s="152">
        <f t="shared" si="78"/>
        <v>0</v>
      </c>
      <c r="J136" s="149">
        <f t="shared" si="75"/>
        <v>43776</v>
      </c>
      <c r="M136" s="151">
        <f t="shared" si="79"/>
        <v>0</v>
      </c>
      <c r="N136" s="215"/>
      <c r="O136" s="151">
        <f t="shared" si="80"/>
        <v>-839735.14792671672</v>
      </c>
      <c r="Q136" s="152">
        <f t="shared" si="82"/>
        <v>0</v>
      </c>
    </row>
    <row r="137" spans="1:17" hidden="1">
      <c r="A137" s="149">
        <f t="shared" si="81"/>
        <v>43807</v>
      </c>
      <c r="B137" s="150"/>
      <c r="C137" s="151"/>
      <c r="D137" s="151">
        <f t="shared" si="76"/>
        <v>0</v>
      </c>
      <c r="E137" s="215"/>
      <c r="F137" s="151">
        <f t="shared" si="77"/>
        <v>-1311119.1179030272</v>
      </c>
      <c r="H137" s="152">
        <f t="shared" si="78"/>
        <v>0</v>
      </c>
      <c r="J137" s="149">
        <f t="shared" si="75"/>
        <v>43807</v>
      </c>
      <c r="K137" s="150"/>
      <c r="L137" s="151"/>
      <c r="M137" s="151">
        <f t="shared" si="79"/>
        <v>0</v>
      </c>
      <c r="N137" s="215"/>
      <c r="O137" s="151">
        <f t="shared" si="80"/>
        <v>-839735.14792671672</v>
      </c>
      <c r="Q137" s="152">
        <f t="shared" si="82"/>
        <v>0</v>
      </c>
    </row>
    <row r="138" spans="1:17">
      <c r="F138" s="151"/>
      <c r="O138" s="151"/>
    </row>
    <row r="139" spans="1:17">
      <c r="A139" s="73">
        <v>254338</v>
      </c>
      <c r="B139" s="73" t="s">
        <v>53</v>
      </c>
      <c r="C139" s="176" t="s">
        <v>105</v>
      </c>
      <c r="D139" s="176" t="s">
        <v>106</v>
      </c>
      <c r="E139" s="176"/>
      <c r="F139" s="151" t="s">
        <v>108</v>
      </c>
      <c r="H139" s="176" t="s">
        <v>106</v>
      </c>
      <c r="J139" s="73">
        <v>254338</v>
      </c>
      <c r="K139" s="73" t="s">
        <v>54</v>
      </c>
      <c r="L139" s="176" t="s">
        <v>105</v>
      </c>
      <c r="M139" s="176" t="s">
        <v>106</v>
      </c>
      <c r="N139" s="176"/>
      <c r="O139" s="151" t="s">
        <v>108</v>
      </c>
      <c r="Q139" s="176" t="s">
        <v>106</v>
      </c>
    </row>
    <row r="140" spans="1:17">
      <c r="A140" s="180" t="s">
        <v>158</v>
      </c>
      <c r="C140" s="176" t="s">
        <v>109</v>
      </c>
      <c r="D140" s="176" t="s">
        <v>110</v>
      </c>
      <c r="E140" s="176" t="s">
        <v>111</v>
      </c>
      <c r="F140" s="151" t="s">
        <v>107</v>
      </c>
      <c r="H140" s="176" t="s">
        <v>112</v>
      </c>
      <c r="J140" s="180" t="str">
        <f>A140</f>
        <v>Non-Residential</v>
      </c>
      <c r="L140" s="176" t="s">
        <v>109</v>
      </c>
      <c r="M140" s="176" t="s">
        <v>110</v>
      </c>
      <c r="N140" s="176" t="s">
        <v>111</v>
      </c>
      <c r="O140" s="151" t="s">
        <v>107</v>
      </c>
      <c r="Q140" s="176" t="s">
        <v>112</v>
      </c>
    </row>
    <row r="141" spans="1:17">
      <c r="A141" s="149">
        <f>$A$25</f>
        <v>43435</v>
      </c>
      <c r="B141" s="150"/>
      <c r="C141" s="150"/>
      <c r="F141" s="151">
        <v>0</v>
      </c>
      <c r="J141" s="149">
        <f t="shared" ref="J141:J153" si="85">A141</f>
        <v>43435</v>
      </c>
      <c r="K141" s="150"/>
      <c r="L141" s="150"/>
      <c r="O141" s="151">
        <v>0</v>
      </c>
    </row>
    <row r="142" spans="1:17">
      <c r="A142" s="149">
        <f>A141+31</f>
        <v>43466</v>
      </c>
      <c r="C142" s="151"/>
      <c r="D142" s="151">
        <f>(F141+(C142+E142)/2)*H142/12</f>
        <v>0</v>
      </c>
      <c r="E142" s="196"/>
      <c r="F142" s="151">
        <f>F141+C142+D142+E142</f>
        <v>0</v>
      </c>
      <c r="H142" s="152">
        <f t="shared" ref="H142:H153" si="86">H26</f>
        <v>5.1799999999999999E-2</v>
      </c>
      <c r="J142" s="149">
        <f t="shared" si="85"/>
        <v>43466</v>
      </c>
      <c r="L142" s="151"/>
      <c r="M142" s="151">
        <f>(O141+(L142+N142)/2)*Q142/12</f>
        <v>0</v>
      </c>
      <c r="N142" s="240"/>
      <c r="O142" s="151">
        <f>O141+L142+M142+N142</f>
        <v>0</v>
      </c>
      <c r="Q142" s="152">
        <f>H142</f>
        <v>5.1799999999999999E-2</v>
      </c>
    </row>
    <row r="143" spans="1:17">
      <c r="A143" s="149">
        <f t="shared" ref="A143:A153" si="87">A142+31</f>
        <v>43497</v>
      </c>
      <c r="C143" s="151"/>
      <c r="D143" s="151">
        <f>(F142+(C143+E143)/2)*H143/12</f>
        <v>0</v>
      </c>
      <c r="E143" s="196"/>
      <c r="F143" s="151">
        <f>F142+C143+D143+E143</f>
        <v>0</v>
      </c>
      <c r="H143" s="152">
        <f t="shared" si="86"/>
        <v>5.1799999999999999E-2</v>
      </c>
      <c r="J143" s="149">
        <f t="shared" si="85"/>
        <v>43497</v>
      </c>
      <c r="L143" s="151"/>
      <c r="M143" s="151">
        <f>(O142+(L143+N143)/2)*Q143/12</f>
        <v>0</v>
      </c>
      <c r="N143" s="240"/>
      <c r="O143" s="151">
        <f>O142+L143+M143+N143</f>
        <v>0</v>
      </c>
      <c r="Q143" s="152">
        <f t="shared" ref="Q143:Q153" si="88">H143</f>
        <v>5.1799999999999999E-2</v>
      </c>
    </row>
    <row r="144" spans="1:17">
      <c r="A144" s="149">
        <f t="shared" si="87"/>
        <v>43528</v>
      </c>
      <c r="C144" s="151"/>
      <c r="D144" s="151">
        <f>(F143+(C144+E144)/2)*H144/12</f>
        <v>0</v>
      </c>
      <c r="E144" s="196"/>
      <c r="F144" s="151">
        <f>F143+C144+D144+E144</f>
        <v>0</v>
      </c>
      <c r="H144" s="152">
        <f t="shared" si="86"/>
        <v>5.1799999999999999E-2</v>
      </c>
      <c r="J144" s="149">
        <f t="shared" si="85"/>
        <v>43528</v>
      </c>
      <c r="L144" s="151"/>
      <c r="M144" s="151">
        <f>(O143+(L144+N144)/2)*Q144/12</f>
        <v>0</v>
      </c>
      <c r="N144" s="240"/>
      <c r="O144" s="151">
        <f>O143+L144+M144+N144</f>
        <v>0</v>
      </c>
      <c r="Q144" s="152">
        <f t="shared" si="88"/>
        <v>5.1799999999999999E-2</v>
      </c>
    </row>
    <row r="145" spans="1:17" hidden="1">
      <c r="A145" s="149">
        <f t="shared" si="87"/>
        <v>43559</v>
      </c>
      <c r="C145" s="151"/>
      <c r="D145" s="151">
        <f t="shared" ref="D145:D152" si="89">(F144+(C145+E145)/2)*H145/12</f>
        <v>0</v>
      </c>
      <c r="E145" s="196"/>
      <c r="F145" s="151">
        <f t="shared" ref="F145:F153" si="90">F144+C145+D145+E145</f>
        <v>0</v>
      </c>
      <c r="H145" s="152">
        <f t="shared" si="86"/>
        <v>0</v>
      </c>
      <c r="J145" s="149">
        <f t="shared" si="85"/>
        <v>43559</v>
      </c>
      <c r="L145" s="151"/>
      <c r="M145" s="151">
        <f t="shared" ref="M145:M153" si="91">(O144+(L145+N145)/2)*Q145/12</f>
        <v>0</v>
      </c>
      <c r="N145" s="192"/>
      <c r="O145" s="151">
        <f t="shared" ref="O145:O153" si="92">O144+L145+M145+N145</f>
        <v>0</v>
      </c>
      <c r="Q145" s="152">
        <f t="shared" si="88"/>
        <v>0</v>
      </c>
    </row>
    <row r="146" spans="1:17" hidden="1">
      <c r="A146" s="149">
        <f t="shared" si="87"/>
        <v>43590</v>
      </c>
      <c r="C146" s="151"/>
      <c r="D146" s="151">
        <f t="shared" si="89"/>
        <v>0</v>
      </c>
      <c r="E146" s="196"/>
      <c r="F146" s="151">
        <f t="shared" si="90"/>
        <v>0</v>
      </c>
      <c r="H146" s="152">
        <f t="shared" si="86"/>
        <v>0</v>
      </c>
      <c r="J146" s="149">
        <f t="shared" si="85"/>
        <v>43590</v>
      </c>
      <c r="L146" s="151"/>
      <c r="M146" s="151">
        <f t="shared" si="91"/>
        <v>0</v>
      </c>
      <c r="N146" s="192"/>
      <c r="O146" s="151">
        <f t="shared" si="92"/>
        <v>0</v>
      </c>
      <c r="Q146" s="152">
        <f t="shared" si="88"/>
        <v>0</v>
      </c>
    </row>
    <row r="147" spans="1:17" hidden="1">
      <c r="A147" s="149">
        <f t="shared" si="87"/>
        <v>43621</v>
      </c>
      <c r="C147" s="151"/>
      <c r="D147" s="151">
        <f t="shared" si="89"/>
        <v>0</v>
      </c>
      <c r="E147" s="196"/>
      <c r="F147" s="151">
        <f t="shared" si="90"/>
        <v>0</v>
      </c>
      <c r="H147" s="152">
        <f t="shared" si="86"/>
        <v>0</v>
      </c>
      <c r="J147" s="149">
        <f t="shared" si="85"/>
        <v>43621</v>
      </c>
      <c r="L147" s="151"/>
      <c r="M147" s="151">
        <f t="shared" si="91"/>
        <v>0</v>
      </c>
      <c r="N147" s="192"/>
      <c r="O147" s="151">
        <f t="shared" si="92"/>
        <v>0</v>
      </c>
      <c r="Q147" s="152">
        <f t="shared" si="88"/>
        <v>0</v>
      </c>
    </row>
    <row r="148" spans="1:17" hidden="1">
      <c r="A148" s="149">
        <f t="shared" si="87"/>
        <v>43652</v>
      </c>
      <c r="C148" s="151"/>
      <c r="D148" s="151">
        <f t="shared" si="89"/>
        <v>0</v>
      </c>
      <c r="E148" s="196"/>
      <c r="F148" s="151">
        <f t="shared" si="90"/>
        <v>0</v>
      </c>
      <c r="H148" s="152">
        <f t="shared" si="86"/>
        <v>0</v>
      </c>
      <c r="J148" s="149">
        <f t="shared" si="85"/>
        <v>43652</v>
      </c>
      <c r="L148" s="151"/>
      <c r="M148" s="151">
        <f t="shared" si="91"/>
        <v>0</v>
      </c>
      <c r="N148" s="192"/>
      <c r="O148" s="151">
        <f t="shared" si="92"/>
        <v>0</v>
      </c>
      <c r="Q148" s="152">
        <f t="shared" si="88"/>
        <v>0</v>
      </c>
    </row>
    <row r="149" spans="1:17" hidden="1">
      <c r="A149" s="149">
        <f t="shared" si="87"/>
        <v>43683</v>
      </c>
      <c r="C149" s="151"/>
      <c r="D149" s="151">
        <f t="shared" si="89"/>
        <v>0</v>
      </c>
      <c r="E149" s="196"/>
      <c r="F149" s="151">
        <f t="shared" si="90"/>
        <v>0</v>
      </c>
      <c r="H149" s="152">
        <f t="shared" si="86"/>
        <v>0</v>
      </c>
      <c r="J149" s="149">
        <f t="shared" si="85"/>
        <v>43683</v>
      </c>
      <c r="L149" s="151"/>
      <c r="M149" s="151">
        <f t="shared" si="91"/>
        <v>0</v>
      </c>
      <c r="N149" s="192"/>
      <c r="O149" s="151">
        <f t="shared" si="92"/>
        <v>0</v>
      </c>
      <c r="Q149" s="152">
        <f t="shared" si="88"/>
        <v>0</v>
      </c>
    </row>
    <row r="150" spans="1:17" hidden="1">
      <c r="A150" s="149">
        <f t="shared" si="87"/>
        <v>43714</v>
      </c>
      <c r="C150" s="151"/>
      <c r="D150" s="151">
        <f t="shared" si="89"/>
        <v>0</v>
      </c>
      <c r="E150" s="196"/>
      <c r="F150" s="151">
        <f t="shared" si="90"/>
        <v>0</v>
      </c>
      <c r="H150" s="152">
        <f t="shared" si="86"/>
        <v>0</v>
      </c>
      <c r="J150" s="149">
        <f t="shared" si="85"/>
        <v>43714</v>
      </c>
      <c r="L150" s="151"/>
      <c r="M150" s="151">
        <f t="shared" si="91"/>
        <v>0</v>
      </c>
      <c r="N150" s="192"/>
      <c r="O150" s="151">
        <f t="shared" si="92"/>
        <v>0</v>
      </c>
      <c r="Q150" s="152">
        <f t="shared" si="88"/>
        <v>0</v>
      </c>
    </row>
    <row r="151" spans="1:17" hidden="1">
      <c r="A151" s="149">
        <f t="shared" si="87"/>
        <v>43745</v>
      </c>
      <c r="B151" s="73" t="s">
        <v>139</v>
      </c>
      <c r="C151" s="154">
        <f>IF($C$87&gt;0,IF(($F$86+$F$119)&lt;0,-$C$87,0),0)-$C$120</f>
        <v>0</v>
      </c>
      <c r="D151" s="151">
        <f t="shared" ref="D151" si="93">(F150+(E151)/2)*H151/12</f>
        <v>0</v>
      </c>
      <c r="E151" s="196"/>
      <c r="F151" s="151">
        <f t="shared" si="90"/>
        <v>0</v>
      </c>
      <c r="H151" s="152">
        <f t="shared" si="86"/>
        <v>0</v>
      </c>
      <c r="J151" s="149">
        <f t="shared" si="85"/>
        <v>43745</v>
      </c>
      <c r="K151" s="73" t="s">
        <v>139</v>
      </c>
      <c r="L151" s="154">
        <f>IF($L$87&gt;0,IF(($O$86+$O$119)&lt;0,-$L$87,0),0)-$L$120</f>
        <v>0</v>
      </c>
      <c r="M151" s="151">
        <f t="shared" ref="M151" si="94">(O150+(N151)/2)*Q151/12</f>
        <v>0</v>
      </c>
      <c r="N151" s="192"/>
      <c r="O151" s="151">
        <f t="shared" si="92"/>
        <v>0</v>
      </c>
      <c r="Q151" s="152">
        <f t="shared" si="88"/>
        <v>0</v>
      </c>
    </row>
    <row r="152" spans="1:17" hidden="1">
      <c r="A152" s="149">
        <f t="shared" si="87"/>
        <v>43776</v>
      </c>
      <c r="C152" s="151"/>
      <c r="D152" s="151">
        <f t="shared" si="89"/>
        <v>0</v>
      </c>
      <c r="E152" s="196"/>
      <c r="F152" s="151">
        <f t="shared" si="90"/>
        <v>0</v>
      </c>
      <c r="H152" s="152">
        <f t="shared" si="86"/>
        <v>0</v>
      </c>
      <c r="J152" s="149">
        <f t="shared" si="85"/>
        <v>43776</v>
      </c>
      <c r="L152" s="151"/>
      <c r="M152" s="151">
        <f t="shared" si="91"/>
        <v>0</v>
      </c>
      <c r="N152" s="192"/>
      <c r="O152" s="151">
        <f t="shared" si="92"/>
        <v>0</v>
      </c>
      <c r="Q152" s="152">
        <f t="shared" si="88"/>
        <v>0</v>
      </c>
    </row>
    <row r="153" spans="1:17" hidden="1">
      <c r="A153" s="149">
        <f t="shared" si="87"/>
        <v>43807</v>
      </c>
      <c r="C153" s="151"/>
      <c r="D153" s="151">
        <f>(F152+(C153+E153)/2)*H153/12</f>
        <v>0</v>
      </c>
      <c r="E153" s="196"/>
      <c r="F153" s="151">
        <f t="shared" si="90"/>
        <v>0</v>
      </c>
      <c r="H153" s="152">
        <f t="shared" si="86"/>
        <v>0</v>
      </c>
      <c r="J153" s="149">
        <f t="shared" si="85"/>
        <v>43807</v>
      </c>
      <c r="L153" s="151"/>
      <c r="M153" s="151">
        <f t="shared" si="91"/>
        <v>0</v>
      </c>
      <c r="N153" s="192"/>
      <c r="O153" s="151">
        <f t="shared" si="92"/>
        <v>0</v>
      </c>
      <c r="Q153" s="152">
        <f t="shared" si="88"/>
        <v>0</v>
      </c>
    </row>
    <row r="154" spans="1:17" ht="51" hidden="1" customHeight="1">
      <c r="B154" s="155" t="s">
        <v>139</v>
      </c>
      <c r="C154" s="246" t="s">
        <v>146</v>
      </c>
      <c r="D154" s="246"/>
      <c r="E154" s="246"/>
      <c r="F154" s="246"/>
      <c r="G154" s="246"/>
      <c r="H154" s="246"/>
      <c r="K154" s="155" t="s">
        <v>139</v>
      </c>
      <c r="L154" s="246" t="s">
        <v>146</v>
      </c>
      <c r="M154" s="246"/>
      <c r="N154" s="246"/>
      <c r="O154" s="246"/>
      <c r="P154" s="246"/>
      <c r="Q154" s="246"/>
    </row>
    <row r="155" spans="1:17">
      <c r="F155" s="151"/>
      <c r="O155" s="151"/>
    </row>
    <row r="156" spans="1:17">
      <c r="F156" s="151"/>
      <c r="O156" s="151"/>
    </row>
    <row r="157" spans="1:17">
      <c r="F157" s="151"/>
      <c r="O157" s="151"/>
    </row>
    <row r="158" spans="1:17">
      <c r="F158" s="151"/>
      <c r="O158" s="151"/>
    </row>
    <row r="159" spans="1:17">
      <c r="F159" s="151"/>
      <c r="O159" s="151"/>
    </row>
    <row r="160" spans="1:17">
      <c r="F160" s="151"/>
      <c r="O160" s="151"/>
    </row>
    <row r="161" spans="6:15">
      <c r="F161" s="151"/>
      <c r="O161" s="151"/>
    </row>
    <row r="162" spans="6:15">
      <c r="F162" s="151"/>
      <c r="O162" s="151"/>
    </row>
    <row r="163" spans="6:15">
      <c r="F163" s="151"/>
      <c r="O163" s="151"/>
    </row>
    <row r="164" spans="6:15">
      <c r="F164" s="151"/>
      <c r="O164" s="151"/>
    </row>
    <row r="165" spans="6:15">
      <c r="F165" s="151"/>
      <c r="O165" s="151"/>
    </row>
    <row r="166" spans="6:15">
      <c r="F166" s="151"/>
      <c r="O166" s="151"/>
    </row>
    <row r="167" spans="6:15">
      <c r="F167" s="151"/>
      <c r="O167" s="151"/>
    </row>
    <row r="168" spans="6:15">
      <c r="F168" s="151"/>
      <c r="O168" s="151"/>
    </row>
    <row r="169" spans="6:15">
      <c r="F169" s="151"/>
      <c r="O169" s="151"/>
    </row>
    <row r="170" spans="6:15">
      <c r="F170" s="151"/>
      <c r="O170" s="151"/>
    </row>
    <row r="171" spans="6:15">
      <c r="F171" s="151"/>
      <c r="O171" s="151"/>
    </row>
    <row r="172" spans="6:15">
      <c r="F172" s="151"/>
      <c r="O172" s="151"/>
    </row>
    <row r="173" spans="6:15">
      <c r="F173" s="151"/>
      <c r="O173" s="151"/>
    </row>
    <row r="174" spans="6:15">
      <c r="F174" s="151"/>
      <c r="O174" s="151"/>
    </row>
    <row r="175" spans="6:15">
      <c r="F175" s="151"/>
      <c r="O175" s="151"/>
    </row>
    <row r="176" spans="6:15">
      <c r="F176" s="151"/>
      <c r="O176" s="151"/>
    </row>
    <row r="177" spans="6:15">
      <c r="F177" s="151"/>
      <c r="O177" s="151"/>
    </row>
    <row r="178" spans="6:15">
      <c r="F178" s="151"/>
      <c r="O178" s="151"/>
    </row>
    <row r="179" spans="6:15">
      <c r="F179" s="151"/>
      <c r="O179" s="151"/>
    </row>
    <row r="180" spans="6:15">
      <c r="F180" s="151"/>
      <c r="O180" s="151"/>
    </row>
    <row r="181" spans="6:15">
      <c r="F181" s="151"/>
      <c r="O181" s="151"/>
    </row>
    <row r="182" spans="6:15">
      <c r="F182" s="151"/>
      <c r="O182" s="151"/>
    </row>
    <row r="183" spans="6:15">
      <c r="F183" s="151"/>
      <c r="O183" s="151"/>
    </row>
    <row r="184" spans="6:15">
      <c r="F184" s="151"/>
      <c r="O184" s="151"/>
    </row>
    <row r="185" spans="6:15">
      <c r="F185" s="151"/>
      <c r="O185" s="151"/>
    </row>
    <row r="186" spans="6:15">
      <c r="F186" s="151"/>
      <c r="O186" s="151"/>
    </row>
    <row r="187" spans="6:15">
      <c r="F187" s="151"/>
      <c r="O187" s="151"/>
    </row>
    <row r="188" spans="6:15">
      <c r="F188" s="151"/>
      <c r="O188" s="151"/>
    </row>
    <row r="189" spans="6:15">
      <c r="F189" s="151"/>
      <c r="O189" s="151"/>
    </row>
    <row r="190" spans="6:15">
      <c r="F190" s="151"/>
      <c r="O190" s="151"/>
    </row>
    <row r="191" spans="6:15">
      <c r="F191" s="151"/>
      <c r="O191" s="151"/>
    </row>
    <row r="192" spans="6:15">
      <c r="F192" s="151"/>
      <c r="O192" s="151"/>
    </row>
    <row r="193" spans="6:15">
      <c r="F193" s="151"/>
      <c r="O193" s="151"/>
    </row>
    <row r="194" spans="6:15">
      <c r="F194" s="151"/>
      <c r="O194" s="151"/>
    </row>
    <row r="195" spans="6:15">
      <c r="F195" s="151"/>
      <c r="O195" s="151"/>
    </row>
    <row r="196" spans="6:15">
      <c r="F196" s="151"/>
      <c r="O196" s="151"/>
    </row>
    <row r="197" spans="6:15">
      <c r="F197" s="151"/>
      <c r="O197" s="151"/>
    </row>
    <row r="198" spans="6:15">
      <c r="F198" s="151"/>
      <c r="O198" s="151"/>
    </row>
    <row r="199" spans="6:15">
      <c r="F199" s="151"/>
      <c r="O199" s="151"/>
    </row>
    <row r="200" spans="6:15">
      <c r="F200" s="151"/>
      <c r="O200" s="151"/>
    </row>
    <row r="201" spans="6:15">
      <c r="F201" s="151"/>
      <c r="O201" s="151"/>
    </row>
    <row r="202" spans="6:15">
      <c r="F202" s="151"/>
      <c r="O202" s="151"/>
    </row>
    <row r="203" spans="6:15">
      <c r="F203" s="151"/>
      <c r="O203" s="151"/>
    </row>
    <row r="204" spans="6:15">
      <c r="F204" s="151"/>
      <c r="O204" s="151"/>
    </row>
    <row r="205" spans="6:15">
      <c r="F205" s="151"/>
      <c r="O205" s="151"/>
    </row>
    <row r="206" spans="6:15">
      <c r="F206" s="151"/>
      <c r="O206" s="151"/>
    </row>
    <row r="207" spans="6:15">
      <c r="F207" s="151"/>
      <c r="O207" s="151"/>
    </row>
    <row r="208" spans="6:15">
      <c r="F208" s="151"/>
      <c r="O208" s="151"/>
    </row>
    <row r="209" spans="6:15">
      <c r="F209" s="151"/>
      <c r="O209" s="151"/>
    </row>
    <row r="210" spans="6:15">
      <c r="F210" s="151"/>
      <c r="O210" s="151"/>
    </row>
    <row r="211" spans="6:15">
      <c r="F211" s="151"/>
      <c r="O211" s="151"/>
    </row>
    <row r="212" spans="6:15">
      <c r="F212" s="151"/>
      <c r="O212" s="151"/>
    </row>
    <row r="213" spans="6:15">
      <c r="F213" s="151"/>
      <c r="O213" s="151"/>
    </row>
    <row r="214" spans="6:15">
      <c r="F214" s="151"/>
      <c r="O214" s="151"/>
    </row>
    <row r="215" spans="6:15">
      <c r="F215" s="151"/>
      <c r="O215" s="151"/>
    </row>
    <row r="216" spans="6:15">
      <c r="F216" s="151"/>
      <c r="O216" s="151"/>
    </row>
    <row r="217" spans="6:15">
      <c r="F217" s="151"/>
      <c r="O217" s="151"/>
    </row>
    <row r="218" spans="6:15">
      <c r="F218" s="151"/>
      <c r="O218" s="151"/>
    </row>
    <row r="219" spans="6:15">
      <c r="F219" s="151"/>
      <c r="O219" s="151"/>
    </row>
    <row r="220" spans="6:15">
      <c r="F220" s="151"/>
      <c r="O220" s="151"/>
    </row>
    <row r="221" spans="6:15">
      <c r="F221" s="151"/>
      <c r="O221" s="151"/>
    </row>
    <row r="222" spans="6:15">
      <c r="F222" s="151"/>
      <c r="O222" s="151"/>
    </row>
    <row r="223" spans="6:15">
      <c r="F223" s="151"/>
      <c r="O223" s="151"/>
    </row>
    <row r="224" spans="6:15">
      <c r="F224" s="151"/>
      <c r="O224" s="151"/>
    </row>
    <row r="225" spans="6:15">
      <c r="F225" s="151"/>
      <c r="O225" s="151"/>
    </row>
    <row r="226" spans="6:15">
      <c r="F226" s="151"/>
      <c r="O226" s="151"/>
    </row>
    <row r="227" spans="6:15">
      <c r="F227" s="151"/>
      <c r="O227" s="151"/>
    </row>
    <row r="228" spans="6:15">
      <c r="F228" s="151"/>
      <c r="O228" s="151"/>
    </row>
    <row r="229" spans="6:15">
      <c r="F229" s="151"/>
      <c r="O229" s="151"/>
    </row>
    <row r="230" spans="6:15">
      <c r="F230" s="151"/>
      <c r="O230" s="151"/>
    </row>
    <row r="231" spans="6:15">
      <c r="F231" s="151"/>
      <c r="O231" s="151"/>
    </row>
    <row r="232" spans="6:15">
      <c r="F232" s="151"/>
      <c r="O232" s="151"/>
    </row>
    <row r="233" spans="6:15">
      <c r="F233" s="151"/>
      <c r="O233" s="151"/>
    </row>
    <row r="234" spans="6:15">
      <c r="F234" s="151"/>
      <c r="O234" s="151"/>
    </row>
    <row r="235" spans="6:15">
      <c r="F235" s="151"/>
      <c r="O235" s="151"/>
    </row>
    <row r="236" spans="6:15">
      <c r="F236" s="151"/>
      <c r="O236" s="151"/>
    </row>
    <row r="237" spans="6:15">
      <c r="F237" s="151"/>
      <c r="O237" s="151"/>
    </row>
    <row r="238" spans="6:15">
      <c r="F238" s="151"/>
      <c r="O238" s="151"/>
    </row>
    <row r="239" spans="6:15">
      <c r="F239" s="151"/>
      <c r="O239" s="151"/>
    </row>
    <row r="240" spans="6:15">
      <c r="F240" s="151"/>
    </row>
    <row r="241" spans="6:6">
      <c r="F241" s="151"/>
    </row>
    <row r="242" spans="6:6">
      <c r="F242" s="151"/>
    </row>
    <row r="243" spans="6:6">
      <c r="F243" s="151"/>
    </row>
    <row r="244" spans="6:6">
      <c r="F244" s="151"/>
    </row>
    <row r="245" spans="6:6">
      <c r="F245" s="151"/>
    </row>
    <row r="246" spans="6:6">
      <c r="F246" s="151"/>
    </row>
    <row r="247" spans="6:6">
      <c r="F247" s="151"/>
    </row>
    <row r="248" spans="6:6">
      <c r="F248" s="151"/>
    </row>
  </sheetData>
  <mergeCells count="8">
    <mergeCell ref="C154:H154"/>
    <mergeCell ref="C71:H71"/>
    <mergeCell ref="C89:H89"/>
    <mergeCell ref="A1:I1"/>
    <mergeCell ref="J1:R1"/>
    <mergeCell ref="L71:Q71"/>
    <mergeCell ref="L89:Q89"/>
    <mergeCell ref="L154:Q154"/>
  </mergeCells>
  <printOptions horizontalCentered="1"/>
  <pageMargins left="0.7" right="0.71" top="0.97" bottom="0.75" header="0.5" footer="0.5"/>
  <pageSetup scale="76" firstPageNumber="7" fitToWidth="0" fitToHeight="0" orientation="portrait" useFirstPageNumber="1" r:id="rId1"/>
  <headerFooter scaleWithDoc="0">
    <oddHeader>&amp;CAvista Corporation Decoupling Mechanism
Washington Jurisdiction
Quarterly Report for 1st Quarter 2019</oddHeader>
    <oddFooter>&amp;Cfile: &amp;F / &amp;A&amp;RPage &amp;P of 11</oddFooter>
  </headerFooter>
  <rowBreaks count="1" manualBreakCount="1">
    <brk id="106" max="17" man="1"/>
  </rowBreaks>
  <colBreaks count="1" manualBreakCount="1">
    <brk id="9" max="1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topLeftCell="A13" zoomScaleNormal="100" workbookViewId="0">
      <selection activeCell="A30" sqref="A30:K30"/>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3" customWidth="1"/>
    <col min="9" max="12" width="8.5703125" customWidth="1"/>
  </cols>
  <sheetData>
    <row r="1" spans="1:23" ht="28.9" customHeight="1">
      <c r="A1" t="s">
        <v>63</v>
      </c>
    </row>
    <row r="2" spans="1:23" s="34" customFormat="1" ht="14.45" customHeight="1">
      <c r="A2" s="54"/>
      <c r="B2" s="54"/>
      <c r="C2" s="54"/>
      <c r="D2" s="54"/>
      <c r="E2" s="54"/>
      <c r="F2" s="54"/>
      <c r="G2" s="54"/>
      <c r="H2" s="80"/>
      <c r="I2" s="54"/>
      <c r="J2" s="54"/>
      <c r="K2" s="54"/>
    </row>
    <row r="3" spans="1:23" s="34" customFormat="1" ht="63.75" customHeight="1">
      <c r="A3" s="250" t="s">
        <v>177</v>
      </c>
      <c r="B3" s="250"/>
      <c r="C3" s="250"/>
      <c r="D3" s="250"/>
      <c r="E3" s="250"/>
      <c r="F3" s="250"/>
      <c r="G3" s="250"/>
      <c r="H3" s="250"/>
      <c r="I3" s="250"/>
      <c r="J3" s="250"/>
      <c r="K3" s="250"/>
      <c r="M3"/>
      <c r="N3"/>
      <c r="O3"/>
      <c r="P3"/>
      <c r="Q3"/>
      <c r="R3"/>
      <c r="S3"/>
      <c r="T3"/>
      <c r="U3"/>
      <c r="V3"/>
      <c r="W3"/>
    </row>
    <row r="4" spans="1:23" ht="14.45" customHeight="1"/>
    <row r="5" spans="1:23" ht="14.45" customHeight="1">
      <c r="A5" s="249" t="s">
        <v>82</v>
      </c>
      <c r="B5" s="249"/>
      <c r="C5" s="249"/>
      <c r="D5" s="249"/>
      <c r="E5" s="249"/>
      <c r="F5" s="249"/>
      <c r="G5" s="249"/>
      <c r="H5" s="249"/>
      <c r="I5" s="249"/>
      <c r="J5" s="249"/>
      <c r="K5" s="249"/>
    </row>
    <row r="6" spans="1:23" s="34" customFormat="1" ht="13.9" customHeight="1">
      <c r="A6" s="249" t="s">
        <v>83</v>
      </c>
      <c r="B6" s="249"/>
      <c r="C6" s="249"/>
      <c r="D6" s="249"/>
      <c r="E6" s="249"/>
      <c r="F6" s="249"/>
      <c r="G6" s="249"/>
      <c r="H6" s="249"/>
      <c r="I6" s="249"/>
      <c r="J6" s="249"/>
      <c r="K6" s="249"/>
    </row>
    <row r="7" spans="1:23" ht="28.9" customHeight="1">
      <c r="A7" s="51"/>
      <c r="B7" s="51"/>
      <c r="C7" s="51"/>
      <c r="E7" s="56" t="s">
        <v>76</v>
      </c>
      <c r="F7" s="56" t="s">
        <v>77</v>
      </c>
      <c r="G7" s="59" t="s">
        <v>86</v>
      </c>
      <c r="H7" s="79" t="s">
        <v>91</v>
      </c>
      <c r="I7" s="101" t="s">
        <v>145</v>
      </c>
      <c r="J7" s="56" t="s">
        <v>78</v>
      </c>
      <c r="K7" s="51"/>
      <c r="L7" s="51"/>
    </row>
    <row r="8" spans="1:23" ht="14.45" customHeight="1">
      <c r="A8" s="55" t="s">
        <v>74</v>
      </c>
      <c r="B8" s="23"/>
      <c r="C8" s="23"/>
      <c r="E8" s="23"/>
      <c r="F8" s="23"/>
      <c r="G8" s="23"/>
      <c r="H8" s="23"/>
      <c r="I8" s="23"/>
      <c r="J8" s="23"/>
      <c r="K8" s="23"/>
      <c r="L8" s="23"/>
    </row>
    <row r="9" spans="1:23" ht="14.45" customHeight="1">
      <c r="A9" s="52"/>
      <c r="B9" s="52" t="s">
        <v>75</v>
      </c>
      <c r="C9" s="52"/>
      <c r="E9" s="58">
        <v>76</v>
      </c>
      <c r="F9" s="58"/>
      <c r="G9" s="75"/>
      <c r="H9" s="99"/>
      <c r="I9" s="58">
        <v>76</v>
      </c>
      <c r="J9" s="177">
        <v>2.1999999999999999E-2</v>
      </c>
      <c r="K9" s="52"/>
      <c r="L9" s="52"/>
    </row>
    <row r="10" spans="1:23" ht="14.45" customHeight="1">
      <c r="A10" s="52"/>
      <c r="B10" s="52" t="s">
        <v>84</v>
      </c>
      <c r="C10" s="52"/>
      <c r="E10" s="57">
        <v>14.5</v>
      </c>
      <c r="F10" s="57"/>
      <c r="G10" s="76"/>
      <c r="H10" s="100"/>
      <c r="I10" s="57">
        <v>14.5</v>
      </c>
      <c r="J10" s="177">
        <v>6.8000000000000005E-2</v>
      </c>
      <c r="K10" s="52"/>
      <c r="L10" s="52"/>
    </row>
    <row r="11" spans="1:23">
      <c r="B11" s="34" t="s">
        <v>85</v>
      </c>
      <c r="E11" s="57">
        <v>-14.5</v>
      </c>
      <c r="F11" s="57"/>
      <c r="G11" s="57"/>
      <c r="H11" s="57"/>
      <c r="I11" s="57">
        <v>-14.5</v>
      </c>
      <c r="J11" s="38"/>
    </row>
    <row r="12" spans="1:23" s="34" customFormat="1" ht="6" customHeight="1">
      <c r="E12" s="57"/>
      <c r="F12" s="57"/>
      <c r="G12" s="76"/>
      <c r="H12" s="96"/>
      <c r="I12" s="57"/>
      <c r="J12" s="38"/>
    </row>
    <row r="13" spans="1:23">
      <c r="A13" s="55" t="s">
        <v>79</v>
      </c>
      <c r="B13" s="23"/>
      <c r="C13" s="23"/>
      <c r="E13" s="23"/>
      <c r="F13" s="23"/>
      <c r="G13" s="77"/>
      <c r="H13" s="97"/>
      <c r="I13" s="218"/>
      <c r="J13" s="77"/>
      <c r="K13" s="53"/>
      <c r="L13" s="53"/>
    </row>
    <row r="14" spans="1:23">
      <c r="A14" s="52"/>
      <c r="B14" s="52" t="s">
        <v>75</v>
      </c>
      <c r="C14" s="52"/>
      <c r="E14" s="58">
        <v>-334</v>
      </c>
      <c r="F14" s="58"/>
      <c r="G14" s="75"/>
      <c r="H14" s="99"/>
      <c r="I14" s="58">
        <v>-334</v>
      </c>
      <c r="J14" s="177">
        <v>-2.3E-2</v>
      </c>
      <c r="K14" s="53"/>
      <c r="L14" s="53"/>
    </row>
    <row r="15" spans="1:23" ht="14.45" customHeight="1">
      <c r="A15" s="52"/>
      <c r="B15" s="52" t="s">
        <v>84</v>
      </c>
      <c r="C15" s="52"/>
      <c r="E15" s="57">
        <v>-8.8000000000000007</v>
      </c>
      <c r="F15" s="57"/>
      <c r="G15" s="76"/>
      <c r="H15" s="100"/>
      <c r="I15" s="57">
        <v>-8.8000000000000007</v>
      </c>
      <c r="J15" s="177">
        <v>-8.0000000000000002E-3</v>
      </c>
      <c r="K15" s="53"/>
      <c r="L15" s="53"/>
    </row>
    <row r="16" spans="1:23">
      <c r="B16" s="34" t="s">
        <v>85</v>
      </c>
      <c r="E16" s="57">
        <v>8.8000000000000007</v>
      </c>
      <c r="F16" s="57"/>
      <c r="G16" s="57"/>
      <c r="H16" s="57"/>
      <c r="I16" s="57">
        <v>8.8000000000000007</v>
      </c>
      <c r="J16" s="38"/>
    </row>
    <row r="17" spans="1:19" s="34" customFormat="1" ht="9" customHeight="1">
      <c r="G17" s="38"/>
      <c r="H17" s="98"/>
      <c r="I17" s="73"/>
      <c r="J17" s="38"/>
    </row>
    <row r="18" spans="1:19" ht="14.45" customHeight="1">
      <c r="A18" s="55" t="s">
        <v>80</v>
      </c>
      <c r="B18" s="23"/>
      <c r="C18" s="23"/>
      <c r="E18" s="23"/>
      <c r="F18" s="23"/>
      <c r="G18" s="77"/>
      <c r="H18" s="97"/>
      <c r="I18" s="218"/>
      <c r="J18" s="77"/>
    </row>
    <row r="19" spans="1:19" ht="14.45" customHeight="1">
      <c r="A19" s="52"/>
      <c r="B19" s="52" t="s">
        <v>75</v>
      </c>
      <c r="C19" s="52"/>
      <c r="E19" s="58">
        <v>48</v>
      </c>
      <c r="F19" s="58"/>
      <c r="G19" s="75"/>
      <c r="H19" s="99"/>
      <c r="I19" s="58">
        <v>48</v>
      </c>
      <c r="J19" s="177">
        <v>0.14299999999999999</v>
      </c>
    </row>
    <row r="20" spans="1:19">
      <c r="A20" s="52"/>
      <c r="B20" s="52" t="s">
        <v>84</v>
      </c>
      <c r="C20" s="52"/>
      <c r="E20" s="57">
        <v>15.22</v>
      </c>
      <c r="F20" s="57"/>
      <c r="G20" s="76"/>
      <c r="H20" s="100"/>
      <c r="I20" s="57">
        <v>15.22</v>
      </c>
      <c r="J20" s="177">
        <v>0.112</v>
      </c>
    </row>
    <row r="21" spans="1:19" s="34" customFormat="1">
      <c r="A21" s="52"/>
      <c r="B21" s="34" t="s">
        <v>85</v>
      </c>
      <c r="C21" s="52"/>
      <c r="E21" s="57">
        <v>-15.22</v>
      </c>
      <c r="F21" s="57"/>
      <c r="G21" s="57"/>
      <c r="H21" s="57"/>
      <c r="I21" s="57">
        <v>-15.22</v>
      </c>
      <c r="J21" s="178"/>
    </row>
    <row r="22" spans="1:19" ht="9" customHeight="1">
      <c r="A22" s="34"/>
      <c r="B22" s="34"/>
      <c r="C22" s="34"/>
      <c r="E22" s="34"/>
      <c r="F22" s="34"/>
      <c r="G22" s="38"/>
      <c r="H22" s="98"/>
      <c r="I22" s="73"/>
      <c r="J22" s="38"/>
    </row>
    <row r="23" spans="1:19">
      <c r="A23" s="55" t="s">
        <v>81</v>
      </c>
      <c r="B23" s="23"/>
      <c r="C23" s="23"/>
      <c r="E23" s="23"/>
      <c r="F23" s="23"/>
      <c r="G23" s="77"/>
      <c r="H23" s="97"/>
      <c r="I23" s="218"/>
      <c r="J23" s="77"/>
    </row>
    <row r="24" spans="1:19">
      <c r="A24" s="52"/>
      <c r="B24" s="52" t="s">
        <v>75</v>
      </c>
      <c r="C24" s="52"/>
      <c r="E24" s="58">
        <v>887</v>
      </c>
      <c r="F24" s="58"/>
      <c r="G24" s="75"/>
      <c r="H24" s="99"/>
      <c r="I24" s="58">
        <v>887</v>
      </c>
      <c r="J24" s="177">
        <v>0.127</v>
      </c>
    </row>
    <row r="25" spans="1:19">
      <c r="A25" s="52"/>
      <c r="B25" s="52" t="s">
        <v>84</v>
      </c>
      <c r="C25" s="52"/>
      <c r="E25" s="57">
        <v>92.61</v>
      </c>
      <c r="F25" s="57"/>
      <c r="G25" s="76"/>
      <c r="H25" s="100"/>
      <c r="I25" s="57">
        <v>92.61</v>
      </c>
      <c r="J25" s="177">
        <v>5.3999999999999999E-2</v>
      </c>
    </row>
    <row r="26" spans="1:19">
      <c r="B26" s="34" t="s">
        <v>85</v>
      </c>
      <c r="E26" s="57">
        <v>-92.61</v>
      </c>
      <c r="F26" s="57"/>
      <c r="G26" s="57"/>
      <c r="H26" s="57"/>
      <c r="I26" s="57">
        <v>-92.61</v>
      </c>
      <c r="J26" s="38"/>
    </row>
    <row r="29" spans="1:19" ht="93.6" customHeight="1">
      <c r="A29" s="251" t="s">
        <v>176</v>
      </c>
      <c r="B29" s="251"/>
      <c r="C29" s="251"/>
      <c r="D29" s="251"/>
      <c r="E29" s="251"/>
      <c r="F29" s="251"/>
      <c r="G29" s="251"/>
      <c r="H29" s="251"/>
      <c r="I29" s="251"/>
      <c r="J29" s="251"/>
      <c r="K29" s="251"/>
      <c r="L29" s="51"/>
      <c r="M29" s="51"/>
      <c r="N29" s="51"/>
      <c r="O29" s="51"/>
      <c r="P29" s="51"/>
      <c r="Q29" s="51"/>
      <c r="R29" s="51"/>
      <c r="S29" s="51"/>
    </row>
    <row r="30" spans="1:19" ht="51" customHeight="1">
      <c r="A30" s="248" t="s">
        <v>175</v>
      </c>
      <c r="B30" s="248"/>
      <c r="C30" s="248"/>
      <c r="D30" s="248"/>
      <c r="E30" s="248"/>
      <c r="F30" s="248"/>
      <c r="G30" s="248"/>
      <c r="H30" s="248"/>
      <c r="I30" s="248"/>
      <c r="J30" s="248"/>
      <c r="K30" s="248"/>
      <c r="L30" s="51"/>
      <c r="M30" s="51"/>
      <c r="N30" s="51"/>
      <c r="O30" s="51"/>
      <c r="P30" s="51"/>
      <c r="Q30" s="51"/>
      <c r="R30" s="51"/>
    </row>
    <row r="31" spans="1:19">
      <c r="A31" s="73"/>
      <c r="B31" s="73"/>
      <c r="C31" s="73"/>
      <c r="D31" s="73"/>
      <c r="E31" s="73"/>
      <c r="F31" s="73"/>
      <c r="G31" s="73"/>
      <c r="I31" s="73"/>
      <c r="J31" s="73"/>
      <c r="K31" s="73"/>
      <c r="L31" s="51"/>
      <c r="M31" s="51"/>
      <c r="N31" s="51"/>
      <c r="O31" s="51"/>
      <c r="P31" s="51"/>
      <c r="Q31" s="51"/>
      <c r="R31" s="51"/>
      <c r="S31" s="51"/>
    </row>
    <row r="32" spans="1:19">
      <c r="A32" s="73"/>
      <c r="B32" s="73"/>
      <c r="C32" s="73"/>
      <c r="D32" s="73"/>
      <c r="E32" s="73"/>
      <c r="F32" s="73"/>
      <c r="G32" s="73"/>
      <c r="I32" s="73"/>
      <c r="J32" s="73"/>
      <c r="K32" s="73"/>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sheetData>
  <mergeCells count="5">
    <mergeCell ref="A30:K30"/>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1st Quarter 2019</oddHeader>
    <oddFooter>&amp;Cfile: &amp;F / &amp;A&amp;RPage 11 of 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155D1A13B81845BCDB9E0BC8A67242" ma:contentTypeVersion="167" ma:contentTypeDescription="" ma:contentTypeScope="" ma:versionID="2bd1e4d776b38e3a9ee0295cdefffb7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FCA2077-6319-4063-934A-6B275287040B}"/>
</file>

<file path=customXml/itemProps2.xml><?xml version="1.0" encoding="utf-8"?>
<ds:datastoreItem xmlns:ds="http://schemas.openxmlformats.org/officeDocument/2006/customXml" ds:itemID="{6487BD16-685A-4304-9812-ABE3C109A840}"/>
</file>

<file path=customXml/itemProps3.xml><?xml version="1.0" encoding="utf-8"?>
<ds:datastoreItem xmlns:ds="http://schemas.openxmlformats.org/officeDocument/2006/customXml" ds:itemID="{76D792D5-20A4-4429-9CBF-F631E9A58E17}"/>
</file>

<file path=customXml/itemProps4.xml><?xml version="1.0" encoding="utf-8"?>
<ds:datastoreItem xmlns:ds="http://schemas.openxmlformats.org/officeDocument/2006/customXml" ds:itemID="{B3FC11AC-0E9C-4C26-A3B5-7ED1EF3E06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0x0101006E56B4D1795A2E4DB2F0B01679ED314A00B4155D1A13B81845BCDB9E0BC8A67242</vt:lpwstr>
  </property>
  <property fmtid="{D5CDD505-2E9C-101B-9397-08002B2CF9AE}" pid="3" name="_docset_NoMedatataSyncRequired">
    <vt:lpwstr>False</vt:lpwstr>
  </property>
  <property fmtid="{D5CDD505-2E9C-101B-9397-08002B2CF9AE}" pid="4" name="IsEFSEC">
    <vt:bool>false</vt:bool>
  </property>
</Properties>
</file>