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Compliance Filing/Revised_102921/"/>
    </mc:Choice>
  </mc:AlternateContent>
  <xr:revisionPtr revIDLastSave="0" documentId="13_ncr:1_{A299C20B-886E-418D-94B4-9D25EF43ABB4}" xr6:coauthVersionLast="46" xr6:coauthVersionMax="46" xr10:uidLastSave="{00000000-0000-0000-0000-000000000000}"/>
  <bookViews>
    <workbookView xWindow="-120" yWindow="-120" windowWidth="29040" windowHeight="15840" tabRatio="861" xr2:uid="{AC0D29F4-7B12-477F-AF6F-7925C3430252}"/>
  </bookViews>
  <sheets>
    <sheet name="Rate Spread SETTLEMENT" sheetId="2" r:id="rId1"/>
    <sheet name="Allocation = ¢ per Therm" sheetId="3" state="hidden" r:id="rId2"/>
    <sheet name="Allocation = % of Margin" sheetId="4" r:id="rId3"/>
    <sheet name="Allocation = % of Revenue" sheetId="5" state="hidden" r:id="rId4"/>
    <sheet name="Rev Req Proof Yr1" sheetId="6" state="hidden" r:id="rId5"/>
    <sheet name="Rev Req Proof Yr2" sheetId="18" state="hidden" r:id="rId6"/>
    <sheet name="Temps Proof" sheetId="7" state="hidden" r:id="rId7"/>
    <sheet name="Combined Items Proof Yr2" sheetId="19" state="hidden" r:id="rId8"/>
    <sheet name="Rates in Detail" sheetId="10" r:id="rId9"/>
    <sheet name="Rates in summary" sheetId="11" r:id="rId10"/>
    <sheet name="Avg Bill by RS" sheetId="12" r:id="rId11"/>
    <sheet name="Rate Impacts - Rev Req ONLY" sheetId="13" state="hidden" r:id="rId12"/>
    <sheet name="Rate Impacts - COMBINED" sheetId="14" state="hidden" r:id="rId13"/>
    <sheet name="Proposed Rates - COMBINED" sheetId="17" r:id="rId14"/>
    <sheet name="Exh A Pg 1" sheetId="28" r:id="rId15"/>
    <sheet name="Exh A Pg 2" sheetId="29" r:id="rId16"/>
    <sheet name="Exh. RJW-3 RR" sheetId="20" state="hidden" r:id="rId17"/>
    <sheet name="Exh. RJW-3 Combined" sheetId="21" state="hidden" r:id="rId18"/>
    <sheet name="Exh. RJW-3 Mitigation Only" sheetId="25" state="hidden" r:id="rId19"/>
    <sheet name="Exh. RJW-4 RR" sheetId="22" state="hidden" r:id="rId20"/>
    <sheet name="Exh. RJW-4 Combined" sheetId="23"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 localSheetId="7">#REF!</definedName>
    <definedName name="\0" localSheetId="17">#REF!</definedName>
    <definedName name="\0" localSheetId="18">#REF!</definedName>
    <definedName name="\0" localSheetId="16">#REF!</definedName>
    <definedName name="\0" localSheetId="20">#REF!</definedName>
    <definedName name="\0" localSheetId="19">#REF!</definedName>
    <definedName name="\0" localSheetId="5">#REF!</definedName>
    <definedName name="\0">#REF!</definedName>
    <definedName name="_000000" localSheetId="7">#REF!</definedName>
    <definedName name="_000000" localSheetId="17">#REF!</definedName>
    <definedName name="_000000" localSheetId="18">#REF!</definedName>
    <definedName name="_000000" localSheetId="16">#REF!</definedName>
    <definedName name="_000000" localSheetId="20">#REF!</definedName>
    <definedName name="_000000" localSheetId="19">#REF!</definedName>
    <definedName name="_000000" localSheetId="5">#REF!</definedName>
    <definedName name="_000000">#REF!</definedName>
    <definedName name="_AtRisk_FitDataRange_FIT_B5E8B_D24B5" localSheetId="2" hidden="1">#REF!</definedName>
    <definedName name="_AtRisk_FitDataRange_FIT_B5E8B_D24B5" localSheetId="7" hidden="1">#REF!</definedName>
    <definedName name="_AtRisk_FitDataRange_FIT_B5E8B_D24B5" localSheetId="17" hidden="1">#REF!</definedName>
    <definedName name="_AtRisk_FitDataRange_FIT_B5E8B_D24B5" localSheetId="18" hidden="1">#REF!</definedName>
    <definedName name="_AtRisk_FitDataRange_FIT_B5E8B_D24B5" localSheetId="16" hidden="1">#REF!</definedName>
    <definedName name="_AtRisk_FitDataRange_FIT_B5E8B_D24B5" localSheetId="20" hidden="1">#REF!</definedName>
    <definedName name="_AtRisk_FitDataRange_FIT_B5E8B_D24B5" localSheetId="19" hidden="1">#REF!</definedName>
    <definedName name="_AtRisk_FitDataRange_FIT_B5E8B_D24B5" localSheetId="12" hidden="1">#REF!</definedName>
    <definedName name="_AtRisk_FitDataRange_FIT_B5E8B_D24B5" localSheetId="11" hidden="1">#REF!</definedName>
    <definedName name="_AtRisk_FitDataRange_FIT_B5E8B_D24B5" localSheetId="5" hidden="1">#REF!</definedName>
    <definedName name="_AtRisk_FitDataRange_FIT_B5E8B_D24B5" localSheetId="6"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2" hidden="1">#REF!</definedName>
    <definedName name="_Fill" localSheetId="7" hidden="1">#REF!</definedName>
    <definedName name="_Fill" localSheetId="17" hidden="1">#REF!</definedName>
    <definedName name="_Fill" localSheetId="18" hidden="1">#REF!</definedName>
    <definedName name="_Fill" localSheetId="16" hidden="1">#REF!</definedName>
    <definedName name="_Fill" localSheetId="20" hidden="1">#REF!</definedName>
    <definedName name="_Fill" localSheetId="19" hidden="1">#REF!</definedName>
    <definedName name="_Fill" localSheetId="12" hidden="1">#REF!</definedName>
    <definedName name="_Fill" localSheetId="11" hidden="1">#REF!</definedName>
    <definedName name="_Fill" localSheetId="5" hidden="1">#REF!</definedName>
    <definedName name="_Fill" localSheetId="6" hidden="1">#REF!</definedName>
    <definedName name="_Fill" hidden="1">#REF!</definedName>
    <definedName name="_Order1" hidden="1">255</definedName>
    <definedName name="_Order2" hidden="1">255</definedName>
    <definedName name="_PG3">#N/A</definedName>
    <definedName name="A" localSheetId="7">[1]DEPR!#REF!</definedName>
    <definedName name="A" localSheetId="17">[1]DEPR!#REF!</definedName>
    <definedName name="A" localSheetId="18">[1]DEPR!#REF!</definedName>
    <definedName name="A" localSheetId="16">[1]DEPR!#REF!</definedName>
    <definedName name="A" localSheetId="20">[1]DEPR!#REF!</definedName>
    <definedName name="A" localSheetId="19">[1]DEPR!#REF!</definedName>
    <definedName name="A" localSheetId="5">[1]DEPR!#REF!</definedName>
    <definedName name="A">[1]DEPR!#REF!</definedName>
    <definedName name="AcctData" localSheetId="7">#REF!</definedName>
    <definedName name="AcctData" localSheetId="17">#REF!</definedName>
    <definedName name="AcctData" localSheetId="18">#REF!</definedName>
    <definedName name="AcctData" localSheetId="16">#REF!</definedName>
    <definedName name="AcctData" localSheetId="20">#REF!</definedName>
    <definedName name="AcctData" localSheetId="19">#REF!</definedName>
    <definedName name="AcctData" localSheetId="5">#REF!</definedName>
    <definedName name="AcctData">#REF!</definedName>
    <definedName name="Alloc0" localSheetId="7">[2]Allocators!#REF!</definedName>
    <definedName name="Alloc0" localSheetId="17">[2]Allocators!#REF!</definedName>
    <definedName name="Alloc0" localSheetId="18">[2]Allocators!#REF!</definedName>
    <definedName name="Alloc0" localSheetId="16">[2]Allocators!#REF!</definedName>
    <definedName name="Alloc0" localSheetId="20">[2]Allocators!#REF!</definedName>
    <definedName name="Alloc0" localSheetId="19">[2]Allocators!#REF!</definedName>
    <definedName name="Alloc0" localSheetId="5">[2]Allocators!#REF!</definedName>
    <definedName name="Alloc0">[2]Allocators!#REF!</definedName>
    <definedName name="ALLOCATION" localSheetId="7">#REF!</definedName>
    <definedName name="ALLOCATION" localSheetId="17">#REF!</definedName>
    <definedName name="ALLOCATION" localSheetId="18">#REF!</definedName>
    <definedName name="ALLOCATION" localSheetId="16">#REF!</definedName>
    <definedName name="ALLOCATION" localSheetId="20">#REF!</definedName>
    <definedName name="ALLOCATION" localSheetId="19">#REF!</definedName>
    <definedName name="ALLOCATION" localSheetId="5">#REF!</definedName>
    <definedName name="ALLOCATION">#REF!</definedName>
    <definedName name="AllocPct" localSheetId="7">[2]Allocators!#REF!</definedName>
    <definedName name="AllocPct" localSheetId="17">[2]Allocators!#REF!</definedName>
    <definedName name="AllocPct" localSheetId="18">[2]Allocators!#REF!</definedName>
    <definedName name="AllocPct" localSheetId="16">[2]Allocators!#REF!</definedName>
    <definedName name="AllocPct" localSheetId="20">[2]Allocators!#REF!</definedName>
    <definedName name="AllocPct" localSheetId="19">[2]Allocators!#REF!</definedName>
    <definedName name="AllocPct" localSheetId="5">[2]Allocators!#REF!</definedName>
    <definedName name="AllocPct">[2]Allocators!#REF!</definedName>
    <definedName name="AllocRevReq" localSheetId="7">#REF!</definedName>
    <definedName name="AllocRevReq" localSheetId="17">#REF!</definedName>
    <definedName name="AllocRevReq" localSheetId="18">#REF!</definedName>
    <definedName name="AllocRevReq" localSheetId="16">#REF!</definedName>
    <definedName name="AllocRevReq" localSheetId="20">#REF!</definedName>
    <definedName name="AllocRevReq" localSheetId="19">#REF!</definedName>
    <definedName name="AllocRevReq" localSheetId="5">#REF!</definedName>
    <definedName name="AllocRevReq">#REF!</definedName>
    <definedName name="AT" localSheetId="7">#REF!</definedName>
    <definedName name="AT" localSheetId="17">#REF!</definedName>
    <definedName name="AT" localSheetId="18">#REF!</definedName>
    <definedName name="AT" localSheetId="16">#REF!</definedName>
    <definedName name="AT" localSheetId="20">#REF!</definedName>
    <definedName name="AT" localSheetId="19">#REF!</definedName>
    <definedName name="AT" localSheetId="5">#REF!</definedName>
    <definedName name="AT">#REF!</definedName>
    <definedName name="Bank" localSheetId="7">[3]Input!#REF!</definedName>
    <definedName name="Bank" localSheetId="17">[3]Input!#REF!</definedName>
    <definedName name="Bank" localSheetId="18">[3]Input!#REF!</definedName>
    <definedName name="Bank" localSheetId="16">[3]Input!#REF!</definedName>
    <definedName name="Bank" localSheetId="20">[3]Input!#REF!</definedName>
    <definedName name="Bank" localSheetId="19">[3]Input!#REF!</definedName>
    <definedName name="Bank" localSheetId="5">[3]Input!#REF!</definedName>
    <definedName name="Bank">[3]Input!#REF!</definedName>
    <definedName name="BillROR" localSheetId="7">'[4]Unit Cost'!#REF!</definedName>
    <definedName name="BillROR" localSheetId="17">'[4]Unit Cost'!#REF!</definedName>
    <definedName name="BillROR" localSheetId="18">'[4]Unit Cost'!#REF!</definedName>
    <definedName name="BillROR" localSheetId="16">'[4]Unit Cost'!#REF!</definedName>
    <definedName name="BillROR" localSheetId="20">'[4]Unit Cost'!#REF!</definedName>
    <definedName name="BillROR" localSheetId="19">'[4]Unit Cost'!#REF!</definedName>
    <definedName name="BillROR" localSheetId="5">'[4]Unit Cost'!#REF!</definedName>
    <definedName name="BillROR">'[4]Unit Cost'!#REF!</definedName>
    <definedName name="BKLIFE" localSheetId="7">#REF!</definedName>
    <definedName name="BKLIFE" localSheetId="17">#REF!</definedName>
    <definedName name="BKLIFE" localSheetId="18">#REF!</definedName>
    <definedName name="BKLIFE" localSheetId="16">#REF!</definedName>
    <definedName name="BKLIFE" localSheetId="20">#REF!</definedName>
    <definedName name="BKLIFE" localSheetId="19">#REF!</definedName>
    <definedName name="BKLIFE" localSheetId="5">#REF!</definedName>
    <definedName name="BKLIFE">#REF!</definedName>
    <definedName name="BOOK" localSheetId="7">#REF!</definedName>
    <definedName name="BOOK" localSheetId="17">#REF!</definedName>
    <definedName name="BOOK" localSheetId="18">#REF!</definedName>
    <definedName name="BOOK" localSheetId="16">#REF!</definedName>
    <definedName name="BOOK" localSheetId="20">#REF!</definedName>
    <definedName name="BOOK" localSheetId="19">#REF!</definedName>
    <definedName name="BOOK" localSheetId="5">#REF!</definedName>
    <definedName name="BOOK">#REF!</definedName>
    <definedName name="calcsheet1">#N/A</definedName>
    <definedName name="calcsheet2">#N/A</definedName>
    <definedName name="calcsheet3">#N/A</definedName>
    <definedName name="Case" localSheetId="7">[5]Input!#REF!</definedName>
    <definedName name="Case" localSheetId="17">[5]Input!#REF!</definedName>
    <definedName name="Case" localSheetId="18">[5]Input!#REF!</definedName>
    <definedName name="Case" localSheetId="16">[5]Input!#REF!</definedName>
    <definedName name="Case" localSheetId="20">[5]Input!#REF!</definedName>
    <definedName name="Case" localSheetId="19">[5]Input!#REF!</definedName>
    <definedName name="Case" localSheetId="5">[5]Input!#REF!</definedName>
    <definedName name="Case">[5]Input!#REF!</definedName>
    <definedName name="casepg1">#N/A</definedName>
    <definedName name="ccc" localSheetId="7">#REF!</definedName>
    <definedName name="ccc" localSheetId="17">#REF!</definedName>
    <definedName name="ccc" localSheetId="18">#REF!</definedName>
    <definedName name="ccc" localSheetId="16">#REF!</definedName>
    <definedName name="ccc" localSheetId="20">#REF!</definedName>
    <definedName name="ccc" localSheetId="19">#REF!</definedName>
    <definedName name="ccc" localSheetId="5">#REF!</definedName>
    <definedName name="ccc">#REF!</definedName>
    <definedName name="CEX_21110_ACT_DATA" localSheetId="7">#REF!</definedName>
    <definedName name="CEX_21110_ACT_DATA" localSheetId="17">#REF!</definedName>
    <definedName name="CEX_21110_ACT_DATA" localSheetId="18">#REF!</definedName>
    <definedName name="CEX_21110_ACT_DATA" localSheetId="16">#REF!</definedName>
    <definedName name="CEX_21110_ACT_DATA" localSheetId="20">#REF!</definedName>
    <definedName name="CEX_21110_ACT_DATA" localSheetId="19">#REF!</definedName>
    <definedName name="CEX_21110_ACT_DATA" localSheetId="5">#REF!</definedName>
    <definedName name="CEX_21110_ACT_DATA">#REF!</definedName>
    <definedName name="CEX_21110_ACT_GRP" localSheetId="7">#REF!</definedName>
    <definedName name="CEX_21110_ACT_GRP" localSheetId="17">#REF!</definedName>
    <definedName name="CEX_21110_ACT_GRP" localSheetId="18">#REF!</definedName>
    <definedName name="CEX_21110_ACT_GRP" localSheetId="16">#REF!</definedName>
    <definedName name="CEX_21110_ACT_GRP" localSheetId="20">#REF!</definedName>
    <definedName name="CEX_21110_ACT_GRP" localSheetId="19">#REF!</definedName>
    <definedName name="CEX_21110_ACT_GRP" localSheetId="5">#REF!</definedName>
    <definedName name="CEX_21110_ACT_GRP">#REF!</definedName>
    <definedName name="CEX_21110_EST_DATA" localSheetId="7">#REF!</definedName>
    <definedName name="CEX_21110_EST_DATA" localSheetId="17">#REF!</definedName>
    <definedName name="CEX_21110_EST_DATA" localSheetId="18">#REF!</definedName>
    <definedName name="CEX_21110_EST_DATA" localSheetId="16">#REF!</definedName>
    <definedName name="CEX_21110_EST_DATA" localSheetId="20">#REF!</definedName>
    <definedName name="CEX_21110_EST_DATA" localSheetId="19">#REF!</definedName>
    <definedName name="CEX_21110_EST_DATA" localSheetId="5">#REF!</definedName>
    <definedName name="CEX_21110_EST_DATA">#REF!</definedName>
    <definedName name="CEX_21110_EST_GRP" localSheetId="7">#REF!</definedName>
    <definedName name="CEX_21110_EST_GRP" localSheetId="17">#REF!</definedName>
    <definedName name="CEX_21110_EST_GRP" localSheetId="18">#REF!</definedName>
    <definedName name="CEX_21110_EST_GRP" localSheetId="16">#REF!</definedName>
    <definedName name="CEX_21110_EST_GRP" localSheetId="20">#REF!</definedName>
    <definedName name="CEX_21110_EST_GRP" localSheetId="19">#REF!</definedName>
    <definedName name="CEX_21110_EST_GRP" localSheetId="5">#REF!</definedName>
    <definedName name="CEX_21110_EST_GRP">#REF!</definedName>
    <definedName name="Classes" localSheetId="7">#REF!</definedName>
    <definedName name="Classes" localSheetId="17">#REF!</definedName>
    <definedName name="Classes" localSheetId="18">#REF!</definedName>
    <definedName name="Classes" localSheetId="16">#REF!</definedName>
    <definedName name="Classes" localSheetId="20">#REF!</definedName>
    <definedName name="Classes" localSheetId="19">#REF!</definedName>
    <definedName name="Classes" localSheetId="5">#REF!</definedName>
    <definedName name="Classes">#REF!</definedName>
    <definedName name="Classes1" localSheetId="7">#REF!</definedName>
    <definedName name="Classes1" localSheetId="17">#REF!</definedName>
    <definedName name="Classes1" localSheetId="18">#REF!</definedName>
    <definedName name="Classes1" localSheetId="16">#REF!</definedName>
    <definedName name="Classes1" localSheetId="20">#REF!</definedName>
    <definedName name="Classes1" localSheetId="19">#REF!</definedName>
    <definedName name="Classes1" localSheetId="5">#REF!</definedName>
    <definedName name="Classes1">#REF!</definedName>
    <definedName name="ClassSum" localSheetId="7">#REF!</definedName>
    <definedName name="ClassSum" localSheetId="17">#REF!</definedName>
    <definedName name="ClassSum" localSheetId="18">#REF!</definedName>
    <definedName name="ClassSum" localSheetId="16">#REF!</definedName>
    <definedName name="ClassSum" localSheetId="20">#REF!</definedName>
    <definedName name="ClassSum" localSheetId="19">#REF!</definedName>
    <definedName name="ClassSum" localSheetId="5">#REF!</definedName>
    <definedName name="ClassSum">#REF!</definedName>
    <definedName name="CMonth" localSheetId="7">#REF!</definedName>
    <definedName name="CMonth" localSheetId="17">#REF!</definedName>
    <definedName name="CMonth" localSheetId="18">#REF!</definedName>
    <definedName name="CMonth" localSheetId="16">#REF!</definedName>
    <definedName name="CMonth" localSheetId="20">#REF!</definedName>
    <definedName name="CMonth" localSheetId="19">#REF!</definedName>
    <definedName name="CMonth" localSheetId="5">#REF!</definedName>
    <definedName name="CMonth">#REF!</definedName>
    <definedName name="Company">[6]Registry!$E$94</definedName>
    <definedName name="coname">[3]A!$A$1</definedName>
    <definedName name="ContractInflator" localSheetId="7">'[7]Meter-Service'!#REF!</definedName>
    <definedName name="ContractInflator" localSheetId="17">'[7]Meter-Service'!#REF!</definedName>
    <definedName name="ContractInflator" localSheetId="18">'[7]Meter-Service'!#REF!</definedName>
    <definedName name="ContractInflator" localSheetId="16">'[7]Meter-Service'!#REF!</definedName>
    <definedName name="ContractInflator" localSheetId="20">'[7]Meter-Service'!#REF!</definedName>
    <definedName name="ContractInflator" localSheetId="19">'[7]Meter-Service'!#REF!</definedName>
    <definedName name="ContractInflator" localSheetId="5">'[7]Meter-Service'!#REF!</definedName>
    <definedName name="ContractInflator">'[7]Meter-Service'!#REF!</definedName>
    <definedName name="Corp_Serv_Print_CEX" localSheetId="7">#REF!</definedName>
    <definedName name="Corp_Serv_Print_CEX" localSheetId="17">#REF!</definedName>
    <definedName name="Corp_Serv_Print_CEX" localSheetId="18">#REF!</definedName>
    <definedName name="Corp_Serv_Print_CEX" localSheetId="16">#REF!</definedName>
    <definedName name="Corp_Serv_Print_CEX" localSheetId="20">#REF!</definedName>
    <definedName name="Corp_Serv_Print_CEX" localSheetId="19">#REF!</definedName>
    <definedName name="Corp_Serv_Print_CEX" localSheetId="5">#REF!</definedName>
    <definedName name="Corp_Serv_Print_CEX">#REF!</definedName>
    <definedName name="CustBills" localSheetId="7">#REF!</definedName>
    <definedName name="CustBills" localSheetId="17">#REF!</definedName>
    <definedName name="CustBills" localSheetId="18">#REF!</definedName>
    <definedName name="CustBills" localSheetId="16">#REF!</definedName>
    <definedName name="CustBills" localSheetId="20">#REF!</definedName>
    <definedName name="CustBills" localSheetId="19">#REF!</definedName>
    <definedName name="CustBills" localSheetId="5">#REF!</definedName>
    <definedName name="CustBills">#REF!</definedName>
    <definedName name="CYTD" localSheetId="7">#REF!</definedName>
    <definedName name="CYTD" localSheetId="17">#REF!</definedName>
    <definedName name="CYTD" localSheetId="18">#REF!</definedName>
    <definedName name="CYTD" localSheetId="16">#REF!</definedName>
    <definedName name="CYTD" localSheetId="20">#REF!</definedName>
    <definedName name="CYTD" localSheetId="19">#REF!</definedName>
    <definedName name="CYTD" localSheetId="5">#REF!</definedName>
    <definedName name="CYTD">#REF!</definedName>
    <definedName name="DATA11" localSheetId="7">[8]data!#REF!</definedName>
    <definedName name="DATA11" localSheetId="17">[8]data!#REF!</definedName>
    <definedName name="DATA11" localSheetId="18">[8]data!#REF!</definedName>
    <definedName name="DATA11" localSheetId="16">[8]data!#REF!</definedName>
    <definedName name="DATA11" localSheetId="20">[8]data!#REF!</definedName>
    <definedName name="DATA11" localSheetId="19">[8]data!#REF!</definedName>
    <definedName name="DATA11" localSheetId="5">[8]data!#REF!</definedName>
    <definedName name="DATA11">[8]data!#REF!</definedName>
    <definedName name="DATA5" localSheetId="7">[8]data!#REF!</definedName>
    <definedName name="DATA5" localSheetId="17">[8]data!#REF!</definedName>
    <definedName name="DATA5" localSheetId="18">[8]data!#REF!</definedName>
    <definedName name="DATA5" localSheetId="16">[8]data!#REF!</definedName>
    <definedName name="DATA5" localSheetId="20">[8]data!#REF!</definedName>
    <definedName name="DATA5" localSheetId="19">[8]data!#REF!</definedName>
    <definedName name="DATA5" localSheetId="5">[8]data!#REF!</definedName>
    <definedName name="DATA5">[8]data!#REF!</definedName>
    <definedName name="DATA8" localSheetId="7">[8]data!#REF!</definedName>
    <definedName name="DATA8" localSheetId="17">[8]data!#REF!</definedName>
    <definedName name="DATA8" localSheetId="18">[8]data!#REF!</definedName>
    <definedName name="DATA8" localSheetId="16">[8]data!#REF!</definedName>
    <definedName name="DATA8" localSheetId="20">[8]data!#REF!</definedName>
    <definedName name="DATA8" localSheetId="19">[8]data!#REF!</definedName>
    <definedName name="DATA8" localSheetId="5">[8]data!#REF!</definedName>
    <definedName name="DATA8">[8]data!#REF!</definedName>
    <definedName name="DATA9" localSheetId="7">[8]data!#REF!</definedName>
    <definedName name="DATA9" localSheetId="17">[8]data!#REF!</definedName>
    <definedName name="DATA9" localSheetId="18">[8]data!#REF!</definedName>
    <definedName name="DATA9" localSheetId="16">[8]data!#REF!</definedName>
    <definedName name="DATA9" localSheetId="20">[8]data!#REF!</definedName>
    <definedName name="DATA9" localSheetId="19">[8]data!#REF!</definedName>
    <definedName name="DATA9" localSheetId="5">[8]data!#REF!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7">#REF!</definedName>
    <definedName name="dbYear200" localSheetId="17">#REF!</definedName>
    <definedName name="dbYear200" localSheetId="18">#REF!</definedName>
    <definedName name="dbYear200" localSheetId="16">#REF!</definedName>
    <definedName name="dbYear200" localSheetId="20">#REF!</definedName>
    <definedName name="dbYear200" localSheetId="19">#REF!</definedName>
    <definedName name="dbYear200" localSheetId="5">#REF!</definedName>
    <definedName name="dbYear200">#REF!</definedName>
    <definedName name="Desc">[10]Sheet1!$J$1:$K$298</definedName>
    <definedName name="DEX_21110_ACT_DATA" localSheetId="7">#REF!</definedName>
    <definedName name="DEX_21110_ACT_DATA" localSheetId="17">#REF!</definedName>
    <definedName name="DEX_21110_ACT_DATA" localSheetId="18">#REF!</definedName>
    <definedName name="DEX_21110_ACT_DATA" localSheetId="16">#REF!</definedName>
    <definedName name="DEX_21110_ACT_DATA" localSheetId="20">#REF!</definedName>
    <definedName name="DEX_21110_ACT_DATA" localSheetId="19">#REF!</definedName>
    <definedName name="DEX_21110_ACT_DATA" localSheetId="5">#REF!</definedName>
    <definedName name="DEX_21110_ACT_DATA">#REF!</definedName>
    <definedName name="DEX_21110_ACT_GRP" localSheetId="7">#REF!</definedName>
    <definedName name="DEX_21110_ACT_GRP" localSheetId="17">#REF!</definedName>
    <definedName name="DEX_21110_ACT_GRP" localSheetId="18">#REF!</definedName>
    <definedName name="DEX_21110_ACT_GRP" localSheetId="16">#REF!</definedName>
    <definedName name="DEX_21110_ACT_GRP" localSheetId="20">#REF!</definedName>
    <definedName name="DEX_21110_ACT_GRP" localSheetId="19">#REF!</definedName>
    <definedName name="DEX_21110_ACT_GRP" localSheetId="5">#REF!</definedName>
    <definedName name="DEX_21110_ACT_GRP">#REF!</definedName>
    <definedName name="DEX_21110_EST_DATA" localSheetId="7">#REF!</definedName>
    <definedName name="DEX_21110_EST_DATA" localSheetId="17">#REF!</definedName>
    <definedName name="DEX_21110_EST_DATA" localSheetId="18">#REF!</definedName>
    <definedName name="DEX_21110_EST_DATA" localSheetId="16">#REF!</definedName>
    <definedName name="DEX_21110_EST_DATA" localSheetId="20">#REF!</definedName>
    <definedName name="DEX_21110_EST_DATA" localSheetId="19">#REF!</definedName>
    <definedName name="DEX_21110_EST_DATA" localSheetId="5">#REF!</definedName>
    <definedName name="DEX_21110_EST_DATA">#REF!</definedName>
    <definedName name="DEX_21110_EST_GRP" localSheetId="7">#REF!</definedName>
    <definedName name="DEX_21110_EST_GRP" localSheetId="17">#REF!</definedName>
    <definedName name="DEX_21110_EST_GRP" localSheetId="18">#REF!</definedName>
    <definedName name="DEX_21110_EST_GRP" localSheetId="16">#REF!</definedName>
    <definedName name="DEX_21110_EST_GRP" localSheetId="20">#REF!</definedName>
    <definedName name="DEX_21110_EST_GRP" localSheetId="19">#REF!</definedName>
    <definedName name="DEX_21110_EST_GRP" localSheetId="5">#REF!</definedName>
    <definedName name="DEX_21110_EST_GRP">#REF!</definedName>
    <definedName name="DFRDFIT?" localSheetId="7">#REF!</definedName>
    <definedName name="DFRDFIT?" localSheetId="17">#REF!</definedName>
    <definedName name="DFRDFIT?" localSheetId="18">#REF!</definedName>
    <definedName name="DFRDFIT?" localSheetId="16">#REF!</definedName>
    <definedName name="DFRDFIT?" localSheetId="20">#REF!</definedName>
    <definedName name="DFRDFIT?" localSheetId="19">#REF!</definedName>
    <definedName name="DFRDFIT?" localSheetId="5">#REF!</definedName>
    <definedName name="DFRDFIT?">#REF!</definedName>
    <definedName name="Differences" localSheetId="7">#REF!</definedName>
    <definedName name="Differences" localSheetId="17">#REF!</definedName>
    <definedName name="Differences" localSheetId="18">#REF!</definedName>
    <definedName name="Differences" localSheetId="16">#REF!</definedName>
    <definedName name="Differences" localSheetId="20">#REF!</definedName>
    <definedName name="Differences" localSheetId="19">#REF!</definedName>
    <definedName name="Differences" localSheetId="5">#REF!</definedName>
    <definedName name="Differences">#REF!</definedName>
    <definedName name="DISP?" localSheetId="7">#REF!</definedName>
    <definedName name="DISP?" localSheetId="17">#REF!</definedName>
    <definedName name="DISP?" localSheetId="18">#REF!</definedName>
    <definedName name="DISP?" localSheetId="16">#REF!</definedName>
    <definedName name="DISP?" localSheetId="20">#REF!</definedName>
    <definedName name="DISP?" localSheetId="19">#REF!</definedName>
    <definedName name="DISP?" localSheetId="5">#REF!</definedName>
    <definedName name="DISP?">#REF!</definedName>
    <definedName name="Distrib_Print_CEX" localSheetId="7">#REF!</definedName>
    <definedName name="Distrib_Print_CEX" localSheetId="17">#REF!</definedName>
    <definedName name="Distrib_Print_CEX" localSheetId="18">#REF!</definedName>
    <definedName name="Distrib_Print_CEX" localSheetId="16">#REF!</definedName>
    <definedName name="Distrib_Print_CEX" localSheetId="20">#REF!</definedName>
    <definedName name="Distrib_Print_CEX" localSheetId="19">#REF!</definedName>
    <definedName name="Distrib_Print_CEX" localSheetId="5">#REF!</definedName>
    <definedName name="Distrib_Print_CEX">#REF!</definedName>
    <definedName name="DivM" localSheetId="7">#REF!</definedName>
    <definedName name="DivM" localSheetId="17">#REF!</definedName>
    <definedName name="DivM" localSheetId="18">#REF!</definedName>
    <definedName name="DivM" localSheetId="16">#REF!</definedName>
    <definedName name="DivM" localSheetId="20">#REF!</definedName>
    <definedName name="DivM" localSheetId="19">#REF!</definedName>
    <definedName name="DivM" localSheetId="5">#REF!</definedName>
    <definedName name="DivM">#REF!</definedName>
    <definedName name="DivY" localSheetId="7">#REF!</definedName>
    <definedName name="DivY" localSheetId="17">#REF!</definedName>
    <definedName name="DivY" localSheetId="18">#REF!</definedName>
    <definedName name="DivY" localSheetId="16">#REF!</definedName>
    <definedName name="DivY" localSheetId="20">#REF!</definedName>
    <definedName name="DivY" localSheetId="19">#REF!</definedName>
    <definedName name="DivY" localSheetId="5">#REF!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7">[13]Data!$G$4:$G$4,[13]Data!#REF!</definedName>
    <definedName name="EMonth" localSheetId="17">[13]Data!$G$4:$G$4,[13]Data!#REF!</definedName>
    <definedName name="EMonth" localSheetId="18">[13]Data!$G$4:$G$4,[13]Data!#REF!</definedName>
    <definedName name="EMonth" localSheetId="16">[13]Data!$G$4:$G$4,[13]Data!#REF!</definedName>
    <definedName name="EMonth" localSheetId="20">[13]Data!$G$4:$G$4,[13]Data!#REF!</definedName>
    <definedName name="EMonth" localSheetId="19">[13]Data!$G$4:$G$4,[13]Data!#REF!</definedName>
    <definedName name="EMonth" localSheetId="5">[13]Data!$G$4:$G$4,[13]Data!#REF!</definedName>
    <definedName name="EMonth">[13]Data!$G$4:$G$4,[13]Data!#REF!</definedName>
    <definedName name="EnerROR" localSheetId="7">'[4]Unit Cost'!#REF!</definedName>
    <definedName name="EnerROR" localSheetId="17">'[4]Unit Cost'!#REF!</definedName>
    <definedName name="EnerROR" localSheetId="18">'[4]Unit Cost'!#REF!</definedName>
    <definedName name="EnerROR" localSheetId="16">'[4]Unit Cost'!#REF!</definedName>
    <definedName name="EnerROR" localSheetId="20">'[4]Unit Cost'!#REF!</definedName>
    <definedName name="EnerROR" localSheetId="19">'[4]Unit Cost'!#REF!</definedName>
    <definedName name="EnerROR" localSheetId="5">'[4]Unit Cost'!#REF!</definedName>
    <definedName name="EnerROR">'[4]Unit Cost'!#REF!</definedName>
    <definedName name="EssbaseMonth">[14]Essbase!$D$6</definedName>
    <definedName name="EssLatest">"Beg Bal"</definedName>
    <definedName name="EssOptions">"A3100000000111000000011100010_01000"</definedName>
    <definedName name="EXHIBIT__" localSheetId="7">#REF!</definedName>
    <definedName name="EXHIBIT__" localSheetId="17">#REF!</definedName>
    <definedName name="EXHIBIT__" localSheetId="18">#REF!</definedName>
    <definedName name="EXHIBIT__" localSheetId="16">#REF!</definedName>
    <definedName name="EXHIBIT__" localSheetId="20">#REF!</definedName>
    <definedName name="EXHIBIT__" localSheetId="19">#REF!</definedName>
    <definedName name="EXHIBIT__" localSheetId="5">#REF!</definedName>
    <definedName name="EXHIBIT__">#REF!</definedName>
    <definedName name="ExpM" localSheetId="7">#REF!</definedName>
    <definedName name="ExpM" localSheetId="17">#REF!</definedName>
    <definedName name="ExpM" localSheetId="18">#REF!</definedName>
    <definedName name="ExpM" localSheetId="16">#REF!</definedName>
    <definedName name="ExpM" localSheetId="20">#REF!</definedName>
    <definedName name="ExpM" localSheetId="19">#REF!</definedName>
    <definedName name="ExpM" localSheetId="5">#REF!</definedName>
    <definedName name="ExpM">#REF!</definedName>
    <definedName name="ExpY" localSheetId="7">#REF!</definedName>
    <definedName name="ExpY" localSheetId="17">#REF!</definedName>
    <definedName name="ExpY" localSheetId="18">#REF!</definedName>
    <definedName name="ExpY" localSheetId="16">#REF!</definedName>
    <definedName name="ExpY" localSheetId="20">#REF!</definedName>
    <definedName name="ExpY" localSheetId="19">#REF!</definedName>
    <definedName name="ExpY" localSheetId="5">#REF!</definedName>
    <definedName name="ExpY">#REF!</definedName>
    <definedName name="EYTD" localSheetId="7">[13]Data!#REF!,[13]Data!#REF!</definedName>
    <definedName name="EYTD" localSheetId="17">[13]Data!#REF!,[13]Data!#REF!</definedName>
    <definedName name="EYTD" localSheetId="18">[13]Data!#REF!,[13]Data!#REF!</definedName>
    <definedName name="EYTD" localSheetId="16">[13]Data!#REF!,[13]Data!#REF!</definedName>
    <definedName name="EYTD" localSheetId="20">[13]Data!#REF!,[13]Data!#REF!</definedName>
    <definedName name="EYTD" localSheetId="19">[13]Data!#REF!,[13]Data!#REF!</definedName>
    <definedName name="EYTD" localSheetId="5">[13]Data!#REF!,[13]Data!#REF!</definedName>
    <definedName name="EYTD">[13]Data!#REF!,[13]Data!#REF!</definedName>
    <definedName name="FERC_1" localSheetId="7">#REF!</definedName>
    <definedName name="FERC_1" localSheetId="17">#REF!</definedName>
    <definedName name="FERC_1" localSheetId="18">#REF!</definedName>
    <definedName name="FERC_1" localSheetId="16">#REF!</definedName>
    <definedName name="FERC_1" localSheetId="20">#REF!</definedName>
    <definedName name="FERC_1" localSheetId="19">#REF!</definedName>
    <definedName name="FERC_1" localSheetId="5">#REF!</definedName>
    <definedName name="FERC_1">#REF!</definedName>
    <definedName name="ffff" localSheetId="7">'[15]HEO-Sch5'!#REF!</definedName>
    <definedName name="ffff" localSheetId="17">'[15]HEO-Sch5'!#REF!</definedName>
    <definedName name="ffff" localSheetId="18">'[15]HEO-Sch5'!#REF!</definedName>
    <definedName name="ffff" localSheetId="16">'[15]HEO-Sch5'!#REF!</definedName>
    <definedName name="ffff" localSheetId="20">'[15]HEO-Sch5'!#REF!</definedName>
    <definedName name="ffff" localSheetId="19">'[15]HEO-Sch5'!#REF!</definedName>
    <definedName name="ffff" localSheetId="5">'[15]HEO-Sch5'!#REF!</definedName>
    <definedName name="ffff">'[15]HEO-Sch5'!#REF!</definedName>
    <definedName name="firmcom" localSheetId="7">[3]Input!#REF!</definedName>
    <definedName name="firmcom" localSheetId="17">[3]Input!#REF!</definedName>
    <definedName name="firmcom" localSheetId="18">[3]Input!#REF!</definedName>
    <definedName name="firmcom" localSheetId="16">[3]Input!#REF!</definedName>
    <definedName name="firmcom" localSheetId="20">[3]Input!#REF!</definedName>
    <definedName name="firmcom" localSheetId="19">[3]Input!#REF!</definedName>
    <definedName name="firmcom" localSheetId="5">[3]Input!#REF!</definedName>
    <definedName name="firmcom">[3]Input!#REF!</definedName>
    <definedName name="firmdem" localSheetId="7">[3]Input!#REF!</definedName>
    <definedName name="firmdem" localSheetId="17">[3]Input!#REF!</definedName>
    <definedName name="firmdem" localSheetId="18">[3]Input!#REF!</definedName>
    <definedName name="firmdem" localSheetId="16">[3]Input!#REF!</definedName>
    <definedName name="firmdem" localSheetId="20">[3]Input!#REF!</definedName>
    <definedName name="firmdem" localSheetId="19">[3]Input!#REF!</definedName>
    <definedName name="firmdem" localSheetId="5">[3]Input!#REF!</definedName>
    <definedName name="firmdem">[3]Input!#REF!</definedName>
    <definedName name="FIT" localSheetId="7">#REF!</definedName>
    <definedName name="FIT" localSheetId="17">#REF!</definedName>
    <definedName name="FIT" localSheetId="18">#REF!</definedName>
    <definedName name="FIT" localSheetId="16">#REF!</definedName>
    <definedName name="FIT" localSheetId="20">#REF!</definedName>
    <definedName name="FIT" localSheetId="19">#REF!</definedName>
    <definedName name="FIT" localSheetId="5">#REF!</definedName>
    <definedName name="FIT">#REF!</definedName>
    <definedName name="Flex">[16]Index!$A$2:$C$693</definedName>
    <definedName name="FORMULA" localSheetId="7">#REF!</definedName>
    <definedName name="FORMULA" localSheetId="17">#REF!</definedName>
    <definedName name="FORMULA" localSheetId="18">#REF!</definedName>
    <definedName name="FORMULA" localSheetId="16">#REF!</definedName>
    <definedName name="FORMULA" localSheetId="20">#REF!</definedName>
    <definedName name="FORMULA" localSheetId="19">#REF!</definedName>
    <definedName name="FORMULA" localSheetId="5">#REF!</definedName>
    <definedName name="FORMULA">#REF!</definedName>
    <definedName name="Freight" localSheetId="7">'[7]Meter-Service'!#REF!</definedName>
    <definedName name="Freight" localSheetId="17">'[7]Meter-Service'!#REF!</definedName>
    <definedName name="Freight" localSheetId="18">'[7]Meter-Service'!#REF!</definedName>
    <definedName name="Freight" localSheetId="16">'[7]Meter-Service'!#REF!</definedName>
    <definedName name="Freight" localSheetId="20">'[7]Meter-Service'!#REF!</definedName>
    <definedName name="Freight" localSheetId="19">'[7]Meter-Service'!#REF!</definedName>
    <definedName name="Freight" localSheetId="5">'[7]Meter-Service'!#REF!</definedName>
    <definedName name="Freight">'[7]Meter-Service'!#REF!</definedName>
    <definedName name="FreqTable" localSheetId="7">#REF!</definedName>
    <definedName name="FreqTable" localSheetId="17">#REF!</definedName>
    <definedName name="FreqTable" localSheetId="18">#REF!</definedName>
    <definedName name="FreqTable" localSheetId="16">#REF!</definedName>
    <definedName name="FreqTable" localSheetId="20">#REF!</definedName>
    <definedName name="FreqTable" localSheetId="19">#REF!</definedName>
    <definedName name="FreqTable" localSheetId="5">#REF!</definedName>
    <definedName name="FreqTable">#REF!</definedName>
    <definedName name="Function3" localSheetId="7">[4]Functions!#REF!</definedName>
    <definedName name="Function3" localSheetId="17">[4]Functions!#REF!</definedName>
    <definedName name="Function3" localSheetId="18">[4]Functions!#REF!</definedName>
    <definedName name="Function3" localSheetId="16">[4]Functions!#REF!</definedName>
    <definedName name="Function3" localSheetId="20">[4]Functions!#REF!</definedName>
    <definedName name="Function3" localSheetId="19">[4]Functions!#REF!</definedName>
    <definedName name="Function3" localSheetId="5">[4]Functions!#REF!</definedName>
    <definedName name="Function3">[4]Functions!#REF!</definedName>
    <definedName name="Function5" localSheetId="7">[4]Functions!#REF!</definedName>
    <definedName name="Function5" localSheetId="17">[4]Functions!#REF!</definedName>
    <definedName name="Function5" localSheetId="18">[4]Functions!#REF!</definedName>
    <definedName name="Function5" localSheetId="16">[4]Functions!#REF!</definedName>
    <definedName name="Function5" localSheetId="20">[4]Functions!#REF!</definedName>
    <definedName name="Function5" localSheetId="19">[4]Functions!#REF!</definedName>
    <definedName name="Function5" localSheetId="5">[4]Functions!#REF!</definedName>
    <definedName name="Function5">[4]Functions!#REF!</definedName>
    <definedName name="Function6" localSheetId="7">[4]Functions!#REF!</definedName>
    <definedName name="Function6" localSheetId="17">[4]Functions!#REF!</definedName>
    <definedName name="Function6" localSheetId="18">[4]Functions!#REF!</definedName>
    <definedName name="Function6" localSheetId="16">[4]Functions!#REF!</definedName>
    <definedName name="Function6" localSheetId="20">[4]Functions!#REF!</definedName>
    <definedName name="Function6" localSheetId="19">[4]Functions!#REF!</definedName>
    <definedName name="Function6" localSheetId="5">[4]Functions!#REF!</definedName>
    <definedName name="Function6">[4]Functions!#REF!</definedName>
    <definedName name="Gas" localSheetId="7">#REF!</definedName>
    <definedName name="Gas" localSheetId="17">#REF!</definedName>
    <definedName name="Gas" localSheetId="18">#REF!</definedName>
    <definedName name="Gas" localSheetId="16">#REF!</definedName>
    <definedName name="Gas" localSheetId="20">#REF!</definedName>
    <definedName name="Gas" localSheetId="19">#REF!</definedName>
    <definedName name="Gas" localSheetId="5">#REF!</definedName>
    <definedName name="Gas">#REF!</definedName>
    <definedName name="GRT" localSheetId="7">#REF!</definedName>
    <definedName name="GRT" localSheetId="17">#REF!</definedName>
    <definedName name="GRT" localSheetId="18">#REF!</definedName>
    <definedName name="GRT" localSheetId="16">#REF!</definedName>
    <definedName name="GRT" localSheetId="20">#REF!</definedName>
    <definedName name="GRT" localSheetId="19">#REF!</definedName>
    <definedName name="GRT" localSheetId="5">#REF!</definedName>
    <definedName name="GRT">#REF!</definedName>
    <definedName name="GRTFACT" localSheetId="7">#REF!</definedName>
    <definedName name="GRTFACT" localSheetId="17">#REF!</definedName>
    <definedName name="GRTFACT" localSheetId="18">#REF!</definedName>
    <definedName name="GRTFACT" localSheetId="16">#REF!</definedName>
    <definedName name="GRTFACT" localSheetId="20">#REF!</definedName>
    <definedName name="GRTFACT" localSheetId="19">#REF!</definedName>
    <definedName name="GRTFACT" localSheetId="5">#REF!</definedName>
    <definedName name="GRTFACT">#REF!</definedName>
    <definedName name="HousingAuth_Volumes_SumByMonth" localSheetId="7">#REF!</definedName>
    <definedName name="HousingAuth_Volumes_SumByMonth" localSheetId="17">#REF!</definedName>
    <definedName name="HousingAuth_Volumes_SumByMonth" localSheetId="18">#REF!</definedName>
    <definedName name="HousingAuth_Volumes_SumByMonth" localSheetId="16">#REF!</definedName>
    <definedName name="HousingAuth_Volumes_SumByMonth" localSheetId="20">#REF!</definedName>
    <definedName name="HousingAuth_Volumes_SumByMonth" localSheetId="19">#REF!</definedName>
    <definedName name="HousingAuth_Volumes_SumByMonth" localSheetId="5">#REF!</definedName>
    <definedName name="HousingAuth_Volumes_SumByMonth">#REF!</definedName>
    <definedName name="HR_Print" localSheetId="7">#REF!</definedName>
    <definedName name="HR_Print" localSheetId="17">#REF!</definedName>
    <definedName name="HR_Print" localSheetId="18">#REF!</definedName>
    <definedName name="HR_Print" localSheetId="16">#REF!</definedName>
    <definedName name="HR_Print" localSheetId="20">#REF!</definedName>
    <definedName name="HR_Print" localSheetId="19">#REF!</definedName>
    <definedName name="HR_Print" localSheetId="5">#REF!</definedName>
    <definedName name="HR_Print">#REF!</definedName>
    <definedName name="HR_Print_CEX" localSheetId="7">#REF!</definedName>
    <definedName name="HR_Print_CEX" localSheetId="17">#REF!</definedName>
    <definedName name="HR_Print_CEX" localSheetId="18">#REF!</definedName>
    <definedName name="HR_Print_CEX" localSheetId="16">#REF!</definedName>
    <definedName name="HR_Print_CEX" localSheetId="20">#REF!</definedName>
    <definedName name="HR_Print_CEX" localSheetId="19">#REF!</definedName>
    <definedName name="HR_Print_CEX" localSheetId="5">#REF!</definedName>
    <definedName name="HR_Print_CEX">#REF!</definedName>
    <definedName name="I">"a1..m50"</definedName>
    <definedName name="InfillSplitRatio" localSheetId="7">'[7]Meter-Service'!#REF!</definedName>
    <definedName name="InfillSplitRatio" localSheetId="17">'[7]Meter-Service'!#REF!</definedName>
    <definedName name="InfillSplitRatio" localSheetId="18">'[7]Meter-Service'!#REF!</definedName>
    <definedName name="InfillSplitRatio" localSheetId="16">'[7]Meter-Service'!#REF!</definedName>
    <definedName name="InfillSplitRatio" localSheetId="20">'[7]Meter-Service'!#REF!</definedName>
    <definedName name="InfillSplitRatio" localSheetId="19">'[7]Meter-Service'!#REF!</definedName>
    <definedName name="InfillSplitRatio" localSheetId="5">'[7]Meter-Service'!#REF!</definedName>
    <definedName name="InfillSplitRatio">'[7]Meter-Service'!#REF!</definedName>
    <definedName name="kind" localSheetId="7">#REF!</definedName>
    <definedName name="kind" localSheetId="17">#REF!</definedName>
    <definedName name="kind" localSheetId="18">#REF!</definedName>
    <definedName name="kind" localSheetId="16">#REF!</definedName>
    <definedName name="kind" localSheetId="20">#REF!</definedName>
    <definedName name="kind" localSheetId="19">#REF!</definedName>
    <definedName name="kind" localSheetId="5">#REF!</definedName>
    <definedName name="kind">#REF!</definedName>
    <definedName name="LABELS" localSheetId="7">#REF!</definedName>
    <definedName name="LABELS" localSheetId="17">#REF!</definedName>
    <definedName name="LABELS" localSheetId="18">#REF!</definedName>
    <definedName name="LABELS" localSheetId="16">#REF!</definedName>
    <definedName name="LABELS" localSheetId="20">#REF!</definedName>
    <definedName name="LABELS" localSheetId="19">#REF!</definedName>
    <definedName name="LABELS" localSheetId="5">#REF!</definedName>
    <definedName name="LABELS">#REF!</definedName>
    <definedName name="LaborAcct" localSheetId="7">#REF!</definedName>
    <definedName name="LaborAcct" localSheetId="17">#REF!</definedName>
    <definedName name="LaborAcct" localSheetId="18">#REF!</definedName>
    <definedName name="LaborAcct" localSheetId="16">#REF!</definedName>
    <definedName name="LaborAcct" localSheetId="20">#REF!</definedName>
    <definedName name="LaborAcct" localSheetId="19">#REF!</definedName>
    <definedName name="LaborAcct" localSheetId="5">#REF!</definedName>
    <definedName name="LaborAcct">#REF!</definedName>
    <definedName name="LaborOR" localSheetId="7">#REF!</definedName>
    <definedName name="LaborOR" localSheetId="17">#REF!</definedName>
    <definedName name="LaborOR" localSheetId="18">#REF!</definedName>
    <definedName name="LaborOR" localSheetId="16">#REF!</definedName>
    <definedName name="LaborOR" localSheetId="20">#REF!</definedName>
    <definedName name="LaborOR" localSheetId="19">#REF!</definedName>
    <definedName name="LaborOR" localSheetId="5">#REF!</definedName>
    <definedName name="LaborOR">#REF!</definedName>
    <definedName name="LaborP">[5]LaborPercentage!$A$3:$H$123</definedName>
    <definedName name="LIFE" localSheetId="7">#REF!</definedName>
    <definedName name="LIFE" localSheetId="17">#REF!</definedName>
    <definedName name="LIFE" localSheetId="18">#REF!</definedName>
    <definedName name="LIFE" localSheetId="16">#REF!</definedName>
    <definedName name="LIFE" localSheetId="20">#REF!</definedName>
    <definedName name="LIFE" localSheetId="19">#REF!</definedName>
    <definedName name="LIFE" localSheetId="5">#REF!</definedName>
    <definedName name="LIFE">#REF!</definedName>
    <definedName name="Line_Loss">'[17]General Inputs - Others'!$F$10</definedName>
    <definedName name="List" localSheetId="7">#REF!</definedName>
    <definedName name="List" localSheetId="17">#REF!</definedName>
    <definedName name="List" localSheetId="18">#REF!</definedName>
    <definedName name="List" localSheetId="16">#REF!</definedName>
    <definedName name="List" localSheetId="20">#REF!</definedName>
    <definedName name="List" localSheetId="19">#REF!</definedName>
    <definedName name="List" localSheetId="5">#REF!</definedName>
    <definedName name="List">#REF!</definedName>
    <definedName name="LKACCT" localSheetId="7">#REF!</definedName>
    <definedName name="LKACCT" localSheetId="17">#REF!</definedName>
    <definedName name="LKACCT" localSheetId="18">#REF!</definedName>
    <definedName name="LKACCT" localSheetId="16">#REF!</definedName>
    <definedName name="LKACCT" localSheetId="20">#REF!</definedName>
    <definedName name="LKACCT" localSheetId="19">#REF!</definedName>
    <definedName name="LKACCT" localSheetId="5">#REF!</definedName>
    <definedName name="LKACCT">#REF!</definedName>
    <definedName name="MACRO" localSheetId="7">#REF!</definedName>
    <definedName name="MACRO" localSheetId="17">#REF!</definedName>
    <definedName name="MACRO" localSheetId="18">#REF!</definedName>
    <definedName name="MACRO" localSheetId="16">#REF!</definedName>
    <definedName name="MACRO" localSheetId="20">#REF!</definedName>
    <definedName name="MACRO" localSheetId="19">#REF!</definedName>
    <definedName name="MACRO" localSheetId="5">#REF!</definedName>
    <definedName name="MACRO">#REF!</definedName>
    <definedName name="MeterHandling" localSheetId="7">'[7]Meter-Service'!#REF!</definedName>
    <definedName name="MeterHandling" localSheetId="17">'[7]Meter-Service'!#REF!</definedName>
    <definedName name="MeterHandling" localSheetId="18">'[7]Meter-Service'!#REF!</definedName>
    <definedName name="MeterHandling" localSheetId="16">'[7]Meter-Service'!#REF!</definedName>
    <definedName name="MeterHandling" localSheetId="20">'[7]Meter-Service'!#REF!</definedName>
    <definedName name="MeterHandling" localSheetId="19">'[7]Meter-Service'!#REF!</definedName>
    <definedName name="MeterHandling" localSheetId="5">'[7]Meter-Service'!#REF!</definedName>
    <definedName name="MeterHandling">'[7]Meter-Service'!#REF!</definedName>
    <definedName name="MISC_TAX" localSheetId="7">#REF!</definedName>
    <definedName name="MISC_TAX" localSheetId="17">#REF!</definedName>
    <definedName name="MISC_TAX" localSheetId="18">#REF!</definedName>
    <definedName name="MISC_TAX" localSheetId="16">#REF!</definedName>
    <definedName name="MISC_TAX" localSheetId="20">#REF!</definedName>
    <definedName name="MISC_TAX" localSheetId="19">#REF!</definedName>
    <definedName name="MISC_TAX" localSheetId="5">#REF!</definedName>
    <definedName name="MISC_TAX">#REF!</definedName>
    <definedName name="MOAfee">[18]Inputs!$A$43</definedName>
    <definedName name="MOAfees" localSheetId="7">'[7]Meter-Service'!#REF!</definedName>
    <definedName name="MOAfees" localSheetId="17">'[7]Meter-Service'!#REF!</definedName>
    <definedName name="MOAfees" localSheetId="18">'[7]Meter-Service'!#REF!</definedName>
    <definedName name="MOAfees" localSheetId="16">'[7]Meter-Service'!#REF!</definedName>
    <definedName name="MOAfees" localSheetId="20">'[7]Meter-Service'!#REF!</definedName>
    <definedName name="MOAfees" localSheetId="19">'[7]Meter-Service'!#REF!</definedName>
    <definedName name="MOAfees" localSheetId="5">'[7]Meter-Service'!#REF!</definedName>
    <definedName name="MOAfees">'[7]Meter-Service'!#REF!</definedName>
    <definedName name="MOApercent" localSheetId="7">'[7]Meter-Service'!#REF!</definedName>
    <definedName name="MOApercent" localSheetId="17">'[7]Meter-Service'!#REF!</definedName>
    <definedName name="MOApercent" localSheetId="18">'[7]Meter-Service'!#REF!</definedName>
    <definedName name="MOApercent" localSheetId="16">'[7]Meter-Service'!#REF!</definedName>
    <definedName name="MOApercent" localSheetId="20">'[7]Meter-Service'!#REF!</definedName>
    <definedName name="MOApercent" localSheetId="19">'[7]Meter-Service'!#REF!</definedName>
    <definedName name="MOApercent" localSheetId="5">'[7]Meter-Service'!#REF!</definedName>
    <definedName name="MOApercent">'[7]Meter-Service'!#REF!</definedName>
    <definedName name="Month" localSheetId="7">#REF!</definedName>
    <definedName name="Month" localSheetId="17">#REF!</definedName>
    <definedName name="Month" localSheetId="18">#REF!</definedName>
    <definedName name="Month" localSheetId="16">#REF!</definedName>
    <definedName name="Month" localSheetId="20">#REF!</definedName>
    <definedName name="Month" localSheetId="19">#REF!</definedName>
    <definedName name="Month" localSheetId="5">#REF!</definedName>
    <definedName name="Month">#REF!</definedName>
    <definedName name="MonthPrev" localSheetId="7">[19]Report!#REF!</definedName>
    <definedName name="MonthPrev" localSheetId="17">[19]Report!#REF!</definedName>
    <definedName name="MonthPrev" localSheetId="18">[19]Report!#REF!</definedName>
    <definedName name="MonthPrev" localSheetId="16">[19]Report!#REF!</definedName>
    <definedName name="MonthPrev" localSheetId="20">[19]Report!#REF!</definedName>
    <definedName name="MonthPrev" localSheetId="19">[19]Report!#REF!</definedName>
    <definedName name="MonthPrev" localSheetId="5">[19]Report!#REF!</definedName>
    <definedName name="MonthPrev">[19]Report!#REF!</definedName>
    <definedName name="Months" localSheetId="7">#REF!</definedName>
    <definedName name="Months" localSheetId="17">#REF!</definedName>
    <definedName name="Months" localSheetId="18">#REF!</definedName>
    <definedName name="Months" localSheetId="16">#REF!</definedName>
    <definedName name="Months" localSheetId="20">#REF!</definedName>
    <definedName name="Months" localSheetId="19">#REF!</definedName>
    <definedName name="Months" localSheetId="5">#REF!</definedName>
    <definedName name="Months">#REF!</definedName>
    <definedName name="NAME" localSheetId="7">#REF!</definedName>
    <definedName name="NAME" localSheetId="17">#REF!</definedName>
    <definedName name="NAME" localSheetId="18">#REF!</definedName>
    <definedName name="NAME" localSheetId="16">#REF!</definedName>
    <definedName name="NAME" localSheetId="20">#REF!</definedName>
    <definedName name="NAME" localSheetId="19">#REF!</definedName>
    <definedName name="NAME" localSheetId="5">#REF!</definedName>
    <definedName name="NAME">#REF!</definedName>
    <definedName name="NAME1" localSheetId="7">#REF!</definedName>
    <definedName name="NAME1" localSheetId="17">#REF!</definedName>
    <definedName name="NAME1" localSheetId="18">#REF!</definedName>
    <definedName name="NAME1" localSheetId="16">#REF!</definedName>
    <definedName name="NAME1" localSheetId="20">#REF!</definedName>
    <definedName name="NAME1" localSheetId="19">#REF!</definedName>
    <definedName name="NAME1" localSheetId="5">#REF!</definedName>
    <definedName name="NAME1">#REF!</definedName>
    <definedName name="NCOMRatio" localSheetId="7">'[7]Meter-Service'!#REF!</definedName>
    <definedName name="NCOMRatio" localSheetId="17">'[7]Meter-Service'!#REF!</definedName>
    <definedName name="NCOMRatio" localSheetId="18">'[7]Meter-Service'!#REF!</definedName>
    <definedName name="NCOMRatio" localSheetId="16">'[7]Meter-Service'!#REF!</definedName>
    <definedName name="NCOMRatio" localSheetId="20">'[7]Meter-Service'!#REF!</definedName>
    <definedName name="NCOMRatio" localSheetId="19">'[7]Meter-Service'!#REF!</definedName>
    <definedName name="NCOMRatio" localSheetId="5">'[7]Meter-Service'!#REF!</definedName>
    <definedName name="NCOMRatio">'[7]Meter-Service'!#REF!</definedName>
    <definedName name="NoProposed" localSheetId="7">#REF!,#REF!</definedName>
    <definedName name="NoProposed" localSheetId="17">#REF!,#REF!</definedName>
    <definedName name="NoProposed" localSheetId="18">#REF!,#REF!</definedName>
    <definedName name="NoProposed" localSheetId="16">#REF!,#REF!</definedName>
    <definedName name="NoProposed" localSheetId="20">#REF!,#REF!</definedName>
    <definedName name="NoProposed" localSheetId="19">#REF!,#REF!</definedName>
    <definedName name="NoProposed" localSheetId="5">#REF!,#REF!</definedName>
    <definedName name="NoProposed">#REF!,#REF!</definedName>
    <definedName name="NoProposed1" localSheetId="7">#REF!</definedName>
    <definedName name="NoProposed1" localSheetId="17">#REF!</definedName>
    <definedName name="NoProposed1" localSheetId="18">#REF!</definedName>
    <definedName name="NoProposed1" localSheetId="16">#REF!</definedName>
    <definedName name="NoProposed1" localSheetId="20">#REF!</definedName>
    <definedName name="NoProposed1" localSheetId="19">#REF!</definedName>
    <definedName name="NoProposed1" localSheetId="5">#REF!</definedName>
    <definedName name="NoProposed1">#REF!</definedName>
    <definedName name="NoProposed2" localSheetId="7">#REF!</definedName>
    <definedName name="NoProposed2" localSheetId="17">#REF!</definedName>
    <definedName name="NoProposed2" localSheetId="18">#REF!</definedName>
    <definedName name="NoProposed2" localSheetId="16">#REF!</definedName>
    <definedName name="NoProposed2" localSheetId="20">#REF!</definedName>
    <definedName name="NoProposed2" localSheetId="19">#REF!</definedName>
    <definedName name="NoProposed2" localSheetId="5">#REF!</definedName>
    <definedName name="NoProposed2">#REF!</definedName>
    <definedName name="NORMALIZE" localSheetId="7">#REF!</definedName>
    <definedName name="NORMALIZE" localSheetId="17">#REF!</definedName>
    <definedName name="NORMALIZE" localSheetId="18">#REF!</definedName>
    <definedName name="NORMALIZE" localSheetId="16">#REF!</definedName>
    <definedName name="NORMALIZE" localSheetId="20">#REF!</definedName>
    <definedName name="NORMALIZE" localSheetId="19">#REF!</definedName>
    <definedName name="NORMALIZE" localSheetId="5">#REF!</definedName>
    <definedName name="NORMALIZE">#REF!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 localSheetId="17">#REF!</definedName>
    <definedName name="Note__This_schedule_does_not_include_costs_or_revenues_identified_from_the_annual_ancillary_program_study." localSheetId="18">#REF!</definedName>
    <definedName name="Note__This_schedule_does_not_include_costs_or_revenues_identified_from_the_annual_ancillary_program_study." localSheetId="16">#REF!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5">#REF!</definedName>
    <definedName name="Note__This_schedule_does_not_include_costs_or_revenues_identified_from_the_annual_ancillary_program_study.">#REF!</definedName>
    <definedName name="OH_HOME" localSheetId="7">[1]DEPR!#REF!</definedName>
    <definedName name="OH_HOME" localSheetId="17">[1]DEPR!#REF!</definedName>
    <definedName name="OH_HOME" localSheetId="18">[1]DEPR!#REF!</definedName>
    <definedName name="OH_HOME" localSheetId="16">[1]DEPR!#REF!</definedName>
    <definedName name="OH_HOME" localSheetId="20">[1]DEPR!#REF!</definedName>
    <definedName name="OH_HOME" localSheetId="19">[1]DEPR!#REF!</definedName>
    <definedName name="OH_HOME" localSheetId="5">[1]DEPR!#REF!</definedName>
    <definedName name="OH_HOME">[1]DEPR!#REF!</definedName>
    <definedName name="ONCOR_ELECTRIC_DELIVERY_COMPANY" localSheetId="7">#REF!</definedName>
    <definedName name="ONCOR_ELECTRIC_DELIVERY_COMPANY" localSheetId="17">#REF!</definedName>
    <definedName name="ONCOR_ELECTRIC_DELIVERY_COMPANY" localSheetId="18">#REF!</definedName>
    <definedName name="ONCOR_ELECTRIC_DELIVERY_COMPANY" localSheetId="16">#REF!</definedName>
    <definedName name="ONCOR_ELECTRIC_DELIVERY_COMPANY" localSheetId="20">#REF!</definedName>
    <definedName name="ONCOR_ELECTRIC_DELIVERY_COMPANY" localSheetId="19">#REF!</definedName>
    <definedName name="ONCOR_ELECTRIC_DELIVERY_COMPANY" localSheetId="5">#REF!</definedName>
    <definedName name="ONCOR_ELECTRIC_DELIVERY_COMPANY">#REF!</definedName>
    <definedName name="OperRev" localSheetId="7">#REF!</definedName>
    <definedName name="OperRev" localSheetId="17">#REF!</definedName>
    <definedName name="OperRev" localSheetId="18">#REF!</definedName>
    <definedName name="OperRev" localSheetId="16">#REF!</definedName>
    <definedName name="OperRev" localSheetId="20">#REF!</definedName>
    <definedName name="OperRev" localSheetId="19">#REF!</definedName>
    <definedName name="OperRev" localSheetId="5">#REF!</definedName>
    <definedName name="OperRev">#REF!</definedName>
    <definedName name="Over60_1" localSheetId="7">#REF!</definedName>
    <definedName name="Over60_1" localSheetId="17">#REF!</definedName>
    <definedName name="Over60_1" localSheetId="18">#REF!</definedName>
    <definedName name="Over60_1" localSheetId="16">#REF!</definedName>
    <definedName name="Over60_1" localSheetId="20">#REF!</definedName>
    <definedName name="Over60_1" localSheetId="19">#REF!</definedName>
    <definedName name="Over60_1" localSheetId="5">#REF!</definedName>
    <definedName name="Over60_1">#REF!</definedName>
    <definedName name="page1">#N/A</definedName>
    <definedName name="page2">#N/A</definedName>
    <definedName name="page3">#N/A</definedName>
    <definedName name="Pal_Workbook_GUID" localSheetId="1"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7">'[7]Meter-Service'!#REF!</definedName>
    <definedName name="Planning" localSheetId="17">'[7]Meter-Service'!#REF!</definedName>
    <definedName name="Planning" localSheetId="18">'[7]Meter-Service'!#REF!</definedName>
    <definedName name="Planning" localSheetId="16">'[7]Meter-Service'!#REF!</definedName>
    <definedName name="Planning" localSheetId="20">'[7]Meter-Service'!#REF!</definedName>
    <definedName name="Planning" localSheetId="19">'[7]Meter-Service'!#REF!</definedName>
    <definedName name="Planning" localSheetId="5">'[7]Meter-Service'!#REF!</definedName>
    <definedName name="Planning">'[7]Meter-Service'!#REF!</definedName>
    <definedName name="PRINT" localSheetId="7">#REF!</definedName>
    <definedName name="PRINT" localSheetId="17">#REF!</definedName>
    <definedName name="PRINT" localSheetId="18">#REF!</definedName>
    <definedName name="PRINT" localSheetId="16">#REF!</definedName>
    <definedName name="PRINT" localSheetId="20">#REF!</definedName>
    <definedName name="PRINT" localSheetId="19">#REF!</definedName>
    <definedName name="PRINT" localSheetId="5">#REF!</definedName>
    <definedName name="PRINT">#REF!</definedName>
    <definedName name="_xlnm.Print_Area" localSheetId="7">#REF!</definedName>
    <definedName name="_xlnm.Print_Area" localSheetId="14">'Exh A Pg 1'!$A$1:$R$99</definedName>
    <definedName name="_xlnm.Print_Area" localSheetId="17">'Exh. RJW-3 Combined'!$A$1:$AA$53</definedName>
    <definedName name="_xlnm.Print_Area" localSheetId="18">'Exh. RJW-3 Mitigation Only'!$A$1:$AA$53</definedName>
    <definedName name="_xlnm.Print_Area" localSheetId="16">'Exh. RJW-3 RR'!$A$1:$L$49</definedName>
    <definedName name="_xlnm.Print_Area" localSheetId="20">#REF!</definedName>
    <definedName name="_xlnm.Print_Area" localSheetId="19">#REF!</definedName>
    <definedName name="_xlnm.Print_Area" localSheetId="12">'Rate Impacts - COMBINED'!$A$2:$Z$52</definedName>
    <definedName name="_xlnm.Print_Area" localSheetId="11">'Rate Impacts - Rev Req ONLY'!$A$1:$M$49</definedName>
    <definedName name="_xlnm.Print_Area" localSheetId="5">#REF!</definedName>
    <definedName name="_xlnm.Print_Area">#REF!</definedName>
    <definedName name="_xlnm.Print_Titles" localSheetId="7">#REF!,#REF!</definedName>
    <definedName name="_xlnm.Print_Titles" localSheetId="17">#REF!,#REF!</definedName>
    <definedName name="_xlnm.Print_Titles" localSheetId="18">#REF!,#REF!</definedName>
    <definedName name="_xlnm.Print_Titles" localSheetId="16">#REF!,#REF!</definedName>
    <definedName name="_xlnm.Print_Titles" localSheetId="20">#REF!,#REF!</definedName>
    <definedName name="_xlnm.Print_Titles" localSheetId="19">#REF!,#REF!</definedName>
    <definedName name="_xlnm.Print_Titles" localSheetId="5">#REF!,#REF!</definedName>
    <definedName name="_xlnm.Print_Titles">#REF!,#REF!</definedName>
    <definedName name="print55" localSheetId="7">#REF!</definedName>
    <definedName name="print55" localSheetId="17">#REF!</definedName>
    <definedName name="print55" localSheetId="18">#REF!</definedName>
    <definedName name="print55" localSheetId="16">#REF!</definedName>
    <definedName name="print55" localSheetId="20">#REF!</definedName>
    <definedName name="print55" localSheetId="19">#REF!</definedName>
    <definedName name="print55" localSheetId="5">#REF!</definedName>
    <definedName name="print55">#REF!</definedName>
    <definedName name="PrintClassMerDel" localSheetId="7">[4]Classify!#REF!</definedName>
    <definedName name="PrintClassMerDel" localSheetId="17">[4]Classify!#REF!</definedName>
    <definedName name="PrintClassMerDel" localSheetId="18">[4]Classify!#REF!</definedName>
    <definedName name="PrintClassMerDel" localSheetId="16">[4]Classify!#REF!</definedName>
    <definedName name="PrintClassMerDel" localSheetId="20">[4]Classify!#REF!</definedName>
    <definedName name="PrintClassMerDel" localSheetId="19">[4]Classify!#REF!</definedName>
    <definedName name="PrintClassMerDel" localSheetId="5">[4]Classify!#REF!</definedName>
    <definedName name="PrintClassMerDel">[4]Classify!#REF!</definedName>
    <definedName name="PrintFunctMerDel" localSheetId="7">[4]Functions!#REF!</definedName>
    <definedName name="PrintFunctMerDel" localSheetId="17">[4]Functions!#REF!</definedName>
    <definedName name="PrintFunctMerDel" localSheetId="18">[4]Functions!#REF!</definedName>
    <definedName name="PrintFunctMerDel" localSheetId="16">[4]Functions!#REF!</definedName>
    <definedName name="PrintFunctMerDel" localSheetId="20">[4]Functions!#REF!</definedName>
    <definedName name="PrintFunctMerDel" localSheetId="19">[4]Functions!#REF!</definedName>
    <definedName name="PrintFunctMerDel" localSheetId="5">[4]Functions!#REF!</definedName>
    <definedName name="PrintFunctMerDel">[4]Functions!#REF!</definedName>
    <definedName name="PrintMainRB" localSheetId="7">#REF!</definedName>
    <definedName name="PrintMainRB" localSheetId="17">#REF!</definedName>
    <definedName name="PrintMainRB" localSheetId="18">#REF!</definedName>
    <definedName name="PrintMainRB" localSheetId="16">#REF!</definedName>
    <definedName name="PrintMainRB" localSheetId="20">#REF!</definedName>
    <definedName name="PrintMainRB" localSheetId="19">#REF!</definedName>
    <definedName name="PrintMainRB" localSheetId="5">#REF!</definedName>
    <definedName name="PrintMainRB">#REF!</definedName>
    <definedName name="PrintMerDelMain" localSheetId="7">[4]Total!#REF!</definedName>
    <definedName name="PrintMerDelMain" localSheetId="17">[4]Total!#REF!</definedName>
    <definedName name="PrintMerDelMain" localSheetId="18">[4]Total!#REF!</definedName>
    <definedName name="PrintMerDelMain" localSheetId="16">[4]Total!#REF!</definedName>
    <definedName name="PrintMerDelMain" localSheetId="20">[4]Total!#REF!</definedName>
    <definedName name="PrintMerDelMain" localSheetId="19">[4]Total!#REF!</definedName>
    <definedName name="PrintMerDelMain" localSheetId="5">[4]Total!#REF!</definedName>
    <definedName name="PrintMerDelMain">[4]Total!#REF!</definedName>
    <definedName name="PrintMSSDet" localSheetId="7">#REF!</definedName>
    <definedName name="PrintMSSDet" localSheetId="17">#REF!</definedName>
    <definedName name="PrintMSSDet" localSheetId="18">#REF!</definedName>
    <definedName name="PrintMSSDet" localSheetId="16">#REF!</definedName>
    <definedName name="PrintMSSDet" localSheetId="20">#REF!</definedName>
    <definedName name="PrintMSSDet" localSheetId="19">#REF!</definedName>
    <definedName name="PrintMSSDet" localSheetId="5">#REF!</definedName>
    <definedName name="PrintMSSDet">#REF!</definedName>
    <definedName name="PrintMSSSum" localSheetId="7">#REF!</definedName>
    <definedName name="PrintMSSSum" localSheetId="17">#REF!</definedName>
    <definedName name="PrintMSSSum" localSheetId="18">#REF!</definedName>
    <definedName name="PrintMSSSum" localSheetId="16">#REF!</definedName>
    <definedName name="PrintMSSSum" localSheetId="20">#REF!</definedName>
    <definedName name="PrintMSSSum" localSheetId="19">#REF!</definedName>
    <definedName name="PrintMSSSum" localSheetId="5">#REF!</definedName>
    <definedName name="PrintMSSSum">#REF!</definedName>
    <definedName name="PrintSpecDet" localSheetId="7">#REF!</definedName>
    <definedName name="PrintSpecDet" localSheetId="17">#REF!</definedName>
    <definedName name="PrintSpecDet" localSheetId="18">#REF!</definedName>
    <definedName name="PrintSpecDet" localSheetId="16">#REF!</definedName>
    <definedName name="PrintSpecDet" localSheetId="20">#REF!</definedName>
    <definedName name="PrintSpecDet" localSheetId="19">#REF!</definedName>
    <definedName name="PrintSpecDet" localSheetId="5">#REF!</definedName>
    <definedName name="PrintSpecDet">#REF!</definedName>
    <definedName name="PrintSpecSum" localSheetId="7">#REF!</definedName>
    <definedName name="PrintSpecSum" localSheetId="17">#REF!</definedName>
    <definedName name="PrintSpecSum" localSheetId="18">#REF!</definedName>
    <definedName name="PrintSpecSum" localSheetId="16">#REF!</definedName>
    <definedName name="PrintSpecSum" localSheetId="20">#REF!</definedName>
    <definedName name="PrintSpecSum" localSheetId="19">#REF!</definedName>
    <definedName name="PrintSpecSum" localSheetId="5">#REF!</definedName>
    <definedName name="PrintSpecSum">#REF!</definedName>
    <definedName name="PrintUnitMerDel" localSheetId="7">'[4]Unit Cost'!#REF!</definedName>
    <definedName name="PrintUnitMerDel" localSheetId="17">'[4]Unit Cost'!#REF!</definedName>
    <definedName name="PrintUnitMerDel" localSheetId="18">'[4]Unit Cost'!#REF!</definedName>
    <definedName name="PrintUnitMerDel" localSheetId="16">'[4]Unit Cost'!#REF!</definedName>
    <definedName name="PrintUnitMerDel" localSheetId="20">'[4]Unit Cost'!#REF!</definedName>
    <definedName name="PrintUnitMerDel" localSheetId="19">'[4]Unit Cost'!#REF!</definedName>
    <definedName name="PrintUnitMerDel" localSheetId="5">'[4]Unit Cost'!#REF!</definedName>
    <definedName name="PrintUnitMerDel">'[4]Unit Cost'!#REF!</definedName>
    <definedName name="PROP_TAX" localSheetId="7">#REF!</definedName>
    <definedName name="PROP_TAX" localSheetId="17">#REF!</definedName>
    <definedName name="PROP_TAX" localSheetId="18">#REF!</definedName>
    <definedName name="PROP_TAX" localSheetId="16">#REF!</definedName>
    <definedName name="PROP_TAX" localSheetId="20">#REF!</definedName>
    <definedName name="PROP_TAX" localSheetId="19">#REF!</definedName>
    <definedName name="PROP_TAX" localSheetId="5">#REF!</definedName>
    <definedName name="PROP_TAX">#REF!</definedName>
    <definedName name="Q" localSheetId="7">[4]Factors!#REF!</definedName>
    <definedName name="Q" localSheetId="17">[4]Factors!#REF!</definedName>
    <definedName name="Q" localSheetId="18">[4]Factors!#REF!</definedName>
    <definedName name="Q" localSheetId="16">[4]Factors!#REF!</definedName>
    <definedName name="Q" localSheetId="20">[4]Factors!#REF!</definedName>
    <definedName name="Q" localSheetId="19">[4]Factors!#REF!</definedName>
    <definedName name="Q" localSheetId="5">[4]Factors!#REF!</definedName>
    <definedName name="Q">[4]Factors!#REF!</definedName>
    <definedName name="rAdmin" localSheetId="7">#REF!</definedName>
    <definedName name="rAdmin" localSheetId="17">#REF!</definedName>
    <definedName name="rAdmin" localSheetId="18">#REF!</definedName>
    <definedName name="rAdmin" localSheetId="16">#REF!</definedName>
    <definedName name="rAdmin" localSheetId="20">#REF!</definedName>
    <definedName name="rAdmin" localSheetId="19">#REF!</definedName>
    <definedName name="rAdmin" localSheetId="5">#REF!</definedName>
    <definedName name="rAdmin">#REF!</definedName>
    <definedName name="rAlloList" localSheetId="7">[4]Registry!#REF!</definedName>
    <definedName name="rAlloList" localSheetId="17">[4]Registry!#REF!</definedName>
    <definedName name="rAlloList" localSheetId="18">[4]Registry!#REF!</definedName>
    <definedName name="rAlloList" localSheetId="16">[4]Registry!#REF!</definedName>
    <definedName name="rAlloList" localSheetId="20">[4]Registry!#REF!</definedName>
    <definedName name="rAlloList" localSheetId="19">[4]Registry!#REF!</definedName>
    <definedName name="rAlloList" localSheetId="5">[4]Registry!#REF!</definedName>
    <definedName name="rAlloList">[4]Registry!#REF!</definedName>
    <definedName name="rEGC" localSheetId="7">#REF!</definedName>
    <definedName name="rEGC" localSheetId="17">#REF!</definedName>
    <definedName name="rEGC" localSheetId="18">#REF!</definedName>
    <definedName name="rEGC" localSheetId="16">#REF!</definedName>
    <definedName name="rEGC" localSheetId="20">#REF!</definedName>
    <definedName name="rEGC" localSheetId="19">#REF!</definedName>
    <definedName name="rEGC" localSheetId="5">#REF!</definedName>
    <definedName name="rEGC">#REF!</definedName>
    <definedName name="RESERVE_REPORT" localSheetId="7">[20]UTILPLNT!#REF!</definedName>
    <definedName name="RESERVE_REPORT" localSheetId="17">[20]UTILPLNT!#REF!</definedName>
    <definedName name="RESERVE_REPORT" localSheetId="18">[20]UTILPLNT!#REF!</definedName>
    <definedName name="RESERVE_REPORT" localSheetId="16">[20]UTILPLNT!#REF!</definedName>
    <definedName name="RESERVE_REPORT" localSheetId="20">[20]UTILPLNT!#REF!</definedName>
    <definedName name="RESERVE_REPORT" localSheetId="19">[20]UTILPLNT!#REF!</definedName>
    <definedName name="RESERVE_REPORT" localSheetId="5">[20]UTILPLNT!#REF!</definedName>
    <definedName name="RESERVE_REPORT">[20]UTILPLNT!#REF!</definedName>
    <definedName name="RevM" localSheetId="7">#REF!</definedName>
    <definedName name="RevM" localSheetId="17">#REF!</definedName>
    <definedName name="RevM" localSheetId="18">#REF!</definedName>
    <definedName name="RevM" localSheetId="16">#REF!</definedName>
    <definedName name="RevM" localSheetId="20">#REF!</definedName>
    <definedName name="RevM" localSheetId="19">#REF!</definedName>
    <definedName name="RevM" localSheetId="5">#REF!</definedName>
    <definedName name="RevM">#REF!</definedName>
    <definedName name="revsens" localSheetId="1">[21]Inputs!$B$30</definedName>
    <definedName name="revsens" localSheetId="7">#REF!</definedName>
    <definedName name="revsens" localSheetId="17">#REF!</definedName>
    <definedName name="revsens" localSheetId="18">#REF!</definedName>
    <definedName name="revsens" localSheetId="16">#REF!</definedName>
    <definedName name="revsens" localSheetId="20">#REF!</definedName>
    <definedName name="revsens" localSheetId="19">#REF!</definedName>
    <definedName name="revsens" localSheetId="5">#REF!</definedName>
    <definedName name="revsens">#REF!</definedName>
    <definedName name="RevY" localSheetId="7">#REF!</definedName>
    <definedName name="RevY" localSheetId="17">#REF!</definedName>
    <definedName name="RevY" localSheetId="18">#REF!</definedName>
    <definedName name="RevY" localSheetId="16">#REF!</definedName>
    <definedName name="RevY" localSheetId="20">#REF!</definedName>
    <definedName name="RevY" localSheetId="19">#REF!</definedName>
    <definedName name="RevY" localSheetId="5">#REF!</definedName>
    <definedName name="RevY">#REF!</definedName>
    <definedName name="rGRT" localSheetId="7">#REF!</definedName>
    <definedName name="rGRT" localSheetId="17">#REF!</definedName>
    <definedName name="rGRT" localSheetId="18">#REF!</definedName>
    <definedName name="rGRT" localSheetId="16">#REF!</definedName>
    <definedName name="rGRT" localSheetId="20">#REF!</definedName>
    <definedName name="rGRT" localSheetId="19">#REF!</definedName>
    <definedName name="rGRT" localSheetId="5">#REF!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1"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1" hidden="1">100</definedName>
    <definedName name="RiskNumIterations" hidden="1">1000</definedName>
    <definedName name="RiskNumSimulations" localSheetId="1"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7">#REF!</definedName>
    <definedName name="rPIP" localSheetId="17">#REF!</definedName>
    <definedName name="rPIP" localSheetId="18">#REF!</definedName>
    <definedName name="rPIP" localSheetId="16">#REF!</definedName>
    <definedName name="rPIP" localSheetId="20">#REF!</definedName>
    <definedName name="rPIP" localSheetId="19">#REF!</definedName>
    <definedName name="rPIP" localSheetId="5">#REF!</definedName>
    <definedName name="rPIP">#REF!</definedName>
    <definedName name="RptDate" localSheetId="7">#REF!</definedName>
    <definedName name="RptDate" localSheetId="17">#REF!</definedName>
    <definedName name="RptDate" localSheetId="18">#REF!</definedName>
    <definedName name="RptDate" localSheetId="16">#REF!</definedName>
    <definedName name="RptDate" localSheetId="20">#REF!</definedName>
    <definedName name="RptDate" localSheetId="19">#REF!</definedName>
    <definedName name="RptDate" localSheetId="5">#REF!</definedName>
    <definedName name="RptDate">#REF!</definedName>
    <definedName name="rSB" localSheetId="7">#REF!</definedName>
    <definedName name="rSB" localSheetId="17">#REF!</definedName>
    <definedName name="rSB" localSheetId="18">#REF!</definedName>
    <definedName name="rSB" localSheetId="16">#REF!</definedName>
    <definedName name="rSB" localSheetId="20">#REF!</definedName>
    <definedName name="rSB" localSheetId="19">#REF!</definedName>
    <definedName name="rSB" localSheetId="5">#REF!</definedName>
    <definedName name="rSB">#REF!</definedName>
    <definedName name="rShare" localSheetId="7">#REF!</definedName>
    <definedName name="rShare" localSheetId="17">#REF!</definedName>
    <definedName name="rShare" localSheetId="18">#REF!</definedName>
    <definedName name="rShare" localSheetId="16">#REF!</definedName>
    <definedName name="rShare" localSheetId="20">#REF!</definedName>
    <definedName name="rShare" localSheetId="19">#REF!</definedName>
    <definedName name="rShare" localSheetId="5">#REF!</definedName>
    <definedName name="rShare">#REF!</definedName>
    <definedName name="rTemp" localSheetId="7">#REF!</definedName>
    <definedName name="rTemp" localSheetId="17">#REF!</definedName>
    <definedName name="rTemp" localSheetId="18">#REF!</definedName>
    <definedName name="rTemp" localSheetId="16">#REF!</definedName>
    <definedName name="rTemp" localSheetId="20">#REF!</definedName>
    <definedName name="rTemp" localSheetId="19">#REF!</definedName>
    <definedName name="rTemp" localSheetId="5">#REF!</definedName>
    <definedName name="rTemp">#REF!</definedName>
    <definedName name="rUnc" localSheetId="7">#REF!</definedName>
    <definedName name="rUnc" localSheetId="17">#REF!</definedName>
    <definedName name="rUnc" localSheetId="18">#REF!</definedName>
    <definedName name="rUnc" localSheetId="16">#REF!</definedName>
    <definedName name="rUnc" localSheetId="20">#REF!</definedName>
    <definedName name="rUnc" localSheetId="19">#REF!</definedName>
    <definedName name="rUnc" localSheetId="5">#REF!</definedName>
    <definedName name="rUnc">#REF!</definedName>
    <definedName name="Sales_Print_CEX" localSheetId="7">#REF!</definedName>
    <definedName name="Sales_Print_CEX" localSheetId="17">#REF!</definedName>
    <definedName name="Sales_Print_CEX" localSheetId="18">#REF!</definedName>
    <definedName name="Sales_Print_CEX" localSheetId="16">#REF!</definedName>
    <definedName name="Sales_Print_CEX" localSheetId="20">#REF!</definedName>
    <definedName name="Sales_Print_CEX" localSheetId="19">#REF!</definedName>
    <definedName name="Sales_Print_CEX" localSheetId="5">#REF!</definedName>
    <definedName name="Sales_Print_CEX">#REF!</definedName>
    <definedName name="SALV" localSheetId="7">#REF!</definedName>
    <definedName name="SALV" localSheetId="17">#REF!</definedName>
    <definedName name="SALV" localSheetId="18">#REF!</definedName>
    <definedName name="SALV" localSheetId="16">#REF!</definedName>
    <definedName name="SALV" localSheetId="20">#REF!</definedName>
    <definedName name="SALV" localSheetId="19">#REF!</definedName>
    <definedName name="SALV" localSheetId="5">#REF!</definedName>
    <definedName name="SALV">#REF!</definedName>
    <definedName name="SAS_GasCost" localSheetId="7">[3]Input!#REF!</definedName>
    <definedName name="SAS_GasCost" localSheetId="17">[3]Input!#REF!</definedName>
    <definedName name="SAS_GasCost" localSheetId="18">[3]Input!#REF!</definedName>
    <definedName name="SAS_GasCost" localSheetId="16">[3]Input!#REF!</definedName>
    <definedName name="SAS_GasCost" localSheetId="20">[3]Input!#REF!</definedName>
    <definedName name="SAS_GasCost" localSheetId="19">[3]Input!#REF!</definedName>
    <definedName name="SAS_GasCost" localSheetId="5">[3]Input!#REF!</definedName>
    <definedName name="SAS_GasCost">[3]Input!#REF!</definedName>
    <definedName name="sch10print" localSheetId="7">#REF!</definedName>
    <definedName name="sch10print" localSheetId="17">#REF!</definedName>
    <definedName name="sch10print" localSheetId="18">#REF!</definedName>
    <definedName name="sch10print" localSheetId="16">#REF!</definedName>
    <definedName name="sch10print" localSheetId="20">#REF!</definedName>
    <definedName name="sch10print" localSheetId="19">#REF!</definedName>
    <definedName name="sch10print" localSheetId="5">#REF!</definedName>
    <definedName name="sch10print">#REF!</definedName>
    <definedName name="sch3data" localSheetId="7">#REF!</definedName>
    <definedName name="sch3data" localSheetId="17">#REF!</definedName>
    <definedName name="sch3data" localSheetId="18">#REF!</definedName>
    <definedName name="sch3data" localSheetId="16">#REF!</definedName>
    <definedName name="sch3data" localSheetId="20">#REF!</definedName>
    <definedName name="sch3data" localSheetId="19">#REF!</definedName>
    <definedName name="sch3data" localSheetId="5">#REF!</definedName>
    <definedName name="sch3data">#REF!</definedName>
    <definedName name="sch3data_grp" localSheetId="7">#REF!</definedName>
    <definedName name="sch3data_grp" localSheetId="17">#REF!</definedName>
    <definedName name="sch3data_grp" localSheetId="18">#REF!</definedName>
    <definedName name="sch3data_grp" localSheetId="16">#REF!</definedName>
    <definedName name="sch3data_grp" localSheetId="20">#REF!</definedName>
    <definedName name="sch3data_grp" localSheetId="19">#REF!</definedName>
    <definedName name="sch3data_grp" localSheetId="5">#REF!</definedName>
    <definedName name="sch3data_grp">#REF!</definedName>
    <definedName name="sch3print" localSheetId="7">#REF!</definedName>
    <definedName name="sch3print" localSheetId="17">#REF!</definedName>
    <definedName name="sch3print" localSheetId="18">#REF!</definedName>
    <definedName name="sch3print" localSheetId="16">#REF!</definedName>
    <definedName name="sch3print" localSheetId="20">#REF!</definedName>
    <definedName name="sch3print" localSheetId="19">#REF!</definedName>
    <definedName name="sch3print" localSheetId="5">#REF!</definedName>
    <definedName name="sch3print">#REF!</definedName>
    <definedName name="sch4_2data" localSheetId="7">#REF!</definedName>
    <definedName name="sch4_2data" localSheetId="17">#REF!</definedName>
    <definedName name="sch4_2data" localSheetId="18">#REF!</definedName>
    <definedName name="sch4_2data" localSheetId="16">#REF!</definedName>
    <definedName name="sch4_2data" localSheetId="20">#REF!</definedName>
    <definedName name="sch4_2data" localSheetId="19">#REF!</definedName>
    <definedName name="sch4_2data" localSheetId="5">#REF!</definedName>
    <definedName name="sch4_2data">#REF!</definedName>
    <definedName name="sch4_2data_grp" localSheetId="7">#REF!</definedName>
    <definedName name="sch4_2data_grp" localSheetId="17">#REF!</definedName>
    <definedName name="sch4_2data_grp" localSheetId="18">#REF!</definedName>
    <definedName name="sch4_2data_grp" localSheetId="16">#REF!</definedName>
    <definedName name="sch4_2data_grp" localSheetId="20">#REF!</definedName>
    <definedName name="sch4_2data_grp" localSheetId="19">#REF!</definedName>
    <definedName name="sch4_2data_grp" localSheetId="5">#REF!</definedName>
    <definedName name="sch4_2data_grp">#REF!</definedName>
    <definedName name="sch4_2data1" localSheetId="7">#REF!</definedName>
    <definedName name="sch4_2data1" localSheetId="17">#REF!</definedName>
    <definedName name="sch4_2data1" localSheetId="18">#REF!</definedName>
    <definedName name="sch4_2data1" localSheetId="16">#REF!</definedName>
    <definedName name="sch4_2data1" localSheetId="20">#REF!</definedName>
    <definedName name="sch4_2data1" localSheetId="19">#REF!</definedName>
    <definedName name="sch4_2data1" localSheetId="5">#REF!</definedName>
    <definedName name="sch4_2data1">#REF!</definedName>
    <definedName name="sch4_2data1_grp" localSheetId="7">#REF!</definedName>
    <definedName name="sch4_2data1_grp" localSheetId="17">#REF!</definedName>
    <definedName name="sch4_2data1_grp" localSheetId="18">#REF!</definedName>
    <definedName name="sch4_2data1_grp" localSheetId="16">#REF!</definedName>
    <definedName name="sch4_2data1_grp" localSheetId="20">#REF!</definedName>
    <definedName name="sch4_2data1_grp" localSheetId="19">#REF!</definedName>
    <definedName name="sch4_2data1_grp" localSheetId="5">#REF!</definedName>
    <definedName name="sch4_2data1_grp">#REF!</definedName>
    <definedName name="sch4_2print" localSheetId="7">#REF!</definedName>
    <definedName name="sch4_2print" localSheetId="17">#REF!</definedName>
    <definedName name="sch4_2print" localSheetId="18">#REF!</definedName>
    <definedName name="sch4_2print" localSheetId="16">#REF!</definedName>
    <definedName name="sch4_2print" localSheetId="20">#REF!</definedName>
    <definedName name="sch4_2print" localSheetId="19">#REF!</definedName>
    <definedName name="sch4_2print" localSheetId="5">#REF!</definedName>
    <definedName name="sch4_2print">#REF!</definedName>
    <definedName name="sch4_3print" localSheetId="7">#REF!</definedName>
    <definedName name="sch4_3print" localSheetId="17">#REF!</definedName>
    <definedName name="sch4_3print" localSheetId="18">#REF!</definedName>
    <definedName name="sch4_3print" localSheetId="16">#REF!</definedName>
    <definedName name="sch4_3print" localSheetId="20">#REF!</definedName>
    <definedName name="sch4_3print" localSheetId="19">#REF!</definedName>
    <definedName name="sch4_3print" localSheetId="5">#REF!</definedName>
    <definedName name="sch4_3print">#REF!</definedName>
    <definedName name="sch4print" localSheetId="7">#REF!</definedName>
    <definedName name="sch4print" localSheetId="17">#REF!</definedName>
    <definedName name="sch4print" localSheetId="18">#REF!</definedName>
    <definedName name="sch4print" localSheetId="16">#REF!</definedName>
    <definedName name="sch4print" localSheetId="20">#REF!</definedName>
    <definedName name="sch4print" localSheetId="19">#REF!</definedName>
    <definedName name="sch4print" localSheetId="5">#REF!</definedName>
    <definedName name="sch4print">#REF!</definedName>
    <definedName name="sch5_1print" localSheetId="7">#REF!</definedName>
    <definedName name="sch5_1print" localSheetId="17">#REF!</definedName>
    <definedName name="sch5_1print" localSheetId="18">#REF!</definedName>
    <definedName name="sch5_1print" localSheetId="16">#REF!</definedName>
    <definedName name="sch5_1print" localSheetId="20">#REF!</definedName>
    <definedName name="sch5_1print" localSheetId="19">#REF!</definedName>
    <definedName name="sch5_1print" localSheetId="5">#REF!</definedName>
    <definedName name="sch5_1print">#REF!</definedName>
    <definedName name="sch5_2print" localSheetId="7">#REF!</definedName>
    <definedName name="sch5_2print" localSheetId="17">#REF!</definedName>
    <definedName name="sch5_2print" localSheetId="18">#REF!</definedName>
    <definedName name="sch5_2print" localSheetId="16">#REF!</definedName>
    <definedName name="sch5_2print" localSheetId="20">#REF!</definedName>
    <definedName name="sch5_2print" localSheetId="19">#REF!</definedName>
    <definedName name="sch5_2print" localSheetId="5">#REF!</definedName>
    <definedName name="sch5_2print">#REF!</definedName>
    <definedName name="sch5_3print" localSheetId="7">#REF!</definedName>
    <definedName name="sch5_3print" localSheetId="17">#REF!</definedName>
    <definedName name="sch5_3print" localSheetId="18">#REF!</definedName>
    <definedName name="sch5_3print" localSheetId="16">#REF!</definedName>
    <definedName name="sch5_3print" localSheetId="20">#REF!</definedName>
    <definedName name="sch5_3print" localSheetId="19">#REF!</definedName>
    <definedName name="sch5_3print" localSheetId="5">#REF!</definedName>
    <definedName name="sch5_3print">#REF!</definedName>
    <definedName name="sch5_4print" localSheetId="7">#REF!</definedName>
    <definedName name="sch5_4print" localSheetId="17">#REF!</definedName>
    <definedName name="sch5_4print" localSheetId="18">#REF!</definedName>
    <definedName name="sch5_4print" localSheetId="16">#REF!</definedName>
    <definedName name="sch5_4print" localSheetId="20">#REF!</definedName>
    <definedName name="sch5_4print" localSheetId="19">#REF!</definedName>
    <definedName name="sch5_4print" localSheetId="5">#REF!</definedName>
    <definedName name="sch5_4print">#REF!</definedName>
    <definedName name="sch5_5print" localSheetId="7">#REF!</definedName>
    <definedName name="sch5_5print" localSheetId="17">#REF!</definedName>
    <definedName name="sch5_5print" localSheetId="18">#REF!</definedName>
    <definedName name="sch5_5print" localSheetId="16">#REF!</definedName>
    <definedName name="sch5_5print" localSheetId="20">#REF!</definedName>
    <definedName name="sch5_5print" localSheetId="19">#REF!</definedName>
    <definedName name="sch5_5print" localSheetId="5">#REF!</definedName>
    <definedName name="sch5_5print">#REF!</definedName>
    <definedName name="sch5print" localSheetId="7">#REF!</definedName>
    <definedName name="sch5print" localSheetId="17">#REF!</definedName>
    <definedName name="sch5print" localSheetId="18">#REF!</definedName>
    <definedName name="sch5print" localSheetId="16">#REF!</definedName>
    <definedName name="sch5print" localSheetId="20">#REF!</definedName>
    <definedName name="sch5print" localSheetId="19">#REF!</definedName>
    <definedName name="sch5print" localSheetId="5">#REF!</definedName>
    <definedName name="sch5print">#REF!</definedName>
    <definedName name="sch6print" localSheetId="7">#REF!</definedName>
    <definedName name="sch6print" localSheetId="17">#REF!</definedName>
    <definedName name="sch6print" localSheetId="18">#REF!</definedName>
    <definedName name="sch6print" localSheetId="16">#REF!</definedName>
    <definedName name="sch6print" localSheetId="20">#REF!</definedName>
    <definedName name="sch6print" localSheetId="19">#REF!</definedName>
    <definedName name="sch6print" localSheetId="5">#REF!</definedName>
    <definedName name="sch6print">#REF!</definedName>
    <definedName name="sch7_1_1print" localSheetId="7">#REF!</definedName>
    <definedName name="sch7_1_1print" localSheetId="17">#REF!</definedName>
    <definedName name="sch7_1_1print" localSheetId="18">#REF!</definedName>
    <definedName name="sch7_1_1print" localSheetId="16">#REF!</definedName>
    <definedName name="sch7_1_1print" localSheetId="20">#REF!</definedName>
    <definedName name="sch7_1_1print" localSheetId="19">#REF!</definedName>
    <definedName name="sch7_1_1print" localSheetId="5">#REF!</definedName>
    <definedName name="sch7_1_1print">#REF!</definedName>
    <definedName name="sch7_1_2print" localSheetId="7">#REF!</definedName>
    <definedName name="sch7_1_2print" localSheetId="17">#REF!</definedName>
    <definedName name="sch7_1_2print" localSheetId="18">#REF!</definedName>
    <definedName name="sch7_1_2print" localSheetId="16">#REF!</definedName>
    <definedName name="sch7_1_2print" localSheetId="20">#REF!</definedName>
    <definedName name="sch7_1_2print" localSheetId="19">#REF!</definedName>
    <definedName name="sch7_1_2print" localSheetId="5">#REF!</definedName>
    <definedName name="sch7_1_2print">#REF!</definedName>
    <definedName name="sch7_1_3print" localSheetId="7">#REF!</definedName>
    <definedName name="sch7_1_3print" localSheetId="17">#REF!</definedName>
    <definedName name="sch7_1_3print" localSheetId="18">#REF!</definedName>
    <definedName name="sch7_1_3print" localSheetId="16">#REF!</definedName>
    <definedName name="sch7_1_3print" localSheetId="20">#REF!</definedName>
    <definedName name="sch7_1_3print" localSheetId="19">#REF!</definedName>
    <definedName name="sch7_1_3print" localSheetId="5">#REF!</definedName>
    <definedName name="sch7_1_3print">#REF!</definedName>
    <definedName name="sch7_1_4print" localSheetId="7">#REF!</definedName>
    <definedName name="sch7_1_4print" localSheetId="17">#REF!</definedName>
    <definedName name="sch7_1_4print" localSheetId="18">#REF!</definedName>
    <definedName name="sch7_1_4print" localSheetId="16">#REF!</definedName>
    <definedName name="sch7_1_4print" localSheetId="20">#REF!</definedName>
    <definedName name="sch7_1_4print" localSheetId="19">#REF!</definedName>
    <definedName name="sch7_1_4print" localSheetId="5">#REF!</definedName>
    <definedName name="sch7_1_4print">#REF!</definedName>
    <definedName name="sch7_1_5print" localSheetId="7">#REF!</definedName>
    <definedName name="sch7_1_5print" localSheetId="17">#REF!</definedName>
    <definedName name="sch7_1_5print" localSheetId="18">#REF!</definedName>
    <definedName name="sch7_1_5print" localSheetId="16">#REF!</definedName>
    <definedName name="sch7_1_5print" localSheetId="20">#REF!</definedName>
    <definedName name="sch7_1_5print" localSheetId="19">#REF!</definedName>
    <definedName name="sch7_1_5print" localSheetId="5">#REF!</definedName>
    <definedName name="sch7_1_5print">#REF!</definedName>
    <definedName name="sch7_1_6print" localSheetId="7">#REF!</definedName>
    <definedName name="sch7_1_6print" localSheetId="17">#REF!</definedName>
    <definedName name="sch7_1_6print" localSheetId="18">#REF!</definedName>
    <definedName name="sch7_1_6print" localSheetId="16">#REF!</definedName>
    <definedName name="sch7_1_6print" localSheetId="20">#REF!</definedName>
    <definedName name="sch7_1_6print" localSheetId="19">#REF!</definedName>
    <definedName name="sch7_1_6print" localSheetId="5">#REF!</definedName>
    <definedName name="sch7_1_6print">#REF!</definedName>
    <definedName name="sch7_1_7print" localSheetId="7">#REF!</definedName>
    <definedName name="sch7_1_7print" localSheetId="17">#REF!</definedName>
    <definedName name="sch7_1_7print" localSheetId="18">#REF!</definedName>
    <definedName name="sch7_1_7print" localSheetId="16">#REF!</definedName>
    <definedName name="sch7_1_7print" localSheetId="20">#REF!</definedName>
    <definedName name="sch7_1_7print" localSheetId="19">#REF!</definedName>
    <definedName name="sch7_1_7print" localSheetId="5">#REF!</definedName>
    <definedName name="sch7_1_7print">#REF!</definedName>
    <definedName name="sch7_1print" localSheetId="7">#REF!</definedName>
    <definedName name="sch7_1print" localSheetId="17">#REF!</definedName>
    <definedName name="sch7_1print" localSheetId="18">#REF!</definedName>
    <definedName name="sch7_1print" localSheetId="16">#REF!</definedName>
    <definedName name="sch7_1print" localSheetId="20">#REF!</definedName>
    <definedName name="sch7_1print" localSheetId="19">#REF!</definedName>
    <definedName name="sch7_1print" localSheetId="5">#REF!</definedName>
    <definedName name="sch7_1print">#REF!</definedName>
    <definedName name="Sch7_2data">[22]sch7_2data!$A$1:$F$14</definedName>
    <definedName name="Sch7_2data_grp">[22]sch7_2data!$A$1:$A$65536</definedName>
    <definedName name="sch7_2print" localSheetId="7">#REF!</definedName>
    <definedName name="sch7_2print" localSheetId="17">#REF!</definedName>
    <definedName name="sch7_2print" localSheetId="18">#REF!</definedName>
    <definedName name="sch7_2print" localSheetId="16">#REF!</definedName>
    <definedName name="sch7_2print" localSheetId="20">#REF!</definedName>
    <definedName name="sch7_2print" localSheetId="19">#REF!</definedName>
    <definedName name="sch7_2print" localSheetId="5">#REF!</definedName>
    <definedName name="sch7_2print">#REF!</definedName>
    <definedName name="sch7_3print" localSheetId="7">#REF!</definedName>
    <definedName name="sch7_3print" localSheetId="17">#REF!</definedName>
    <definedName name="sch7_3print" localSheetId="18">#REF!</definedName>
    <definedName name="sch7_3print" localSheetId="16">#REF!</definedName>
    <definedName name="sch7_3print" localSheetId="20">#REF!</definedName>
    <definedName name="sch7_3print" localSheetId="19">#REF!</definedName>
    <definedName name="sch7_3print" localSheetId="5">#REF!</definedName>
    <definedName name="sch7_3print">#REF!</definedName>
    <definedName name="sch7_4print" localSheetId="7">#REF!</definedName>
    <definedName name="sch7_4print" localSheetId="17">#REF!</definedName>
    <definedName name="sch7_4print" localSheetId="18">#REF!</definedName>
    <definedName name="sch7_4print" localSheetId="16">#REF!</definedName>
    <definedName name="sch7_4print" localSheetId="20">#REF!</definedName>
    <definedName name="sch7_4print" localSheetId="19">#REF!</definedName>
    <definedName name="sch7_4print" localSheetId="5">#REF!</definedName>
    <definedName name="sch7_4print">#REF!</definedName>
    <definedName name="sch7_5print" localSheetId="7">#REF!</definedName>
    <definedName name="sch7_5print" localSheetId="17">#REF!</definedName>
    <definedName name="sch7_5print" localSheetId="18">#REF!</definedName>
    <definedName name="sch7_5print" localSheetId="16">#REF!</definedName>
    <definedName name="sch7_5print" localSheetId="20">#REF!</definedName>
    <definedName name="sch7_5print" localSheetId="19">#REF!</definedName>
    <definedName name="sch7_5print" localSheetId="5">#REF!</definedName>
    <definedName name="sch7_5print">#REF!</definedName>
    <definedName name="sch7_6print" localSheetId="7">#REF!</definedName>
    <definedName name="sch7_6print" localSheetId="17">#REF!</definedName>
    <definedName name="sch7_6print" localSheetId="18">#REF!</definedName>
    <definedName name="sch7_6print" localSheetId="16">#REF!</definedName>
    <definedName name="sch7_6print" localSheetId="20">#REF!</definedName>
    <definedName name="sch7_6print" localSheetId="19">#REF!</definedName>
    <definedName name="sch7_6print" localSheetId="5">#REF!</definedName>
    <definedName name="sch7_6print">#REF!</definedName>
    <definedName name="sch7print" localSheetId="7">#REF!</definedName>
    <definedName name="sch7print" localSheetId="17">#REF!</definedName>
    <definedName name="sch7print" localSheetId="18">#REF!</definedName>
    <definedName name="sch7print" localSheetId="16">#REF!</definedName>
    <definedName name="sch7print" localSheetId="20">#REF!</definedName>
    <definedName name="sch7print" localSheetId="19">#REF!</definedName>
    <definedName name="sch7print" localSheetId="5">#REF!</definedName>
    <definedName name="sch7print">#REF!</definedName>
    <definedName name="sch8print" localSheetId="7">#REF!</definedName>
    <definedName name="sch8print" localSheetId="17">#REF!</definedName>
    <definedName name="sch8print" localSheetId="18">#REF!</definedName>
    <definedName name="sch8print" localSheetId="16">#REF!</definedName>
    <definedName name="sch8print" localSheetId="20">#REF!</definedName>
    <definedName name="sch8print" localSheetId="19">#REF!</definedName>
    <definedName name="sch8print" localSheetId="5">#REF!</definedName>
    <definedName name="sch8print">#REF!</definedName>
    <definedName name="sch9print" localSheetId="7">#REF!</definedName>
    <definedName name="sch9print" localSheetId="17">#REF!</definedName>
    <definedName name="sch9print" localSheetId="18">#REF!</definedName>
    <definedName name="sch9print" localSheetId="16">#REF!</definedName>
    <definedName name="sch9print" localSheetId="20">#REF!</definedName>
    <definedName name="sch9print" localSheetId="19">#REF!</definedName>
    <definedName name="sch9print" localSheetId="5">#REF!</definedName>
    <definedName name="sch9print">#REF!</definedName>
    <definedName name="SewerConflictCost" localSheetId="7">'[7]Meter-Service'!#REF!</definedName>
    <definedName name="SewerConflictCost" localSheetId="17">'[7]Meter-Service'!#REF!</definedName>
    <definedName name="SewerConflictCost" localSheetId="18">'[7]Meter-Service'!#REF!</definedName>
    <definedName name="SewerConflictCost" localSheetId="16">'[7]Meter-Service'!#REF!</definedName>
    <definedName name="SewerConflictCost" localSheetId="20">'[7]Meter-Service'!#REF!</definedName>
    <definedName name="SewerConflictCost" localSheetId="19">'[7]Meter-Service'!#REF!</definedName>
    <definedName name="SewerConflictCost" localSheetId="5">'[7]Meter-Service'!#REF!</definedName>
    <definedName name="SewerConflictCost">'[7]Meter-Service'!#REF!</definedName>
    <definedName name="size" localSheetId="7">#REF!</definedName>
    <definedName name="size" localSheetId="17">#REF!</definedName>
    <definedName name="size" localSheetId="18">#REF!</definedName>
    <definedName name="size" localSheetId="16">#REF!</definedName>
    <definedName name="size" localSheetId="20">#REF!</definedName>
    <definedName name="size" localSheetId="19">#REF!</definedName>
    <definedName name="size" localSheetId="5">#REF!</definedName>
    <definedName name="size">#REF!</definedName>
    <definedName name="START" localSheetId="7">#REF!</definedName>
    <definedName name="START" localSheetId="17">#REF!</definedName>
    <definedName name="START" localSheetId="18">#REF!</definedName>
    <definedName name="START" localSheetId="16">#REF!</definedName>
    <definedName name="START" localSheetId="20">#REF!</definedName>
    <definedName name="START" localSheetId="19">#REF!</definedName>
    <definedName name="START" localSheetId="5">#REF!</definedName>
    <definedName name="START">#REF!</definedName>
    <definedName name="sue">#N/A</definedName>
    <definedName name="SumMerchantDel" localSheetId="7">[4]Total!#REF!</definedName>
    <definedName name="SumMerchantDel" localSheetId="17">[4]Total!#REF!</definedName>
    <definedName name="SumMerchantDel" localSheetId="18">[4]Total!#REF!</definedName>
    <definedName name="SumMerchantDel" localSheetId="16">[4]Total!#REF!</definedName>
    <definedName name="SumMerchantDel" localSheetId="20">[4]Total!#REF!</definedName>
    <definedName name="SumMerchantDel" localSheetId="19">[4]Total!#REF!</definedName>
    <definedName name="SumMerchantDel" localSheetId="5">[4]Total!#REF!</definedName>
    <definedName name="SumMerchantDel">[4]Total!#REF!</definedName>
    <definedName name="sumunitmerchdelivery" localSheetId="7">'[4]Unit Cost'!#REF!</definedName>
    <definedName name="sumunitmerchdelivery" localSheetId="17">'[4]Unit Cost'!#REF!</definedName>
    <definedName name="sumunitmerchdelivery" localSheetId="18">'[4]Unit Cost'!#REF!</definedName>
    <definedName name="sumunitmerchdelivery" localSheetId="16">'[4]Unit Cost'!#REF!</definedName>
    <definedName name="sumunitmerchdelivery" localSheetId="20">'[4]Unit Cost'!#REF!</definedName>
    <definedName name="sumunitmerchdelivery" localSheetId="19">'[4]Unit Cost'!#REF!</definedName>
    <definedName name="sumunitmerchdelivery" localSheetId="5">'[4]Unit Cost'!#REF!</definedName>
    <definedName name="sumunitmerchdelivery">'[4]Unit Cost'!#REF!</definedName>
    <definedName name="t">'[23]Sched7-1'!$D$1:$K$19</definedName>
    <definedName name="tabCustChg" localSheetId="7">#REF!</definedName>
    <definedName name="tabCustChg" localSheetId="17">#REF!</definedName>
    <definedName name="tabCustChg" localSheetId="18">#REF!</definedName>
    <definedName name="tabCustChg" localSheetId="16">#REF!</definedName>
    <definedName name="tabCustChg" localSheetId="20">#REF!</definedName>
    <definedName name="tabCustChg" localSheetId="19">#REF!</definedName>
    <definedName name="tabCustChg" localSheetId="5">#REF!</definedName>
    <definedName name="tabCustChg">#REF!</definedName>
    <definedName name="tabDelChg" localSheetId="7">#REF!</definedName>
    <definedName name="tabDelChg" localSheetId="17">#REF!</definedName>
    <definedName name="tabDelChg" localSheetId="18">#REF!</definedName>
    <definedName name="tabDelChg" localSheetId="16">#REF!</definedName>
    <definedName name="tabDelChg" localSheetId="20">#REF!</definedName>
    <definedName name="tabDelChg" localSheetId="19">#REF!</definedName>
    <definedName name="tabDelChg" localSheetId="5">#REF!</definedName>
    <definedName name="tabDelChg">#REF!</definedName>
    <definedName name="TAXBASE" localSheetId="7">#REF!</definedName>
    <definedName name="TAXBASE" localSheetId="17">#REF!</definedName>
    <definedName name="TAXBASE" localSheetId="18">#REF!</definedName>
    <definedName name="TAXBASE" localSheetId="16">#REF!</definedName>
    <definedName name="TAXBASE" localSheetId="20">#REF!</definedName>
    <definedName name="TAXBASE" localSheetId="19">#REF!</definedName>
    <definedName name="TAXBASE" localSheetId="5">#REF!</definedName>
    <definedName name="TAXBASE">#REF!</definedName>
    <definedName name="TDRATE" localSheetId="7">#REF!</definedName>
    <definedName name="TDRATE" localSheetId="17">#REF!</definedName>
    <definedName name="TDRATE" localSheetId="18">#REF!</definedName>
    <definedName name="TDRATE" localSheetId="16">#REF!</definedName>
    <definedName name="TDRATE" localSheetId="20">#REF!</definedName>
    <definedName name="TDRATE" localSheetId="19">#REF!</definedName>
    <definedName name="TDRATE" localSheetId="5">#REF!</definedName>
    <definedName name="TDRATE">#REF!</definedName>
    <definedName name="TEMP" localSheetId="7">#REF!</definedName>
    <definedName name="TEMP" localSheetId="17">#REF!</definedName>
    <definedName name="TEMP" localSheetId="18">#REF!</definedName>
    <definedName name="TEMP" localSheetId="16">#REF!</definedName>
    <definedName name="TEMP" localSheetId="20">#REF!</definedName>
    <definedName name="TEMP" localSheetId="19">#REF!</definedName>
    <definedName name="TEMP" localSheetId="5">#REF!</definedName>
    <definedName name="TEMP">#REF!</definedName>
    <definedName name="Title">[6]Registry!$E$95</definedName>
    <definedName name="TranROR" localSheetId="7">'[4]Unit Cost'!#REF!</definedName>
    <definedName name="TranROR" localSheetId="17">'[4]Unit Cost'!#REF!</definedName>
    <definedName name="TranROR" localSheetId="18">'[4]Unit Cost'!#REF!</definedName>
    <definedName name="TranROR" localSheetId="16">'[4]Unit Cost'!#REF!</definedName>
    <definedName name="TranROR" localSheetId="20">'[4]Unit Cost'!#REF!</definedName>
    <definedName name="TranROR" localSheetId="19">'[4]Unit Cost'!#REF!</definedName>
    <definedName name="TranROR" localSheetId="5">'[4]Unit Cost'!#REF!</definedName>
    <definedName name="TranROR">'[4]Unit Cost'!#REF!</definedName>
    <definedName name="TXADJST1" localSheetId="7">#REF!</definedName>
    <definedName name="TXADJST1" localSheetId="17">#REF!</definedName>
    <definedName name="TXADJST1" localSheetId="18">#REF!</definedName>
    <definedName name="TXADJST1" localSheetId="16">#REF!</definedName>
    <definedName name="TXADJST1" localSheetId="20">#REF!</definedName>
    <definedName name="TXADJST1" localSheetId="19">#REF!</definedName>
    <definedName name="TXADJST1" localSheetId="5">#REF!</definedName>
    <definedName name="TXADJST1">#REF!</definedName>
    <definedName name="TXLIFE" localSheetId="7">#REF!</definedName>
    <definedName name="TXLIFE" localSheetId="17">#REF!</definedName>
    <definedName name="TXLIFE" localSheetId="18">#REF!</definedName>
    <definedName name="TXLIFE" localSheetId="16">#REF!</definedName>
    <definedName name="TXLIFE" localSheetId="20">#REF!</definedName>
    <definedName name="TXLIFE" localSheetId="19">#REF!</definedName>
    <definedName name="TXLIFE" localSheetId="5">#REF!</definedName>
    <definedName name="TXLIFE">#REF!</definedName>
    <definedName name="TYDESC">[3]A!$A$3</definedName>
    <definedName name="Types" localSheetId="7">#REF!</definedName>
    <definedName name="Types" localSheetId="17">#REF!</definedName>
    <definedName name="Types" localSheetId="18">#REF!</definedName>
    <definedName name="Types" localSheetId="16">#REF!</definedName>
    <definedName name="Types" localSheetId="20">#REF!</definedName>
    <definedName name="Types" localSheetId="19">#REF!</definedName>
    <definedName name="Types" localSheetId="5">#REF!</definedName>
    <definedName name="Types">#REF!</definedName>
    <definedName name="UNITCOST" localSheetId="7">#REF!</definedName>
    <definedName name="UNITCOST" localSheetId="17">#REF!</definedName>
    <definedName name="UNITCOST" localSheetId="18">#REF!</definedName>
    <definedName name="UNITCOST" localSheetId="16">#REF!</definedName>
    <definedName name="UNITCOST" localSheetId="20">#REF!</definedName>
    <definedName name="UNITCOST" localSheetId="19">#REF!</definedName>
    <definedName name="UNITCOST" localSheetId="5">#REF!</definedName>
    <definedName name="UNITCOST">#REF!</definedName>
    <definedName name="UNITRATE_EXP" localSheetId="7">'[4]Unit Cost'!#REF!</definedName>
    <definedName name="UNITRATE_EXP" localSheetId="17">'[4]Unit Cost'!#REF!</definedName>
    <definedName name="UNITRATE_EXP" localSheetId="18">'[4]Unit Cost'!#REF!</definedName>
    <definedName name="UNITRATE_EXP" localSheetId="16">'[4]Unit Cost'!#REF!</definedName>
    <definedName name="UNITRATE_EXP" localSheetId="20">'[4]Unit Cost'!#REF!</definedName>
    <definedName name="UNITRATE_EXP" localSheetId="19">'[4]Unit Cost'!#REF!</definedName>
    <definedName name="UNITRATE_EXP" localSheetId="5">'[4]Unit Cost'!#REF!</definedName>
    <definedName name="UNITRATE_EXP">'[4]Unit Cost'!#REF!</definedName>
    <definedName name="Version" localSheetId="7">#REF!</definedName>
    <definedName name="Version" localSheetId="17">#REF!</definedName>
    <definedName name="Version" localSheetId="18">#REF!</definedName>
    <definedName name="Version" localSheetId="16">#REF!</definedName>
    <definedName name="Version" localSheetId="20">#REF!</definedName>
    <definedName name="Version" localSheetId="19">#REF!</definedName>
    <definedName name="Version" localSheetId="5">#REF!</definedName>
    <definedName name="Version">#REF!</definedName>
    <definedName name="Winter" localSheetId="7">'[7]Meter-Service'!#REF!</definedName>
    <definedName name="Winter" localSheetId="17">'[7]Meter-Service'!#REF!</definedName>
    <definedName name="Winter" localSheetId="18">'[7]Meter-Service'!#REF!</definedName>
    <definedName name="Winter" localSheetId="16">'[7]Meter-Service'!#REF!</definedName>
    <definedName name="Winter" localSheetId="20">'[7]Meter-Service'!#REF!</definedName>
    <definedName name="Winter" localSheetId="19">'[7]Meter-Service'!#REF!</definedName>
    <definedName name="Winter" localSheetId="5">'[7]Meter-Service'!#REF!</definedName>
    <definedName name="Winter">'[7]Meter-Service'!#REF!</definedName>
    <definedName name="Witness">[3]Input!$B$14</definedName>
    <definedName name="WS3A2">#N/A</definedName>
    <definedName name="WTD_COST_PCT" localSheetId="7">#REF!</definedName>
    <definedName name="WTD_COST_PCT" localSheetId="17">#REF!</definedName>
    <definedName name="WTD_COST_PCT" localSheetId="18">#REF!</definedName>
    <definedName name="WTD_COST_PCT" localSheetId="16">#REF!</definedName>
    <definedName name="WTD_COST_PCT" localSheetId="20">#REF!</definedName>
    <definedName name="WTD_COST_PCT" localSheetId="19">#REF!</definedName>
    <definedName name="WTD_COST_PCT" localSheetId="5">#REF!</definedName>
    <definedName name="WTD_COST_PCT">#REF!</definedName>
    <definedName name="Z_37B35166_7378_4B00_BB4E_9E442A0D870E_.wvu.Cols" localSheetId="10" hidden="1">'Avg Bill by RS'!$Q:$S</definedName>
    <definedName name="Z_37B35166_7378_4B00_BB4E_9E442A0D870E_.wvu.Cols" localSheetId="7" hidden="1">'Combined Items Proof Yr2'!$AN:$AO</definedName>
    <definedName name="Z_37B35166_7378_4B00_BB4E_9E442A0D870E_.wvu.Cols" localSheetId="14" hidden="1">'Exh A Pg 1'!#REF!</definedName>
    <definedName name="Z_37B35166_7378_4B00_BB4E_9E442A0D870E_.wvu.Cols" localSheetId="4" hidden="1">'Rev Req Proof Yr1'!$AJ:$AK</definedName>
    <definedName name="Z_37B35166_7378_4B00_BB4E_9E442A0D870E_.wvu.Cols" localSheetId="5" hidden="1">'Rev Req Proof Yr2'!$AJ:$AK</definedName>
    <definedName name="Z_37B35166_7378_4B00_BB4E_9E442A0D870E_.wvu.PrintArea" localSheetId="17" hidden="1">'Exh. RJW-3 Combined'!$A$1:$AE$53</definedName>
    <definedName name="Z_37B35166_7378_4B00_BB4E_9E442A0D870E_.wvu.PrintArea" localSheetId="18" hidden="1">'Exh. RJW-3 Mitigation Only'!$A$1:$AI$53</definedName>
    <definedName name="Z_37B35166_7378_4B00_BB4E_9E442A0D870E_.wvu.PrintArea" localSheetId="16" hidden="1">'Exh. RJW-3 RR'!$A$1:$L$49</definedName>
    <definedName name="Z_37B35166_7378_4B00_BB4E_9E442A0D870E_.wvu.PrintArea" localSheetId="12" hidden="1">'Rate Impacts - COMBINED'!$A$2:$AA$52</definedName>
    <definedName name="Z_37B35166_7378_4B00_BB4E_9E442A0D870E_.wvu.PrintArea" localSheetId="11" hidden="1">'Rate Impacts - Rev Req ONLY'!$A$1:$M$49</definedName>
    <definedName name="Z_80646397_1CEF_4A79_B348_594AB32B8020_.wvu.Cols" localSheetId="10" hidden="1">'Avg Bill by RS'!$Q:$S</definedName>
    <definedName name="Z_80646397_1CEF_4A79_B348_594AB32B8020_.wvu.Cols" localSheetId="7" hidden="1">'Combined Items Proof Yr2'!$AN:$AO</definedName>
    <definedName name="Z_80646397_1CEF_4A79_B348_594AB32B8020_.wvu.Cols" localSheetId="14" hidden="1">'Exh A Pg 1'!#REF!</definedName>
    <definedName name="Z_80646397_1CEF_4A79_B348_594AB32B8020_.wvu.Cols" localSheetId="4" hidden="1">'Rev Req Proof Yr1'!$AJ:$AK</definedName>
    <definedName name="Z_80646397_1CEF_4A79_B348_594AB32B8020_.wvu.Cols" localSheetId="5" hidden="1">'Rev Req Proof Yr2'!$AJ:$AK</definedName>
    <definedName name="Z_80646397_1CEF_4A79_B348_594AB32B8020_.wvu.PrintArea" localSheetId="17" hidden="1">'Exh. RJW-3 Combined'!$A$1:$AE$53</definedName>
    <definedName name="Z_80646397_1CEF_4A79_B348_594AB32B8020_.wvu.PrintArea" localSheetId="18" hidden="1">'Exh. RJW-3 Mitigation Only'!$A$1:$AI$53</definedName>
    <definedName name="Z_80646397_1CEF_4A79_B348_594AB32B8020_.wvu.PrintArea" localSheetId="16" hidden="1">'Exh. RJW-3 RR'!$A$1:$L$49</definedName>
    <definedName name="Z_80646397_1CEF_4A79_B348_594AB32B8020_.wvu.PrintArea" localSheetId="12" hidden="1">'Rate Impacts - COMBINED'!$A$2:$AA$52</definedName>
    <definedName name="Z_80646397_1CEF_4A79_B348_594AB32B8020_.wvu.PrintArea" localSheetId="11"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11" i="7" l="1"/>
  <c r="AG93" i="7"/>
  <c r="AF93" i="7"/>
  <c r="AG86" i="7"/>
  <c r="AF86" i="7"/>
  <c r="AG79" i="7"/>
  <c r="AF79" i="7"/>
  <c r="AG72" i="7"/>
  <c r="AF72" i="7"/>
  <c r="AG65" i="7"/>
  <c r="AF65" i="7"/>
  <c r="AG58" i="7"/>
  <c r="AF58" i="7"/>
  <c r="AG51" i="7"/>
  <c r="AF51" i="7"/>
  <c r="AG44" i="7"/>
  <c r="AF44" i="7"/>
  <c r="AG37" i="7"/>
  <c r="AF37" i="7"/>
  <c r="AG34" i="7"/>
  <c r="AF34" i="7"/>
  <c r="AG31" i="7"/>
  <c r="AF31" i="7"/>
  <c r="AG28" i="7"/>
  <c r="AF28" i="7"/>
  <c r="AG25" i="7"/>
  <c r="AF25" i="7"/>
  <c r="AG22" i="7"/>
  <c r="AF22" i="7"/>
  <c r="BC11" i="7" l="1"/>
  <c r="AG3" i="7"/>
  <c r="AF3" i="7"/>
  <c r="AO93" i="7" l="1"/>
  <c r="AN93" i="7"/>
  <c r="AK93" i="7"/>
  <c r="AJ93" i="7"/>
  <c r="AO86" i="7"/>
  <c r="AN86" i="7"/>
  <c r="AK86" i="7"/>
  <c r="AJ86" i="7"/>
  <c r="AO79" i="7"/>
  <c r="AN79" i="7"/>
  <c r="AK79" i="7"/>
  <c r="AJ79" i="7"/>
  <c r="AO72" i="7"/>
  <c r="AN72" i="7"/>
  <c r="AK72" i="7"/>
  <c r="AJ72" i="7"/>
  <c r="AO65" i="7"/>
  <c r="AN65" i="7"/>
  <c r="AK65" i="7"/>
  <c r="AJ65" i="7"/>
  <c r="AO58" i="7"/>
  <c r="AN58" i="7"/>
  <c r="AK58" i="7"/>
  <c r="AJ58" i="7"/>
  <c r="AO51" i="7"/>
  <c r="AN51" i="7"/>
  <c r="AK51" i="7"/>
  <c r="AJ51" i="7"/>
  <c r="AO44" i="7"/>
  <c r="AN44" i="7"/>
  <c r="AK44" i="7"/>
  <c r="AJ44" i="7"/>
  <c r="AO37" i="7"/>
  <c r="AN37" i="7"/>
  <c r="AK37" i="7"/>
  <c r="AJ37" i="7"/>
  <c r="AO34" i="7"/>
  <c r="AN34" i="7"/>
  <c r="AK34" i="7"/>
  <c r="AJ34" i="7"/>
  <c r="AO31" i="7"/>
  <c r="AN31" i="7"/>
  <c r="AK31" i="7"/>
  <c r="AJ31" i="7"/>
  <c r="AO28" i="7"/>
  <c r="AN28" i="7"/>
  <c r="AK28" i="7"/>
  <c r="AJ28" i="7"/>
  <c r="AO25" i="7"/>
  <c r="AN25" i="7"/>
  <c r="AK25" i="7"/>
  <c r="AJ25" i="7"/>
  <c r="AO22" i="7"/>
  <c r="AN22" i="7"/>
  <c r="AK22" i="7"/>
  <c r="AJ22" i="7"/>
  <c r="AY5" i="19"/>
  <c r="AY4" i="19"/>
  <c r="AJ3" i="7" l="1"/>
  <c r="AO3" i="7"/>
  <c r="AK3" i="7"/>
  <c r="AN3" i="7"/>
  <c r="AJ11" i="14" l="1"/>
  <c r="AH11" i="14"/>
  <c r="N9" i="7" l="1"/>
  <c r="G8" i="7"/>
  <c r="H8" i="7" s="1"/>
  <c r="I8" i="7" s="1"/>
  <c r="J8" i="7" s="1"/>
  <c r="K8" i="7" s="1"/>
  <c r="M78" i="23" l="1"/>
  <c r="L78" i="23"/>
  <c r="K78" i="23"/>
  <c r="J78" i="23"/>
  <c r="H78" i="23"/>
  <c r="F78" i="23"/>
  <c r="C78" i="23"/>
  <c r="M77" i="23"/>
  <c r="L77" i="23"/>
  <c r="K77" i="23"/>
  <c r="J77" i="23"/>
  <c r="H77" i="23"/>
  <c r="G77" i="23"/>
  <c r="F77" i="23"/>
  <c r="C77" i="23"/>
  <c r="M76" i="23"/>
  <c r="L76" i="23"/>
  <c r="K76" i="23"/>
  <c r="J76" i="23"/>
  <c r="H76" i="23"/>
  <c r="G76" i="23"/>
  <c r="F76" i="23"/>
  <c r="C76" i="23"/>
  <c r="L75" i="23"/>
  <c r="K75" i="23"/>
  <c r="F75" i="23"/>
  <c r="L74" i="23"/>
  <c r="K74" i="23"/>
  <c r="F74" i="23"/>
  <c r="L73" i="23"/>
  <c r="K73" i="23"/>
  <c r="F73" i="23"/>
  <c r="L72" i="23"/>
  <c r="K72" i="23"/>
  <c r="F72" i="23"/>
  <c r="L71" i="23"/>
  <c r="K71" i="23"/>
  <c r="F71" i="23"/>
  <c r="L70" i="23"/>
  <c r="K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F65" i="23"/>
  <c r="M64" i="23"/>
  <c r="L64" i="23"/>
  <c r="K64" i="23"/>
  <c r="J64" i="23"/>
  <c r="H64" i="23"/>
  <c r="G64" i="23"/>
  <c r="F64" i="23"/>
  <c r="C64" i="23"/>
  <c r="M63" i="23"/>
  <c r="K63" i="23"/>
  <c r="J63" i="23"/>
  <c r="F63" i="23"/>
  <c r="M62" i="23"/>
  <c r="K62" i="23"/>
  <c r="J62" i="23"/>
  <c r="F62" i="23"/>
  <c r="M61" i="23"/>
  <c r="K61" i="23"/>
  <c r="J61" i="23"/>
  <c r="F61" i="23"/>
  <c r="M60" i="23"/>
  <c r="K60" i="23"/>
  <c r="J60" i="23"/>
  <c r="F60" i="23"/>
  <c r="M59" i="23"/>
  <c r="K59" i="23"/>
  <c r="J59" i="23"/>
  <c r="F59" i="23"/>
  <c r="M58" i="23"/>
  <c r="K58" i="23"/>
  <c r="J58" i="23"/>
  <c r="I58" i="23"/>
  <c r="H58" i="23"/>
  <c r="F58" i="23"/>
  <c r="C58" i="23"/>
  <c r="M57" i="23"/>
  <c r="K57" i="23"/>
  <c r="J57" i="23"/>
  <c r="F57" i="23"/>
  <c r="M56" i="23"/>
  <c r="K56" i="23"/>
  <c r="J56" i="23"/>
  <c r="F56" i="23"/>
  <c r="M55" i="23"/>
  <c r="K55" i="23"/>
  <c r="J55" i="23"/>
  <c r="F55" i="23"/>
  <c r="M54" i="23"/>
  <c r="K54" i="23"/>
  <c r="J54" i="23"/>
  <c r="F54" i="23"/>
  <c r="M53" i="23"/>
  <c r="K53" i="23"/>
  <c r="J53" i="23"/>
  <c r="F53" i="23"/>
  <c r="M52" i="23"/>
  <c r="K52" i="23"/>
  <c r="J52" i="23"/>
  <c r="H52" i="23"/>
  <c r="F52" i="23"/>
  <c r="C52" i="23"/>
  <c r="M51" i="23"/>
  <c r="L51" i="23"/>
  <c r="K51" i="23"/>
  <c r="J51" i="23"/>
  <c r="F51" i="23"/>
  <c r="M50" i="23"/>
  <c r="L50" i="23"/>
  <c r="K50" i="23"/>
  <c r="J50" i="23"/>
  <c r="F50" i="23"/>
  <c r="M49" i="23"/>
  <c r="L49" i="23"/>
  <c r="K49" i="23"/>
  <c r="J49" i="23"/>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F43" i="23"/>
  <c r="M42" i="23"/>
  <c r="L42" i="23"/>
  <c r="K42" i="23"/>
  <c r="J42" i="23"/>
  <c r="F42" i="23"/>
  <c r="M41" i="23"/>
  <c r="L41" i="23"/>
  <c r="K41" i="23"/>
  <c r="J41" i="23"/>
  <c r="F41" i="23"/>
  <c r="M40" i="23"/>
  <c r="L40" i="23"/>
  <c r="K40" i="23"/>
  <c r="J40" i="23"/>
  <c r="H40" i="23"/>
  <c r="F40" i="23"/>
  <c r="C40" i="23"/>
  <c r="M39" i="23"/>
  <c r="K39" i="23"/>
  <c r="J39" i="23"/>
  <c r="F39" i="23"/>
  <c r="M38" i="23"/>
  <c r="K38" i="23"/>
  <c r="J38" i="23"/>
  <c r="F38" i="23"/>
  <c r="M37" i="23"/>
  <c r="K37" i="23"/>
  <c r="J37" i="23"/>
  <c r="F37" i="23"/>
  <c r="M36" i="23"/>
  <c r="K36" i="23"/>
  <c r="J36" i="23"/>
  <c r="F36" i="23"/>
  <c r="M35" i="23"/>
  <c r="K35" i="23"/>
  <c r="J35" i="23"/>
  <c r="F35" i="23"/>
  <c r="M34" i="23"/>
  <c r="K34" i="23"/>
  <c r="J34" i="23"/>
  <c r="H34" i="23"/>
  <c r="F34" i="23"/>
  <c r="C34" i="23"/>
  <c r="M33" i="23"/>
  <c r="K33" i="23"/>
  <c r="J33" i="23"/>
  <c r="F33" i="23"/>
  <c r="M32" i="23"/>
  <c r="K32" i="23"/>
  <c r="J32" i="23"/>
  <c r="F32" i="23"/>
  <c r="M31" i="23"/>
  <c r="K31" i="23"/>
  <c r="J31" i="23"/>
  <c r="F31" i="23"/>
  <c r="M30" i="23"/>
  <c r="K30" i="23"/>
  <c r="J30" i="23"/>
  <c r="F30" i="23"/>
  <c r="M29" i="23"/>
  <c r="K29" i="23"/>
  <c r="J29" i="23"/>
  <c r="F29" i="23"/>
  <c r="M28" i="23"/>
  <c r="K28" i="23"/>
  <c r="J28" i="23"/>
  <c r="H28" i="23"/>
  <c r="G28" i="23"/>
  <c r="F28" i="23"/>
  <c r="C28" i="23"/>
  <c r="L27" i="23"/>
  <c r="K27" i="23"/>
  <c r="J27" i="23"/>
  <c r="F27" i="23"/>
  <c r="L26" i="23"/>
  <c r="K26" i="23"/>
  <c r="J26" i="23"/>
  <c r="H26" i="23"/>
  <c r="G26" i="23"/>
  <c r="F26" i="23"/>
  <c r="C26" i="23"/>
  <c r="M25" i="23"/>
  <c r="L25" i="23"/>
  <c r="K25" i="23"/>
  <c r="J25" i="23"/>
  <c r="F25" i="23"/>
  <c r="M24" i="23"/>
  <c r="L24" i="23"/>
  <c r="K24" i="23"/>
  <c r="J24" i="23"/>
  <c r="H24" i="23"/>
  <c r="F24" i="23"/>
  <c r="C24" i="23"/>
  <c r="M23" i="23"/>
  <c r="K23" i="23"/>
  <c r="F23" i="23"/>
  <c r="M22" i="23"/>
  <c r="K22" i="23"/>
  <c r="H22" i="23"/>
  <c r="G22" i="23"/>
  <c r="F22" i="23"/>
  <c r="C22" i="23"/>
  <c r="M21" i="23"/>
  <c r="K21" i="23"/>
  <c r="J21" i="23"/>
  <c r="F21" i="23"/>
  <c r="M20" i="23"/>
  <c r="K20" i="23"/>
  <c r="J20" i="23"/>
  <c r="H20" i="23"/>
  <c r="G20" i="23"/>
  <c r="F20" i="23"/>
  <c r="C20" i="23"/>
  <c r="M19" i="23"/>
  <c r="K19" i="23"/>
  <c r="J19" i="23"/>
  <c r="F19" i="23"/>
  <c r="M18" i="23"/>
  <c r="K18" i="23"/>
  <c r="J18" i="23"/>
  <c r="H18" i="23"/>
  <c r="F18" i="23"/>
  <c r="C18" i="23"/>
  <c r="M17" i="23"/>
  <c r="K17" i="23"/>
  <c r="J17" i="23"/>
  <c r="F17" i="23"/>
  <c r="M16" i="23"/>
  <c r="K16" i="23"/>
  <c r="J16" i="23"/>
  <c r="H16" i="23"/>
  <c r="G16" i="23"/>
  <c r="F16" i="23"/>
  <c r="C16" i="23"/>
  <c r="M15" i="23"/>
  <c r="J15" i="23"/>
  <c r="H15" i="23"/>
  <c r="G15" i="23"/>
  <c r="F15" i="23"/>
  <c r="C15" i="23"/>
  <c r="M14" i="23"/>
  <c r="J14" i="23"/>
  <c r="H14" i="23"/>
  <c r="F14" i="23"/>
  <c r="C14" i="23"/>
  <c r="M13" i="23"/>
  <c r="J13" i="23"/>
  <c r="H13" i="23"/>
  <c r="G13" i="23"/>
  <c r="F13" i="23"/>
  <c r="C13" i="23"/>
  <c r="M12" i="23"/>
  <c r="J12" i="23"/>
  <c r="H12" i="23"/>
  <c r="G12" i="23"/>
  <c r="F12" i="23"/>
  <c r="C12" i="23"/>
  <c r="M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L75" i="22"/>
  <c r="K75" i="22"/>
  <c r="F75" i="22"/>
  <c r="L74" i="22"/>
  <c r="K74" i="22"/>
  <c r="F74" i="22"/>
  <c r="L73" i="22"/>
  <c r="K73" i="22"/>
  <c r="F73" i="22"/>
  <c r="L72" i="22"/>
  <c r="K72" i="22"/>
  <c r="F72" i="22"/>
  <c r="L71" i="22"/>
  <c r="K71" i="22"/>
  <c r="F71" i="22"/>
  <c r="L70" i="22"/>
  <c r="K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K63" i="22"/>
  <c r="J63" i="22"/>
  <c r="F63" i="22"/>
  <c r="M62" i="22"/>
  <c r="K62" i="22"/>
  <c r="J62" i="22"/>
  <c r="F62" i="22"/>
  <c r="M61" i="22"/>
  <c r="K61" i="22"/>
  <c r="J61" i="22"/>
  <c r="F61" i="22"/>
  <c r="M60" i="22"/>
  <c r="K60" i="22"/>
  <c r="J60" i="22"/>
  <c r="F60" i="22"/>
  <c r="M59" i="22"/>
  <c r="K59" i="22"/>
  <c r="J59" i="22"/>
  <c r="F59" i="22"/>
  <c r="M58" i="22"/>
  <c r="K58" i="22"/>
  <c r="J58" i="22"/>
  <c r="I58" i="22"/>
  <c r="H58" i="22"/>
  <c r="F58" i="22"/>
  <c r="C58" i="22"/>
  <c r="M57" i="22"/>
  <c r="K57" i="22"/>
  <c r="J57" i="22"/>
  <c r="F57" i="22"/>
  <c r="M56" i="22"/>
  <c r="K56" i="22"/>
  <c r="J56" i="22"/>
  <c r="F56" i="22"/>
  <c r="M55" i="22"/>
  <c r="K55" i="22"/>
  <c r="J55" i="22"/>
  <c r="F55" i="22"/>
  <c r="M54" i="22"/>
  <c r="K54" i="22"/>
  <c r="J54" i="22"/>
  <c r="F54" i="22"/>
  <c r="M53" i="22"/>
  <c r="K53" i="22"/>
  <c r="J53" i="22"/>
  <c r="F53" i="22"/>
  <c r="M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K39" i="22"/>
  <c r="J39" i="22"/>
  <c r="F39" i="22"/>
  <c r="M38" i="22"/>
  <c r="K38" i="22"/>
  <c r="J38" i="22"/>
  <c r="F38" i="22"/>
  <c r="M37" i="22"/>
  <c r="K37" i="22"/>
  <c r="J37" i="22"/>
  <c r="F37" i="22"/>
  <c r="M36" i="22"/>
  <c r="K36" i="22"/>
  <c r="J36" i="22"/>
  <c r="F36" i="22"/>
  <c r="M35" i="22"/>
  <c r="K35" i="22"/>
  <c r="J35" i="22"/>
  <c r="F35" i="22"/>
  <c r="M34" i="22"/>
  <c r="K34" i="22"/>
  <c r="J34" i="22"/>
  <c r="H34" i="22"/>
  <c r="F34" i="22"/>
  <c r="C34" i="22"/>
  <c r="M33" i="22"/>
  <c r="K33" i="22"/>
  <c r="J33" i="22"/>
  <c r="F33" i="22"/>
  <c r="M32" i="22"/>
  <c r="K32" i="22"/>
  <c r="J32" i="22"/>
  <c r="F32" i="22"/>
  <c r="M31" i="22"/>
  <c r="K31" i="22"/>
  <c r="J31" i="22"/>
  <c r="F31" i="22"/>
  <c r="M30" i="22"/>
  <c r="K30" i="22"/>
  <c r="J30" i="22"/>
  <c r="F30" i="22"/>
  <c r="M29" i="22"/>
  <c r="K29" i="22"/>
  <c r="J29" i="22"/>
  <c r="F29" i="22"/>
  <c r="M28" i="22"/>
  <c r="K28" i="22"/>
  <c r="J28" i="22"/>
  <c r="H28" i="22"/>
  <c r="G28" i="22"/>
  <c r="F28" i="22"/>
  <c r="C28" i="22"/>
  <c r="L27" i="22"/>
  <c r="K27" i="22"/>
  <c r="J27" i="22"/>
  <c r="F27" i="22"/>
  <c r="L26" i="22"/>
  <c r="K26" i="22"/>
  <c r="J26" i="22"/>
  <c r="H26" i="22"/>
  <c r="G26" i="22"/>
  <c r="F26" i="22"/>
  <c r="C26" i="22"/>
  <c r="M25" i="22"/>
  <c r="L25" i="22"/>
  <c r="K25" i="22"/>
  <c r="J25" i="22"/>
  <c r="F25" i="22"/>
  <c r="M24" i="22"/>
  <c r="L24" i="22"/>
  <c r="K24" i="22"/>
  <c r="J24" i="22"/>
  <c r="H24" i="22"/>
  <c r="F24" i="22"/>
  <c r="C24" i="22"/>
  <c r="M23" i="22"/>
  <c r="K23" i="22"/>
  <c r="F23" i="22"/>
  <c r="M22" i="22"/>
  <c r="K22" i="22"/>
  <c r="H22" i="22"/>
  <c r="G22" i="22"/>
  <c r="F22" i="22"/>
  <c r="C22" i="22"/>
  <c r="M21" i="22"/>
  <c r="K21" i="22"/>
  <c r="J21" i="22"/>
  <c r="F21" i="22"/>
  <c r="M20" i="22"/>
  <c r="K20" i="22"/>
  <c r="J20" i="22"/>
  <c r="H20" i="22"/>
  <c r="G20" i="22"/>
  <c r="F20" i="22"/>
  <c r="C20" i="22"/>
  <c r="M19" i="22"/>
  <c r="K19" i="22"/>
  <c r="J19" i="22"/>
  <c r="F19" i="22"/>
  <c r="M18" i="22"/>
  <c r="K18" i="22"/>
  <c r="J18" i="22"/>
  <c r="H18" i="22"/>
  <c r="F18" i="22"/>
  <c r="C18" i="22"/>
  <c r="M17" i="22"/>
  <c r="K17" i="22"/>
  <c r="J17" i="22"/>
  <c r="F17" i="22"/>
  <c r="M16" i="22"/>
  <c r="K16" i="22"/>
  <c r="J16" i="22"/>
  <c r="H16" i="22"/>
  <c r="G16" i="22"/>
  <c r="F16" i="22"/>
  <c r="C16" i="22"/>
  <c r="M15" i="22"/>
  <c r="J15" i="22"/>
  <c r="H15" i="22"/>
  <c r="G15" i="22"/>
  <c r="F15" i="22"/>
  <c r="C15" i="22"/>
  <c r="M14" i="22"/>
  <c r="J14" i="22"/>
  <c r="H14" i="22"/>
  <c r="F14" i="22"/>
  <c r="C14" i="22"/>
  <c r="M13" i="22"/>
  <c r="J13" i="22"/>
  <c r="H13" i="22"/>
  <c r="G13" i="22"/>
  <c r="F13" i="22"/>
  <c r="C13" i="22"/>
  <c r="M12" i="22"/>
  <c r="J12" i="22"/>
  <c r="H12" i="22"/>
  <c r="G12" i="22"/>
  <c r="F12" i="22"/>
  <c r="C12" i="22"/>
  <c r="M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43" i="23" l="1"/>
  <c r="N49" i="23"/>
  <c r="N65" i="23"/>
  <c r="N42" i="23"/>
  <c r="N45" i="23"/>
  <c r="N51" i="23"/>
  <c r="N44" i="23"/>
  <c r="N77" i="23"/>
  <c r="N24" i="23"/>
  <c r="N48" i="23"/>
  <c r="N68" i="23"/>
  <c r="N76" i="23"/>
  <c r="N40" i="23"/>
  <c r="N46" i="23"/>
  <c r="N66" i="23"/>
  <c r="N69" i="23"/>
  <c r="N25" i="23"/>
  <c r="N41" i="23"/>
  <c r="N47" i="23"/>
  <c r="N64" i="23"/>
  <c r="N67" i="23"/>
  <c r="N10" i="23"/>
  <c r="N50" i="23"/>
  <c r="N78" i="23"/>
  <c r="N25" i="22"/>
  <c r="N50" i="22"/>
  <c r="N47" i="22"/>
  <c r="N45" i="22"/>
  <c r="N49" i="22"/>
  <c r="N69" i="22"/>
  <c r="N76" i="22"/>
  <c r="N41" i="22"/>
  <c r="N46" i="22"/>
  <c r="N10" i="22"/>
  <c r="N51" i="22"/>
  <c r="N78" i="22"/>
  <c r="N40" i="22"/>
  <c r="N42" i="22"/>
  <c r="N43" i="22"/>
  <c r="N77" i="22"/>
  <c r="N65" i="22"/>
  <c r="N64" i="22"/>
  <c r="N68" i="22"/>
  <c r="N24" i="22"/>
  <c r="N44" i="22"/>
  <c r="N48" i="22"/>
  <c r="N66" i="22"/>
  <c r="N67" i="22"/>
  <c r="AP54" i="14" l="1"/>
  <c r="AP65" i="14" s="1"/>
  <c r="AP53" i="14"/>
  <c r="AP64" i="14" l="1"/>
  <c r="G58" i="23" l="1"/>
  <c r="G58" i="22"/>
  <c r="G70" i="22"/>
  <c r="G70" i="23"/>
  <c r="G78" i="23"/>
  <c r="G78" i="22"/>
  <c r="G24" i="23"/>
  <c r="G24" i="22"/>
  <c r="AP57" i="14"/>
  <c r="AP68" i="14" s="1"/>
  <c r="G34" i="23"/>
  <c r="G34" i="22"/>
  <c r="G40" i="22"/>
  <c r="G40" i="23"/>
  <c r="G46" i="22"/>
  <c r="G46" i="23"/>
  <c r="G52" i="23"/>
  <c r="G52" i="22"/>
  <c r="AP56" i="14"/>
  <c r="AP67" i="14" s="1"/>
  <c r="G18" i="23"/>
  <c r="G18" i="22"/>
  <c r="G14" i="23"/>
  <c r="G14" i="22"/>
  <c r="B96" i="19"/>
  <c r="B95" i="19"/>
  <c r="B94" i="19"/>
  <c r="AS93" i="19"/>
  <c r="AR93" i="19"/>
  <c r="AH93" i="19"/>
  <c r="AG93" i="19"/>
  <c r="AD92" i="19"/>
  <c r="AL92" i="19" s="1"/>
  <c r="AC92" i="19"/>
  <c r="AK92" i="19" s="1"/>
  <c r="Z92" i="19"/>
  <c r="Y92" i="19"/>
  <c r="AD91" i="19"/>
  <c r="AC91" i="19"/>
  <c r="Z91" i="19"/>
  <c r="Y91" i="19"/>
  <c r="AK90" i="19"/>
  <c r="AD90" i="19"/>
  <c r="AL90" i="19" s="1"/>
  <c r="AC90" i="19"/>
  <c r="Z90" i="19"/>
  <c r="Y90" i="19"/>
  <c r="AD89" i="19"/>
  <c r="AC89" i="19"/>
  <c r="Z89" i="19"/>
  <c r="AL89" i="19" s="1"/>
  <c r="Y89" i="19"/>
  <c r="AL88" i="19"/>
  <c r="AD88" i="19"/>
  <c r="AC88" i="19"/>
  <c r="AK88" i="19" s="1"/>
  <c r="Z88" i="19"/>
  <c r="Y88" i="19"/>
  <c r="B87" i="19"/>
  <c r="AS86" i="19"/>
  <c r="AR86" i="19"/>
  <c r="AH86" i="19"/>
  <c r="AG86" i="19"/>
  <c r="AD85" i="19"/>
  <c r="AL85" i="19" s="1"/>
  <c r="AC85" i="19"/>
  <c r="Z85" i="19"/>
  <c r="Y85" i="19"/>
  <c r="AK85" i="19" s="1"/>
  <c r="AD84" i="19"/>
  <c r="AL84" i="19" s="1"/>
  <c r="AC84" i="19"/>
  <c r="AK84" i="19" s="1"/>
  <c r="Z84" i="19"/>
  <c r="Y84" i="19"/>
  <c r="AD83" i="19"/>
  <c r="AC83" i="19"/>
  <c r="Z83" i="19"/>
  <c r="Y83" i="19"/>
  <c r="AD82" i="19"/>
  <c r="AL82" i="19" s="1"/>
  <c r="AC82" i="19"/>
  <c r="AK82" i="19" s="1"/>
  <c r="Z82" i="19"/>
  <c r="Y82" i="19"/>
  <c r="AD81" i="19"/>
  <c r="AL81" i="19" s="1"/>
  <c r="AC81" i="19"/>
  <c r="Z81" i="19"/>
  <c r="Y81" i="19"/>
  <c r="B80" i="19"/>
  <c r="AS79" i="19"/>
  <c r="AR79" i="19"/>
  <c r="AH79" i="19"/>
  <c r="AG79" i="19"/>
  <c r="AK78" i="19"/>
  <c r="AD78" i="19"/>
  <c r="AL78" i="19" s="1"/>
  <c r="AC78" i="19"/>
  <c r="Z78" i="19"/>
  <c r="Y78" i="19"/>
  <c r="AD77" i="19"/>
  <c r="AC77" i="19"/>
  <c r="Z77" i="19"/>
  <c r="Y77" i="19"/>
  <c r="AD76" i="19"/>
  <c r="AL76" i="19" s="1"/>
  <c r="AC76" i="19"/>
  <c r="AK76" i="19" s="1"/>
  <c r="Z76" i="19"/>
  <c r="Y76" i="19"/>
  <c r="AD75" i="19"/>
  <c r="AC75" i="19"/>
  <c r="Z75" i="19"/>
  <c r="Y75" i="19"/>
  <c r="AK74" i="19"/>
  <c r="AD74" i="19"/>
  <c r="AL74" i="19" s="1"/>
  <c r="AC74" i="19"/>
  <c r="Z74" i="19"/>
  <c r="Y74" i="19"/>
  <c r="T73" i="19"/>
  <c r="B73" i="19"/>
  <c r="AS72" i="19"/>
  <c r="AR72" i="19"/>
  <c r="AH72" i="19"/>
  <c r="AG72" i="19"/>
  <c r="AD71" i="19"/>
  <c r="AC71" i="19"/>
  <c r="AK71" i="19" s="1"/>
  <c r="Z71" i="19"/>
  <c r="Y71" i="19"/>
  <c r="AD70" i="19"/>
  <c r="AC70" i="19"/>
  <c r="AK70" i="19" s="1"/>
  <c r="Z70" i="19"/>
  <c r="Y70" i="19"/>
  <c r="AD69" i="19"/>
  <c r="AC69" i="19"/>
  <c r="Z69" i="19"/>
  <c r="Y69" i="19"/>
  <c r="AD68" i="19"/>
  <c r="AL68" i="19" s="1"/>
  <c r="AC68" i="19"/>
  <c r="Z68" i="19"/>
  <c r="Y68" i="19"/>
  <c r="AD67" i="19"/>
  <c r="AL67" i="19" s="1"/>
  <c r="AC67" i="19"/>
  <c r="AK67" i="19" s="1"/>
  <c r="Z67" i="19"/>
  <c r="Y67" i="19"/>
  <c r="T66" i="19"/>
  <c r="B66" i="19"/>
  <c r="AS65" i="19"/>
  <c r="AR65" i="19"/>
  <c r="AH65" i="19"/>
  <c r="AG65" i="19"/>
  <c r="AK64" i="19"/>
  <c r="AD64" i="19"/>
  <c r="AL64" i="19" s="1"/>
  <c r="AC64" i="19"/>
  <c r="Z64" i="19"/>
  <c r="Y64" i="19"/>
  <c r="AD63" i="19"/>
  <c r="AC63" i="19"/>
  <c r="Z63" i="19"/>
  <c r="Y63" i="19"/>
  <c r="AD62" i="19"/>
  <c r="AL62" i="19" s="1"/>
  <c r="AC62" i="19"/>
  <c r="AK62" i="19" s="1"/>
  <c r="Z62" i="19"/>
  <c r="Y62" i="19"/>
  <c r="AD61" i="19"/>
  <c r="AC61" i="19"/>
  <c r="Z61" i="19"/>
  <c r="Y61" i="19"/>
  <c r="AK60" i="19"/>
  <c r="AD60" i="19"/>
  <c r="AL60" i="19" s="1"/>
  <c r="AC60" i="19"/>
  <c r="Z60" i="19"/>
  <c r="Y60" i="19"/>
  <c r="T59" i="19"/>
  <c r="B59" i="19"/>
  <c r="AS58" i="19"/>
  <c r="AR58" i="19"/>
  <c r="AH58" i="19"/>
  <c r="AG58" i="19"/>
  <c r="AD57" i="19"/>
  <c r="AC57" i="19"/>
  <c r="AK57" i="19" s="1"/>
  <c r="Z57" i="19"/>
  <c r="Y57" i="19"/>
  <c r="AD56" i="19"/>
  <c r="AC56" i="19"/>
  <c r="AK56" i="19" s="1"/>
  <c r="Z56" i="19"/>
  <c r="Y56" i="19"/>
  <c r="AD55" i="19"/>
  <c r="AL55" i="19" s="1"/>
  <c r="AC55" i="19"/>
  <c r="AK55" i="19" s="1"/>
  <c r="Z55" i="19"/>
  <c r="Y55" i="19"/>
  <c r="AD54" i="19"/>
  <c r="AC54" i="19"/>
  <c r="AK54" i="19" s="1"/>
  <c r="Z54" i="19"/>
  <c r="Y54" i="19"/>
  <c r="AD53" i="19"/>
  <c r="AL53" i="19" s="1"/>
  <c r="AC53" i="19"/>
  <c r="AK53" i="19" s="1"/>
  <c r="Z53" i="19"/>
  <c r="Y53" i="19"/>
  <c r="T52" i="19"/>
  <c r="B52" i="19"/>
  <c r="AS51" i="19"/>
  <c r="AR51" i="19"/>
  <c r="AH51" i="19"/>
  <c r="AH3" i="19" s="1"/>
  <c r="AG51" i="19"/>
  <c r="AK50" i="19"/>
  <c r="AD50" i="19"/>
  <c r="AL50" i="19" s="1"/>
  <c r="AC50" i="19"/>
  <c r="Z50" i="19"/>
  <c r="Y50" i="19"/>
  <c r="AD49" i="19"/>
  <c r="AC49" i="19"/>
  <c r="AK49" i="19" s="1"/>
  <c r="Z49" i="19"/>
  <c r="Y49" i="19"/>
  <c r="AD48" i="19"/>
  <c r="AL48" i="19" s="1"/>
  <c r="AC48" i="19"/>
  <c r="AK48" i="19" s="1"/>
  <c r="Z48" i="19"/>
  <c r="Y48" i="19"/>
  <c r="AD47" i="19"/>
  <c r="AC47" i="19"/>
  <c r="AK47" i="19" s="1"/>
  <c r="Z47" i="19"/>
  <c r="Y47" i="19"/>
  <c r="AK46" i="19"/>
  <c r="AD46" i="19"/>
  <c r="AL46" i="19" s="1"/>
  <c r="AC46" i="19"/>
  <c r="Z46" i="19"/>
  <c r="Y46" i="19"/>
  <c r="T45" i="19"/>
  <c r="B45" i="19"/>
  <c r="AS44" i="19"/>
  <c r="AR44" i="19"/>
  <c r="AH44" i="19"/>
  <c r="AG44" i="19"/>
  <c r="AD43" i="19"/>
  <c r="AC43" i="19"/>
  <c r="AK43" i="19" s="1"/>
  <c r="Z43" i="19"/>
  <c r="Y43" i="19"/>
  <c r="AD42" i="19"/>
  <c r="AC42" i="19"/>
  <c r="Z42" i="19"/>
  <c r="Y42" i="19"/>
  <c r="AK42" i="19" s="1"/>
  <c r="AD41" i="19"/>
  <c r="AL41" i="19" s="1"/>
  <c r="AC41" i="19"/>
  <c r="AK41" i="19" s="1"/>
  <c r="Z41" i="19"/>
  <c r="Y41" i="19"/>
  <c r="AD40" i="19"/>
  <c r="AC40" i="19"/>
  <c r="AK40" i="19" s="1"/>
  <c r="Z40" i="19"/>
  <c r="Y40" i="19"/>
  <c r="AK39" i="19"/>
  <c r="AD39" i="19"/>
  <c r="AL39" i="19" s="1"/>
  <c r="AC39" i="19"/>
  <c r="Z39" i="19"/>
  <c r="Y39" i="19"/>
  <c r="T38" i="19"/>
  <c r="B38" i="19"/>
  <c r="AS37" i="19"/>
  <c r="AR37" i="19"/>
  <c r="AR3" i="19" s="1"/>
  <c r="AH37" i="19"/>
  <c r="AG37" i="19"/>
  <c r="AK36" i="19"/>
  <c r="AD36" i="19"/>
  <c r="AC36" i="19"/>
  <c r="Z36" i="19"/>
  <c r="Y36" i="19"/>
  <c r="B35" i="19"/>
  <c r="AS34" i="19"/>
  <c r="AR34" i="19"/>
  <c r="AH34" i="19"/>
  <c r="AG34" i="19"/>
  <c r="AD33" i="19"/>
  <c r="AL33" i="19" s="1"/>
  <c r="AC33" i="19"/>
  <c r="Z33" i="19"/>
  <c r="Y33" i="19"/>
  <c r="B32" i="19"/>
  <c r="AS31" i="19"/>
  <c r="AS3" i="19" s="1"/>
  <c r="AR31" i="19"/>
  <c r="AH31" i="19"/>
  <c r="AG31" i="19"/>
  <c r="AD30" i="19"/>
  <c r="AC30" i="19"/>
  <c r="Z30" i="19"/>
  <c r="Y30" i="19"/>
  <c r="B29" i="19"/>
  <c r="AS28" i="19"/>
  <c r="AR28" i="19"/>
  <c r="AH28" i="19"/>
  <c r="AG28" i="19"/>
  <c r="AD27" i="19"/>
  <c r="AC27" i="19"/>
  <c r="AK27" i="19" s="1"/>
  <c r="Z27" i="19"/>
  <c r="Y27" i="19"/>
  <c r="B26" i="19"/>
  <c r="AS25" i="19"/>
  <c r="AR25" i="19"/>
  <c r="AH25" i="19"/>
  <c r="AG25" i="19"/>
  <c r="AD24" i="19"/>
  <c r="AL24" i="19" s="1"/>
  <c r="AC24" i="19"/>
  <c r="AK24" i="19" s="1"/>
  <c r="Z24" i="19"/>
  <c r="Y24" i="19"/>
  <c r="B23" i="19"/>
  <c r="AS22" i="19"/>
  <c r="AR22" i="19"/>
  <c r="AH22" i="19"/>
  <c r="AG22" i="19"/>
  <c r="AG3" i="19" s="1"/>
  <c r="AD21" i="19"/>
  <c r="Z21" i="19"/>
  <c r="V21" i="19"/>
  <c r="U21" i="19"/>
  <c r="AC21" i="19" s="1"/>
  <c r="B20" i="19"/>
  <c r="B19" i="19"/>
  <c r="B18" i="19"/>
  <c r="B17" i="19"/>
  <c r="B16" i="19"/>
  <c r="B15" i="19"/>
  <c r="B14" i="19"/>
  <c r="L9" i="19"/>
  <c r="P9" i="19" s="1"/>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F8" i="19"/>
  <c r="AG7" i="19" s="1"/>
  <c r="A3" i="19"/>
  <c r="A2" i="19"/>
  <c r="A1" i="19"/>
  <c r="T96" i="18"/>
  <c r="R96" i="18"/>
  <c r="AM96" i="18" s="1"/>
  <c r="P96" i="18"/>
  <c r="O96" i="18"/>
  <c r="N96" i="18"/>
  <c r="M96" i="18"/>
  <c r="K96" i="18"/>
  <c r="B96" i="18"/>
  <c r="T95" i="18"/>
  <c r="R95" i="18"/>
  <c r="AM95" i="18" s="1"/>
  <c r="P95" i="18"/>
  <c r="AD95" i="18" s="1"/>
  <c r="O95" i="18"/>
  <c r="N95" i="18"/>
  <c r="M95" i="18"/>
  <c r="K95" i="18"/>
  <c r="X95" i="18" s="1"/>
  <c r="B95" i="18"/>
  <c r="T94" i="18"/>
  <c r="R94" i="18"/>
  <c r="AM94" i="18" s="1"/>
  <c r="P94" i="18"/>
  <c r="O94" i="18"/>
  <c r="Y94" i="18" s="1"/>
  <c r="N94" i="18"/>
  <c r="M94" i="18"/>
  <c r="K94" i="18"/>
  <c r="B94" i="18"/>
  <c r="AN93" i="18"/>
  <c r="AH92" i="18"/>
  <c r="AD92" i="18"/>
  <c r="AC92" i="18"/>
  <c r="Y92" i="18"/>
  <c r="X92" i="18"/>
  <c r="AG92" i="18" s="1"/>
  <c r="R92" i="18"/>
  <c r="AM92" i="18" s="1"/>
  <c r="AD91" i="18"/>
  <c r="AC91" i="18"/>
  <c r="AG91" i="18" s="1"/>
  <c r="Y91" i="18"/>
  <c r="X91" i="18"/>
  <c r="R91" i="18"/>
  <c r="AM91" i="18" s="1"/>
  <c r="AD90" i="18"/>
  <c r="AH90" i="18" s="1"/>
  <c r="AC90" i="18"/>
  <c r="Y90" i="18"/>
  <c r="X90" i="18"/>
  <c r="R90" i="18"/>
  <c r="AM90" i="18" s="1"/>
  <c r="AD89" i="18"/>
  <c r="AH89" i="18" s="1"/>
  <c r="AC89" i="18"/>
  <c r="Y89" i="18"/>
  <c r="X89" i="18"/>
  <c r="R89" i="18"/>
  <c r="AM89" i="18" s="1"/>
  <c r="AG88" i="18"/>
  <c r="AD88" i="18"/>
  <c r="AH88" i="18" s="1"/>
  <c r="AC88" i="18"/>
  <c r="Y88" i="18"/>
  <c r="X88" i="18"/>
  <c r="R88" i="18"/>
  <c r="AM88" i="18" s="1"/>
  <c r="T87" i="18"/>
  <c r="R87" i="18"/>
  <c r="AM87" i="18" s="1"/>
  <c r="P87" i="18"/>
  <c r="O87" i="18"/>
  <c r="N87" i="18"/>
  <c r="M87" i="18"/>
  <c r="L87" i="18"/>
  <c r="K87" i="18"/>
  <c r="B87" i="18"/>
  <c r="AN86" i="18"/>
  <c r="AD85" i="18"/>
  <c r="AH85" i="18" s="1"/>
  <c r="AC85" i="18"/>
  <c r="AG85" i="18" s="1"/>
  <c r="Y85" i="18"/>
  <c r="X85" i="18"/>
  <c r="R85" i="18"/>
  <c r="AM85" i="18" s="1"/>
  <c r="AD84" i="18"/>
  <c r="AC84" i="18"/>
  <c r="Y84" i="18"/>
  <c r="X84" i="18"/>
  <c r="AG84" i="18" s="1"/>
  <c r="R84" i="18"/>
  <c r="AM84" i="18" s="1"/>
  <c r="AD83" i="18"/>
  <c r="AH83" i="18" s="1"/>
  <c r="AC83" i="18"/>
  <c r="Y83" i="18"/>
  <c r="X83" i="18"/>
  <c r="AG83" i="18" s="1"/>
  <c r="R83" i="18"/>
  <c r="AM83" i="18" s="1"/>
  <c r="AD82" i="18"/>
  <c r="AH82" i="18" s="1"/>
  <c r="AC82" i="18"/>
  <c r="Y82" i="18"/>
  <c r="X82" i="18"/>
  <c r="AG82" i="18" s="1"/>
  <c r="R82" i="18"/>
  <c r="AM82" i="18" s="1"/>
  <c r="AD81" i="18"/>
  <c r="AH81" i="18" s="1"/>
  <c r="AC81" i="18"/>
  <c r="AG81" i="18" s="1"/>
  <c r="Y81" i="18"/>
  <c r="X81" i="18"/>
  <c r="R81" i="18"/>
  <c r="AM81" i="18" s="1"/>
  <c r="T80" i="18"/>
  <c r="R80" i="18"/>
  <c r="AM80" i="18" s="1"/>
  <c r="P80" i="18"/>
  <c r="O80" i="18"/>
  <c r="N80" i="18"/>
  <c r="M80" i="18"/>
  <c r="K80" i="18"/>
  <c r="B80" i="18"/>
  <c r="AN79" i="18"/>
  <c r="AD78" i="18"/>
  <c r="AC78" i="18"/>
  <c r="AG78" i="18" s="1"/>
  <c r="Y78" i="18"/>
  <c r="X78" i="18"/>
  <c r="R78" i="18"/>
  <c r="AM78" i="18" s="1"/>
  <c r="AD77" i="18"/>
  <c r="AH77" i="18" s="1"/>
  <c r="AC77" i="18"/>
  <c r="Y77" i="18"/>
  <c r="X77" i="18"/>
  <c r="R77" i="18"/>
  <c r="AM77" i="18" s="1"/>
  <c r="AD76" i="18"/>
  <c r="AH76" i="18" s="1"/>
  <c r="AC76" i="18"/>
  <c r="Y76" i="18"/>
  <c r="X76" i="18"/>
  <c r="R76" i="18"/>
  <c r="AM76" i="18" s="1"/>
  <c r="AD75" i="18"/>
  <c r="AH75" i="18" s="1"/>
  <c r="AC75" i="18"/>
  <c r="AG75" i="18" s="1"/>
  <c r="Y75" i="18"/>
  <c r="X75" i="18"/>
  <c r="R75" i="18"/>
  <c r="AM75" i="18" s="1"/>
  <c r="AD74" i="18"/>
  <c r="AC74" i="18"/>
  <c r="Y74" i="18"/>
  <c r="X74" i="18"/>
  <c r="AG74" i="18" s="1"/>
  <c r="R74" i="18"/>
  <c r="AM74" i="18" s="1"/>
  <c r="R73" i="18"/>
  <c r="AM73" i="18" s="1"/>
  <c r="P73" i="18"/>
  <c r="O73" i="18"/>
  <c r="N73" i="18"/>
  <c r="AD73" i="18" s="1"/>
  <c r="M73" i="18"/>
  <c r="K73" i="18"/>
  <c r="B73" i="18"/>
  <c r="AN72" i="18"/>
  <c r="AG71" i="18"/>
  <c r="AD71" i="18"/>
  <c r="AC71" i="18"/>
  <c r="Y71" i="18"/>
  <c r="X71" i="18"/>
  <c r="R71" i="18"/>
  <c r="AM71" i="18" s="1"/>
  <c r="AD70" i="18"/>
  <c r="AH70" i="18" s="1"/>
  <c r="AC70" i="18"/>
  <c r="Y70" i="18"/>
  <c r="X70" i="18"/>
  <c r="AG70" i="18" s="1"/>
  <c r="R70" i="18"/>
  <c r="AM70" i="18" s="1"/>
  <c r="AD69" i="18"/>
  <c r="AC69" i="18"/>
  <c r="Y69" i="18"/>
  <c r="AH69" i="18" s="1"/>
  <c r="X69" i="18"/>
  <c r="AG69" i="18" s="1"/>
  <c r="R69" i="18"/>
  <c r="AM69" i="18" s="1"/>
  <c r="AD68" i="18"/>
  <c r="AH68" i="18" s="1"/>
  <c r="AC68" i="18"/>
  <c r="Y68" i="18"/>
  <c r="X68" i="18"/>
  <c r="AG68" i="18" s="1"/>
  <c r="R68" i="18"/>
  <c r="AM68" i="18" s="1"/>
  <c r="AG67" i="18"/>
  <c r="AD67" i="18"/>
  <c r="AC67" i="18"/>
  <c r="Y67" i="18"/>
  <c r="X67" i="18"/>
  <c r="R67" i="18"/>
  <c r="AM67" i="18" s="1"/>
  <c r="R66" i="18"/>
  <c r="AM66" i="18" s="1"/>
  <c r="P66" i="18"/>
  <c r="O66" i="18"/>
  <c r="N66" i="18"/>
  <c r="M66" i="18"/>
  <c r="K66" i="18"/>
  <c r="B66" i="18"/>
  <c r="AN65" i="18"/>
  <c r="AD64" i="18"/>
  <c r="AC64" i="18"/>
  <c r="AG64" i="18" s="1"/>
  <c r="Y64" i="18"/>
  <c r="X64" i="18"/>
  <c r="R64" i="18"/>
  <c r="AM64" i="18" s="1"/>
  <c r="AD63" i="18"/>
  <c r="AC63" i="18"/>
  <c r="Y63" i="18"/>
  <c r="X63" i="18"/>
  <c r="R63" i="18"/>
  <c r="AM63" i="18" s="1"/>
  <c r="AH62" i="18"/>
  <c r="AD62" i="18"/>
  <c r="AC62" i="18"/>
  <c r="AG62" i="18" s="1"/>
  <c r="Y62" i="18"/>
  <c r="X62" i="18"/>
  <c r="R62" i="18"/>
  <c r="AM62" i="18" s="1"/>
  <c r="AD61" i="18"/>
  <c r="AC61" i="18"/>
  <c r="AG61" i="18" s="1"/>
  <c r="Y61" i="18"/>
  <c r="X61" i="18"/>
  <c r="R61" i="18"/>
  <c r="AM61" i="18" s="1"/>
  <c r="AD60" i="18"/>
  <c r="AH60" i="18" s="1"/>
  <c r="AC60" i="18"/>
  <c r="AG60" i="18" s="1"/>
  <c r="Y60" i="18"/>
  <c r="X60" i="18"/>
  <c r="R60" i="18"/>
  <c r="AM60" i="18" s="1"/>
  <c r="T59" i="18"/>
  <c r="R59" i="18"/>
  <c r="AM59" i="18" s="1"/>
  <c r="P59" i="18"/>
  <c r="O59" i="18"/>
  <c r="M59" i="18"/>
  <c r="K59" i="18"/>
  <c r="B59" i="18"/>
  <c r="AN58" i="18"/>
  <c r="AD57" i="18"/>
  <c r="AH57" i="18" s="1"/>
  <c r="AC57" i="18"/>
  <c r="Y57" i="18"/>
  <c r="X57" i="18"/>
  <c r="AG57" i="18" s="1"/>
  <c r="R57" i="18"/>
  <c r="AM57" i="18" s="1"/>
  <c r="AD56" i="18"/>
  <c r="AH56" i="18" s="1"/>
  <c r="AC56" i="18"/>
  <c r="AG56" i="18" s="1"/>
  <c r="Y56" i="18"/>
  <c r="X56" i="18"/>
  <c r="R56" i="18"/>
  <c r="AM56" i="18" s="1"/>
  <c r="AD55" i="18"/>
  <c r="AH55" i="18" s="1"/>
  <c r="AC55" i="18"/>
  <c r="Y55" i="18"/>
  <c r="X55" i="18"/>
  <c r="AG55" i="18" s="1"/>
  <c r="R55" i="18"/>
  <c r="AM55" i="18" s="1"/>
  <c r="AG54" i="18"/>
  <c r="AD54" i="18"/>
  <c r="AC54" i="18"/>
  <c r="Y54" i="18"/>
  <c r="X54" i="18"/>
  <c r="R54" i="18"/>
  <c r="AM54" i="18" s="1"/>
  <c r="AD53" i="18"/>
  <c r="AH53" i="18" s="1"/>
  <c r="AC53" i="18"/>
  <c r="Y53" i="18"/>
  <c r="X53" i="18"/>
  <c r="AG53" i="18" s="1"/>
  <c r="R53" i="18"/>
  <c r="AM53" i="18" s="1"/>
  <c r="T52" i="18"/>
  <c r="R52" i="18"/>
  <c r="AM52" i="18" s="1"/>
  <c r="P52" i="18"/>
  <c r="O52" i="18"/>
  <c r="M52" i="18"/>
  <c r="K52" i="18"/>
  <c r="B52" i="18"/>
  <c r="AN51" i="18"/>
  <c r="AD50" i="18"/>
  <c r="AC50" i="18"/>
  <c r="AG50" i="18" s="1"/>
  <c r="Y50" i="18"/>
  <c r="X50" i="18"/>
  <c r="R50" i="18"/>
  <c r="AM50" i="18" s="1"/>
  <c r="AD49" i="18"/>
  <c r="AH49" i="18" s="1"/>
  <c r="AC49" i="18"/>
  <c r="Y49" i="18"/>
  <c r="X49" i="18"/>
  <c r="R49" i="18"/>
  <c r="AM49" i="18" s="1"/>
  <c r="AD48" i="18"/>
  <c r="AH48" i="18" s="1"/>
  <c r="AC48" i="18"/>
  <c r="AG48" i="18" s="1"/>
  <c r="Y48" i="18"/>
  <c r="X48" i="18"/>
  <c r="R48" i="18"/>
  <c r="AM48" i="18" s="1"/>
  <c r="AD47" i="18"/>
  <c r="AH47" i="18" s="1"/>
  <c r="AC47" i="18"/>
  <c r="AG47" i="18" s="1"/>
  <c r="Y47" i="18"/>
  <c r="X47" i="18"/>
  <c r="R47" i="18"/>
  <c r="AM47" i="18" s="1"/>
  <c r="AD46" i="18"/>
  <c r="AH46" i="18" s="1"/>
  <c r="AC46" i="18"/>
  <c r="Y46" i="18"/>
  <c r="X46" i="18"/>
  <c r="AG46" i="18" s="1"/>
  <c r="R46" i="18"/>
  <c r="AM46" i="18" s="1"/>
  <c r="T45" i="18"/>
  <c r="R45" i="18"/>
  <c r="AM45" i="18" s="1"/>
  <c r="O45" i="18"/>
  <c r="M45" i="18"/>
  <c r="K45" i="18"/>
  <c r="B45" i="18"/>
  <c r="AN44" i="18"/>
  <c r="AD43" i="18"/>
  <c r="AH43" i="18" s="1"/>
  <c r="AC43" i="18"/>
  <c r="AG43" i="18" s="1"/>
  <c r="Y43" i="18"/>
  <c r="X43" i="18"/>
  <c r="R43" i="18"/>
  <c r="AM43" i="18" s="1"/>
  <c r="AD42" i="18"/>
  <c r="AH42" i="18" s="1"/>
  <c r="AC42" i="18"/>
  <c r="AG42" i="18" s="1"/>
  <c r="Y42" i="18"/>
  <c r="X42" i="18"/>
  <c r="R42" i="18"/>
  <c r="AM42" i="18" s="1"/>
  <c r="AG41" i="18"/>
  <c r="AD41" i="18"/>
  <c r="AH41" i="18" s="1"/>
  <c r="AC41" i="18"/>
  <c r="Y41" i="18"/>
  <c r="X41" i="18"/>
  <c r="R41" i="18"/>
  <c r="AM41" i="18" s="1"/>
  <c r="AD40" i="18"/>
  <c r="AC40" i="18"/>
  <c r="Y40" i="18"/>
  <c r="X40" i="18"/>
  <c r="R40" i="18"/>
  <c r="AM40" i="18" s="1"/>
  <c r="AD39" i="18"/>
  <c r="AC39" i="18"/>
  <c r="AG39" i="18" s="1"/>
  <c r="Y39" i="18"/>
  <c r="X39" i="18"/>
  <c r="R39" i="18"/>
  <c r="AM39" i="18" s="1"/>
  <c r="T38" i="18"/>
  <c r="R38" i="18"/>
  <c r="P38" i="18"/>
  <c r="O38" i="18"/>
  <c r="N38" i="18"/>
  <c r="AD38" i="18" s="1"/>
  <c r="M38" i="18"/>
  <c r="K38" i="18"/>
  <c r="B38" i="18"/>
  <c r="AN37" i="18"/>
  <c r="AH36" i="18"/>
  <c r="AD36" i="18"/>
  <c r="AC36" i="18"/>
  <c r="Y36" i="18"/>
  <c r="X36" i="18"/>
  <c r="R36" i="18"/>
  <c r="AM36" i="18" s="1"/>
  <c r="T35" i="18"/>
  <c r="R35" i="18"/>
  <c r="AM35" i="18" s="1"/>
  <c r="P35" i="18"/>
  <c r="O35" i="18"/>
  <c r="N35" i="18"/>
  <c r="M35" i="18"/>
  <c r="Y35" i="18" s="1"/>
  <c r="Y37" i="18" s="1"/>
  <c r="K35" i="18"/>
  <c r="B35" i="18"/>
  <c r="AN34" i="18"/>
  <c r="AD33" i="18"/>
  <c r="AC33" i="18"/>
  <c r="Y33" i="18"/>
  <c r="X33" i="18"/>
  <c r="R33" i="18"/>
  <c r="AM33" i="18" s="1"/>
  <c r="T32" i="18"/>
  <c r="R32" i="18"/>
  <c r="AM32" i="18" s="1"/>
  <c r="P32" i="18"/>
  <c r="AD32" i="18" s="1"/>
  <c r="O32" i="18"/>
  <c r="N32" i="18"/>
  <c r="M32" i="18"/>
  <c r="K32" i="18"/>
  <c r="B32" i="18"/>
  <c r="AN31" i="18"/>
  <c r="AD30" i="18"/>
  <c r="AC30" i="18"/>
  <c r="Y30" i="18"/>
  <c r="AH30" i="18" s="1"/>
  <c r="X30" i="18"/>
  <c r="R30" i="18"/>
  <c r="AM30" i="18" s="1"/>
  <c r="T29" i="18"/>
  <c r="R29" i="18"/>
  <c r="AM29" i="18" s="1"/>
  <c r="P29" i="18"/>
  <c r="O29" i="18"/>
  <c r="N29" i="18"/>
  <c r="AD29" i="18" s="1"/>
  <c r="M29" i="18"/>
  <c r="K29" i="18"/>
  <c r="B29" i="18"/>
  <c r="AN28" i="18"/>
  <c r="AD27" i="18"/>
  <c r="AH27" i="18" s="1"/>
  <c r="AC27" i="18"/>
  <c r="Y27" i="18"/>
  <c r="X27" i="18"/>
  <c r="AG27" i="18" s="1"/>
  <c r="R27" i="18"/>
  <c r="AM27" i="18" s="1"/>
  <c r="T26" i="18"/>
  <c r="R26" i="18"/>
  <c r="AM26" i="18" s="1"/>
  <c r="P26" i="18"/>
  <c r="O26" i="18"/>
  <c r="N26" i="18"/>
  <c r="M26" i="18"/>
  <c r="K26" i="18"/>
  <c r="B26" i="18"/>
  <c r="AN25" i="18"/>
  <c r="AD24" i="18"/>
  <c r="AC24" i="18"/>
  <c r="Y24" i="18"/>
  <c r="X24" i="18"/>
  <c r="R24" i="18"/>
  <c r="AM24" i="18" s="1"/>
  <c r="T23" i="18"/>
  <c r="R23" i="18"/>
  <c r="AM23" i="18" s="1"/>
  <c r="P23" i="18"/>
  <c r="O23" i="18"/>
  <c r="N23" i="18"/>
  <c r="M23" i="18"/>
  <c r="K23" i="18"/>
  <c r="B23" i="18"/>
  <c r="AN22" i="18"/>
  <c r="AD21" i="18"/>
  <c r="AH21" i="18" s="1"/>
  <c r="AC21" i="18"/>
  <c r="Y21" i="18"/>
  <c r="X21" i="18"/>
  <c r="R21" i="18"/>
  <c r="AM21" i="18" s="1"/>
  <c r="T20" i="18"/>
  <c r="R20" i="18"/>
  <c r="AM20" i="18" s="1"/>
  <c r="P20" i="18"/>
  <c r="O20" i="18"/>
  <c r="N20" i="18"/>
  <c r="M20" i="18"/>
  <c r="K20" i="18"/>
  <c r="B20" i="18"/>
  <c r="T19" i="18"/>
  <c r="R19" i="18"/>
  <c r="AM19" i="18" s="1"/>
  <c r="P19" i="18"/>
  <c r="AD19" i="18" s="1"/>
  <c r="O19" i="18"/>
  <c r="N19" i="18"/>
  <c r="M19" i="18"/>
  <c r="K19" i="18"/>
  <c r="B19" i="18"/>
  <c r="T18" i="18"/>
  <c r="R18" i="18"/>
  <c r="AM18" i="18" s="1"/>
  <c r="P18" i="18"/>
  <c r="O18" i="18"/>
  <c r="N18" i="18"/>
  <c r="M18" i="18"/>
  <c r="K18" i="18"/>
  <c r="B18" i="18"/>
  <c r="T17" i="18"/>
  <c r="R17" i="18"/>
  <c r="AM17" i="18" s="1"/>
  <c r="P17" i="18"/>
  <c r="O17" i="18"/>
  <c r="N17" i="18"/>
  <c r="M17" i="18"/>
  <c r="Y17" i="18" s="1"/>
  <c r="K17" i="18"/>
  <c r="B17" i="18"/>
  <c r="T16" i="18"/>
  <c r="R16" i="18"/>
  <c r="AM16" i="18" s="1"/>
  <c r="P16" i="18"/>
  <c r="O16" i="18"/>
  <c r="N16" i="18"/>
  <c r="M16" i="18"/>
  <c r="K16" i="18"/>
  <c r="B16" i="18"/>
  <c r="T15" i="18"/>
  <c r="R15" i="18"/>
  <c r="AM15" i="18" s="1"/>
  <c r="P15" i="18"/>
  <c r="O15" i="18"/>
  <c r="N15" i="18"/>
  <c r="M15" i="18"/>
  <c r="K15" i="18"/>
  <c r="B15" i="18"/>
  <c r="T14" i="18"/>
  <c r="R14" i="18"/>
  <c r="AM14" i="18" s="1"/>
  <c r="P14" i="18"/>
  <c r="O14" i="18"/>
  <c r="N14" i="18"/>
  <c r="M14" i="18"/>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Y87" i="18" l="1"/>
  <c r="Y73" i="18"/>
  <c r="AD66" i="18"/>
  <c r="AL27" i="19"/>
  <c r="AK30" i="19"/>
  <c r="AL43" i="19"/>
  <c r="AL47" i="19"/>
  <c r="AL49" i="19"/>
  <c r="AK61" i="19"/>
  <c r="AK63" i="19"/>
  <c r="AK83" i="19"/>
  <c r="AK91" i="19"/>
  <c r="AN3" i="18"/>
  <c r="AG36" i="18"/>
  <c r="AH40" i="18"/>
  <c r="AG49" i="18"/>
  <c r="AH84" i="18"/>
  <c r="AG90" i="18"/>
  <c r="N9" i="19"/>
  <c r="AL30" i="19"/>
  <c r="AK33" i="19"/>
  <c r="AL57" i="19"/>
  <c r="AL61" i="19"/>
  <c r="AK69" i="19"/>
  <c r="AK75" i="19"/>
  <c r="AK77" i="19"/>
  <c r="AL83" i="19"/>
  <c r="AL91" i="19"/>
  <c r="AL42" i="19"/>
  <c r="AL54" i="19"/>
  <c r="AL69" i="19"/>
  <c r="AL71" i="19"/>
  <c r="AL75" i="19"/>
  <c r="AD14" i="18"/>
  <c r="AD15" i="18"/>
  <c r="AG33" i="18"/>
  <c r="AD35" i="18"/>
  <c r="AH39" i="18"/>
  <c r="AG63" i="18"/>
  <c r="AG77" i="18"/>
  <c r="AL36" i="19"/>
  <c r="AL40" i="19"/>
  <c r="AK68" i="19"/>
  <c r="AH54" i="18"/>
  <c r="AH63" i="18"/>
  <c r="AH71" i="18"/>
  <c r="AG89" i="18"/>
  <c r="AK89" i="19"/>
  <c r="AG30" i="18"/>
  <c r="AH33" i="18"/>
  <c r="AH67" i="18"/>
  <c r="AG76" i="18"/>
  <c r="Y15" i="18"/>
  <c r="AH15" i="18" s="1"/>
  <c r="AD80" i="18"/>
  <c r="Y26" i="18"/>
  <c r="Y14" i="18"/>
  <c r="Y16" i="18"/>
  <c r="AD26" i="18"/>
  <c r="AD28" i="18" s="1"/>
  <c r="Y59" i="18"/>
  <c r="AD16" i="18"/>
  <c r="AD20" i="18"/>
  <c r="Y23" i="18"/>
  <c r="Y25" i="18" s="1"/>
  <c r="Y32" i="18"/>
  <c r="Y52" i="18"/>
  <c r="Y58" i="18" s="1"/>
  <c r="Y96" i="18"/>
  <c r="Y18" i="18"/>
  <c r="Y19" i="18"/>
  <c r="AH19" i="18" s="1"/>
  <c r="AD23" i="18"/>
  <c r="AD94" i="18"/>
  <c r="AH94" i="18" s="1"/>
  <c r="Y29" i="18"/>
  <c r="AD87" i="18"/>
  <c r="AH14" i="18"/>
  <c r="AD17" i="18"/>
  <c r="AH17" i="18" s="1"/>
  <c r="Y66" i="18"/>
  <c r="Y72" i="18" s="1"/>
  <c r="AD18" i="18"/>
  <c r="Y20" i="18"/>
  <c r="Y45" i="18"/>
  <c r="Y80" i="18"/>
  <c r="AH80" i="18" s="1"/>
  <c r="AH86" i="18" s="1"/>
  <c r="AD96" i="18"/>
  <c r="X29" i="18"/>
  <c r="X31" i="18" s="1"/>
  <c r="AG21" i="18"/>
  <c r="X35" i="18"/>
  <c r="X37" i="18" s="1"/>
  <c r="X38" i="18"/>
  <c r="AP55" i="14"/>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G8" i="19"/>
  <c r="Q9" i="19"/>
  <c r="O9" i="19"/>
  <c r="J9" i="19"/>
  <c r="AL21" i="19"/>
  <c r="Y21" i="19"/>
  <c r="AK21" i="19" s="1"/>
  <c r="AL63" i="19"/>
  <c r="AL70" i="19"/>
  <c r="AL77" i="19"/>
  <c r="AK81" i="19"/>
  <c r="AL56" i="19"/>
  <c r="AM34" i="18"/>
  <c r="AM86" i="18"/>
  <c r="AM93" i="18"/>
  <c r="AM25" i="18"/>
  <c r="AM58" i="18"/>
  <c r="AM22" i="18"/>
  <c r="AM28" i="18"/>
  <c r="AH20" i="18"/>
  <c r="AH22" i="18" s="1"/>
  <c r="AD22" i="18"/>
  <c r="Y34" i="18"/>
  <c r="AD25" i="18"/>
  <c r="Y22" i="18"/>
  <c r="Y28" i="18"/>
  <c r="AD34" i="18"/>
  <c r="AH32" i="18"/>
  <c r="AH34" i="18" s="1"/>
  <c r="AH35" i="18"/>
  <c r="AH37" i="18" s="1"/>
  <c r="AD37" i="18"/>
  <c r="AM37" i="18"/>
  <c r="Y31" i="18"/>
  <c r="X44" i="18"/>
  <c r="AH29" i="18"/>
  <c r="AH31" i="18" s="1"/>
  <c r="AD31" i="18"/>
  <c r="AH87" i="18"/>
  <c r="AD93" i="18"/>
  <c r="I9" i="18"/>
  <c r="R9" i="18"/>
  <c r="S9" i="18" s="1"/>
  <c r="T9" i="18" s="1"/>
  <c r="U9" i="18" s="1"/>
  <c r="AM51" i="18"/>
  <c r="AM65" i="18"/>
  <c r="AM79" i="18"/>
  <c r="L9" i="18"/>
  <c r="AG40" i="18"/>
  <c r="AH24" i="18"/>
  <c r="Y38" i="18"/>
  <c r="AH38" i="18" s="1"/>
  <c r="AH44" i="18" s="1"/>
  <c r="AH91" i="18"/>
  <c r="Y95" i="18"/>
  <c r="AH95" i="18" s="1"/>
  <c r="AD44" i="18"/>
  <c r="AH74" i="18"/>
  <c r="AH78" i="18"/>
  <c r="AD86" i="18"/>
  <c r="AH61" i="18"/>
  <c r="Y79" i="18"/>
  <c r="F8" i="18"/>
  <c r="AM38" i="18"/>
  <c r="AM44" i="18" s="1"/>
  <c r="AH73" i="18"/>
  <c r="AH79" i="18" s="1"/>
  <c r="AD79" i="18"/>
  <c r="Y93" i="18"/>
  <c r="AH50" i="18"/>
  <c r="AH64" i="18"/>
  <c r="AD72" i="18"/>
  <c r="AH93" i="18" l="1"/>
  <c r="AH96" i="18"/>
  <c r="AH26" i="18"/>
  <c r="AH28" i="18" s="1"/>
  <c r="AH18" i="18"/>
  <c r="AH23" i="18"/>
  <c r="AH25" i="18" s="1"/>
  <c r="AH16" i="18"/>
  <c r="Y65" i="18"/>
  <c r="Y86" i="18"/>
  <c r="Y51" i="18"/>
  <c r="AH66" i="18"/>
  <c r="AH72" i="18" s="1"/>
  <c r="P78" i="23"/>
  <c r="P78" i="22"/>
  <c r="P77" i="23"/>
  <c r="P77" i="22"/>
  <c r="P76" i="23"/>
  <c r="P76" i="22"/>
  <c r="AP66" i="14"/>
  <c r="AP69" i="14" s="1"/>
  <c r="AP58" i="14"/>
  <c r="AG87" i="18"/>
  <c r="AG93" i="18" s="1"/>
  <c r="AC7" i="19"/>
  <c r="S9" i="19"/>
  <c r="T9" i="19" s="1"/>
  <c r="U9" i="19" s="1"/>
  <c r="V9" i="19" s="1"/>
  <c r="AM3" i="18"/>
  <c r="Y44" i="18"/>
  <c r="Y3" i="18" l="1"/>
  <c r="O78" i="23" l="1"/>
  <c r="Q78" i="23" s="1"/>
  <c r="O78" i="22"/>
  <c r="Q78" i="22" s="1"/>
  <c r="U35" i="18" l="1"/>
  <c r="F9" i="5" l="1"/>
  <c r="AN40" i="14" l="1"/>
  <c r="BD10" i="7" l="1"/>
  <c r="BD9" i="7"/>
  <c r="P12" i="5" l="1"/>
  <c r="Q11" i="5"/>
  <c r="AY6" i="19" l="1"/>
  <c r="BC12" i="7"/>
  <c r="BC9" i="7"/>
  <c r="D27" i="20" l="1"/>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D41" i="20" l="1"/>
  <c r="E41" i="20"/>
  <c r="E17" i="13"/>
  <c r="D35" i="13"/>
  <c r="E18" i="13"/>
  <c r="E28" i="13"/>
  <c r="E38" i="13"/>
  <c r="D19" i="13"/>
  <c r="D28" i="13"/>
  <c r="D36" i="13"/>
  <c r="D34" i="13"/>
  <c r="E19" i="13"/>
  <c r="D20" i="13"/>
  <c r="D37" i="13"/>
  <c r="E26" i="13"/>
  <c r="D18" i="13"/>
  <c r="E20" i="13"/>
  <c r="E30" i="13"/>
  <c r="E21" i="13"/>
  <c r="D21" i="13"/>
  <c r="D30" i="13"/>
  <c r="D38" i="13"/>
  <c r="E36" i="13"/>
  <c r="D26" i="13"/>
  <c r="E31" i="13"/>
  <c r="E23" i="13"/>
  <c r="D22" i="13"/>
  <c r="D31" i="13"/>
  <c r="D39" i="13"/>
  <c r="D25" i="13"/>
  <c r="E37" i="13"/>
  <c r="E39" i="13"/>
  <c r="E22" i="13"/>
  <c r="E24" i="13"/>
  <c r="E32" i="13"/>
  <c r="E33" i="13"/>
  <c r="D23" i="13"/>
  <c r="D32" i="13"/>
  <c r="D27" i="13"/>
  <c r="D17" i="13"/>
  <c r="E27" i="13"/>
  <c r="E29" i="13"/>
  <c r="E25" i="13"/>
  <c r="E35" i="13"/>
  <c r="E34" i="13"/>
  <c r="D24" i="13"/>
  <c r="D33" i="13"/>
  <c r="D29" i="13"/>
  <c r="D33" i="21" l="1"/>
  <c r="D33" i="25"/>
  <c r="E26" i="21"/>
  <c r="E26" i="25"/>
  <c r="E38" i="21"/>
  <c r="E38" i="25"/>
  <c r="D24" i="21"/>
  <c r="D24" i="25"/>
  <c r="D32" i="21"/>
  <c r="D32" i="25"/>
  <c r="D25" i="21"/>
  <c r="D25" i="25"/>
  <c r="D38" i="21"/>
  <c r="D38" i="25"/>
  <c r="D37" i="21"/>
  <c r="D37" i="25"/>
  <c r="E28" i="21"/>
  <c r="E28" i="25"/>
  <c r="E22" i="21"/>
  <c r="E22" i="25"/>
  <c r="D27" i="21"/>
  <c r="D27" i="25"/>
  <c r="D39" i="21"/>
  <c r="D39" i="25"/>
  <c r="D30" i="21"/>
  <c r="D30" i="25"/>
  <c r="D20" i="21"/>
  <c r="D20" i="25"/>
  <c r="E18" i="21"/>
  <c r="E18" i="25"/>
  <c r="E25" i="21"/>
  <c r="E25" i="25"/>
  <c r="E31" i="21"/>
  <c r="E31" i="25"/>
  <c r="E37" i="21"/>
  <c r="E37" i="25"/>
  <c r="E36" i="21"/>
  <c r="E36" i="25"/>
  <c r="E34" i="21"/>
  <c r="E34" i="25"/>
  <c r="D23" i="21"/>
  <c r="D23" i="25"/>
  <c r="E35" i="21"/>
  <c r="E35" i="25"/>
  <c r="E33" i="21"/>
  <c r="E33" i="25"/>
  <c r="D31" i="21"/>
  <c r="D31" i="25"/>
  <c r="D21" i="21"/>
  <c r="D21" i="25"/>
  <c r="E19" i="21"/>
  <c r="E19" i="25"/>
  <c r="D35" i="21"/>
  <c r="D35" i="25"/>
  <c r="E32" i="21"/>
  <c r="E32" i="25"/>
  <c r="D22" i="21"/>
  <c r="D22" i="25"/>
  <c r="E21" i="21"/>
  <c r="E21" i="25"/>
  <c r="D34" i="21"/>
  <c r="D34" i="25"/>
  <c r="E17" i="21"/>
  <c r="E17" i="25"/>
  <c r="E29" i="21"/>
  <c r="E29" i="25"/>
  <c r="E24" i="21"/>
  <c r="E24" i="25"/>
  <c r="E23" i="21"/>
  <c r="E23" i="25"/>
  <c r="E30" i="21"/>
  <c r="E30" i="25"/>
  <c r="D36" i="21"/>
  <c r="D36" i="25"/>
  <c r="E27" i="21"/>
  <c r="E27" i="25"/>
  <c r="E20" i="21"/>
  <c r="E20" i="25"/>
  <c r="D28" i="21"/>
  <c r="D28" i="25"/>
  <c r="D29" i="21"/>
  <c r="D29" i="25"/>
  <c r="D17" i="21"/>
  <c r="D17" i="25"/>
  <c r="E39" i="21"/>
  <c r="E39" i="25"/>
  <c r="D26" i="21"/>
  <c r="D26" i="25"/>
  <c r="D18" i="21"/>
  <c r="D18" i="25"/>
  <c r="D19" i="21"/>
  <c r="D19" i="25"/>
  <c r="E41" i="13"/>
  <c r="D41" i="13"/>
  <c r="D41" i="21" l="1"/>
  <c r="E41" i="21"/>
  <c r="E41" i="25"/>
  <c r="D41" i="25"/>
  <c r="T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D16" i="14"/>
  <c r="AB53" i="14" l="1"/>
  <c r="AG53" i="14" s="1"/>
  <c r="W55" i="14"/>
  <c r="W57" i="14"/>
  <c r="AB56" i="14"/>
  <c r="AG56" i="14" s="1"/>
  <c r="AB54" i="14"/>
  <c r="AG54" i="14" s="1"/>
  <c r="AB55" i="14"/>
  <c r="W53" i="14"/>
  <c r="AB57" i="14"/>
  <c r="W56" i="14"/>
  <c r="W54" i="14"/>
  <c r="E40" i="14"/>
  <c r="D40" i="14"/>
  <c r="AG57" i="14" l="1"/>
  <c r="AB58" i="14"/>
  <c r="W58" i="14"/>
  <c r="AG55" i="14"/>
  <c r="AG58" i="14" l="1"/>
  <c r="M96" i="7" l="1"/>
  <c r="M95" i="7"/>
  <c r="M94" i="7"/>
  <c r="M92" i="7"/>
  <c r="M91" i="7"/>
  <c r="M90" i="7"/>
  <c r="M89" i="7"/>
  <c r="M88" i="7"/>
  <c r="M87" i="7"/>
  <c r="M85" i="7"/>
  <c r="M84" i="7"/>
  <c r="M83" i="7"/>
  <c r="M82" i="7"/>
  <c r="M81" i="7"/>
  <c r="M80" i="7"/>
  <c r="M78" i="7"/>
  <c r="M77" i="7"/>
  <c r="M76" i="7"/>
  <c r="M75" i="7"/>
  <c r="M74" i="7"/>
  <c r="M73" i="7"/>
  <c r="M71" i="7"/>
  <c r="M70" i="7"/>
  <c r="M69" i="7"/>
  <c r="M68" i="7"/>
  <c r="M67" i="7"/>
  <c r="M66" i="7"/>
  <c r="M64" i="7"/>
  <c r="M63" i="7"/>
  <c r="M62" i="7"/>
  <c r="M61" i="7"/>
  <c r="M60" i="7"/>
  <c r="M59" i="7"/>
  <c r="M57" i="7"/>
  <c r="M56" i="7"/>
  <c r="M55" i="7"/>
  <c r="M54" i="7"/>
  <c r="M53" i="7"/>
  <c r="M52" i="7"/>
  <c r="M50" i="7"/>
  <c r="M49" i="7"/>
  <c r="M48" i="7"/>
  <c r="M47" i="7"/>
  <c r="M46" i="7"/>
  <c r="M45" i="7"/>
  <c r="M43" i="7"/>
  <c r="M42" i="7"/>
  <c r="M41" i="7"/>
  <c r="M40" i="7"/>
  <c r="M39" i="7"/>
  <c r="M38" i="7"/>
  <c r="M36" i="7"/>
  <c r="M35" i="7"/>
  <c r="M33" i="7"/>
  <c r="M32" i="7"/>
  <c r="M30" i="7"/>
  <c r="M29" i="7"/>
  <c r="M27" i="7"/>
  <c r="M26" i="7"/>
  <c r="M24" i="7"/>
  <c r="M23" i="7"/>
  <c r="M21" i="7"/>
  <c r="M20" i="7"/>
  <c r="M19" i="7"/>
  <c r="M18" i="7"/>
  <c r="M17" i="7"/>
  <c r="M16" i="7"/>
  <c r="M15" i="7"/>
  <c r="M14" i="7"/>
  <c r="O96" i="7"/>
  <c r="O95" i="7"/>
  <c r="O94" i="7"/>
  <c r="Q92" i="7"/>
  <c r="P92" i="7"/>
  <c r="O92" i="7"/>
  <c r="Q91" i="7"/>
  <c r="P91" i="7"/>
  <c r="O91" i="7"/>
  <c r="Q90" i="7"/>
  <c r="P90" i="7"/>
  <c r="O90" i="7"/>
  <c r="Q89" i="7"/>
  <c r="P89" i="7"/>
  <c r="O89" i="7"/>
  <c r="Q88" i="7"/>
  <c r="P88" i="7"/>
  <c r="O88" i="7"/>
  <c r="O87" i="7"/>
  <c r="Q85" i="7"/>
  <c r="P85" i="7"/>
  <c r="O85" i="7"/>
  <c r="Q84" i="7"/>
  <c r="P84" i="7"/>
  <c r="O84" i="7"/>
  <c r="Q83" i="7"/>
  <c r="P83" i="7"/>
  <c r="O83" i="7"/>
  <c r="Q82" i="7"/>
  <c r="P82" i="7"/>
  <c r="O82" i="7"/>
  <c r="Q81" i="7"/>
  <c r="P81" i="7"/>
  <c r="O81" i="7"/>
  <c r="O80" i="7"/>
  <c r="Q78" i="7"/>
  <c r="P78" i="7"/>
  <c r="O78" i="7"/>
  <c r="Q77" i="7"/>
  <c r="P77" i="7"/>
  <c r="O77" i="7"/>
  <c r="Q76" i="7"/>
  <c r="P76" i="7"/>
  <c r="O76" i="7"/>
  <c r="Q75" i="7"/>
  <c r="P75" i="7"/>
  <c r="O75" i="7"/>
  <c r="Q74" i="7"/>
  <c r="P74" i="7"/>
  <c r="O74" i="7"/>
  <c r="O73" i="7"/>
  <c r="Q71" i="7"/>
  <c r="P71" i="7"/>
  <c r="O71" i="7"/>
  <c r="Q70" i="7"/>
  <c r="P70" i="7"/>
  <c r="O70" i="7"/>
  <c r="Q69" i="7"/>
  <c r="P69" i="7"/>
  <c r="O69" i="7"/>
  <c r="Q68" i="7"/>
  <c r="P68" i="7"/>
  <c r="O68" i="7"/>
  <c r="Q67" i="7"/>
  <c r="P67" i="7"/>
  <c r="O67" i="7"/>
  <c r="O66" i="7"/>
  <c r="Q64" i="7"/>
  <c r="P64" i="7"/>
  <c r="O64" i="7"/>
  <c r="Q63" i="7"/>
  <c r="P63" i="7"/>
  <c r="O63" i="7"/>
  <c r="Q62" i="7"/>
  <c r="P62" i="7"/>
  <c r="O62" i="7"/>
  <c r="Q61" i="7"/>
  <c r="P61" i="7"/>
  <c r="O61" i="7"/>
  <c r="Q60" i="7"/>
  <c r="P60" i="7"/>
  <c r="O60" i="7"/>
  <c r="O59" i="7"/>
  <c r="Q57" i="7"/>
  <c r="P57" i="7"/>
  <c r="O57" i="7"/>
  <c r="Q56" i="7"/>
  <c r="P56" i="7"/>
  <c r="O56" i="7"/>
  <c r="Q55" i="7"/>
  <c r="P55" i="7"/>
  <c r="O55" i="7"/>
  <c r="Q54" i="7"/>
  <c r="P54" i="7"/>
  <c r="O54" i="7"/>
  <c r="Q53" i="7"/>
  <c r="P53" i="7"/>
  <c r="O53" i="7"/>
  <c r="O52" i="7"/>
  <c r="Q50" i="7"/>
  <c r="P50" i="7"/>
  <c r="O50" i="7"/>
  <c r="Q49" i="7"/>
  <c r="P49" i="7"/>
  <c r="O49" i="7"/>
  <c r="Q48" i="7"/>
  <c r="P48" i="7"/>
  <c r="O48" i="7"/>
  <c r="Q47" i="7"/>
  <c r="P47" i="7"/>
  <c r="O47" i="7"/>
  <c r="Q46" i="7"/>
  <c r="P46" i="7"/>
  <c r="O46" i="7"/>
  <c r="O45" i="7"/>
  <c r="Q43" i="7"/>
  <c r="P43" i="7"/>
  <c r="O43" i="7"/>
  <c r="Q42" i="7"/>
  <c r="P42" i="7"/>
  <c r="O42" i="7"/>
  <c r="Q41" i="7"/>
  <c r="P41" i="7"/>
  <c r="O41" i="7"/>
  <c r="Q40" i="7"/>
  <c r="P40" i="7"/>
  <c r="O40" i="7"/>
  <c r="Q39" i="7"/>
  <c r="P39" i="7"/>
  <c r="O39" i="7"/>
  <c r="O38" i="7"/>
  <c r="Q36" i="7"/>
  <c r="P36" i="7"/>
  <c r="O36" i="7"/>
  <c r="O35" i="7"/>
  <c r="Q33" i="7"/>
  <c r="P33" i="7"/>
  <c r="O33" i="7"/>
  <c r="O32" i="7"/>
  <c r="Q30" i="7"/>
  <c r="P30" i="7"/>
  <c r="O30" i="7"/>
  <c r="O29" i="7"/>
  <c r="Q27" i="7"/>
  <c r="P27" i="7"/>
  <c r="O27" i="7"/>
  <c r="O26" i="7"/>
  <c r="Q24" i="7"/>
  <c r="P24" i="7"/>
  <c r="O24" i="7"/>
  <c r="O23" i="7"/>
  <c r="Q21" i="7"/>
  <c r="P21" i="7"/>
  <c r="O21" i="7"/>
  <c r="O20" i="7"/>
  <c r="O19" i="7"/>
  <c r="O18" i="7"/>
  <c r="O17" i="7"/>
  <c r="O16" i="7"/>
  <c r="O15" i="7"/>
  <c r="O14" i="7"/>
  <c r="C95" i="7"/>
  <c r="C96" i="7"/>
  <c r="C94" i="7"/>
  <c r="AW86" i="7"/>
  <c r="AV86" i="7"/>
  <c r="AS86" i="7"/>
  <c r="AR86" i="7"/>
  <c r="AC86" i="7"/>
  <c r="AB86" i="7"/>
  <c r="Y86" i="7"/>
  <c r="X86" i="7"/>
  <c r="U86" i="7"/>
  <c r="T86" i="7"/>
  <c r="AW34" i="7"/>
  <c r="AV34" i="7"/>
  <c r="AS34" i="7"/>
  <c r="AR34" i="7"/>
  <c r="AC34" i="7"/>
  <c r="AB34" i="7"/>
  <c r="Y34" i="7"/>
  <c r="X34" i="7"/>
  <c r="U34" i="7"/>
  <c r="T34" i="7"/>
  <c r="AW25" i="7"/>
  <c r="AV25" i="7"/>
  <c r="AS25" i="7"/>
  <c r="AR25" i="7"/>
  <c r="AC25" i="7"/>
  <c r="AB25" i="7"/>
  <c r="Y25" i="7"/>
  <c r="X25" i="7"/>
  <c r="U25" i="7"/>
  <c r="T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AG40" i="6" l="1"/>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19" l="1"/>
  <c r="Z15" i="19" s="1"/>
  <c r="P17" i="19"/>
  <c r="P19" i="19"/>
  <c r="Z19" i="19" s="1"/>
  <c r="P23" i="19"/>
  <c r="Z23" i="19" s="1"/>
  <c r="Z25" i="19" s="1"/>
  <c r="P29" i="19"/>
  <c r="Z29" i="19" s="1"/>
  <c r="Z31" i="19" s="1"/>
  <c r="P35" i="19"/>
  <c r="P95" i="19"/>
  <c r="Z95" i="19" s="1"/>
  <c r="Q19" i="19"/>
  <c r="AD19" i="19" s="1"/>
  <c r="Q35" i="19"/>
  <c r="AD35" i="19" s="1"/>
  <c r="O15" i="19"/>
  <c r="AD15" i="6"/>
  <c r="Q23" i="19"/>
  <c r="AD23" i="19" s="1"/>
  <c r="P14" i="19"/>
  <c r="Z14" i="19" s="1"/>
  <c r="P16" i="19"/>
  <c r="Z16" i="19" s="1"/>
  <c r="P18" i="19"/>
  <c r="Z18" i="19" s="1"/>
  <c r="P20" i="19"/>
  <c r="Z20" i="19" s="1"/>
  <c r="Z22" i="19" s="1"/>
  <c r="P26" i="19"/>
  <c r="Z26" i="19" s="1"/>
  <c r="Z28" i="19" s="1"/>
  <c r="P32" i="19"/>
  <c r="Z32" i="19" s="1"/>
  <c r="Z34" i="19" s="1"/>
  <c r="P80" i="19"/>
  <c r="Z80" i="19" s="1"/>
  <c r="Z86" i="19" s="1"/>
  <c r="P96" i="19"/>
  <c r="Z96" i="19" s="1"/>
  <c r="Q17" i="19"/>
  <c r="AD17" i="19" s="1"/>
  <c r="Q95" i="19"/>
  <c r="AD95" i="19" s="1"/>
  <c r="Q14" i="19"/>
  <c r="AD14" i="19" s="1"/>
  <c r="Q16" i="19"/>
  <c r="AD16" i="19" s="1"/>
  <c r="Q18" i="19"/>
  <c r="AD18" i="19" s="1"/>
  <c r="Q20" i="19"/>
  <c r="AD20" i="19" s="1"/>
  <c r="Q26" i="19"/>
  <c r="AD26" i="19" s="1"/>
  <c r="Q32" i="19"/>
  <c r="AD32" i="19" s="1"/>
  <c r="Q80" i="19"/>
  <c r="AD80" i="19" s="1"/>
  <c r="Q96" i="19"/>
  <c r="AD96" i="19" s="1"/>
  <c r="Q15" i="19"/>
  <c r="Q29" i="19"/>
  <c r="AD29" i="19" s="1"/>
  <c r="Z17" i="19"/>
  <c r="Z35" i="19"/>
  <c r="Z37" i="19" s="1"/>
  <c r="AQ93" i="19"/>
  <c r="AQ86" i="19"/>
  <c r="AQ31" i="19"/>
  <c r="AQ96" i="19"/>
  <c r="AQ95" i="19"/>
  <c r="P16" i="7"/>
  <c r="P17" i="7"/>
  <c r="P87" i="7"/>
  <c r="P80" i="7"/>
  <c r="N14" i="7"/>
  <c r="P18" i="7"/>
  <c r="P38" i="7"/>
  <c r="P94" i="7"/>
  <c r="P19" i="7"/>
  <c r="P45" i="7"/>
  <c r="P95" i="7"/>
  <c r="N19" i="7"/>
  <c r="P20" i="7"/>
  <c r="P52" i="7"/>
  <c r="P96" i="7"/>
  <c r="N15" i="7"/>
  <c r="N18" i="7"/>
  <c r="P23" i="7"/>
  <c r="P59" i="7"/>
  <c r="N17" i="7"/>
  <c r="P14" i="7"/>
  <c r="P26" i="7"/>
  <c r="N16" i="7"/>
  <c r="P15" i="7"/>
  <c r="P29" i="7"/>
  <c r="N92" i="7"/>
  <c r="N91" i="7"/>
  <c r="N80" i="7"/>
  <c r="N21" i="7"/>
  <c r="N85" i="7"/>
  <c r="N90" i="7"/>
  <c r="N23" i="7"/>
  <c r="N84" i="7"/>
  <c r="N89" i="7"/>
  <c r="N20" i="7"/>
  <c r="N24" i="7"/>
  <c r="N83" i="7"/>
  <c r="N88" i="7"/>
  <c r="N87" i="7"/>
  <c r="N29" i="7"/>
  <c r="N82" i="7"/>
  <c r="N30" i="7"/>
  <c r="N81" i="7"/>
  <c r="N95" i="7"/>
  <c r="N96" i="7"/>
  <c r="N33" i="7"/>
  <c r="N32" i="7"/>
  <c r="P35" i="7"/>
  <c r="P32" i="7"/>
  <c r="Y80" i="6"/>
  <c r="AD80" i="6"/>
  <c r="Y18" i="6"/>
  <c r="AD32" i="6"/>
  <c r="Y26" i="6"/>
  <c r="AD26" i="6"/>
  <c r="Y14" i="6"/>
  <c r="Y20" i="6"/>
  <c r="AD18" i="6"/>
  <c r="Y15" i="6"/>
  <c r="Y17" i="6"/>
  <c r="Y19" i="6"/>
  <c r="Y23" i="6"/>
  <c r="Y29" i="6"/>
  <c r="Y35" i="6"/>
  <c r="Y95" i="6"/>
  <c r="Y32" i="6"/>
  <c r="AD16" i="6"/>
  <c r="AD96" i="6"/>
  <c r="AD17" i="6"/>
  <c r="AD19" i="6"/>
  <c r="AD23" i="6"/>
  <c r="AD29" i="6"/>
  <c r="AD35" i="6"/>
  <c r="AD95" i="6"/>
  <c r="Y16" i="6"/>
  <c r="Y96" i="6"/>
  <c r="AD14" i="6"/>
  <c r="AD20" i="6"/>
  <c r="AL18" i="19" l="1"/>
  <c r="AL19" i="19"/>
  <c r="AL95" i="19"/>
  <c r="AL17" i="19"/>
  <c r="AL16" i="19"/>
  <c r="AL96" i="19"/>
  <c r="AD22" i="19"/>
  <c r="AL20" i="19"/>
  <c r="AL22" i="19" s="1"/>
  <c r="AD86" i="19"/>
  <c r="AL80" i="19"/>
  <c r="AL86" i="19" s="1"/>
  <c r="AL35" i="19"/>
  <c r="AL37" i="19" s="1"/>
  <c r="AD37" i="19"/>
  <c r="AL29" i="19"/>
  <c r="AL31" i="19" s="1"/>
  <c r="AD31" i="19"/>
  <c r="AD34" i="19"/>
  <c r="AL32" i="19"/>
  <c r="AL34" i="19" s="1"/>
  <c r="AL26" i="19"/>
  <c r="AL28" i="19" s="1"/>
  <c r="AD28" i="19"/>
  <c r="AD25" i="19"/>
  <c r="AL23" i="19"/>
  <c r="AL25" i="19" s="1"/>
  <c r="AL14" i="19"/>
  <c r="AD15" i="19"/>
  <c r="AL15" i="19" s="1"/>
  <c r="AH29" i="6"/>
  <c r="AH15" i="6"/>
  <c r="AH32" i="6"/>
  <c r="AH26" i="6"/>
  <c r="AH80" i="6"/>
  <c r="AH14" i="6"/>
  <c r="AH35" i="6"/>
  <c r="AH17" i="6"/>
  <c r="AH18" i="6"/>
  <c r="AH23" i="6"/>
  <c r="AH96" i="6"/>
  <c r="AH19" i="6"/>
  <c r="AH16" i="6"/>
  <c r="AH20" i="6"/>
  <c r="AH95" i="6"/>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X87" i="6" l="1"/>
  <c r="X93" i="6" s="1"/>
  <c r="L87" i="19"/>
  <c r="Y87" i="19" s="1"/>
  <c r="Y93" i="19" s="1"/>
  <c r="AC93" i="19"/>
  <c r="X15" i="6"/>
  <c r="L15" i="19"/>
  <c r="Y15" i="19" s="1"/>
  <c r="X14" i="6"/>
  <c r="X94" i="6"/>
  <c r="X16" i="6"/>
  <c r="X26" i="6"/>
  <c r="X29" i="6"/>
  <c r="X45" i="6"/>
  <c r="X19" i="6"/>
  <c r="X96" i="6"/>
  <c r="X38" i="6"/>
  <c r="X32" i="6"/>
  <c r="X34" i="6" s="1"/>
  <c r="X52" i="6"/>
  <c r="X80" i="6"/>
  <c r="X86" i="6" s="1"/>
  <c r="X18" i="6"/>
  <c r="X20" i="6"/>
  <c r="X95" i="6"/>
  <c r="X23" i="6"/>
  <c r="X25" i="6" s="1"/>
  <c r="X35" i="6"/>
  <c r="X59" i="6"/>
  <c r="X17" i="6"/>
  <c r="AC87" i="6"/>
  <c r="AD34" i="6"/>
  <c r="AD25" i="6"/>
  <c r="Y86" i="6"/>
  <c r="Y25" i="6"/>
  <c r="AK87" i="19" l="1"/>
  <c r="AK93" i="19" s="1"/>
  <c r="AG87" i="6"/>
  <c r="AH34" i="6"/>
  <c r="AD86" i="6"/>
  <c r="Y34" i="6"/>
  <c r="AH25" i="6"/>
  <c r="AH86" i="6"/>
  <c r="J84" i="5" l="1"/>
  <c r="J83" i="5"/>
  <c r="J82" i="5"/>
  <c r="J76" i="5"/>
  <c r="J70" i="5"/>
  <c r="J52" i="5"/>
  <c r="J46" i="5"/>
  <c r="J40" i="5"/>
  <c r="J34" i="5"/>
  <c r="J32" i="5"/>
  <c r="J30" i="5"/>
  <c r="J28" i="5"/>
  <c r="J26" i="5"/>
  <c r="J24" i="5"/>
  <c r="J22" i="5"/>
  <c r="J21" i="5"/>
  <c r="J20" i="5"/>
  <c r="J19" i="5"/>
  <c r="J18" i="5"/>
  <c r="J17" i="5"/>
  <c r="J16" i="5"/>
  <c r="I76"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X81" i="3"/>
  <c r="V81" i="3"/>
  <c r="W81" i="3" s="1"/>
  <c r="X80" i="3"/>
  <c r="V80" i="3"/>
  <c r="W80" i="3" s="1"/>
  <c r="X79" i="3"/>
  <c r="V79" i="3"/>
  <c r="W79" i="3" s="1"/>
  <c r="X78" i="3"/>
  <c r="V78" i="3"/>
  <c r="X77" i="3"/>
  <c r="V77" i="3"/>
  <c r="W77" i="3" s="1"/>
  <c r="X76" i="3"/>
  <c r="V76" i="3"/>
  <c r="X75" i="3"/>
  <c r="V75" i="3"/>
  <c r="X74" i="3"/>
  <c r="V74" i="3"/>
  <c r="X73" i="3"/>
  <c r="V73" i="3"/>
  <c r="X72" i="3"/>
  <c r="V72" i="3"/>
  <c r="W72" i="3" s="1"/>
  <c r="X71" i="3"/>
  <c r="V71" i="3"/>
  <c r="W71" i="3" s="1"/>
  <c r="X70" i="3"/>
  <c r="V70" i="3"/>
  <c r="X69" i="3"/>
  <c r="V69" i="3"/>
  <c r="W69" i="3" s="1"/>
  <c r="X68" i="3"/>
  <c r="V68" i="3"/>
  <c r="W68" i="3" s="1"/>
  <c r="X67" i="3"/>
  <c r="V67" i="3"/>
  <c r="W67" i="3" s="1"/>
  <c r="X66" i="3"/>
  <c r="V66" i="3"/>
  <c r="X65" i="3"/>
  <c r="V65" i="3"/>
  <c r="W65" i="3" s="1"/>
  <c r="X64" i="3"/>
  <c r="V64" i="3"/>
  <c r="W64" i="3" s="1"/>
  <c r="X63" i="3"/>
  <c r="V63" i="3"/>
  <c r="W63" i="3" s="1"/>
  <c r="X62" i="3"/>
  <c r="V62" i="3"/>
  <c r="X61" i="3"/>
  <c r="V61" i="3"/>
  <c r="W61" i="3" s="1"/>
  <c r="X60" i="3"/>
  <c r="V60" i="3"/>
  <c r="W60" i="3" s="1"/>
  <c r="X59" i="3"/>
  <c r="V59" i="3"/>
  <c r="W59" i="3" s="1"/>
  <c r="X58" i="3"/>
  <c r="V58" i="3"/>
  <c r="X57" i="3"/>
  <c r="V57" i="3"/>
  <c r="X56" i="3"/>
  <c r="V56" i="3"/>
  <c r="W56" i="3" s="1"/>
  <c r="X55" i="3"/>
  <c r="V55" i="3"/>
  <c r="W55" i="3" s="1"/>
  <c r="X54" i="3"/>
  <c r="V54" i="3"/>
  <c r="X53" i="3"/>
  <c r="V53" i="3"/>
  <c r="W53" i="3" s="1"/>
  <c r="X52" i="3"/>
  <c r="V52" i="3"/>
  <c r="W52" i="3" s="1"/>
  <c r="X51" i="3"/>
  <c r="V51" i="3"/>
  <c r="W51" i="3" s="1"/>
  <c r="X50" i="3"/>
  <c r="V50" i="3"/>
  <c r="X49" i="3"/>
  <c r="V49" i="3"/>
  <c r="W49" i="3" s="1"/>
  <c r="X48" i="3"/>
  <c r="V48" i="3"/>
  <c r="W48" i="3" s="1"/>
  <c r="X47" i="3"/>
  <c r="V47" i="3"/>
  <c r="W47" i="3" s="1"/>
  <c r="X46" i="3"/>
  <c r="V46" i="3"/>
  <c r="X45" i="3"/>
  <c r="V45" i="3"/>
  <c r="W45" i="3" s="1"/>
  <c r="X44" i="3"/>
  <c r="V44" i="3"/>
  <c r="X43" i="3"/>
  <c r="V43" i="3"/>
  <c r="X42" i="3"/>
  <c r="V42" i="3"/>
  <c r="X41" i="3"/>
  <c r="V41" i="3"/>
  <c r="W41" i="3" s="1"/>
  <c r="X40" i="3"/>
  <c r="V40" i="3"/>
  <c r="W40" i="3" s="1"/>
  <c r="X39" i="3"/>
  <c r="V39" i="3"/>
  <c r="W39" i="3" s="1"/>
  <c r="X38" i="3"/>
  <c r="V38" i="3"/>
  <c r="X37" i="3"/>
  <c r="V37" i="3"/>
  <c r="W37" i="3" s="1"/>
  <c r="X36" i="3"/>
  <c r="V36" i="3"/>
  <c r="W36" i="3" s="1"/>
  <c r="X35" i="3"/>
  <c r="V35" i="3"/>
  <c r="X34" i="3"/>
  <c r="V34" i="3"/>
  <c r="X33" i="3"/>
  <c r="V33" i="3"/>
  <c r="W33" i="3" s="1"/>
  <c r="X32" i="3"/>
  <c r="V32" i="3"/>
  <c r="W32" i="3" s="1"/>
  <c r="X31" i="3"/>
  <c r="V31" i="3"/>
  <c r="W31" i="3" s="1"/>
  <c r="X30" i="3"/>
  <c r="V30" i="3"/>
  <c r="X29" i="3"/>
  <c r="V29" i="3"/>
  <c r="W29" i="3" s="1"/>
  <c r="X28" i="3"/>
  <c r="V28" i="3"/>
  <c r="W28" i="3" s="1"/>
  <c r="X27" i="3"/>
  <c r="V27" i="3"/>
  <c r="X26" i="3"/>
  <c r="V26" i="3"/>
  <c r="X25" i="3"/>
  <c r="V25" i="3"/>
  <c r="W25" i="3" s="1"/>
  <c r="X24" i="3"/>
  <c r="V24" i="3"/>
  <c r="W24" i="3" s="1"/>
  <c r="X23" i="3"/>
  <c r="V23" i="3"/>
  <c r="W23" i="3" s="1"/>
  <c r="X22" i="3"/>
  <c r="V22" i="3"/>
  <c r="X21" i="3"/>
  <c r="V21" i="3"/>
  <c r="W21" i="3" s="1"/>
  <c r="X20" i="3"/>
  <c r="V20" i="3"/>
  <c r="W20" i="3" s="1"/>
  <c r="X19" i="3"/>
  <c r="V19" i="3"/>
  <c r="X18" i="3"/>
  <c r="V18" i="3"/>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W18" i="3" l="1"/>
  <c r="W22" i="3"/>
  <c r="W26" i="3"/>
  <c r="W30" i="3"/>
  <c r="W34" i="3"/>
  <c r="W38" i="3"/>
  <c r="W42" i="3"/>
  <c r="W46" i="3"/>
  <c r="W50" i="3"/>
  <c r="W54" i="3"/>
  <c r="W62" i="3"/>
  <c r="W66" i="3"/>
  <c r="W70" i="3"/>
  <c r="W78" i="3"/>
  <c r="W82" i="3"/>
  <c r="I16" i="22"/>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I78" i="23"/>
  <c r="I78" i="22"/>
  <c r="I26" i="22"/>
  <c r="I26" i="23"/>
  <c r="I15" i="22"/>
  <c r="I15" i="23"/>
  <c r="I34" i="23"/>
  <c r="I34" i="22"/>
  <c r="W35" i="3"/>
  <c r="L20" i="18"/>
  <c r="AC20" i="18" s="1"/>
  <c r="L20" i="6"/>
  <c r="L52" i="18"/>
  <c r="AC52" i="18" s="1"/>
  <c r="L52" i="6"/>
  <c r="I22" i="5"/>
  <c r="I46" i="5"/>
  <c r="L23" i="18"/>
  <c r="AC23" i="18" s="1"/>
  <c r="L23" i="6"/>
  <c r="L59" i="18"/>
  <c r="AC59" i="18" s="1"/>
  <c r="L59" i="6"/>
  <c r="I24" i="5"/>
  <c r="I52" i="5"/>
  <c r="L14" i="18"/>
  <c r="AC14" i="18" s="1"/>
  <c r="AG14" i="18" s="1"/>
  <c r="L14" i="6"/>
  <c r="L26" i="18"/>
  <c r="AC26" i="18" s="1"/>
  <c r="L26" i="6"/>
  <c r="L66" i="18"/>
  <c r="L66" i="6"/>
  <c r="I16" i="5"/>
  <c r="I26" i="5"/>
  <c r="I58" i="5"/>
  <c r="L15" i="18"/>
  <c r="AC15" i="18" s="1"/>
  <c r="AG15" i="18" s="1"/>
  <c r="L15" i="6"/>
  <c r="L29" i="18"/>
  <c r="AC29" i="18" s="1"/>
  <c r="L29" i="6"/>
  <c r="L73" i="18"/>
  <c r="L73" i="6"/>
  <c r="I17" i="5"/>
  <c r="I28" i="5"/>
  <c r="I64" i="5"/>
  <c r="L16" i="18"/>
  <c r="AC16" i="18" s="1"/>
  <c r="AG16" i="18" s="1"/>
  <c r="L16" i="6"/>
  <c r="L32" i="18"/>
  <c r="AC32" i="18" s="1"/>
  <c r="L32" i="6"/>
  <c r="L80" i="18"/>
  <c r="AC80" i="18" s="1"/>
  <c r="L80" i="6"/>
  <c r="I18" i="5"/>
  <c r="I30" i="5"/>
  <c r="I70" i="5"/>
  <c r="L17" i="18"/>
  <c r="AC17" i="18" s="1"/>
  <c r="AG17" i="18" s="1"/>
  <c r="L17" i="6"/>
  <c r="L35" i="18"/>
  <c r="AC35" i="18" s="1"/>
  <c r="L35" i="6"/>
  <c r="L94" i="18"/>
  <c r="AC94" i="18" s="1"/>
  <c r="AG94" i="18" s="1"/>
  <c r="L94" i="6"/>
  <c r="I19" i="5"/>
  <c r="I32" i="5"/>
  <c r="L18" i="18"/>
  <c r="AC18" i="18" s="1"/>
  <c r="AG18" i="18" s="1"/>
  <c r="L18" i="6"/>
  <c r="L38" i="18"/>
  <c r="AC38" i="18" s="1"/>
  <c r="L38" i="6"/>
  <c r="L95" i="18"/>
  <c r="AC95" i="18" s="1"/>
  <c r="AG95" i="18" s="1"/>
  <c r="L95" i="6"/>
  <c r="W43" i="3"/>
  <c r="I20" i="5"/>
  <c r="I34" i="5"/>
  <c r="I82" i="5"/>
  <c r="L19" i="18"/>
  <c r="AC19" i="18" s="1"/>
  <c r="AG19" i="18" s="1"/>
  <c r="L19" i="6"/>
  <c r="L45" i="18"/>
  <c r="AC45" i="18" s="1"/>
  <c r="L45" i="6"/>
  <c r="L96" i="18"/>
  <c r="AC96" i="18" s="1"/>
  <c r="AG96" i="18" s="1"/>
  <c r="L96" i="6"/>
  <c r="I21" i="5"/>
  <c r="I40" i="5"/>
  <c r="I84" i="5"/>
  <c r="W27" i="3"/>
  <c r="W58" i="3"/>
  <c r="W75" i="3"/>
  <c r="W76" i="3"/>
  <c r="W19" i="3"/>
  <c r="W73" i="3"/>
  <c r="W44" i="3"/>
  <c r="W57" i="3"/>
  <c r="W74" i="3"/>
  <c r="D86" i="5"/>
  <c r="U96" i="18"/>
  <c r="B96" i="7"/>
  <c r="B95" i="7"/>
  <c r="AG45" i="18" l="1"/>
  <c r="AG51" i="18" s="1"/>
  <c r="AC51" i="18"/>
  <c r="M29" i="19"/>
  <c r="AC29" i="19" s="1"/>
  <c r="AC29" i="6"/>
  <c r="AG29" i="6" s="1"/>
  <c r="M94" i="19"/>
  <c r="AC94" i="19" s="1"/>
  <c r="AK94" i="19" s="1"/>
  <c r="AC94" i="6"/>
  <c r="AG94" i="6" s="1"/>
  <c r="AG35" i="18"/>
  <c r="AG37" i="18" s="1"/>
  <c r="AC37" i="18"/>
  <c r="AC86" i="18"/>
  <c r="AG80" i="18"/>
  <c r="AG86" i="18" s="1"/>
  <c r="M14" i="19"/>
  <c r="AC14" i="19" s="1"/>
  <c r="AK14" i="19" s="1"/>
  <c r="AC14" i="6"/>
  <c r="AG14" i="6" s="1"/>
  <c r="M59" i="19"/>
  <c r="AC59" i="19" s="1"/>
  <c r="AC59" i="6"/>
  <c r="AG59" i="6" s="1"/>
  <c r="M19" i="19"/>
  <c r="AC19" i="19" s="1"/>
  <c r="AK19" i="19" s="1"/>
  <c r="AC19" i="6"/>
  <c r="AG19" i="6" s="1"/>
  <c r="M38" i="19"/>
  <c r="AC38" i="19" s="1"/>
  <c r="AC38" i="6"/>
  <c r="AG38" i="6" s="1"/>
  <c r="M17" i="19"/>
  <c r="AC17" i="19" s="1"/>
  <c r="AK17" i="19" s="1"/>
  <c r="AC17" i="6"/>
  <c r="AG17" i="6" s="1"/>
  <c r="AC25" i="18"/>
  <c r="AG23" i="18"/>
  <c r="AG25" i="18" s="1"/>
  <c r="AG52" i="18"/>
  <c r="AG58" i="18" s="1"/>
  <c r="AC58" i="18"/>
  <c r="M32" i="19"/>
  <c r="AC32" i="19" s="1"/>
  <c r="AC32" i="6"/>
  <c r="M73" i="19"/>
  <c r="AG29" i="18"/>
  <c r="AG31" i="18" s="1"/>
  <c r="AC31" i="18"/>
  <c r="M26" i="19"/>
  <c r="AC26" i="19" s="1"/>
  <c r="AC26" i="6"/>
  <c r="AG26" i="6" s="1"/>
  <c r="M20" i="19"/>
  <c r="AC20" i="19" s="1"/>
  <c r="AC20" i="6"/>
  <c r="AG20" i="6" s="1"/>
  <c r="M45" i="19"/>
  <c r="AC45" i="19" s="1"/>
  <c r="AC45" i="6"/>
  <c r="AG45" i="6" s="1"/>
  <c r="M95" i="19"/>
  <c r="AC95" i="19" s="1"/>
  <c r="AK95" i="19" s="1"/>
  <c r="AC95" i="6"/>
  <c r="AG95" i="6" s="1"/>
  <c r="AC44" i="18"/>
  <c r="AG38" i="18"/>
  <c r="AG44" i="18" s="1"/>
  <c r="M35" i="19"/>
  <c r="AC35" i="19" s="1"/>
  <c r="AC35" i="6"/>
  <c r="AG35" i="6" s="1"/>
  <c r="AC15" i="6"/>
  <c r="AG15" i="6" s="1"/>
  <c r="M15" i="19"/>
  <c r="AC15" i="19" s="1"/>
  <c r="AK15" i="19" s="1"/>
  <c r="AG59" i="18"/>
  <c r="AG65" i="18" s="1"/>
  <c r="AC65" i="18"/>
  <c r="M80" i="19"/>
  <c r="AC80" i="19" s="1"/>
  <c r="AC80" i="6"/>
  <c r="AC34" i="18"/>
  <c r="AG32" i="18"/>
  <c r="AG34" i="18" s="1"/>
  <c r="M23" i="19"/>
  <c r="AC23" i="19" s="1"/>
  <c r="AC23" i="6"/>
  <c r="M96" i="19"/>
  <c r="AC96" i="19" s="1"/>
  <c r="AK96" i="19" s="1"/>
  <c r="AC96" i="6"/>
  <c r="AG96" i="6" s="1"/>
  <c r="M18" i="19"/>
  <c r="AC18" i="19" s="1"/>
  <c r="AK18" i="19" s="1"/>
  <c r="AC18" i="6"/>
  <c r="AG18" i="6" s="1"/>
  <c r="M16" i="19"/>
  <c r="AC16" i="19" s="1"/>
  <c r="AK16" i="19" s="1"/>
  <c r="AC16" i="6"/>
  <c r="AG16" i="6" s="1"/>
  <c r="M66" i="19"/>
  <c r="AG26" i="18"/>
  <c r="AG28" i="18" s="1"/>
  <c r="AC28" i="18"/>
  <c r="M52" i="19"/>
  <c r="AC52" i="19" s="1"/>
  <c r="AC52" i="6"/>
  <c r="AG52" i="6" s="1"/>
  <c r="AG20" i="18"/>
  <c r="AG22" i="18" s="1"/>
  <c r="AC22" i="18"/>
  <c r="U96" i="6"/>
  <c r="V96" i="19" s="1"/>
  <c r="AC25" i="6" l="1"/>
  <c r="AG23" i="6"/>
  <c r="AG25" i="6" s="1"/>
  <c r="AC86" i="19"/>
  <c r="AK80" i="19"/>
  <c r="AK86" i="19" s="1"/>
  <c r="AC37" i="19"/>
  <c r="AK35" i="19"/>
  <c r="AK37" i="19" s="1"/>
  <c r="AK45" i="19"/>
  <c r="AK51" i="19" s="1"/>
  <c r="AC51" i="19"/>
  <c r="AC58" i="19"/>
  <c r="AK52" i="19"/>
  <c r="AK58" i="19" s="1"/>
  <c r="AC44" i="19"/>
  <c r="AK38" i="19"/>
  <c r="AK44" i="19" s="1"/>
  <c r="AC25" i="19"/>
  <c r="AK23" i="19"/>
  <c r="AK25" i="19" s="1"/>
  <c r="AC65" i="19"/>
  <c r="AK59" i="19"/>
  <c r="AK65" i="19" s="1"/>
  <c r="AK20" i="19"/>
  <c r="AK22" i="19" s="1"/>
  <c r="AC22" i="19"/>
  <c r="AG32" i="6"/>
  <c r="AG34" i="6" s="1"/>
  <c r="AC34" i="6"/>
  <c r="AC31" i="19"/>
  <c r="AK29" i="19"/>
  <c r="AK31" i="19" s="1"/>
  <c r="AC86" i="6"/>
  <c r="AG80" i="6"/>
  <c r="AG86" i="6" s="1"/>
  <c r="AC28" i="19"/>
  <c r="AK26" i="19"/>
  <c r="AK28" i="19" s="1"/>
  <c r="AC34" i="19"/>
  <c r="AK32" i="19"/>
  <c r="AK34" i="19" s="1"/>
  <c r="Q96" i="7"/>
  <c r="H96" i="6" l="1"/>
  <c r="E84" i="5"/>
  <c r="E70" i="3"/>
  <c r="E31" i="3"/>
  <c r="E39" i="3"/>
  <c r="F24" i="3"/>
  <c r="E24" i="3"/>
  <c r="E32" i="3"/>
  <c r="E40" i="3"/>
  <c r="F48" i="3"/>
  <c r="E48" i="3"/>
  <c r="F56" i="3"/>
  <c r="E56" i="3"/>
  <c r="E64" i="3"/>
  <c r="E72" i="3"/>
  <c r="E46" i="3"/>
  <c r="E47" i="3"/>
  <c r="E17" i="3"/>
  <c r="E25" i="3"/>
  <c r="E33" i="3"/>
  <c r="F33" i="3"/>
  <c r="E41" i="3"/>
  <c r="E49" i="3"/>
  <c r="F49" i="3"/>
  <c r="E57" i="3"/>
  <c r="F57" i="3"/>
  <c r="E65" i="3"/>
  <c r="E73" i="3"/>
  <c r="F62" i="3"/>
  <c r="E62" i="3"/>
  <c r="E71" i="3"/>
  <c r="F18" i="3"/>
  <c r="E18" i="3"/>
  <c r="F26" i="3"/>
  <c r="E26" i="3"/>
  <c r="F34" i="3"/>
  <c r="E34" i="3"/>
  <c r="F42" i="3"/>
  <c r="E42" i="3"/>
  <c r="F50" i="3"/>
  <c r="E50" i="3"/>
  <c r="E58" i="3"/>
  <c r="F66" i="3"/>
  <c r="E66" i="3"/>
  <c r="E74" i="3"/>
  <c r="F38" i="3"/>
  <c r="E38" i="3"/>
  <c r="E55" i="3"/>
  <c r="F55" i="3"/>
  <c r="F19" i="3"/>
  <c r="E19" i="3"/>
  <c r="E27" i="3"/>
  <c r="E35" i="3"/>
  <c r="F43" i="3"/>
  <c r="E43" i="3"/>
  <c r="E51" i="3"/>
  <c r="E59" i="3"/>
  <c r="E67" i="3"/>
  <c r="E75" i="3"/>
  <c r="E83" i="3"/>
  <c r="E23" i="3"/>
  <c r="F23" i="3"/>
  <c r="E63" i="3"/>
  <c r="F20" i="3"/>
  <c r="E20" i="3"/>
  <c r="E28" i="3"/>
  <c r="F36" i="3"/>
  <c r="E36" i="3"/>
  <c r="E44" i="3"/>
  <c r="F44" i="3"/>
  <c r="E52" i="3"/>
  <c r="F60" i="3"/>
  <c r="E60" i="3"/>
  <c r="E68" i="3"/>
  <c r="E76" i="3"/>
  <c r="E84" i="3"/>
  <c r="F22" i="3"/>
  <c r="E22" i="3"/>
  <c r="F54" i="3"/>
  <c r="E54" i="3"/>
  <c r="F21" i="3"/>
  <c r="E21" i="3"/>
  <c r="F37" i="3"/>
  <c r="E37" i="3"/>
  <c r="E45" i="3"/>
  <c r="E53" i="3"/>
  <c r="F61" i="3"/>
  <c r="E61" i="3"/>
  <c r="E69" i="3"/>
  <c r="E85" i="3"/>
  <c r="O77" i="22" l="1"/>
  <c r="Q77" i="22" s="1"/>
  <c r="O77" i="23"/>
  <c r="Q77" i="23" s="1"/>
  <c r="F59" i="3"/>
  <c r="F25" i="3"/>
  <c r="F65" i="3"/>
  <c r="F35" i="3"/>
  <c r="T66" i="18"/>
  <c r="T66" i="6"/>
  <c r="J58" i="5"/>
  <c r="AA39" i="25"/>
  <c r="L39" i="20"/>
  <c r="F73" i="3"/>
  <c r="F69" i="3"/>
  <c r="F52" i="3"/>
  <c r="F75" i="3"/>
  <c r="F58" i="3"/>
  <c r="F39" i="3"/>
  <c r="F67" i="3"/>
  <c r="F46" i="3"/>
  <c r="F71" i="3"/>
  <c r="F40" i="3"/>
  <c r="F31" i="3"/>
  <c r="F76" i="3"/>
  <c r="F63" i="3"/>
  <c r="F68" i="3"/>
  <c r="F74" i="3"/>
  <c r="F72" i="3"/>
  <c r="F64" i="3"/>
  <c r="F45" i="3"/>
  <c r="F28" i="3"/>
  <c r="F83" i="3"/>
  <c r="F51" i="3"/>
  <c r="F32" i="3"/>
  <c r="F70" i="3"/>
  <c r="W96" i="6"/>
  <c r="F84" i="3"/>
  <c r="F17" i="3"/>
  <c r="F27" i="3"/>
  <c r="F53" i="3"/>
  <c r="F41" i="3"/>
  <c r="F47" i="3"/>
  <c r="F85" i="3"/>
  <c r="J70" i="23" l="1"/>
  <c r="J70" i="22"/>
  <c r="J71" i="22"/>
  <c r="J71" i="23"/>
  <c r="M73" i="23"/>
  <c r="M73" i="22"/>
  <c r="K11" i="23"/>
  <c r="K11" i="22"/>
  <c r="J73" i="23"/>
  <c r="J73" i="22"/>
  <c r="M75" i="22"/>
  <c r="M75" i="23"/>
  <c r="J72" i="23"/>
  <c r="J72" i="22"/>
  <c r="J22" i="23"/>
  <c r="J22" i="22"/>
  <c r="J74" i="22"/>
  <c r="J74" i="23"/>
  <c r="J23" i="22"/>
  <c r="J23" i="23"/>
  <c r="J75" i="23"/>
  <c r="J75" i="22"/>
  <c r="M72" i="22"/>
  <c r="M72" i="23"/>
  <c r="M74" i="23"/>
  <c r="M74" i="22"/>
  <c r="M70" i="23"/>
  <c r="M70" i="22"/>
  <c r="M26" i="23"/>
  <c r="N26" i="23" s="1"/>
  <c r="M26" i="22"/>
  <c r="N26" i="22" s="1"/>
  <c r="M27" i="23"/>
  <c r="N27" i="23" s="1"/>
  <c r="M27" i="22"/>
  <c r="N27" i="22" s="1"/>
  <c r="M71" i="23"/>
  <c r="M71" i="22"/>
  <c r="G84" i="3"/>
  <c r="Z38" i="14"/>
  <c r="AA39" i="21"/>
  <c r="L39" i="13"/>
  <c r="T73" i="18"/>
  <c r="T73" i="6"/>
  <c r="J64" i="5"/>
  <c r="U66" i="19"/>
  <c r="P66" i="7"/>
  <c r="X66" i="6"/>
  <c r="AC66" i="6"/>
  <c r="X66" i="18"/>
  <c r="X72" i="18" s="1"/>
  <c r="AC66" i="18"/>
  <c r="E30" i="3"/>
  <c r="G85" i="3"/>
  <c r="N74" i="22" l="1"/>
  <c r="N73" i="23"/>
  <c r="N75" i="23"/>
  <c r="N72" i="23"/>
  <c r="N74" i="23"/>
  <c r="N71" i="23"/>
  <c r="N73" i="22"/>
  <c r="N71" i="22"/>
  <c r="N75" i="22"/>
  <c r="N70" i="22"/>
  <c r="K12" i="23"/>
  <c r="K12" i="22"/>
  <c r="L22" i="23"/>
  <c r="N22" i="23" s="1"/>
  <c r="L22" i="22"/>
  <c r="N22" i="22" s="1"/>
  <c r="L23" i="22"/>
  <c r="N23" i="22" s="1"/>
  <c r="L23" i="23"/>
  <c r="N70" i="23"/>
  <c r="L11" i="22"/>
  <c r="N11" i="22" s="1"/>
  <c r="L11" i="23"/>
  <c r="N11" i="23" s="1"/>
  <c r="N23" i="23"/>
  <c r="N72" i="22"/>
  <c r="AG66" i="6"/>
  <c r="Y66" i="19"/>
  <c r="Y72" i="19" s="1"/>
  <c r="AC66" i="19"/>
  <c r="AG66" i="18"/>
  <c r="AG72" i="18" s="1"/>
  <c r="AC72" i="18"/>
  <c r="U73" i="19"/>
  <c r="P73" i="7"/>
  <c r="X73" i="6"/>
  <c r="AC73" i="6"/>
  <c r="X73" i="18"/>
  <c r="X79" i="18" s="1"/>
  <c r="X3" i="18" s="1"/>
  <c r="AC73" i="18"/>
  <c r="F80" i="3"/>
  <c r="F79" i="3"/>
  <c r="F82" i="3"/>
  <c r="F81" i="3"/>
  <c r="F78" i="3"/>
  <c r="E78" i="3"/>
  <c r="F30" i="3"/>
  <c r="E79" i="3"/>
  <c r="E82" i="3"/>
  <c r="E80" i="3"/>
  <c r="E81" i="3"/>
  <c r="H14" i="6"/>
  <c r="W14" i="6" s="1"/>
  <c r="Z14" i="6" s="1"/>
  <c r="E16" i="5"/>
  <c r="E31" i="5"/>
  <c r="H33" i="6"/>
  <c r="E30" i="5"/>
  <c r="H32" i="6"/>
  <c r="E77" i="3"/>
  <c r="E71" i="5"/>
  <c r="H81" i="6"/>
  <c r="E28" i="5"/>
  <c r="H29" i="6"/>
  <c r="E73" i="5"/>
  <c r="H83" i="6"/>
  <c r="E83" i="5"/>
  <c r="H95" i="6"/>
  <c r="E70" i="5"/>
  <c r="H80" i="6"/>
  <c r="E72" i="5"/>
  <c r="H82" i="6"/>
  <c r="E74" i="5"/>
  <c r="H84" i="6"/>
  <c r="E75" i="5"/>
  <c r="H85" i="6"/>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U87" i="18"/>
  <c r="U80" i="18"/>
  <c r="U73" i="18"/>
  <c r="U59" i="18"/>
  <c r="U52" i="18"/>
  <c r="U45" i="18"/>
  <c r="U38" i="18"/>
  <c r="U23" i="18"/>
  <c r="U66" i="18"/>
  <c r="U94" i="18"/>
  <c r="U95" i="18"/>
  <c r="U32" i="18"/>
  <c r="U29" i="18"/>
  <c r="U26" i="18"/>
  <c r="K13" i="23" l="1"/>
  <c r="K13" i="22"/>
  <c r="AG73" i="6"/>
  <c r="AG73" i="18"/>
  <c r="AG79" i="18" s="1"/>
  <c r="AG3" i="18" s="1"/>
  <c r="AR4" i="18" s="1"/>
  <c r="AC79" i="18"/>
  <c r="AC3" i="18" s="1"/>
  <c r="AC72" i="19"/>
  <c r="AK66" i="19"/>
  <c r="AK72" i="19" s="1"/>
  <c r="U14" i="18"/>
  <c r="U14" i="6"/>
  <c r="Y73" i="19"/>
  <c r="Y79" i="19" s="1"/>
  <c r="Y3" i="19" s="1"/>
  <c r="AC73" i="19"/>
  <c r="H30" i="6"/>
  <c r="E29" i="5"/>
  <c r="F77" i="3"/>
  <c r="U26" i="6"/>
  <c r="V26" i="19" s="1"/>
  <c r="U23" i="6"/>
  <c r="V23" i="19" s="1"/>
  <c r="U87" i="6"/>
  <c r="V87" i="19" s="1"/>
  <c r="U29" i="6"/>
  <c r="V29" i="19" s="1"/>
  <c r="U45" i="6"/>
  <c r="V45" i="19" s="1"/>
  <c r="U52" i="6"/>
  <c r="V52" i="19" s="1"/>
  <c r="U95" i="6"/>
  <c r="V95" i="19" s="1"/>
  <c r="U59" i="6"/>
  <c r="V59" i="19" s="1"/>
  <c r="U38" i="6"/>
  <c r="V38" i="19" s="1"/>
  <c r="U94" i="6"/>
  <c r="V94" i="19" s="1"/>
  <c r="U73" i="6"/>
  <c r="V73" i="19" s="1"/>
  <c r="U66" i="6"/>
  <c r="V66" i="19" s="1"/>
  <c r="U80" i="6"/>
  <c r="V80" i="19" s="1"/>
  <c r="U35" i="6"/>
  <c r="V35" i="19" s="1"/>
  <c r="U32" i="6"/>
  <c r="V32" i="19" s="1"/>
  <c r="E17" i="5"/>
  <c r="H15" i="6"/>
  <c r="W82" i="6"/>
  <c r="W29" i="6"/>
  <c r="W33" i="6"/>
  <c r="W81" i="6"/>
  <c r="F29" i="3"/>
  <c r="W85" i="6"/>
  <c r="W95" i="6"/>
  <c r="W83" i="6"/>
  <c r="W32" i="6"/>
  <c r="W80" i="6"/>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K14" i="23" l="1"/>
  <c r="K14" i="22"/>
  <c r="W30" i="6"/>
  <c r="W15" i="6"/>
  <c r="AK73" i="19"/>
  <c r="AK79" i="19" s="1"/>
  <c r="AK3" i="19" s="1"/>
  <c r="AV4" i="19" s="1"/>
  <c r="AC79" i="19"/>
  <c r="AC3" i="19" s="1"/>
  <c r="V14" i="19"/>
  <c r="Q14" i="7"/>
  <c r="U15" i="18"/>
  <c r="U15" i="6"/>
  <c r="F87" i="3"/>
  <c r="G17" i="3"/>
  <c r="Q59" i="7"/>
  <c r="Q73" i="7"/>
  <c r="Q95" i="7"/>
  <c r="Q87" i="7"/>
  <c r="Q94" i="7"/>
  <c r="Q52" i="7"/>
  <c r="Q23" i="7"/>
  <c r="Q66" i="7"/>
  <c r="Q80" i="7"/>
  <c r="Q38" i="7"/>
  <c r="Q45" i="7"/>
  <c r="Q26" i="7"/>
  <c r="Q29" i="7"/>
  <c r="Q35" i="7"/>
  <c r="Q32" i="7"/>
  <c r="Z15" i="6"/>
  <c r="F95" i="6"/>
  <c r="AM95" i="6" s="1"/>
  <c r="F94" i="6"/>
  <c r="F96" i="6"/>
  <c r="AM96" i="6" s="1"/>
  <c r="W34" i="6"/>
  <c r="Z34" i="6" s="1"/>
  <c r="W86" i="6"/>
  <c r="Z86" i="6" s="1"/>
  <c r="E8" i="7"/>
  <c r="D11" i="5"/>
  <c r="D10" i="5"/>
  <c r="F10" i="5" s="1"/>
  <c r="F12" i="3"/>
  <c r="G12" i="3" s="1"/>
  <c r="F11" i="3"/>
  <c r="G11" i="3" s="1"/>
  <c r="O76" i="22" l="1"/>
  <c r="Q76" i="22" s="1"/>
  <c r="O76" i="23"/>
  <c r="Q76" i="23" s="1"/>
  <c r="K15" i="23"/>
  <c r="K15" i="22"/>
  <c r="V15" i="19"/>
  <c r="Q15" i="7"/>
  <c r="G71" i="3"/>
  <c r="G31" i="3"/>
  <c r="F8" i="6"/>
  <c r="R9" i="6"/>
  <c r="S9" i="6" s="1"/>
  <c r="T9" i="6" s="1"/>
  <c r="U9" i="6" s="1"/>
  <c r="O9" i="7"/>
  <c r="P9" i="7" s="1"/>
  <c r="Q9" i="7" s="1"/>
  <c r="G18" i="3" l="1"/>
  <c r="U16" i="18" l="1"/>
  <c r="U16" i="6"/>
  <c r="BC10" i="7"/>
  <c r="BC13" i="7" s="1"/>
  <c r="V16" i="19" l="1"/>
  <c r="Q16" i="7"/>
  <c r="V87" i="3" l="1"/>
  <c r="AS93" i="7" l="1"/>
  <c r="AR93" i="7"/>
  <c r="AS79" i="7"/>
  <c r="AR79" i="7"/>
  <c r="AS72" i="7"/>
  <c r="AR72" i="7"/>
  <c r="AS65" i="7"/>
  <c r="AR65" i="7"/>
  <c r="AS58" i="7"/>
  <c r="AR58" i="7"/>
  <c r="AS51" i="7"/>
  <c r="AR51" i="7"/>
  <c r="AS44" i="7"/>
  <c r="AR44" i="7"/>
  <c r="AS37" i="7"/>
  <c r="AR37" i="7"/>
  <c r="AS31" i="7"/>
  <c r="AR31" i="7"/>
  <c r="AS28" i="7"/>
  <c r="AR28" i="7"/>
  <c r="AS22" i="7"/>
  <c r="AR22" i="7"/>
  <c r="AR3" i="7" s="1"/>
  <c r="AS3" i="7" l="1"/>
  <c r="U13" i="3"/>
  <c r="X87" i="3" s="1"/>
  <c r="P87" i="6" l="1"/>
  <c r="O87" i="6"/>
  <c r="M87" i="6"/>
  <c r="N87" i="19" s="1"/>
  <c r="P87" i="19" l="1"/>
  <c r="Z87" i="19" s="1"/>
  <c r="Z93" i="19" s="1"/>
  <c r="Q87" i="19"/>
  <c r="Y87" i="6"/>
  <c r="V12" i="3"/>
  <c r="B87" i="7" l="1"/>
  <c r="E81" i="5" l="1"/>
  <c r="H92" i="6"/>
  <c r="E78" i="5"/>
  <c r="H89" i="6"/>
  <c r="E76" i="5"/>
  <c r="H87" i="6"/>
  <c r="E77" i="5"/>
  <c r="H88" i="6"/>
  <c r="E79" i="5"/>
  <c r="H90" i="6"/>
  <c r="E80" i="5"/>
  <c r="H91" i="6"/>
  <c r="N87" i="6"/>
  <c r="O87" i="19" s="1"/>
  <c r="AD87" i="19" s="1"/>
  <c r="AL87" i="19" l="1"/>
  <c r="AL93" i="19" s="1"/>
  <c r="AD93" i="19"/>
  <c r="W88" i="6"/>
  <c r="W87" i="6"/>
  <c r="W89" i="6"/>
  <c r="W91" i="6"/>
  <c r="W90" i="6"/>
  <c r="W92" i="6"/>
  <c r="AD87" i="6"/>
  <c r="AH87" i="6" s="1"/>
  <c r="W93" i="6" l="1"/>
  <c r="U20" i="18"/>
  <c r="U19" i="18" l="1"/>
  <c r="U19" i="6"/>
  <c r="U20" i="6"/>
  <c r="V20" i="19" s="1"/>
  <c r="V19" i="19" l="1"/>
  <c r="Q19" i="7"/>
  <c r="Q20" i="7"/>
  <c r="E12" i="3" l="1"/>
  <c r="E13" i="3"/>
  <c r="Q13" i="3" l="1"/>
  <c r="U93" i="7" l="1"/>
  <c r="T93" i="7"/>
  <c r="U79" i="7"/>
  <c r="T79" i="7"/>
  <c r="U72" i="7"/>
  <c r="T72" i="7"/>
  <c r="U65" i="7"/>
  <c r="T65" i="7"/>
  <c r="U58" i="7"/>
  <c r="T58" i="7"/>
  <c r="U51" i="7"/>
  <c r="T51" i="7"/>
  <c r="U44" i="7"/>
  <c r="T44" i="7"/>
  <c r="U37" i="7"/>
  <c r="T37" i="7"/>
  <c r="U31" i="7"/>
  <c r="T31" i="7"/>
  <c r="U28" i="7"/>
  <c r="T28" i="7"/>
  <c r="U22" i="7"/>
  <c r="T22" i="7"/>
  <c r="Y93" i="7"/>
  <c r="X93" i="7"/>
  <c r="Y79" i="7"/>
  <c r="X79" i="7"/>
  <c r="Y72" i="7"/>
  <c r="X72" i="7"/>
  <c r="Y65" i="7"/>
  <c r="X65" i="7"/>
  <c r="Y58" i="7"/>
  <c r="X58" i="7"/>
  <c r="Y51" i="7"/>
  <c r="X51" i="7"/>
  <c r="Y44" i="7"/>
  <c r="X44" i="7"/>
  <c r="Y37" i="7"/>
  <c r="X37" i="7"/>
  <c r="Y31" i="7"/>
  <c r="X31" i="7"/>
  <c r="Y28" i="7"/>
  <c r="X28" i="7"/>
  <c r="Y22" i="7"/>
  <c r="X22" i="7"/>
  <c r="AC93" i="7"/>
  <c r="AB93" i="7"/>
  <c r="AC79" i="7"/>
  <c r="AB79" i="7"/>
  <c r="AC72" i="7"/>
  <c r="AB72" i="7"/>
  <c r="AC65" i="7"/>
  <c r="AB65" i="7"/>
  <c r="AC58" i="7"/>
  <c r="AB58" i="7"/>
  <c r="AC51" i="7"/>
  <c r="AB51" i="7"/>
  <c r="AC44" i="7"/>
  <c r="AB44" i="7"/>
  <c r="AC37" i="7"/>
  <c r="AB37" i="7"/>
  <c r="AC31" i="7"/>
  <c r="AB31" i="7"/>
  <c r="AC28" i="7"/>
  <c r="AB28" i="7"/>
  <c r="AC22" i="7"/>
  <c r="AB22" i="7"/>
  <c r="AC3" i="7" l="1"/>
  <c r="T3" i="7"/>
  <c r="X3" i="7"/>
  <c r="U3" i="7"/>
  <c r="Y3" i="7"/>
  <c r="AB3" i="7"/>
  <c r="R12" i="3"/>
  <c r="N11" i="5"/>
  <c r="M12" i="5"/>
  <c r="AW93" i="7" l="1"/>
  <c r="AW79" i="7"/>
  <c r="AW72" i="7"/>
  <c r="AW65" i="7"/>
  <c r="AW58" i="7"/>
  <c r="AW51" i="7"/>
  <c r="AW44" i="7"/>
  <c r="AW37" i="7"/>
  <c r="AW31" i="7"/>
  <c r="AW28" i="7"/>
  <c r="AW22" i="7"/>
  <c r="AV51" i="7"/>
  <c r="AV28" i="7"/>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3" i="7"/>
  <c r="A2" i="7"/>
  <c r="A1" i="7"/>
  <c r="AW3" i="7" l="1"/>
  <c r="AV58" i="7"/>
  <c r="AV44" i="7"/>
  <c r="AV65" i="7"/>
  <c r="AV93" i="7"/>
  <c r="AV22" i="7"/>
  <c r="AV31" i="7"/>
  <c r="AV72" i="7"/>
  <c r="AV79" i="7"/>
  <c r="AV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V3" i="7" l="1"/>
  <c r="M65" i="3"/>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R17" i="3"/>
  <c r="M17" i="3"/>
  <c r="M87" i="3" l="1"/>
  <c r="O87" i="3" s="1"/>
  <c r="O39" i="3" s="1"/>
  <c r="J87" i="3"/>
  <c r="K87" i="3" s="1"/>
  <c r="R87" i="3"/>
  <c r="T87" i="3" s="1"/>
  <c r="AZ15" i="7"/>
  <c r="X17" i="3"/>
  <c r="O44" i="3" l="1"/>
  <c r="P44" i="3" s="1"/>
  <c r="O65" i="3"/>
  <c r="P65" i="3" s="1"/>
  <c r="O34" i="3"/>
  <c r="O66" i="3"/>
  <c r="P66" i="3" s="1"/>
  <c r="O27" i="3"/>
  <c r="P27" i="3" s="1"/>
  <c r="O59" i="3"/>
  <c r="P59" i="3" s="1"/>
  <c r="O31" i="3"/>
  <c r="O48" i="3"/>
  <c r="P48" i="3" s="1"/>
  <c r="O80" i="3"/>
  <c r="N80" i="3" s="1"/>
  <c r="O73" i="3"/>
  <c r="N73" i="3" s="1"/>
  <c r="O37" i="3"/>
  <c r="P37" i="3" s="1"/>
  <c r="O69" i="3"/>
  <c r="P69" i="3" s="1"/>
  <c r="O30" i="3"/>
  <c r="P30" i="3" s="1"/>
  <c r="O62" i="3"/>
  <c r="P62" i="3" s="1"/>
  <c r="O47" i="3"/>
  <c r="O57" i="3"/>
  <c r="P57" i="3" s="1"/>
  <c r="O22" i="3"/>
  <c r="P22" i="3" s="1"/>
  <c r="O76" i="3"/>
  <c r="P76" i="3" s="1"/>
  <c r="O20" i="3"/>
  <c r="O52" i="3"/>
  <c r="O84" i="3"/>
  <c r="P84" i="3" s="1"/>
  <c r="O81" i="3"/>
  <c r="P81" i="3" s="1"/>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N18" i="3" s="1"/>
  <c r="O50" i="3"/>
  <c r="N50" i="3" s="1"/>
  <c r="O82" i="3"/>
  <c r="O43" i="3"/>
  <c r="O75" i="3"/>
  <c r="P75" i="3" s="1"/>
  <c r="O40" i="3"/>
  <c r="N40" i="3" s="1"/>
  <c r="O61" i="3"/>
  <c r="P61" i="3" s="1"/>
  <c r="O24" i="3"/>
  <c r="O17" i="3"/>
  <c r="N17" i="3" s="1"/>
  <c r="O77" i="3"/>
  <c r="P77" i="3" s="1"/>
  <c r="O32" i="3"/>
  <c r="P32" i="3" s="1"/>
  <c r="O41" i="3"/>
  <c r="P41" i="3" s="1"/>
  <c r="O53" i="3"/>
  <c r="O46" i="3"/>
  <c r="O78" i="3"/>
  <c r="O72" i="3"/>
  <c r="O54" i="3"/>
  <c r="P54" i="3" s="1"/>
  <c r="O25" i="3"/>
  <c r="P25" i="3" s="1"/>
  <c r="O38" i="3"/>
  <c r="P38" i="3" s="1"/>
  <c r="O64" i="3"/>
  <c r="N64" i="3" s="1"/>
  <c r="O21" i="3"/>
  <c r="P21" i="3" s="1"/>
  <c r="O85" i="3"/>
  <c r="P85" i="3" s="1"/>
  <c r="O36" i="3"/>
  <c r="O68" i="3"/>
  <c r="O49" i="3"/>
  <c r="P49" i="3" s="1"/>
  <c r="O26" i="3"/>
  <c r="N26" i="3" s="1"/>
  <c r="O58" i="3"/>
  <c r="O19" i="3"/>
  <c r="P19" i="3" s="1"/>
  <c r="O51" i="3"/>
  <c r="P51" i="3" s="1"/>
  <c r="O83" i="3"/>
  <c r="O63" i="3"/>
  <c r="O71"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N23" i="3"/>
  <c r="P23" i="3"/>
  <c r="N39" i="3"/>
  <c r="P39" i="3"/>
  <c r="P20" i="3"/>
  <c r="N20" i="3"/>
  <c r="P52" i="3"/>
  <c r="N52" i="3"/>
  <c r="N47" i="3"/>
  <c r="P47" i="3"/>
  <c r="N24" i="3"/>
  <c r="P24" i="3"/>
  <c r="N38" i="3"/>
  <c r="N55" i="3"/>
  <c r="P55" i="3"/>
  <c r="P34" i="3"/>
  <c r="N34" i="3"/>
  <c r="P33" i="3"/>
  <c r="N33" i="3"/>
  <c r="P82" i="3"/>
  <c r="N82" i="3"/>
  <c r="N63" i="3"/>
  <c r="P63" i="3"/>
  <c r="N31" i="3"/>
  <c r="P31"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N49" i="3"/>
  <c r="P58" i="3"/>
  <c r="N58" i="3"/>
  <c r="W17" i="3"/>
  <c r="P18" i="3" l="1"/>
  <c r="P17" i="3"/>
  <c r="N27" i="3"/>
  <c r="N54" i="3"/>
  <c r="N84" i="3"/>
  <c r="N30" i="3"/>
  <c r="P26" i="3"/>
  <c r="N77" i="3"/>
  <c r="N81" i="3"/>
  <c r="N62" i="3"/>
  <c r="N25" i="3"/>
  <c r="P50" i="3"/>
  <c r="N56" i="3"/>
  <c r="N59" i="3"/>
  <c r="N21" i="3"/>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S14" i="7" s="1"/>
  <c r="E55" i="7"/>
  <c r="E76" i="7"/>
  <c r="E89" i="7"/>
  <c r="E29" i="7"/>
  <c r="E68" i="7"/>
  <c r="E74" i="7"/>
  <c r="E32" i="7"/>
  <c r="S32" i="7" s="1"/>
  <c r="E59" i="7"/>
  <c r="E35" i="7"/>
  <c r="E83" i="7"/>
  <c r="S83" i="7" s="1"/>
  <c r="E30" i="7"/>
  <c r="E50" i="7"/>
  <c r="E33" i="7"/>
  <c r="S33" i="7" s="1"/>
  <c r="E60" i="7"/>
  <c r="E61" i="7"/>
  <c r="E96" i="7"/>
  <c r="S96" i="7" s="1"/>
  <c r="E77" i="7"/>
  <c r="E62" i="7"/>
  <c r="E94" i="7"/>
  <c r="E42" i="7"/>
  <c r="E36" i="7"/>
  <c r="E78" i="7"/>
  <c r="E43" i="7"/>
  <c r="E85" i="7"/>
  <c r="S85" i="7" s="1"/>
  <c r="E21" i="7"/>
  <c r="E56" i="7"/>
  <c r="E40" i="7"/>
  <c r="E15" i="7"/>
  <c r="S15" i="7" s="1"/>
  <c r="E38" i="7"/>
  <c r="E75" i="7"/>
  <c r="E70" i="7"/>
  <c r="E49" i="7"/>
  <c r="E81" i="7"/>
  <c r="S81" i="7" s="1"/>
  <c r="E41" i="7"/>
  <c r="E20" i="7"/>
  <c r="E92" i="7"/>
  <c r="E95" i="7"/>
  <c r="S95" i="7" s="1"/>
  <c r="E24" i="7"/>
  <c r="S24" i="7" s="1"/>
  <c r="E64" i="7"/>
  <c r="E16" i="7"/>
  <c r="S16" i="7" s="1"/>
  <c r="E39" i="7"/>
  <c r="S87" i="3"/>
  <c r="E88" i="7"/>
  <c r="E27" i="7"/>
  <c r="E87" i="7"/>
  <c r="E23" i="7"/>
  <c r="S23" i="7" s="1"/>
  <c r="S25" i="7" s="1"/>
  <c r="E67" i="7"/>
  <c r="E19" i="7"/>
  <c r="E53" i="7"/>
  <c r="E47" i="7"/>
  <c r="E90" i="7"/>
  <c r="E66" i="7"/>
  <c r="E91" i="7"/>
  <c r="E17" i="7"/>
  <c r="E63" i="7"/>
  <c r="E46" i="7"/>
  <c r="E26" i="7"/>
  <c r="E48" i="7"/>
  <c r="E80" i="7"/>
  <c r="S80" i="7" s="1"/>
  <c r="E45" i="7"/>
  <c r="E84" i="7"/>
  <c r="S84" i="7" s="1"/>
  <c r="E57" i="7"/>
  <c r="E54" i="7"/>
  <c r="E82" i="7"/>
  <c r="S82" i="7" s="1"/>
  <c r="E52" i="7"/>
  <c r="E71" i="7"/>
  <c r="E73" i="7"/>
  <c r="E18" i="7"/>
  <c r="E69" i="7"/>
  <c r="W87" i="3"/>
  <c r="G10" i="5"/>
  <c r="K10" i="5" s="1"/>
  <c r="G9" i="5"/>
  <c r="S86" i="7" l="1"/>
  <c r="S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19" l="1"/>
  <c r="Z59" i="19" s="1"/>
  <c r="Z65" i="19" s="1"/>
  <c r="P73" i="19"/>
  <c r="Z73" i="19" s="1"/>
  <c r="Z79" i="19" s="1"/>
  <c r="P94" i="19"/>
  <c r="Z94" i="19" s="1"/>
  <c r="Q38" i="19"/>
  <c r="AD38" i="19" s="1"/>
  <c r="P38" i="19"/>
  <c r="Z38" i="19" s="1"/>
  <c r="Z44" i="19" s="1"/>
  <c r="Q52" i="19"/>
  <c r="P66" i="19"/>
  <c r="Z66" i="19" s="1"/>
  <c r="Z72" i="19" s="1"/>
  <c r="P45" i="19"/>
  <c r="Z45" i="19" s="1"/>
  <c r="Z51" i="19" s="1"/>
  <c r="Q59" i="19"/>
  <c r="P52" i="19"/>
  <c r="Z52" i="19" s="1"/>
  <c r="Z58" i="19" s="1"/>
  <c r="Q94" i="19"/>
  <c r="AD94" i="19" s="1"/>
  <c r="Y66" i="6"/>
  <c r="Y38" i="6"/>
  <c r="Y73" i="6"/>
  <c r="Y94" i="6"/>
  <c r="AD38" i="6"/>
  <c r="Y52" i="6"/>
  <c r="AD94" i="6"/>
  <c r="Y45" i="6"/>
  <c r="Y59" i="6"/>
  <c r="A3" i="6"/>
  <c r="A4" i="5"/>
  <c r="K9" i="6"/>
  <c r="AD44" i="19" l="1"/>
  <c r="AL38" i="19"/>
  <c r="AL44" i="19" s="1"/>
  <c r="AL94" i="19"/>
  <c r="Z3" i="19"/>
  <c r="AH94" i="6"/>
  <c r="AH38" i="6"/>
  <c r="G83" i="3" l="1"/>
  <c r="N59" i="18" l="1"/>
  <c r="AD59" i="18" s="1"/>
  <c r="N52" i="18"/>
  <c r="AD52" i="18" s="1"/>
  <c r="P45" i="18"/>
  <c r="N45" i="18"/>
  <c r="AD45" i="18" s="1"/>
  <c r="AD51" i="18" l="1"/>
  <c r="AH45" i="18"/>
  <c r="AH51" i="18" s="1"/>
  <c r="L63" i="23"/>
  <c r="N63" i="23" s="1"/>
  <c r="L63" i="22"/>
  <c r="N63" i="22" s="1"/>
  <c r="AD58" i="18"/>
  <c r="AH52" i="18"/>
  <c r="AH58" i="18" s="1"/>
  <c r="AD65" i="18"/>
  <c r="AH59" i="18"/>
  <c r="AH65" i="18" s="1"/>
  <c r="E53" i="5"/>
  <c r="H60" i="6"/>
  <c r="E46" i="5"/>
  <c r="H52" i="6"/>
  <c r="E32" i="5"/>
  <c r="H35" i="6"/>
  <c r="E82" i="5"/>
  <c r="E47" i="5"/>
  <c r="H53" i="6"/>
  <c r="E49" i="5"/>
  <c r="H55" i="6"/>
  <c r="E55" i="5"/>
  <c r="H62" i="6"/>
  <c r="E50" i="5"/>
  <c r="H56" i="6"/>
  <c r="E56" i="5"/>
  <c r="H63" i="6"/>
  <c r="E33" i="5"/>
  <c r="H36" i="6"/>
  <c r="E54" i="5"/>
  <c r="H61" i="6"/>
  <c r="E51" i="5"/>
  <c r="H57" i="6"/>
  <c r="E57" i="5"/>
  <c r="H64" i="6"/>
  <c r="E48" i="5"/>
  <c r="H54" i="6"/>
  <c r="E52" i="5"/>
  <c r="H59" i="6"/>
  <c r="P66" i="6"/>
  <c r="Q66" i="19" s="1"/>
  <c r="AD66" i="19" s="1"/>
  <c r="N45" i="6"/>
  <c r="O45" i="19" s="1"/>
  <c r="P45" i="6"/>
  <c r="P73" i="6"/>
  <c r="Q73" i="19" s="1"/>
  <c r="AD73" i="19" s="1"/>
  <c r="N59" i="6"/>
  <c r="O59" i="19" s="1"/>
  <c r="AD59" i="19" s="1"/>
  <c r="N52" i="6"/>
  <c r="O52" i="19" s="1"/>
  <c r="AD52" i="19"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L17" i="23" l="1"/>
  <c r="N17" i="23" s="1"/>
  <c r="L17" i="22"/>
  <c r="N17" i="22" s="1"/>
  <c r="L30" i="23"/>
  <c r="N30" i="23" s="1"/>
  <c r="L30" i="22"/>
  <c r="N30" i="22" s="1"/>
  <c r="L62" i="22"/>
  <c r="N62" i="22" s="1"/>
  <c r="L62" i="23"/>
  <c r="N62" i="23" s="1"/>
  <c r="L13" i="22"/>
  <c r="N13" i="22" s="1"/>
  <c r="L13" i="23"/>
  <c r="N13" i="23" s="1"/>
  <c r="L53" i="22"/>
  <c r="N53" i="22" s="1"/>
  <c r="L53" i="23"/>
  <c r="N53" i="23" s="1"/>
  <c r="L59" i="22"/>
  <c r="N59" i="22" s="1"/>
  <c r="L59" i="23"/>
  <c r="N59" i="23" s="1"/>
  <c r="L34" i="23"/>
  <c r="N34" i="23" s="1"/>
  <c r="L34" i="22"/>
  <c r="N34" i="22" s="1"/>
  <c r="L35" i="22"/>
  <c r="N35" i="22" s="1"/>
  <c r="L35" i="23"/>
  <c r="N35" i="23" s="1"/>
  <c r="L20" i="22"/>
  <c r="N20" i="22" s="1"/>
  <c r="L20" i="23"/>
  <c r="N20" i="23" s="1"/>
  <c r="L54" i="23"/>
  <c r="N54" i="23" s="1"/>
  <c r="L54" i="22"/>
  <c r="N54" i="22" s="1"/>
  <c r="L57" i="23"/>
  <c r="N57" i="23" s="1"/>
  <c r="L57" i="22"/>
  <c r="N57" i="22" s="1"/>
  <c r="L16" i="23"/>
  <c r="N16" i="23" s="1"/>
  <c r="L16" i="22"/>
  <c r="N16" i="22" s="1"/>
  <c r="L21" i="23"/>
  <c r="N21" i="23" s="1"/>
  <c r="L21" i="22"/>
  <c r="N21" i="22" s="1"/>
  <c r="L52" i="23"/>
  <c r="N52" i="23" s="1"/>
  <c r="L52" i="22"/>
  <c r="N52" i="22" s="1"/>
  <c r="L33" i="23"/>
  <c r="N33" i="23" s="1"/>
  <c r="L33" i="22"/>
  <c r="N33" i="22" s="1"/>
  <c r="L55" i="23"/>
  <c r="N55" i="23" s="1"/>
  <c r="L55" i="22"/>
  <c r="N55" i="22" s="1"/>
  <c r="L60" i="23"/>
  <c r="N60" i="23" s="1"/>
  <c r="L60" i="22"/>
  <c r="N60" i="22" s="1"/>
  <c r="L12" i="22"/>
  <c r="N12" i="22" s="1"/>
  <c r="L12" i="23"/>
  <c r="N12" i="23" s="1"/>
  <c r="L14" i="23"/>
  <c r="N14" i="23" s="1"/>
  <c r="L14" i="22"/>
  <c r="N14" i="22" s="1"/>
  <c r="L58" i="23"/>
  <c r="N58" i="23" s="1"/>
  <c r="L58" i="22"/>
  <c r="N58" i="22" s="1"/>
  <c r="L37" i="22"/>
  <c r="N37" i="22" s="1"/>
  <c r="L37" i="23"/>
  <c r="N37" i="23" s="1"/>
  <c r="L29" i="22"/>
  <c r="N29" i="22" s="1"/>
  <c r="L29" i="23"/>
  <c r="N29" i="23" s="1"/>
  <c r="L36" i="23"/>
  <c r="N36" i="23" s="1"/>
  <c r="L36" i="22"/>
  <c r="N36" i="22" s="1"/>
  <c r="L31" i="22"/>
  <c r="N31" i="22" s="1"/>
  <c r="L31" i="23"/>
  <c r="N31" i="23" s="1"/>
  <c r="L56" i="23"/>
  <c r="N56" i="23" s="1"/>
  <c r="L56" i="22"/>
  <c r="N56" i="22" s="1"/>
  <c r="L15" i="23"/>
  <c r="N15" i="23" s="1"/>
  <c r="L15" i="22"/>
  <c r="N15" i="22" s="1"/>
  <c r="L28" i="23"/>
  <c r="N28" i="23" s="1"/>
  <c r="L28" i="22"/>
  <c r="N28" i="22" s="1"/>
  <c r="AH3" i="18"/>
  <c r="AR5" i="18" s="1"/>
  <c r="L38" i="23"/>
  <c r="N38" i="23" s="1"/>
  <c r="L38" i="22"/>
  <c r="N38" i="22" s="1"/>
  <c r="L61" i="23"/>
  <c r="N61" i="23" s="1"/>
  <c r="L61" i="22"/>
  <c r="N61" i="22" s="1"/>
  <c r="L32" i="23"/>
  <c r="N32" i="23" s="1"/>
  <c r="L32" i="22"/>
  <c r="N32" i="22" s="1"/>
  <c r="L39" i="23"/>
  <c r="N39" i="23" s="1"/>
  <c r="L39" i="22"/>
  <c r="N39" i="22" s="1"/>
  <c r="AD3" i="18"/>
  <c r="AL73" i="19"/>
  <c r="AL79" i="19" s="1"/>
  <c r="AD79" i="19"/>
  <c r="AD58" i="19"/>
  <c r="AL52" i="19"/>
  <c r="AL58" i="19" s="1"/>
  <c r="AD65" i="19"/>
  <c r="AL59" i="19"/>
  <c r="AL65" i="19" s="1"/>
  <c r="Q45" i="19"/>
  <c r="AD45" i="19" s="1"/>
  <c r="AD72" i="19"/>
  <c r="AL66" i="19"/>
  <c r="AL72" i="19" s="1"/>
  <c r="AQ37" i="19"/>
  <c r="AQ28" i="19"/>
  <c r="AQ44" i="19"/>
  <c r="AQ65" i="19"/>
  <c r="AQ51" i="19"/>
  <c r="AQ79" i="19"/>
  <c r="AQ58" i="19"/>
  <c r="AQ72" i="19"/>
  <c r="AQ94" i="19"/>
  <c r="N74" i="7"/>
  <c r="N47" i="7"/>
  <c r="N56" i="7"/>
  <c r="N66" i="7"/>
  <c r="N75" i="7"/>
  <c r="N38" i="7"/>
  <c r="N39" i="7"/>
  <c r="N48" i="7"/>
  <c r="N57" i="7"/>
  <c r="N67" i="7"/>
  <c r="N76" i="7"/>
  <c r="N64" i="7"/>
  <c r="N49" i="7"/>
  <c r="N59" i="7"/>
  <c r="N68" i="7"/>
  <c r="N77" i="7"/>
  <c r="N55" i="7"/>
  <c r="N40" i="7"/>
  <c r="N41" i="7"/>
  <c r="N50" i="7"/>
  <c r="N60" i="7"/>
  <c r="N69" i="7"/>
  <c r="N78" i="7"/>
  <c r="N46" i="7"/>
  <c r="N26" i="7"/>
  <c r="N42" i="7"/>
  <c r="N52" i="7"/>
  <c r="N61" i="7"/>
  <c r="N70" i="7"/>
  <c r="N94" i="7"/>
  <c r="AM94" i="6"/>
  <c r="N27" i="7"/>
  <c r="N43" i="7"/>
  <c r="N53" i="7"/>
  <c r="N62" i="7"/>
  <c r="N71" i="7"/>
  <c r="N45" i="7"/>
  <c r="N54" i="7"/>
  <c r="N63" i="7"/>
  <c r="N73" i="7"/>
  <c r="N36" i="7"/>
  <c r="N35" i="7"/>
  <c r="E69" i="5"/>
  <c r="H78" i="6"/>
  <c r="W57" i="6"/>
  <c r="W56" i="6"/>
  <c r="H94" i="6"/>
  <c r="W35" i="6"/>
  <c r="W62" i="6"/>
  <c r="W54" i="6"/>
  <c r="W36" i="6"/>
  <c r="W55" i="6"/>
  <c r="W52" i="6"/>
  <c r="W61" i="6"/>
  <c r="W64" i="6"/>
  <c r="W63" i="6"/>
  <c r="W53" i="6"/>
  <c r="W60" i="6"/>
  <c r="W59" i="6"/>
  <c r="AD52" i="6"/>
  <c r="AH52" i="6" s="1"/>
  <c r="AD45" i="6"/>
  <c r="AH45" i="6" s="1"/>
  <c r="AD66" i="6"/>
  <c r="AH66" i="6" s="1"/>
  <c r="AD73" i="6"/>
  <c r="AH73" i="6" s="1"/>
  <c r="AD59" i="6"/>
  <c r="AH59" i="6" s="1"/>
  <c r="AC37" i="6"/>
  <c r="AC44" i="6"/>
  <c r="AC31" i="6"/>
  <c r="AC79" i="6"/>
  <c r="AC22" i="6"/>
  <c r="AC65" i="6"/>
  <c r="AC28" i="6"/>
  <c r="AC51" i="6"/>
  <c r="AC72" i="6"/>
  <c r="X22" i="6"/>
  <c r="X28" i="6"/>
  <c r="X72" i="6"/>
  <c r="X37" i="6"/>
  <c r="X79" i="6"/>
  <c r="Y51" i="6"/>
  <c r="Y65" i="6"/>
  <c r="AD44" i="6"/>
  <c r="X51" i="6"/>
  <c r="X65" i="6"/>
  <c r="X58" i="6"/>
  <c r="AC93" i="6"/>
  <c r="L18" i="23" l="1"/>
  <c r="N18" i="23" s="1"/>
  <c r="L18" i="22"/>
  <c r="N18" i="22" s="1"/>
  <c r="L19" i="22"/>
  <c r="N19" i="22" s="1"/>
  <c r="L19" i="23"/>
  <c r="N19" i="23" s="1"/>
  <c r="AL45" i="19"/>
  <c r="AL51" i="19" s="1"/>
  <c r="AL3" i="19" s="1"/>
  <c r="AV5" i="19" s="1"/>
  <c r="AD51" i="19"/>
  <c r="AD3" i="19" s="1"/>
  <c r="AQ3" i="19"/>
  <c r="AS5" i="19" s="1"/>
  <c r="AV9" i="19" s="1"/>
  <c r="S94" i="7"/>
  <c r="E58" i="5"/>
  <c r="H66" i="6"/>
  <c r="E64" i="5"/>
  <c r="H73" i="6"/>
  <c r="E34" i="5"/>
  <c r="H38" i="6"/>
  <c r="E59" i="5"/>
  <c r="H67" i="6"/>
  <c r="E66" i="5"/>
  <c r="H75" i="6"/>
  <c r="E41" i="5"/>
  <c r="H46" i="6"/>
  <c r="E65" i="5"/>
  <c r="H74" i="6"/>
  <c r="E44" i="5"/>
  <c r="H49" i="6"/>
  <c r="E40" i="5"/>
  <c r="H45" i="6"/>
  <c r="E37" i="5"/>
  <c r="H41" i="6"/>
  <c r="E23" i="5"/>
  <c r="H21" i="6"/>
  <c r="E60" i="5"/>
  <c r="H68" i="6"/>
  <c r="E62" i="5"/>
  <c r="H70" i="6"/>
  <c r="E39" i="5"/>
  <c r="H43" i="6"/>
  <c r="E63" i="5"/>
  <c r="H71" i="6"/>
  <c r="E18" i="5"/>
  <c r="E45" i="5"/>
  <c r="H50" i="6"/>
  <c r="E67" i="5"/>
  <c r="H76" i="6"/>
  <c r="E20" i="5"/>
  <c r="H18" i="6"/>
  <c r="E61" i="5"/>
  <c r="H69" i="6"/>
  <c r="E19" i="5"/>
  <c r="H17" i="6"/>
  <c r="E38" i="5"/>
  <c r="H42" i="6"/>
  <c r="E43" i="5"/>
  <c r="H48" i="6"/>
  <c r="E36" i="5"/>
  <c r="H40" i="6"/>
  <c r="W78" i="6"/>
  <c r="E42" i="5"/>
  <c r="H47" i="6"/>
  <c r="E27" i="5"/>
  <c r="H27" i="6"/>
  <c r="E68" i="5"/>
  <c r="H77" i="6"/>
  <c r="E22" i="5"/>
  <c r="H20" i="6"/>
  <c r="E26" i="5"/>
  <c r="H26" i="6"/>
  <c r="E35" i="5"/>
  <c r="H39" i="6"/>
  <c r="E21" i="5"/>
  <c r="H19" i="6"/>
  <c r="W94" i="6"/>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Z93" i="6" l="1"/>
  <c r="Y3" i="6"/>
  <c r="X3" i="6"/>
  <c r="AG3" i="6"/>
  <c r="AR4" i="6" s="1"/>
  <c r="W48" i="6"/>
  <c r="H16" i="6"/>
  <c r="W68" i="6"/>
  <c r="W49" i="6"/>
  <c r="W67" i="6"/>
  <c r="W18" i="6"/>
  <c r="Z18" i="6" s="1"/>
  <c r="W38" i="6"/>
  <c r="W26" i="6"/>
  <c r="W47" i="6"/>
  <c r="W42" i="6"/>
  <c r="E24" i="5"/>
  <c r="H23" i="6"/>
  <c r="W74" i="6"/>
  <c r="W76" i="6"/>
  <c r="W43" i="6"/>
  <c r="W41" i="6"/>
  <c r="W46" i="6"/>
  <c r="W73" i="6"/>
  <c r="W27" i="6"/>
  <c r="W21" i="6"/>
  <c r="W20" i="6"/>
  <c r="W17" i="6"/>
  <c r="Z17" i="6" s="1"/>
  <c r="W39" i="6"/>
  <c r="W71" i="6"/>
  <c r="W50" i="6"/>
  <c r="W70" i="6"/>
  <c r="W45" i="6"/>
  <c r="W75" i="6"/>
  <c r="W66" i="6"/>
  <c r="E25" i="5"/>
  <c r="H24" i="6"/>
  <c r="W19" i="6"/>
  <c r="Z19" i="6" s="1"/>
  <c r="W77" i="6"/>
  <c r="W40" i="6"/>
  <c r="W69" i="6"/>
  <c r="G77" i="3" l="1"/>
  <c r="G20" i="3"/>
  <c r="G22" i="3"/>
  <c r="G21" i="3"/>
  <c r="W23" i="6"/>
  <c r="W16" i="6"/>
  <c r="Z16" i="6" s="1"/>
  <c r="W24" i="6"/>
  <c r="B22" i="5"/>
  <c r="B26" i="5"/>
  <c r="B32" i="5"/>
  <c r="B34" i="5"/>
  <c r="B40" i="5"/>
  <c r="B46" i="5"/>
  <c r="B52" i="5"/>
  <c r="B58" i="5"/>
  <c r="B64" i="5"/>
  <c r="B82" i="5"/>
  <c r="B83" i="5"/>
  <c r="B84" i="5"/>
  <c r="B80" i="7"/>
  <c r="W25" i="6" l="1"/>
  <c r="Z25" i="6" s="1"/>
  <c r="B94" i="7"/>
  <c r="G25" i="3" l="1"/>
  <c r="G19" i="3"/>
  <c r="AD58" i="6" l="1"/>
  <c r="AH58" i="6"/>
  <c r="AD93" i="6"/>
  <c r="AH93" i="6"/>
  <c r="AD65" i="6"/>
  <c r="AH65" i="6"/>
  <c r="AH79" i="6"/>
  <c r="AD79" i="6"/>
  <c r="AH72" i="6"/>
  <c r="AD72" i="6"/>
  <c r="E94" i="6" l="1"/>
  <c r="I94" i="6" s="1"/>
  <c r="AB94" i="6" s="1"/>
  <c r="E95" i="6"/>
  <c r="I95" i="6" s="1"/>
  <c r="AB95" i="6" s="1"/>
  <c r="E96" i="6"/>
  <c r="I96" i="6" s="1"/>
  <c r="AB96" i="6" s="1"/>
  <c r="AH51" i="6"/>
  <c r="AH3" i="6" s="1"/>
  <c r="AD51" i="6"/>
  <c r="AD3" i="6" s="1"/>
  <c r="H94" i="18" l="1"/>
  <c r="H96" i="18"/>
  <c r="H95" i="18"/>
  <c r="AO95" i="6"/>
  <c r="H38" i="25" s="1"/>
  <c r="I38" i="25" s="1"/>
  <c r="AF95" i="6"/>
  <c r="F38" i="25" s="1"/>
  <c r="AF94" i="6"/>
  <c r="F37" i="25" s="1"/>
  <c r="AO94" i="6"/>
  <c r="H37" i="25" s="1"/>
  <c r="I37" i="25" s="1"/>
  <c r="AO96" i="6"/>
  <c r="H39" i="25" s="1"/>
  <c r="I39" i="25" s="1"/>
  <c r="AF96" i="6"/>
  <c r="F39" i="25" s="1"/>
  <c r="AR5" i="6"/>
  <c r="W65" i="6"/>
  <c r="Z65" i="6" s="1"/>
  <c r="S38" i="25" l="1"/>
  <c r="G38" i="25"/>
  <c r="G39" i="25"/>
  <c r="S39" i="25"/>
  <c r="G37" i="25"/>
  <c r="S37" i="25"/>
  <c r="S78" i="23"/>
  <c r="F95" i="7"/>
  <c r="F96" i="7"/>
  <c r="S77" i="23"/>
  <c r="H37" i="21"/>
  <c r="I37" i="21" s="1"/>
  <c r="G37" i="20"/>
  <c r="F38" i="20"/>
  <c r="F38" i="21"/>
  <c r="H38" i="21"/>
  <c r="I38" i="21" s="1"/>
  <c r="G38" i="20"/>
  <c r="F37" i="21"/>
  <c r="F37" i="20"/>
  <c r="R78" i="22"/>
  <c r="S78" i="22" s="1"/>
  <c r="V78" i="23"/>
  <c r="F39" i="20"/>
  <c r="F39" i="21"/>
  <c r="G39" i="20"/>
  <c r="H39" i="21"/>
  <c r="I39" i="21" s="1"/>
  <c r="E96" i="19"/>
  <c r="E96" i="18"/>
  <c r="I96" i="18" s="1"/>
  <c r="AB96" i="18" s="1"/>
  <c r="I94" i="19"/>
  <c r="W94" i="18"/>
  <c r="I96" i="19"/>
  <c r="W96" i="18"/>
  <c r="I95" i="19"/>
  <c r="W95" i="18"/>
  <c r="H36" i="14"/>
  <c r="I36" i="14" s="1"/>
  <c r="G37" i="13"/>
  <c r="F37" i="14"/>
  <c r="F38" i="13"/>
  <c r="F36" i="14"/>
  <c r="F37" i="13"/>
  <c r="F38" i="14"/>
  <c r="F39" i="13"/>
  <c r="H37" i="14"/>
  <c r="I37" i="14" s="1"/>
  <c r="G38" i="13"/>
  <c r="H38" i="14"/>
  <c r="I38" i="14" s="1"/>
  <c r="G39" i="13"/>
  <c r="G53" i="3"/>
  <c r="T38" i="25" l="1"/>
  <c r="W38" i="25"/>
  <c r="Y38" i="25" s="1"/>
  <c r="T37" i="25"/>
  <c r="W37" i="25"/>
  <c r="Y37" i="25" s="1"/>
  <c r="T39" i="25"/>
  <c r="W39" i="25"/>
  <c r="Y39" i="25" s="1"/>
  <c r="W96" i="7"/>
  <c r="J39" i="21" s="1"/>
  <c r="W95" i="7"/>
  <c r="J38" i="21" s="1"/>
  <c r="R77" i="23"/>
  <c r="I96" i="7"/>
  <c r="AI96" i="7" s="1"/>
  <c r="J96" i="7"/>
  <c r="AM96" i="7" s="1"/>
  <c r="R78" i="23"/>
  <c r="K96" i="7"/>
  <c r="AQ96" i="7" s="1"/>
  <c r="AT39" i="25" s="1"/>
  <c r="K37" i="20"/>
  <c r="J37" i="20"/>
  <c r="H37" i="20"/>
  <c r="Q37" i="20" s="1"/>
  <c r="I37" i="20"/>
  <c r="R37" i="20" s="1"/>
  <c r="G37" i="21"/>
  <c r="S37" i="21"/>
  <c r="S39" i="21"/>
  <c r="G39" i="21"/>
  <c r="G38" i="21"/>
  <c r="S38" i="21"/>
  <c r="J39" i="20"/>
  <c r="K39" i="20"/>
  <c r="I39" i="20"/>
  <c r="R39" i="20" s="1"/>
  <c r="H39" i="20"/>
  <c r="Q39" i="20" s="1"/>
  <c r="J38" i="20"/>
  <c r="K38" i="20"/>
  <c r="I38" i="20"/>
  <c r="R38" i="20" s="1"/>
  <c r="H38" i="20"/>
  <c r="Q38" i="20" s="1"/>
  <c r="P38" i="14"/>
  <c r="Q38" i="14" s="1"/>
  <c r="G38" i="14"/>
  <c r="G37" i="14"/>
  <c r="P37" i="14"/>
  <c r="Q37" i="14" s="1"/>
  <c r="G36" i="14"/>
  <c r="P36" i="14"/>
  <c r="Q36" i="14" s="1"/>
  <c r="J39" i="13"/>
  <c r="H39" i="13"/>
  <c r="N39" i="13" s="1"/>
  <c r="H37" i="13"/>
  <c r="N37" i="13" s="1"/>
  <c r="J37" i="13"/>
  <c r="J38" i="13"/>
  <c r="H38" i="13"/>
  <c r="N38" i="13" s="1"/>
  <c r="AF96" i="18"/>
  <c r="AL39" i="25" s="1"/>
  <c r="AO96" i="18"/>
  <c r="X95" i="19"/>
  <c r="X94" i="19"/>
  <c r="X96" i="19"/>
  <c r="J96" i="19"/>
  <c r="AB96" i="19" s="1"/>
  <c r="K37" i="13"/>
  <c r="I37" i="13"/>
  <c r="O37" i="13" s="1"/>
  <c r="K39" i="13"/>
  <c r="I39" i="13"/>
  <c r="O39" i="13" s="1"/>
  <c r="K38" i="13"/>
  <c r="I38" i="13"/>
  <c r="O38" i="13" s="1"/>
  <c r="W28" i="6"/>
  <c r="Z28" i="6" s="1"/>
  <c r="W58" i="6"/>
  <c r="Z58" i="6" s="1"/>
  <c r="L39" i="21" l="1"/>
  <c r="K39" i="21"/>
  <c r="AW39" i="25"/>
  <c r="AG37" i="21"/>
  <c r="AK37" i="25"/>
  <c r="U78" i="23"/>
  <c r="AF38" i="21"/>
  <c r="AJ38" i="25"/>
  <c r="L38" i="21"/>
  <c r="K38" i="21"/>
  <c r="AM39" i="21"/>
  <c r="AJ38" i="14" s="1"/>
  <c r="AQ39" i="25"/>
  <c r="Y78" i="23"/>
  <c r="U77" i="23"/>
  <c r="AG39" i="21"/>
  <c r="AK39" i="25"/>
  <c r="J37" i="14"/>
  <c r="J38" i="25"/>
  <c r="AJ39" i="21"/>
  <c r="AH38" i="14" s="1"/>
  <c r="AN39" i="25"/>
  <c r="J38" i="14"/>
  <c r="J39" i="25"/>
  <c r="AG38" i="21"/>
  <c r="AK38" i="25"/>
  <c r="AF37" i="21"/>
  <c r="AJ37" i="25"/>
  <c r="AF39" i="21"/>
  <c r="AJ39" i="25"/>
  <c r="BA39" i="25" s="1"/>
  <c r="BC39" i="25" s="1"/>
  <c r="X78" i="23"/>
  <c r="AF38" i="14"/>
  <c r="AP39" i="21"/>
  <c r="F96" i="19"/>
  <c r="AF96" i="19" s="1"/>
  <c r="AJ96" i="19" s="1"/>
  <c r="W78" i="23"/>
  <c r="T39" i="21"/>
  <c r="W39" i="21"/>
  <c r="Y39" i="21" s="1"/>
  <c r="T37" i="21"/>
  <c r="W37" i="21"/>
  <c r="Y37" i="21" s="1"/>
  <c r="S39" i="20"/>
  <c r="U39" i="20" s="1"/>
  <c r="AH39" i="21"/>
  <c r="W38" i="21"/>
  <c r="Y38" i="21" s="1"/>
  <c r="T38" i="21"/>
  <c r="U17" i="18"/>
  <c r="U17" i="6"/>
  <c r="U18" i="18"/>
  <c r="U18" i="6"/>
  <c r="AD38" i="14"/>
  <c r="P39" i="13"/>
  <c r="G27" i="3"/>
  <c r="G47" i="3"/>
  <c r="AV39" i="25" l="1"/>
  <c r="AM39" i="25"/>
  <c r="AX39" i="25" s="1"/>
  <c r="AR39" i="25"/>
  <c r="AS39" i="25"/>
  <c r="AN39" i="21"/>
  <c r="L39" i="25"/>
  <c r="K39" i="25"/>
  <c r="K38" i="14"/>
  <c r="AO39" i="21"/>
  <c r="AS39" i="21"/>
  <c r="AP39" i="25"/>
  <c r="AO39" i="25"/>
  <c r="AK39" i="21"/>
  <c r="K37" i="14"/>
  <c r="AQ39" i="21"/>
  <c r="L38" i="25"/>
  <c r="K38" i="25"/>
  <c r="AU39" i="25"/>
  <c r="AR39" i="21"/>
  <c r="AL39" i="21"/>
  <c r="T39" i="20"/>
  <c r="AW39" i="21"/>
  <c r="AI39" i="21"/>
  <c r="AT39" i="21" s="1"/>
  <c r="W39" i="20"/>
  <c r="V39" i="20"/>
  <c r="V18" i="19"/>
  <c r="Q18" i="7"/>
  <c r="V17" i="19"/>
  <c r="Q17" i="7"/>
  <c r="AY39" i="21" l="1"/>
  <c r="A3" i="5"/>
  <c r="A1" i="5"/>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J86" i="5" l="1"/>
  <c r="W37" i="6" l="1"/>
  <c r="Z37" i="6" s="1"/>
  <c r="G33" i="3" l="1"/>
  <c r="W72" i="6"/>
  <c r="Z72" i="6" s="1"/>
  <c r="W79" i="6"/>
  <c r="Z79" i="6" s="1"/>
  <c r="W22" i="6"/>
  <c r="Z22" i="6" s="1"/>
  <c r="W44" i="6"/>
  <c r="Z44" i="6" s="1"/>
  <c r="W31" i="6"/>
  <c r="Z31" i="6" s="1"/>
  <c r="W51" i="6"/>
  <c r="Z51" i="6" s="1"/>
  <c r="G41" i="3" l="1"/>
  <c r="G35" i="3"/>
  <c r="G29" i="3"/>
  <c r="Z3" i="6"/>
  <c r="W3" i="6"/>
  <c r="G23" i="3" l="1"/>
  <c r="Z5" i="6"/>
  <c r="AN31" i="6" l="1"/>
  <c r="AN28" i="6"/>
  <c r="AN37" i="6"/>
  <c r="AN65" i="6"/>
  <c r="AN22" i="6"/>
  <c r="AN58" i="6"/>
  <c r="A2" i="6"/>
  <c r="A2" i="5"/>
  <c r="AN44" i="6" l="1"/>
  <c r="AN72" i="6"/>
  <c r="AN51" i="6"/>
  <c r="AN79" i="6"/>
  <c r="G65" i="3" l="1"/>
  <c r="G59" i="3"/>
  <c r="G87" i="3" l="1"/>
  <c r="G95" i="7"/>
  <c r="AA95" i="7" s="1"/>
  <c r="M38" i="25" l="1"/>
  <c r="M38" i="21"/>
  <c r="L37" i="14"/>
  <c r="G96" i="7"/>
  <c r="N38" i="21" l="1"/>
  <c r="O38" i="21"/>
  <c r="O38" i="25"/>
  <c r="N38" i="25"/>
  <c r="M37" i="14"/>
  <c r="P12" i="23"/>
  <c r="P12" i="22"/>
  <c r="P62" i="22"/>
  <c r="P62" i="23"/>
  <c r="P14" i="23"/>
  <c r="P14" i="22"/>
  <c r="P61" i="22"/>
  <c r="P61" i="23"/>
  <c r="P17" i="22"/>
  <c r="P17" i="23"/>
  <c r="P59" i="23"/>
  <c r="P59" i="22"/>
  <c r="P15" i="22"/>
  <c r="P15" i="23"/>
  <c r="P60" i="22"/>
  <c r="P60" i="23"/>
  <c r="P58" i="23"/>
  <c r="P58" i="22"/>
  <c r="P13" i="22"/>
  <c r="P13" i="23"/>
  <c r="P63" i="22"/>
  <c r="P63" i="23"/>
  <c r="P16" i="22"/>
  <c r="P16" i="23"/>
  <c r="V37" i="14"/>
  <c r="X37" i="14" s="1"/>
  <c r="V36" i="14"/>
  <c r="X36" i="14" s="1"/>
  <c r="AA96" i="7"/>
  <c r="M39" i="25" l="1"/>
  <c r="M39" i="21"/>
  <c r="L38" i="14"/>
  <c r="P11" i="23"/>
  <c r="P11" i="22"/>
  <c r="P24" i="22"/>
  <c r="P24" i="23"/>
  <c r="P71" i="22"/>
  <c r="P71" i="23"/>
  <c r="P25" i="22"/>
  <c r="P25" i="23"/>
  <c r="P52" i="23"/>
  <c r="P52" i="22"/>
  <c r="P42" i="23"/>
  <c r="P42" i="22"/>
  <c r="P46" i="22"/>
  <c r="P46" i="23"/>
  <c r="P30" i="23"/>
  <c r="P30" i="22"/>
  <c r="P36" i="22"/>
  <c r="P36" i="23"/>
  <c r="P49" i="22"/>
  <c r="P49" i="23"/>
  <c r="P55" i="23"/>
  <c r="P55" i="22"/>
  <c r="P45" i="22"/>
  <c r="P45" i="23"/>
  <c r="P47" i="22"/>
  <c r="P47" i="23"/>
  <c r="P39" i="22"/>
  <c r="P39" i="23"/>
  <c r="P75" i="23"/>
  <c r="P75" i="22"/>
  <c r="P10" i="23"/>
  <c r="P10" i="22"/>
  <c r="P29" i="22"/>
  <c r="P29" i="23"/>
  <c r="P56" i="22"/>
  <c r="P56" i="23"/>
  <c r="P48" i="23"/>
  <c r="P48" i="22"/>
  <c r="P34" i="23"/>
  <c r="P34" i="22"/>
  <c r="P54" i="23"/>
  <c r="P54" i="22"/>
  <c r="P44" i="23"/>
  <c r="P44" i="22"/>
  <c r="P28" i="23"/>
  <c r="P28" i="22"/>
  <c r="P74" i="23"/>
  <c r="P74" i="22"/>
  <c r="P41" i="22"/>
  <c r="P41" i="23"/>
  <c r="P35" i="23"/>
  <c r="P35" i="22"/>
  <c r="P70" i="22"/>
  <c r="P70" i="23"/>
  <c r="P53" i="22"/>
  <c r="P53" i="23"/>
  <c r="P18" i="23"/>
  <c r="P18" i="22"/>
  <c r="P43" i="22"/>
  <c r="P43" i="23"/>
  <c r="P33" i="22"/>
  <c r="P33" i="23"/>
  <c r="P73" i="22"/>
  <c r="P73" i="23"/>
  <c r="P40" i="22"/>
  <c r="P40" i="23"/>
  <c r="P19" i="23"/>
  <c r="P19" i="22"/>
  <c r="P51" i="23"/>
  <c r="P51" i="22"/>
  <c r="P31" i="23"/>
  <c r="P31" i="22"/>
  <c r="P38" i="23"/>
  <c r="P38" i="22"/>
  <c r="P72" i="23"/>
  <c r="P72" i="22"/>
  <c r="P57" i="22"/>
  <c r="P57" i="23"/>
  <c r="P50" i="23"/>
  <c r="P50" i="22"/>
  <c r="P32" i="22"/>
  <c r="P32" i="23"/>
  <c r="P37" i="22"/>
  <c r="P37" i="23"/>
  <c r="F15" i="6"/>
  <c r="AM15" i="6" s="1"/>
  <c r="F19" i="6"/>
  <c r="AM19" i="6" s="1"/>
  <c r="F17" i="6"/>
  <c r="AM17" i="6" s="1"/>
  <c r="N87" i="3"/>
  <c r="N39" i="21" l="1"/>
  <c r="O39" i="21"/>
  <c r="O39" i="25"/>
  <c r="N39" i="25"/>
  <c r="F94" i="7"/>
  <c r="G94" i="7"/>
  <c r="AA94" i="7" s="1"/>
  <c r="M38" i="14"/>
  <c r="P27" i="23"/>
  <c r="P27" i="22"/>
  <c r="P66" i="22"/>
  <c r="P66" i="23"/>
  <c r="P23" i="22"/>
  <c r="P23" i="23"/>
  <c r="P65" i="22"/>
  <c r="P65" i="23"/>
  <c r="P22" i="23"/>
  <c r="P22" i="22"/>
  <c r="P67" i="22"/>
  <c r="P67" i="23"/>
  <c r="P26" i="23"/>
  <c r="P26" i="22"/>
  <c r="P64" i="22"/>
  <c r="P64" i="23"/>
  <c r="P21" i="22"/>
  <c r="P21" i="23"/>
  <c r="P69" i="22"/>
  <c r="P69" i="23"/>
  <c r="P68" i="23"/>
  <c r="P68" i="22"/>
  <c r="P20" i="23"/>
  <c r="P20" i="22"/>
  <c r="V38" i="14"/>
  <c r="X38" i="14" s="1"/>
  <c r="AN93" i="6"/>
  <c r="AN3" i="6" s="1"/>
  <c r="P87" i="3"/>
  <c r="M37" i="25" l="1"/>
  <c r="M37" i="21"/>
  <c r="W94" i="7"/>
  <c r="J37" i="25" s="1"/>
  <c r="L36" i="14"/>
  <c r="M36" i="14" s="1"/>
  <c r="S76" i="23"/>
  <c r="R76" i="23"/>
  <c r="F45" i="6"/>
  <c r="AM45" i="6" s="1"/>
  <c r="F66" i="6"/>
  <c r="AM66" i="6" s="1"/>
  <c r="F40" i="6"/>
  <c r="AM40" i="6" s="1"/>
  <c r="F16" i="6"/>
  <c r="AM16" i="6" s="1"/>
  <c r="F20" i="6"/>
  <c r="AM20" i="6" s="1"/>
  <c r="F30" i="6"/>
  <c r="AM30" i="6" s="1"/>
  <c r="F56" i="6"/>
  <c r="AM56" i="6" s="1"/>
  <c r="F50" i="6"/>
  <c r="AM50" i="6" s="1"/>
  <c r="F64" i="6"/>
  <c r="AM64" i="6" s="1"/>
  <c r="F67" i="6"/>
  <c r="AM67" i="6" s="1"/>
  <c r="F39" i="6"/>
  <c r="AM39" i="6" s="1"/>
  <c r="F71" i="6"/>
  <c r="AM71" i="6" s="1"/>
  <c r="F87" i="6"/>
  <c r="AM87" i="6" s="1"/>
  <c r="F82" i="6"/>
  <c r="AM82" i="6" s="1"/>
  <c r="F23" i="6"/>
  <c r="AM23" i="6" s="1"/>
  <c r="F46" i="6"/>
  <c r="AM46" i="6" s="1"/>
  <c r="F89" i="6"/>
  <c r="AM89" i="6" s="1"/>
  <c r="F74" i="6"/>
  <c r="AM74" i="6" s="1"/>
  <c r="F53" i="6"/>
  <c r="AM53" i="6" s="1"/>
  <c r="F62" i="6"/>
  <c r="AM62" i="6" s="1"/>
  <c r="F41" i="6"/>
  <c r="AM41" i="6" s="1"/>
  <c r="F18" i="6"/>
  <c r="AM18" i="6" s="1"/>
  <c r="F63" i="6"/>
  <c r="AM63" i="6" s="1"/>
  <c r="F91" i="6"/>
  <c r="AM91" i="6" s="1"/>
  <c r="F85" i="6"/>
  <c r="AM85" i="6" s="1"/>
  <c r="F49" i="6"/>
  <c r="AM49" i="6" s="1"/>
  <c r="F27" i="6"/>
  <c r="AM27" i="6" s="1"/>
  <c r="F26" i="6"/>
  <c r="AM26" i="6" s="1"/>
  <c r="F78" i="6"/>
  <c r="AM78" i="6" s="1"/>
  <c r="F38" i="6"/>
  <c r="AM38" i="6" s="1"/>
  <c r="F54" i="6"/>
  <c r="AM54" i="6" s="1"/>
  <c r="F43" i="6"/>
  <c r="AM43" i="6" s="1"/>
  <c r="F57" i="6"/>
  <c r="AM57" i="6" s="1"/>
  <c r="F73" i="6"/>
  <c r="AM73" i="6" s="1"/>
  <c r="F88" i="6"/>
  <c r="AM88" i="6" s="1"/>
  <c r="F83" i="6"/>
  <c r="AM83" i="6" s="1"/>
  <c r="F29" i="6"/>
  <c r="AM29" i="6" s="1"/>
  <c r="F61" i="6"/>
  <c r="AM61" i="6" s="1"/>
  <c r="F77" i="6"/>
  <c r="AM77" i="6" s="1"/>
  <c r="F42" i="6"/>
  <c r="AM42" i="6" s="1"/>
  <c r="F21" i="6"/>
  <c r="AM21" i="6" s="1"/>
  <c r="F60" i="6"/>
  <c r="AM60" i="6" s="1"/>
  <c r="F90" i="6"/>
  <c r="AM90" i="6" s="1"/>
  <c r="F81" i="6"/>
  <c r="AM81" i="6" s="1"/>
  <c r="F59" i="6"/>
  <c r="AM59" i="6" s="1"/>
  <c r="F70" i="6"/>
  <c r="AM70" i="6" s="1"/>
  <c r="F47" i="6"/>
  <c r="AM47" i="6" s="1"/>
  <c r="F24" i="6"/>
  <c r="AM24" i="6" s="1"/>
  <c r="F76" i="6"/>
  <c r="AM76" i="6" s="1"/>
  <c r="F69" i="6"/>
  <c r="AM69" i="6" s="1"/>
  <c r="F92" i="6"/>
  <c r="AM92" i="6" s="1"/>
  <c r="F80" i="6"/>
  <c r="AM80" i="6" s="1"/>
  <c r="F68" i="6"/>
  <c r="AM68" i="6" s="1"/>
  <c r="F48" i="6"/>
  <c r="AM48" i="6" s="1"/>
  <c r="F55" i="6"/>
  <c r="AM55" i="6" s="1"/>
  <c r="F75" i="6"/>
  <c r="AM75" i="6" s="1"/>
  <c r="F52" i="6"/>
  <c r="AM52" i="6" s="1"/>
  <c r="F84" i="6"/>
  <c r="AM84" i="6" s="1"/>
  <c r="S17" i="7"/>
  <c r="S19" i="7"/>
  <c r="J36" i="14" l="1"/>
  <c r="K36" i="14" s="1"/>
  <c r="L37" i="25"/>
  <c r="K37" i="25"/>
  <c r="N37" i="21"/>
  <c r="O37" i="21"/>
  <c r="J37" i="21"/>
  <c r="O37" i="25"/>
  <c r="N37" i="25"/>
  <c r="U76" i="23"/>
  <c r="AM31" i="6"/>
  <c r="F33" i="6"/>
  <c r="AM33" i="6" s="1"/>
  <c r="F36" i="6"/>
  <c r="AM36" i="6" s="1"/>
  <c r="F32" i="6"/>
  <c r="AM32" i="6" s="1"/>
  <c r="F35" i="6"/>
  <c r="AM35" i="6" s="1"/>
  <c r="AM28" i="6"/>
  <c r="AM86" i="6"/>
  <c r="AM25" i="6"/>
  <c r="AM51" i="6"/>
  <c r="AM58" i="6"/>
  <c r="AM22" i="6"/>
  <c r="AM93" i="6"/>
  <c r="AM72" i="6"/>
  <c r="AM44" i="6"/>
  <c r="AM65" i="6"/>
  <c r="AM79" i="6"/>
  <c r="S21" i="7"/>
  <c r="S63" i="7"/>
  <c r="S59" i="7"/>
  <c r="S18" i="7"/>
  <c r="S73" i="7"/>
  <c r="S29" i="7"/>
  <c r="S87" i="7"/>
  <c r="S42" i="7"/>
  <c r="S38" i="7"/>
  <c r="S68" i="7"/>
  <c r="S43" i="7"/>
  <c r="S48" i="7"/>
  <c r="S41" i="7"/>
  <c r="S50" i="7"/>
  <c r="S20" i="7"/>
  <c r="S78" i="7"/>
  <c r="S77" i="7"/>
  <c r="S70" i="7"/>
  <c r="S57" i="7"/>
  <c r="S36" i="7"/>
  <c r="S64" i="7"/>
  <c r="S26" i="7"/>
  <c r="S56" i="7"/>
  <c r="S71" i="7"/>
  <c r="S35" i="7"/>
  <c r="S62" i="7"/>
  <c r="S45" i="7"/>
  <c r="S46" i="7"/>
  <c r="S74" i="7"/>
  <c r="S60" i="7"/>
  <c r="S40" i="7"/>
  <c r="S55" i="7"/>
  <c r="S61" i="7"/>
  <c r="S69" i="7"/>
  <c r="S52" i="7"/>
  <c r="S53" i="7"/>
  <c r="S75" i="7"/>
  <c r="S30" i="7"/>
  <c r="S76" i="7"/>
  <c r="S54" i="7"/>
  <c r="S39" i="7"/>
  <c r="S27" i="7"/>
  <c r="S89" i="7"/>
  <c r="S90" i="7"/>
  <c r="S92" i="7"/>
  <c r="S47" i="7"/>
  <c r="S67" i="7"/>
  <c r="S66" i="7"/>
  <c r="S49" i="7"/>
  <c r="L37" i="21" l="1"/>
  <c r="K37" i="21"/>
  <c r="AM34" i="6"/>
  <c r="AM37" i="6"/>
  <c r="S22" i="7"/>
  <c r="S88" i="7"/>
  <c r="S91" i="7"/>
  <c r="S31" i="7"/>
  <c r="S44" i="7"/>
  <c r="S28" i="7"/>
  <c r="S79" i="7"/>
  <c r="S72" i="7"/>
  <c r="S51" i="7"/>
  <c r="S58" i="7"/>
  <c r="S37" i="7"/>
  <c r="S65" i="7"/>
  <c r="S93" i="7" l="1"/>
  <c r="S3" i="7" l="1"/>
  <c r="U5" i="7" s="1"/>
  <c r="U40" i="14" l="1"/>
  <c r="F14" i="6" l="1"/>
  <c r="AM14" i="6" s="1"/>
  <c r="AM3" i="6" l="1"/>
  <c r="AU96" i="7" l="1"/>
  <c r="AB38" i="14" l="1"/>
  <c r="AP38" i="14" s="1"/>
  <c r="S39" i="13"/>
  <c r="Q39" i="13"/>
  <c r="AE38" i="14" l="1"/>
  <c r="AR38" i="14"/>
  <c r="AC38" i="14"/>
  <c r="T39" i="13"/>
  <c r="R39" i="13"/>
  <c r="AK38" i="14" l="1"/>
  <c r="AI38" i="14"/>
  <c r="AG38" i="14"/>
  <c r="AB37" i="14"/>
  <c r="AB36" i="14"/>
  <c r="AC37" i="14" l="1"/>
  <c r="AC36" i="14" l="1"/>
  <c r="AR12" i="6" l="1"/>
  <c r="O13" i="23" l="1"/>
  <c r="Q13" i="23" s="1"/>
  <c r="O13" i="22"/>
  <c r="Q13" i="22" s="1"/>
  <c r="O15" i="23"/>
  <c r="Q15" i="23" s="1"/>
  <c r="O15" i="22"/>
  <c r="Q15" i="22" s="1"/>
  <c r="O11" i="23"/>
  <c r="Q11" i="23" s="1"/>
  <c r="O11" i="22"/>
  <c r="Q11" i="22" s="1"/>
  <c r="O10" i="23"/>
  <c r="Q10" i="23" s="1"/>
  <c r="O10" i="22"/>
  <c r="Q10" i="22" s="1"/>
  <c r="O14" i="23"/>
  <c r="Q14" i="23" s="1"/>
  <c r="O14" i="22"/>
  <c r="Q14" i="22" s="1"/>
  <c r="O12" i="23"/>
  <c r="Q12" i="23" s="1"/>
  <c r="O12" i="22"/>
  <c r="Q12" i="22" s="1"/>
  <c r="E16" i="6"/>
  <c r="I16" i="6" s="1"/>
  <c r="AB16" i="6" s="1"/>
  <c r="E14" i="6"/>
  <c r="I14" i="6" s="1"/>
  <c r="AB14" i="6" s="1"/>
  <c r="E19" i="6"/>
  <c r="I19" i="6" s="1"/>
  <c r="AB19" i="6" s="1"/>
  <c r="E15" i="6"/>
  <c r="I15" i="6" s="1"/>
  <c r="AB15" i="6" s="1"/>
  <c r="E18" i="6"/>
  <c r="I18" i="6" s="1"/>
  <c r="AB18" i="6" s="1"/>
  <c r="E17" i="6"/>
  <c r="I17" i="6" s="1"/>
  <c r="AB17" i="6" s="1"/>
  <c r="O51" i="22" l="1"/>
  <c r="Q51" i="22" s="1"/>
  <c r="O51" i="23"/>
  <c r="Q51" i="23" s="1"/>
  <c r="O16" i="23"/>
  <c r="Q16" i="23" s="1"/>
  <c r="O16" i="22"/>
  <c r="Q16" i="22" s="1"/>
  <c r="O40" i="23"/>
  <c r="Q40" i="23" s="1"/>
  <c r="O40" i="22"/>
  <c r="Q40" i="22" s="1"/>
  <c r="O53" i="22"/>
  <c r="Q53" i="22" s="1"/>
  <c r="O53" i="23"/>
  <c r="Q53" i="23" s="1"/>
  <c r="O33" i="23"/>
  <c r="Q33" i="23" s="1"/>
  <c r="O33" i="22"/>
  <c r="Q33" i="22" s="1"/>
  <c r="O38" i="23"/>
  <c r="Q38" i="23" s="1"/>
  <c r="O38" i="22"/>
  <c r="Q38" i="22" s="1"/>
  <c r="O25" i="23"/>
  <c r="Q25" i="23" s="1"/>
  <c r="O25" i="22"/>
  <c r="Q25" i="22" s="1"/>
  <c r="O47" i="22"/>
  <c r="Q47" i="22" s="1"/>
  <c r="O47" i="23"/>
  <c r="Q47" i="23" s="1"/>
  <c r="O29" i="23"/>
  <c r="Q29" i="23" s="1"/>
  <c r="O29" i="22"/>
  <c r="Q29" i="22" s="1"/>
  <c r="O17" i="23"/>
  <c r="Q17" i="23" s="1"/>
  <c r="O17" i="22"/>
  <c r="Q17" i="22" s="1"/>
  <c r="O56" i="23"/>
  <c r="Q56" i="23" s="1"/>
  <c r="O56" i="22"/>
  <c r="Q56" i="22" s="1"/>
  <c r="O31" i="23"/>
  <c r="Q31" i="23" s="1"/>
  <c r="O31" i="22"/>
  <c r="Q31" i="22" s="1"/>
  <c r="O37" i="23"/>
  <c r="Q37" i="23" s="1"/>
  <c r="O37" i="22"/>
  <c r="Q37" i="22" s="1"/>
  <c r="O75" i="22"/>
  <c r="Q75" i="22" s="1"/>
  <c r="O75" i="23"/>
  <c r="Q75" i="23" s="1"/>
  <c r="O49" i="23"/>
  <c r="Q49" i="23" s="1"/>
  <c r="O49" i="22"/>
  <c r="Q49" i="22" s="1"/>
  <c r="O42" i="23"/>
  <c r="Q42" i="23" s="1"/>
  <c r="O42" i="22"/>
  <c r="Q42" i="22" s="1"/>
  <c r="O45" i="22"/>
  <c r="Q45" i="22" s="1"/>
  <c r="O45" i="23"/>
  <c r="Q45" i="23" s="1"/>
  <c r="O54" i="23"/>
  <c r="Q54" i="23" s="1"/>
  <c r="O54" i="22"/>
  <c r="Q54" i="22" s="1"/>
  <c r="O28" i="23"/>
  <c r="Q28" i="23" s="1"/>
  <c r="O28" i="22"/>
  <c r="Q28" i="22" s="1"/>
  <c r="O36" i="23"/>
  <c r="Q36" i="23" s="1"/>
  <c r="O36" i="22"/>
  <c r="Q36" i="22" s="1"/>
  <c r="O74" i="23"/>
  <c r="Q74" i="23" s="1"/>
  <c r="O74" i="22"/>
  <c r="Q74" i="22" s="1"/>
  <c r="O50" i="23"/>
  <c r="Q50" i="23" s="1"/>
  <c r="O50" i="22"/>
  <c r="Q50" i="22" s="1"/>
  <c r="O61" i="23"/>
  <c r="Q61" i="23" s="1"/>
  <c r="O61" i="22"/>
  <c r="Q61" i="22" s="1"/>
  <c r="O43" i="23"/>
  <c r="Q43" i="23" s="1"/>
  <c r="O43" i="22"/>
  <c r="Q43" i="22" s="1"/>
  <c r="O57" i="22"/>
  <c r="Q57" i="22" s="1"/>
  <c r="O57" i="23"/>
  <c r="Q57" i="23" s="1"/>
  <c r="O30" i="23"/>
  <c r="Q30" i="23" s="1"/>
  <c r="O30" i="22"/>
  <c r="Q30" i="22" s="1"/>
  <c r="O71" i="22"/>
  <c r="Q71" i="22" s="1"/>
  <c r="O71" i="23"/>
  <c r="Q71" i="23" s="1"/>
  <c r="O24" i="23"/>
  <c r="Q24" i="23" s="1"/>
  <c r="O24" i="22"/>
  <c r="Q24" i="22" s="1"/>
  <c r="O63" i="22"/>
  <c r="Q63" i="22" s="1"/>
  <c r="O63" i="23"/>
  <c r="Q63" i="23" s="1"/>
  <c r="O62" i="23"/>
  <c r="Q62" i="23" s="1"/>
  <c r="O62" i="22"/>
  <c r="Q62" i="22" s="1"/>
  <c r="O44" i="23"/>
  <c r="Q44" i="23" s="1"/>
  <c r="O44" i="22"/>
  <c r="Q44" i="22" s="1"/>
  <c r="O52" i="23"/>
  <c r="Q52" i="23" s="1"/>
  <c r="O52" i="22"/>
  <c r="Q52" i="22" s="1"/>
  <c r="O18" i="23"/>
  <c r="Q18" i="23" s="1"/>
  <c r="O18" i="22"/>
  <c r="Q18" i="22" s="1"/>
  <c r="O73" i="23"/>
  <c r="Q73" i="23" s="1"/>
  <c r="O73" i="22"/>
  <c r="Q73" i="22" s="1"/>
  <c r="O59" i="22"/>
  <c r="Q59" i="22" s="1"/>
  <c r="O59" i="23"/>
  <c r="Q59" i="23" s="1"/>
  <c r="O41" i="23"/>
  <c r="Q41" i="23" s="1"/>
  <c r="O41" i="22"/>
  <c r="Q41" i="22" s="1"/>
  <c r="O55" i="23"/>
  <c r="Q55" i="23" s="1"/>
  <c r="O55" i="22"/>
  <c r="Q55" i="22" s="1"/>
  <c r="O34" i="23"/>
  <c r="Q34" i="23" s="1"/>
  <c r="O34" i="22"/>
  <c r="Q34" i="22" s="1"/>
  <c r="O19" i="23"/>
  <c r="Q19" i="23" s="1"/>
  <c r="O19" i="22"/>
  <c r="Q19" i="22" s="1"/>
  <c r="O70" i="23"/>
  <c r="Q70" i="23" s="1"/>
  <c r="O70" i="22"/>
  <c r="Q70" i="22" s="1"/>
  <c r="O46" i="23"/>
  <c r="Q46" i="23" s="1"/>
  <c r="O46" i="22"/>
  <c r="Q46" i="22" s="1"/>
  <c r="O58" i="23"/>
  <c r="Q58" i="23" s="1"/>
  <c r="O58" i="22"/>
  <c r="Q58" i="22" s="1"/>
  <c r="O39" i="23"/>
  <c r="Q39" i="23" s="1"/>
  <c r="O39" i="22"/>
  <c r="Q39" i="22" s="1"/>
  <c r="O60" i="23"/>
  <c r="Q60" i="23" s="1"/>
  <c r="O60" i="22"/>
  <c r="Q60" i="22" s="1"/>
  <c r="O32" i="23"/>
  <c r="Q32" i="23" s="1"/>
  <c r="O32" i="22"/>
  <c r="Q32" i="22" s="1"/>
  <c r="O35" i="23"/>
  <c r="Q35" i="23" s="1"/>
  <c r="O35" i="22"/>
  <c r="Q35" i="22" s="1"/>
  <c r="O72" i="23"/>
  <c r="Q72" i="23" s="1"/>
  <c r="O72" i="22"/>
  <c r="Q72" i="22" s="1"/>
  <c r="O48" i="23"/>
  <c r="Q48" i="23" s="1"/>
  <c r="O48" i="22"/>
  <c r="Q48" i="22" s="1"/>
  <c r="E32" i="6"/>
  <c r="I32" i="6" s="1"/>
  <c r="AB32" i="6" s="1"/>
  <c r="E73" i="6"/>
  <c r="I73" i="6" s="1"/>
  <c r="AB73" i="6" s="1"/>
  <c r="AO17" i="6"/>
  <c r="H20" i="25" s="1"/>
  <c r="I20" i="25" s="1"/>
  <c r="AF17" i="6"/>
  <c r="F20" i="25" s="1"/>
  <c r="AF18" i="6"/>
  <c r="F21" i="25" s="1"/>
  <c r="AO18" i="6"/>
  <c r="H21" i="25" s="1"/>
  <c r="I21" i="25" s="1"/>
  <c r="E68" i="6"/>
  <c r="I68" i="6" s="1"/>
  <c r="AB68" i="6" s="1"/>
  <c r="E38" i="6"/>
  <c r="I38" i="6" s="1"/>
  <c r="AB38" i="6" s="1"/>
  <c r="E48" i="6"/>
  <c r="I48" i="6" s="1"/>
  <c r="AB48" i="6" s="1"/>
  <c r="E89" i="6"/>
  <c r="I89" i="6" s="1"/>
  <c r="AB89" i="6" s="1"/>
  <c r="E63" i="6"/>
  <c r="I63" i="6" s="1"/>
  <c r="AB63" i="6" s="1"/>
  <c r="H16" i="18"/>
  <c r="H18" i="18"/>
  <c r="E52" i="6"/>
  <c r="I52" i="6" s="1"/>
  <c r="AB52" i="6" s="1"/>
  <c r="E66" i="6"/>
  <c r="I66" i="6" s="1"/>
  <c r="AB66" i="6" s="1"/>
  <c r="E33" i="6"/>
  <c r="I33" i="6" s="1"/>
  <c r="AB33" i="6" s="1"/>
  <c r="H19" i="18"/>
  <c r="E47" i="6"/>
  <c r="I47" i="6" s="1"/>
  <c r="AB47" i="6" s="1"/>
  <c r="AO19" i="6"/>
  <c r="H22" i="25" s="1"/>
  <c r="I22" i="25" s="1"/>
  <c r="AF19" i="6"/>
  <c r="F22" i="25" s="1"/>
  <c r="H14" i="18"/>
  <c r="E78" i="6"/>
  <c r="I78" i="6" s="1"/>
  <c r="AB78" i="6" s="1"/>
  <c r="E54" i="6"/>
  <c r="I54" i="6" s="1"/>
  <c r="AB54" i="6" s="1"/>
  <c r="E69" i="6"/>
  <c r="I69" i="6" s="1"/>
  <c r="AB69" i="6" s="1"/>
  <c r="E92" i="6"/>
  <c r="I92" i="6" s="1"/>
  <c r="AB92" i="6" s="1"/>
  <c r="E59" i="6"/>
  <c r="I59" i="6" s="1"/>
  <c r="AB59" i="6" s="1"/>
  <c r="E40" i="6"/>
  <c r="I40" i="6" s="1"/>
  <c r="AB40" i="6" s="1"/>
  <c r="E76" i="6"/>
  <c r="I76" i="6" s="1"/>
  <c r="AB76" i="6" s="1"/>
  <c r="E57" i="6"/>
  <c r="I57" i="6" s="1"/>
  <c r="AB57" i="6" s="1"/>
  <c r="E42" i="6"/>
  <c r="I42" i="6" s="1"/>
  <c r="AB42" i="6" s="1"/>
  <c r="E45" i="6"/>
  <c r="I45" i="6" s="1"/>
  <c r="AB45" i="6" s="1"/>
  <c r="E23" i="6"/>
  <c r="I23" i="6" s="1"/>
  <c r="AB23" i="6" s="1"/>
  <c r="E91" i="6"/>
  <c r="I91" i="6" s="1"/>
  <c r="AB91" i="6" s="1"/>
  <c r="AO15" i="6"/>
  <c r="H18" i="25" s="1"/>
  <c r="I18" i="25" s="1"/>
  <c r="AF15" i="6"/>
  <c r="F18" i="25" s="1"/>
  <c r="E61" i="6"/>
  <c r="I61" i="6" s="1"/>
  <c r="AB61" i="6" s="1"/>
  <c r="E71" i="6"/>
  <c r="I71" i="6" s="1"/>
  <c r="AB71" i="6" s="1"/>
  <c r="E20" i="6"/>
  <c r="I20" i="6" s="1"/>
  <c r="AB20" i="6" s="1"/>
  <c r="E55" i="6"/>
  <c r="I55" i="6" s="1"/>
  <c r="AB55" i="6" s="1"/>
  <c r="E39" i="6"/>
  <c r="I39" i="6" s="1"/>
  <c r="AB39" i="6" s="1"/>
  <c r="E46" i="6"/>
  <c r="I46" i="6" s="1"/>
  <c r="AB46" i="6" s="1"/>
  <c r="E24" i="6"/>
  <c r="I24" i="6" s="1"/>
  <c r="AB24" i="6" s="1"/>
  <c r="E88" i="6"/>
  <c r="I88" i="6" s="1"/>
  <c r="AB88" i="6" s="1"/>
  <c r="H15" i="18"/>
  <c r="E64" i="6"/>
  <c r="I64" i="6" s="1"/>
  <c r="AB64" i="6" s="1"/>
  <c r="AF14" i="6"/>
  <c r="F17" i="25" s="1"/>
  <c r="AO14" i="6"/>
  <c r="H17" i="25" s="1"/>
  <c r="AO16" i="6"/>
  <c r="H19" i="25" s="1"/>
  <c r="I19" i="25" s="1"/>
  <c r="AF16" i="6"/>
  <c r="F19" i="25" s="1"/>
  <c r="H17" i="18"/>
  <c r="E56" i="6"/>
  <c r="I56" i="6" s="1"/>
  <c r="AB56" i="6" s="1"/>
  <c r="E67" i="6"/>
  <c r="I67" i="6" s="1"/>
  <c r="AB67" i="6" s="1"/>
  <c r="E43" i="6"/>
  <c r="I43" i="6" s="1"/>
  <c r="AB43" i="6" s="1"/>
  <c r="E50" i="6"/>
  <c r="I50" i="6" s="1"/>
  <c r="AB50" i="6" s="1"/>
  <c r="E90" i="6"/>
  <c r="I90" i="6" s="1"/>
  <c r="AB90" i="6" s="1"/>
  <c r="E60" i="6"/>
  <c r="I60" i="6" s="1"/>
  <c r="AB60" i="6" s="1"/>
  <c r="E77" i="6"/>
  <c r="I77" i="6" s="1"/>
  <c r="AB77" i="6" s="1"/>
  <c r="E74" i="6"/>
  <c r="I74" i="6" s="1"/>
  <c r="AB74" i="6" s="1"/>
  <c r="E21" i="6"/>
  <c r="I21" i="6" s="1"/>
  <c r="AB21" i="6" s="1"/>
  <c r="E75" i="6"/>
  <c r="I75" i="6" s="1"/>
  <c r="AB75" i="6" s="1"/>
  <c r="E53" i="6"/>
  <c r="I53" i="6" s="1"/>
  <c r="AB53" i="6" s="1"/>
  <c r="E70" i="6"/>
  <c r="I70" i="6" s="1"/>
  <c r="AB70" i="6" s="1"/>
  <c r="E41" i="6"/>
  <c r="I41" i="6" s="1"/>
  <c r="AB41" i="6" s="1"/>
  <c r="E49" i="6"/>
  <c r="I49" i="6" s="1"/>
  <c r="AB49" i="6" s="1"/>
  <c r="E87" i="6"/>
  <c r="I87" i="6" s="1"/>
  <c r="AB87" i="6" s="1"/>
  <c r="E62" i="6"/>
  <c r="I62" i="6" s="1"/>
  <c r="AB62" i="6" s="1"/>
  <c r="S17" i="25" l="1"/>
  <c r="G17" i="25"/>
  <c r="G18" i="25"/>
  <c r="S18" i="25"/>
  <c r="I17" i="25"/>
  <c r="S21" i="25"/>
  <c r="G21" i="25"/>
  <c r="G20" i="25"/>
  <c r="S20" i="25"/>
  <c r="G19" i="25"/>
  <c r="S19" i="25"/>
  <c r="S22" i="25"/>
  <c r="G22" i="25"/>
  <c r="F18" i="21"/>
  <c r="F18" i="20"/>
  <c r="G18" i="20"/>
  <c r="H18" i="21"/>
  <c r="I18" i="21" s="1"/>
  <c r="H21" i="21"/>
  <c r="I21" i="21" s="1"/>
  <c r="G21" i="20"/>
  <c r="F19" i="20"/>
  <c r="F19" i="21"/>
  <c r="F21" i="21"/>
  <c r="F21" i="20"/>
  <c r="G19" i="20"/>
  <c r="H19" i="21"/>
  <c r="I19" i="21" s="1"/>
  <c r="H20" i="21"/>
  <c r="I20" i="21" s="1"/>
  <c r="G20" i="20"/>
  <c r="G17" i="20"/>
  <c r="H17" i="21"/>
  <c r="F22" i="20"/>
  <c r="F22" i="21"/>
  <c r="F17" i="20"/>
  <c r="F17" i="21"/>
  <c r="H22" i="21"/>
  <c r="I22" i="21" s="1"/>
  <c r="G22" i="20"/>
  <c r="F20" i="21"/>
  <c r="F20" i="20"/>
  <c r="AF88" i="6"/>
  <c r="AK88" i="6" s="1"/>
  <c r="AO88" i="6"/>
  <c r="AF42" i="6"/>
  <c r="AO42" i="6"/>
  <c r="H69" i="18"/>
  <c r="AR12" i="18"/>
  <c r="AY3" i="19"/>
  <c r="AO70" i="6"/>
  <c r="AF70" i="6"/>
  <c r="AK70" i="6" s="1"/>
  <c r="AK71" i="6" s="1"/>
  <c r="AF74" i="6"/>
  <c r="AK74" i="6" s="1"/>
  <c r="AO74" i="6"/>
  <c r="AF77" i="6"/>
  <c r="AK77" i="6" s="1"/>
  <c r="AK78" i="6" s="1"/>
  <c r="AO77" i="6"/>
  <c r="AO90" i="6"/>
  <c r="AF90" i="6"/>
  <c r="AK90" i="6" s="1"/>
  <c r="AF67" i="6"/>
  <c r="AK67" i="6" s="1"/>
  <c r="AO67" i="6"/>
  <c r="H24" i="18"/>
  <c r="H46" i="18"/>
  <c r="H71" i="18"/>
  <c r="F17" i="14"/>
  <c r="F18" i="13"/>
  <c r="AF57" i="6"/>
  <c r="AO57" i="6"/>
  <c r="AO40" i="6"/>
  <c r="AF40" i="6"/>
  <c r="AK40" i="6" s="1"/>
  <c r="H92" i="18"/>
  <c r="AO69" i="6"/>
  <c r="AF69" i="6"/>
  <c r="AK69" i="6" s="1"/>
  <c r="H33" i="18"/>
  <c r="AF48" i="6"/>
  <c r="AK48" i="6" s="1"/>
  <c r="AK49" i="6" s="1"/>
  <c r="AK50" i="6" s="1"/>
  <c r="AO48" i="6"/>
  <c r="H19" i="14"/>
  <c r="I19" i="14" s="1"/>
  <c r="G20" i="13"/>
  <c r="G18" i="13"/>
  <c r="H17" i="14"/>
  <c r="I17" i="14" s="1"/>
  <c r="F22" i="13"/>
  <c r="F21" i="14"/>
  <c r="AK19" i="6"/>
  <c r="AJ19" i="6"/>
  <c r="AO66" i="6"/>
  <c r="AF66" i="6"/>
  <c r="AB72" i="6"/>
  <c r="H62" i="18"/>
  <c r="AO87" i="6"/>
  <c r="AF87" i="6"/>
  <c r="AB93" i="6"/>
  <c r="H75" i="18"/>
  <c r="AF43" i="6"/>
  <c r="AO43" i="6"/>
  <c r="H18" i="14"/>
  <c r="I18" i="14" s="1"/>
  <c r="G19" i="13"/>
  <c r="AO64" i="6"/>
  <c r="AF64" i="6"/>
  <c r="AK64" i="6" s="1"/>
  <c r="H88" i="18"/>
  <c r="H23" i="18"/>
  <c r="AB51" i="6"/>
  <c r="AO45" i="6"/>
  <c r="AF45" i="6"/>
  <c r="H76" i="18"/>
  <c r="H21" i="14"/>
  <c r="I21" i="14" s="1"/>
  <c r="G22" i="13"/>
  <c r="W19" i="18"/>
  <c r="I19" i="19"/>
  <c r="X19" i="19" s="1"/>
  <c r="AO73" i="6"/>
  <c r="AF73" i="6"/>
  <c r="AB79" i="6"/>
  <c r="H87" i="18"/>
  <c r="AO76" i="6"/>
  <c r="AF76" i="6"/>
  <c r="AK76" i="6" s="1"/>
  <c r="H78" i="18"/>
  <c r="AB58" i="6"/>
  <c r="AO52" i="6"/>
  <c r="AF52" i="6"/>
  <c r="AO49" i="6"/>
  <c r="AF49" i="6"/>
  <c r="AF21" i="6"/>
  <c r="AK21" i="6" s="1"/>
  <c r="AO21" i="6"/>
  <c r="H77" i="18"/>
  <c r="H60" i="18"/>
  <c r="H43" i="18"/>
  <c r="H67" i="18"/>
  <c r="G17" i="13"/>
  <c r="H16" i="14"/>
  <c r="AF55" i="6"/>
  <c r="AK55" i="6" s="1"/>
  <c r="AO55" i="6"/>
  <c r="AO61" i="6"/>
  <c r="AF61" i="6"/>
  <c r="AK61" i="6" s="1"/>
  <c r="AO54" i="6"/>
  <c r="AF54" i="6"/>
  <c r="AK54" i="6" s="1"/>
  <c r="AO47" i="6"/>
  <c r="AF47" i="6"/>
  <c r="AK47" i="6" s="1"/>
  <c r="AO33" i="6"/>
  <c r="AF33" i="6"/>
  <c r="AK33" i="6" s="1"/>
  <c r="H66" i="18"/>
  <c r="W18" i="18"/>
  <c r="I18" i="19"/>
  <c r="X18" i="19" s="1"/>
  <c r="AO89" i="6"/>
  <c r="AF89" i="6"/>
  <c r="AK89" i="6" s="1"/>
  <c r="H48" i="18"/>
  <c r="H20" i="14"/>
  <c r="I20" i="14" s="1"/>
  <c r="G21" i="13"/>
  <c r="H73" i="18"/>
  <c r="F18" i="14"/>
  <c r="F19" i="13"/>
  <c r="AK16" i="6"/>
  <c r="AJ16" i="6"/>
  <c r="H20" i="18"/>
  <c r="AO92" i="6"/>
  <c r="AF92" i="6"/>
  <c r="AK92" i="6" s="1"/>
  <c r="H49" i="18"/>
  <c r="F16" i="14"/>
  <c r="F17" i="13"/>
  <c r="AO39" i="6"/>
  <c r="AF39" i="6"/>
  <c r="AK39" i="6" s="1"/>
  <c r="H55" i="18"/>
  <c r="H42" i="18"/>
  <c r="AO59" i="6"/>
  <c r="AB65" i="6"/>
  <c r="AF59" i="6"/>
  <c r="H47" i="18"/>
  <c r="H89" i="18"/>
  <c r="F20" i="14"/>
  <c r="AK18" i="6"/>
  <c r="AJ18" i="6"/>
  <c r="F21" i="13"/>
  <c r="H32" i="18"/>
  <c r="AF56" i="6"/>
  <c r="AK56" i="6" s="1"/>
  <c r="AK57" i="6" s="1"/>
  <c r="AO56" i="6"/>
  <c r="H70" i="18"/>
  <c r="I17" i="19"/>
  <c r="X17" i="19" s="1"/>
  <c r="W17" i="18"/>
  <c r="H39" i="18"/>
  <c r="AF91" i="6"/>
  <c r="AK91" i="6" s="1"/>
  <c r="AO91" i="6"/>
  <c r="AF23" i="6"/>
  <c r="AO23" i="6"/>
  <c r="AB25" i="6"/>
  <c r="H54" i="18"/>
  <c r="H52" i="18"/>
  <c r="I16" i="19"/>
  <c r="X16" i="19" s="1"/>
  <c r="W16" i="18"/>
  <c r="AF38" i="6"/>
  <c r="AO38" i="6"/>
  <c r="AB44" i="6"/>
  <c r="AF68" i="6"/>
  <c r="AK68" i="6" s="1"/>
  <c r="AO68" i="6"/>
  <c r="AB34" i="6"/>
  <c r="AF32" i="6"/>
  <c r="AO32" i="6"/>
  <c r="AO75" i="6"/>
  <c r="AF75" i="6"/>
  <c r="AK75" i="6" s="1"/>
  <c r="H63" i="18"/>
  <c r="H50" i="18"/>
  <c r="AF62" i="6"/>
  <c r="AK62" i="6" s="1"/>
  <c r="AO62" i="6"/>
  <c r="H53" i="18"/>
  <c r="AF60" i="6"/>
  <c r="AK60" i="6" s="1"/>
  <c r="AO60" i="6"/>
  <c r="H56" i="18"/>
  <c r="H64" i="18"/>
  <c r="W15" i="18"/>
  <c r="I15" i="19"/>
  <c r="X15" i="19" s="1"/>
  <c r="AF20" i="6"/>
  <c r="AO20" i="6"/>
  <c r="AB22" i="6"/>
  <c r="AF71" i="6"/>
  <c r="AO71" i="6"/>
  <c r="H61" i="18"/>
  <c r="H45" i="18"/>
  <c r="H59" i="18"/>
  <c r="AF78" i="6"/>
  <c r="AO78" i="6"/>
  <c r="W14" i="18"/>
  <c r="I14" i="19"/>
  <c r="X14" i="19" s="1"/>
  <c r="AO63" i="6"/>
  <c r="AF63" i="6"/>
  <c r="AK63" i="6" s="1"/>
  <c r="H38" i="18"/>
  <c r="H41" i="18"/>
  <c r="AF24" i="6"/>
  <c r="AK24" i="6" s="1"/>
  <c r="AO24" i="6"/>
  <c r="H57" i="18"/>
  <c r="AF53" i="6"/>
  <c r="AK53" i="6" s="1"/>
  <c r="AO53" i="6"/>
  <c r="AO41" i="6"/>
  <c r="AF41" i="6"/>
  <c r="AK41" i="6" s="1"/>
  <c r="AK42" i="6" s="1"/>
  <c r="AK43" i="6" s="1"/>
  <c r="H21" i="18"/>
  <c r="H74" i="18"/>
  <c r="H90" i="18"/>
  <c r="AF50" i="6"/>
  <c r="AO50" i="6"/>
  <c r="AO46" i="6"/>
  <c r="AF46" i="6"/>
  <c r="AK46" i="6" s="1"/>
  <c r="H91" i="18"/>
  <c r="H40" i="18"/>
  <c r="H68" i="18"/>
  <c r="AJ17" i="6"/>
  <c r="F20" i="13"/>
  <c r="F19" i="14"/>
  <c r="AK17" i="6"/>
  <c r="AY13" i="19" l="1"/>
  <c r="AY12" i="19"/>
  <c r="T20" i="25"/>
  <c r="W20" i="25"/>
  <c r="Y20" i="25" s="1"/>
  <c r="T18" i="25"/>
  <c r="W18" i="25"/>
  <c r="Y18" i="25" s="1"/>
  <c r="T22" i="25"/>
  <c r="W22" i="25"/>
  <c r="Y22" i="25" s="1"/>
  <c r="T21" i="25"/>
  <c r="W21" i="25"/>
  <c r="Y21" i="25" s="1"/>
  <c r="T19" i="25"/>
  <c r="W19" i="25"/>
  <c r="Y19" i="25" s="1"/>
  <c r="T17" i="25"/>
  <c r="W17" i="25"/>
  <c r="V76" i="23"/>
  <c r="E94" i="19"/>
  <c r="J94" i="19" s="1"/>
  <c r="AB94" i="19" s="1"/>
  <c r="E94" i="18"/>
  <c r="I94" i="18" s="1"/>
  <c r="AB94" i="18" s="1"/>
  <c r="R76" i="22"/>
  <c r="S76" i="22" s="1"/>
  <c r="R77" i="22"/>
  <c r="S77" i="22" s="1"/>
  <c r="E95" i="19"/>
  <c r="J95" i="19" s="1"/>
  <c r="AB95" i="19" s="1"/>
  <c r="V77" i="23"/>
  <c r="E95" i="18"/>
  <c r="I95" i="18" s="1"/>
  <c r="AB95" i="18" s="1"/>
  <c r="Z14" i="18"/>
  <c r="AO22" i="6"/>
  <c r="AO34" i="6"/>
  <c r="G21" i="21"/>
  <c r="S21" i="21"/>
  <c r="I17" i="20"/>
  <c r="R17" i="20" s="1"/>
  <c r="K17" i="20"/>
  <c r="H17" i="20"/>
  <c r="Q17" i="20" s="1"/>
  <c r="J17" i="20"/>
  <c r="G19" i="21"/>
  <c r="S19" i="21"/>
  <c r="I18" i="20"/>
  <c r="R18" i="20" s="1"/>
  <c r="J18" i="20"/>
  <c r="H18" i="20"/>
  <c r="Q18" i="20" s="1"/>
  <c r="K18" i="20"/>
  <c r="G17" i="21"/>
  <c r="S17" i="21"/>
  <c r="H19" i="20"/>
  <c r="Q19" i="20" s="1"/>
  <c r="J19" i="20"/>
  <c r="I19" i="20"/>
  <c r="R19" i="20" s="1"/>
  <c r="K19" i="20"/>
  <c r="G18" i="21"/>
  <c r="S18" i="21"/>
  <c r="P16" i="14"/>
  <c r="J20" i="20"/>
  <c r="K20" i="20"/>
  <c r="I20" i="20"/>
  <c r="R20" i="20" s="1"/>
  <c r="H20" i="20"/>
  <c r="Q20" i="20" s="1"/>
  <c r="I17" i="21"/>
  <c r="G20" i="21"/>
  <c r="S20" i="21"/>
  <c r="G22" i="21"/>
  <c r="S22" i="21"/>
  <c r="J22" i="20"/>
  <c r="I22" i="20"/>
  <c r="R22" i="20" s="1"/>
  <c r="K22" i="20"/>
  <c r="H22" i="20"/>
  <c r="Q22" i="20" s="1"/>
  <c r="K21" i="20"/>
  <c r="I21" i="20"/>
  <c r="R21" i="20" s="1"/>
  <c r="J21" i="20"/>
  <c r="H21" i="20"/>
  <c r="Q21" i="20" s="1"/>
  <c r="AO25" i="6"/>
  <c r="AO51" i="6"/>
  <c r="H30" i="25" s="1"/>
  <c r="I30" i="25" s="1"/>
  <c r="I42" i="19"/>
  <c r="X42" i="19" s="1"/>
  <c r="W42" i="18"/>
  <c r="AK52" i="6"/>
  <c r="AF58" i="6"/>
  <c r="F31" i="25" s="1"/>
  <c r="Z19" i="18"/>
  <c r="W68" i="18"/>
  <c r="I68" i="19"/>
  <c r="X68" i="19" s="1"/>
  <c r="I40" i="19"/>
  <c r="X40" i="19" s="1"/>
  <c r="W40" i="18"/>
  <c r="W63" i="18"/>
  <c r="I63" i="19"/>
  <c r="X63" i="19" s="1"/>
  <c r="I32" i="19"/>
  <c r="X32" i="19" s="1"/>
  <c r="W32" i="18"/>
  <c r="P20" i="14"/>
  <c r="G20" i="14"/>
  <c r="W55" i="18"/>
  <c r="I55" i="19"/>
  <c r="X55" i="19" s="1"/>
  <c r="H19" i="13"/>
  <c r="N19" i="13" s="1"/>
  <c r="K19" i="13"/>
  <c r="J19" i="13"/>
  <c r="I19" i="13"/>
  <c r="O19" i="13" s="1"/>
  <c r="AF51" i="6"/>
  <c r="F30" i="25" s="1"/>
  <c r="AK45" i="6"/>
  <c r="K18" i="13"/>
  <c r="I18" i="13"/>
  <c r="O18" i="13" s="1"/>
  <c r="J18" i="13"/>
  <c r="H18" i="13"/>
  <c r="N18" i="13" s="1"/>
  <c r="G16" i="14"/>
  <c r="I66" i="19"/>
  <c r="X66" i="19" s="1"/>
  <c r="W66" i="18"/>
  <c r="I16" i="14"/>
  <c r="W43" i="18"/>
  <c r="I43" i="19"/>
  <c r="X43" i="19" s="1"/>
  <c r="AO58" i="6"/>
  <c r="H31" i="25" s="1"/>
  <c r="I31" i="25" s="1"/>
  <c r="AO72" i="6"/>
  <c r="H33" i="25" s="1"/>
  <c r="I33" i="25" s="1"/>
  <c r="W33" i="18"/>
  <c r="I33" i="19"/>
  <c r="X33" i="19" s="1"/>
  <c r="W92" i="18"/>
  <c r="I92" i="19"/>
  <c r="X92" i="19" s="1"/>
  <c r="W46" i="18"/>
  <c r="I46" i="19"/>
  <c r="X46" i="19" s="1"/>
  <c r="I41" i="19"/>
  <c r="X41" i="19" s="1"/>
  <c r="W41" i="18"/>
  <c r="W70" i="18"/>
  <c r="I70" i="19"/>
  <c r="X70" i="19" s="1"/>
  <c r="G17" i="14"/>
  <c r="P17" i="14"/>
  <c r="I59" i="19"/>
  <c r="X59" i="19" s="1"/>
  <c r="W59" i="18"/>
  <c r="W56" i="18"/>
  <c r="I56" i="19"/>
  <c r="X56" i="19" s="1"/>
  <c r="AK23" i="6"/>
  <c r="AF25" i="6"/>
  <c r="F24" i="25" s="1"/>
  <c r="G19" i="14"/>
  <c r="P19" i="14"/>
  <c r="I20" i="19"/>
  <c r="X20" i="19" s="1"/>
  <c r="W20" i="18"/>
  <c r="I73" i="19"/>
  <c r="X73" i="19" s="1"/>
  <c r="W73" i="18"/>
  <c r="I48" i="19"/>
  <c r="X48" i="19" s="1"/>
  <c r="W48" i="18"/>
  <c r="AK73" i="6"/>
  <c r="AF79" i="6"/>
  <c r="F34" i="25" s="1"/>
  <c r="W88" i="18"/>
  <c r="I88" i="19"/>
  <c r="X88" i="19" s="1"/>
  <c r="W71" i="18"/>
  <c r="I71" i="19"/>
  <c r="X71" i="19" s="1"/>
  <c r="I57" i="19"/>
  <c r="X57" i="19" s="1"/>
  <c r="W57" i="18"/>
  <c r="H20" i="13"/>
  <c r="N20" i="13" s="1"/>
  <c r="K20" i="13"/>
  <c r="J20" i="13"/>
  <c r="I20" i="13"/>
  <c r="O20" i="13" s="1"/>
  <c r="W45" i="18"/>
  <c r="I45" i="19"/>
  <c r="X45" i="19" s="1"/>
  <c r="AO44" i="6"/>
  <c r="H29" i="25" s="1"/>
  <c r="I29" i="25" s="1"/>
  <c r="I89" i="19"/>
  <c r="X89" i="19" s="1"/>
  <c r="W89" i="18"/>
  <c r="AK59" i="6"/>
  <c r="AF65" i="6"/>
  <c r="F32" i="25" s="1"/>
  <c r="W77" i="18"/>
  <c r="I77" i="19"/>
  <c r="X77" i="19" s="1"/>
  <c r="AO79" i="6"/>
  <c r="H34" i="25" s="1"/>
  <c r="I34" i="25" s="1"/>
  <c r="I75" i="19"/>
  <c r="X75" i="19" s="1"/>
  <c r="W75" i="18"/>
  <c r="AV12" i="19"/>
  <c r="I47" i="19"/>
  <c r="X47" i="19" s="1"/>
  <c r="W47" i="18"/>
  <c r="I17" i="13"/>
  <c r="J17" i="13"/>
  <c r="K17" i="13"/>
  <c r="H17" i="13"/>
  <c r="P18" i="14"/>
  <c r="G18" i="14"/>
  <c r="AF72" i="6"/>
  <c r="F33" i="25" s="1"/>
  <c r="AK66" i="6"/>
  <c r="AF44" i="6"/>
  <c r="F29" i="25" s="1"/>
  <c r="AK38" i="6"/>
  <c r="Z18" i="18"/>
  <c r="K21" i="13"/>
  <c r="J21" i="13"/>
  <c r="H21" i="13"/>
  <c r="N21" i="13" s="1"/>
  <c r="I21" i="13"/>
  <c r="O21" i="13" s="1"/>
  <c r="W67" i="18"/>
  <c r="I67" i="19"/>
  <c r="X67" i="19" s="1"/>
  <c r="I87" i="19"/>
  <c r="X87" i="19" s="1"/>
  <c r="W87" i="18"/>
  <c r="W76" i="18"/>
  <c r="I76" i="19"/>
  <c r="X76" i="19" s="1"/>
  <c r="I23" i="19"/>
  <c r="X23" i="19" s="1"/>
  <c r="W23" i="18"/>
  <c r="AK87" i="6"/>
  <c r="AF93" i="6"/>
  <c r="F36" i="25" s="1"/>
  <c r="Z15" i="18"/>
  <c r="Z17" i="18"/>
  <c r="G21" i="14"/>
  <c r="P21" i="14"/>
  <c r="W24" i="18"/>
  <c r="I24" i="19"/>
  <c r="X24" i="19" s="1"/>
  <c r="I74" i="19"/>
  <c r="X74" i="19" s="1"/>
  <c r="W74" i="18"/>
  <c r="W38" i="18"/>
  <c r="I38" i="19"/>
  <c r="X38" i="19" s="1"/>
  <c r="I91" i="19"/>
  <c r="X91" i="19" s="1"/>
  <c r="W91" i="18"/>
  <c r="I90" i="19"/>
  <c r="X90" i="19" s="1"/>
  <c r="W90" i="18"/>
  <c r="AK20" i="6"/>
  <c r="AF22" i="6"/>
  <c r="F23" i="25" s="1"/>
  <c r="I64" i="19"/>
  <c r="X64" i="19" s="1"/>
  <c r="W64" i="18"/>
  <c r="AK32" i="6"/>
  <c r="AF34" i="6"/>
  <c r="F27" i="25" s="1"/>
  <c r="AO65" i="6"/>
  <c r="H32" i="25" s="1"/>
  <c r="I32" i="25" s="1"/>
  <c r="W60" i="18"/>
  <c r="I60" i="19"/>
  <c r="X60" i="19" s="1"/>
  <c r="I78" i="19"/>
  <c r="X78" i="19" s="1"/>
  <c r="W78" i="18"/>
  <c r="AO93" i="6"/>
  <c r="H36" i="25" s="1"/>
  <c r="I36" i="25" s="1"/>
  <c r="J22" i="13"/>
  <c r="H22" i="13"/>
  <c r="N22" i="13" s="1"/>
  <c r="K22" i="13"/>
  <c r="I22" i="13"/>
  <c r="O22" i="13" s="1"/>
  <c r="W69" i="18"/>
  <c r="I69" i="19"/>
  <c r="X69" i="19" s="1"/>
  <c r="I52" i="19"/>
  <c r="X52" i="19" s="1"/>
  <c r="W52" i="18"/>
  <c r="I39" i="19"/>
  <c r="X39" i="19" s="1"/>
  <c r="W39" i="18"/>
  <c r="W62" i="18"/>
  <c r="I62" i="19"/>
  <c r="X62" i="19" s="1"/>
  <c r="I21" i="19"/>
  <c r="X21" i="19" s="1"/>
  <c r="W21" i="18"/>
  <c r="W61" i="18"/>
  <c r="I61" i="19"/>
  <c r="X61" i="19" s="1"/>
  <c r="I53" i="19"/>
  <c r="X53" i="19" s="1"/>
  <c r="W53" i="18"/>
  <c r="I50" i="19"/>
  <c r="X50" i="19" s="1"/>
  <c r="W50" i="18"/>
  <c r="I54" i="19"/>
  <c r="X54" i="19" s="1"/>
  <c r="W54" i="18"/>
  <c r="I49" i="19"/>
  <c r="X49" i="19" s="1"/>
  <c r="W49" i="18"/>
  <c r="Z16" i="18"/>
  <c r="H27" i="21" l="1"/>
  <c r="I27" i="21" s="1"/>
  <c r="H27" i="25"/>
  <c r="I27" i="25" s="1"/>
  <c r="AG22" i="21"/>
  <c r="AK22" i="25"/>
  <c r="AG21" i="21"/>
  <c r="AK21" i="25"/>
  <c r="AF20" i="21"/>
  <c r="AJ20" i="25"/>
  <c r="S34" i="25"/>
  <c r="G34" i="25"/>
  <c r="AF18" i="21"/>
  <c r="AJ18" i="25"/>
  <c r="G30" i="25"/>
  <c r="S30" i="25"/>
  <c r="H23" i="14"/>
  <c r="I23" i="14" s="1"/>
  <c r="H24" i="25"/>
  <c r="I24" i="25" s="1"/>
  <c r="H22" i="14"/>
  <c r="I22" i="14" s="1"/>
  <c r="H23" i="25"/>
  <c r="S23" i="25" s="1"/>
  <c r="AF21" i="21"/>
  <c r="AJ21" i="25"/>
  <c r="Y17" i="25"/>
  <c r="AF22" i="21"/>
  <c r="AJ22" i="25"/>
  <c r="G29" i="25"/>
  <c r="S29" i="25"/>
  <c r="AG18" i="21"/>
  <c r="AK18" i="25"/>
  <c r="AG19" i="21"/>
  <c r="AK19" i="25"/>
  <c r="G31" i="25"/>
  <c r="S31" i="25"/>
  <c r="G27" i="25"/>
  <c r="G23" i="25"/>
  <c r="S33" i="25"/>
  <c r="G33" i="25"/>
  <c r="G24" i="25"/>
  <c r="G32" i="25"/>
  <c r="S32" i="25"/>
  <c r="AG20" i="21"/>
  <c r="AK20" i="25"/>
  <c r="AF19" i="21"/>
  <c r="AJ19" i="25"/>
  <c r="S36" i="25"/>
  <c r="G36" i="25"/>
  <c r="AF95" i="18"/>
  <c r="AL38" i="25" s="1"/>
  <c r="AO95" i="18"/>
  <c r="AF94" i="18"/>
  <c r="AL37" i="25" s="1"/>
  <c r="AO94" i="18"/>
  <c r="H26" i="14"/>
  <c r="I26" i="14" s="1"/>
  <c r="G23" i="13"/>
  <c r="H23" i="21"/>
  <c r="I23" i="21" s="1"/>
  <c r="G27" i="13"/>
  <c r="G27" i="20"/>
  <c r="G23" i="20"/>
  <c r="F27" i="21"/>
  <c r="F27" i="20"/>
  <c r="H34" i="21"/>
  <c r="I34" i="21" s="1"/>
  <c r="G34" i="20"/>
  <c r="F30" i="20"/>
  <c r="F30" i="21"/>
  <c r="W17" i="21"/>
  <c r="Y17" i="21" s="1"/>
  <c r="T17" i="21"/>
  <c r="F29" i="21"/>
  <c r="F29" i="20"/>
  <c r="G31" i="20"/>
  <c r="H31" i="21"/>
  <c r="I31" i="21" s="1"/>
  <c r="F31" i="21"/>
  <c r="F31" i="20"/>
  <c r="H36" i="21"/>
  <c r="I36" i="21" s="1"/>
  <c r="G36" i="20"/>
  <c r="F36" i="20"/>
  <c r="F36" i="21"/>
  <c r="F32" i="21"/>
  <c r="F32" i="20"/>
  <c r="F34" i="21"/>
  <c r="F34" i="20"/>
  <c r="F33" i="20"/>
  <c r="F33" i="21"/>
  <c r="W22" i="21"/>
  <c r="Y22" i="21" s="1"/>
  <c r="T22" i="21"/>
  <c r="T18" i="21"/>
  <c r="W18" i="21"/>
  <c r="Y18" i="21" s="1"/>
  <c r="H29" i="21"/>
  <c r="I29" i="21" s="1"/>
  <c r="G29" i="20"/>
  <c r="H32" i="21"/>
  <c r="I32" i="21" s="1"/>
  <c r="G32" i="20"/>
  <c r="G30" i="13"/>
  <c r="H30" i="21"/>
  <c r="I30" i="21" s="1"/>
  <c r="G30" i="20"/>
  <c r="T21" i="21"/>
  <c r="W21" i="21"/>
  <c r="Y21" i="21" s="1"/>
  <c r="H33" i="21"/>
  <c r="I33" i="21" s="1"/>
  <c r="G33" i="20"/>
  <c r="W20" i="21"/>
  <c r="Y20" i="21" s="1"/>
  <c r="T20" i="21"/>
  <c r="W19" i="21"/>
  <c r="Y19" i="21" s="1"/>
  <c r="T19" i="21"/>
  <c r="G24" i="13"/>
  <c r="G24" i="20"/>
  <c r="H24" i="21"/>
  <c r="I24" i="21" s="1"/>
  <c r="F23" i="21"/>
  <c r="F23" i="20"/>
  <c r="F24" i="21"/>
  <c r="F24" i="20"/>
  <c r="H29" i="14"/>
  <c r="I29" i="14" s="1"/>
  <c r="W93" i="18"/>
  <c r="Z93" i="18" s="1"/>
  <c r="W44" i="18"/>
  <c r="Z44" i="18" s="1"/>
  <c r="W22" i="18"/>
  <c r="Z22" i="18" s="1"/>
  <c r="G36" i="13"/>
  <c r="H35" i="14"/>
  <c r="I35" i="14" s="1"/>
  <c r="X58" i="19"/>
  <c r="X44" i="19"/>
  <c r="AJ72" i="6"/>
  <c r="F32" i="14"/>
  <c r="AK72" i="6"/>
  <c r="F33" i="13"/>
  <c r="X79" i="19"/>
  <c r="AC18" i="14"/>
  <c r="AJ34" i="6"/>
  <c r="AK34" i="6"/>
  <c r="F27" i="13"/>
  <c r="F26" i="14"/>
  <c r="Q21" i="14"/>
  <c r="V21" i="14"/>
  <c r="X21" i="14" s="1"/>
  <c r="X93" i="19"/>
  <c r="O17" i="13"/>
  <c r="W51" i="18"/>
  <c r="Z51" i="18" s="1"/>
  <c r="AB19" i="14"/>
  <c r="F33" i="14"/>
  <c r="F34" i="13"/>
  <c r="AJ79" i="6"/>
  <c r="AK79" i="6"/>
  <c r="X22" i="19"/>
  <c r="W72" i="18"/>
  <c r="Z72" i="18" s="1"/>
  <c r="AB17" i="14"/>
  <c r="AJ58" i="6"/>
  <c r="F30" i="14"/>
  <c r="F31" i="13"/>
  <c r="AK58" i="6"/>
  <c r="H33" i="14"/>
  <c r="I33" i="14" s="1"/>
  <c r="G34" i="13"/>
  <c r="Q19" i="14"/>
  <c r="V19" i="14"/>
  <c r="X19" i="14" s="1"/>
  <c r="X72" i="19"/>
  <c r="V16" i="14"/>
  <c r="Q16" i="14"/>
  <c r="AB18" i="14"/>
  <c r="W34" i="18"/>
  <c r="Z34" i="18" s="1"/>
  <c r="AK93" i="6"/>
  <c r="AJ93" i="6"/>
  <c r="F36" i="13"/>
  <c r="F35" i="14"/>
  <c r="V18" i="14"/>
  <c r="X18" i="14" s="1"/>
  <c r="Q18" i="14"/>
  <c r="W65" i="18"/>
  <c r="Z65" i="18" s="1"/>
  <c r="AC17" i="14"/>
  <c r="X34" i="19"/>
  <c r="H31" i="14"/>
  <c r="I31" i="14" s="1"/>
  <c r="G32" i="13"/>
  <c r="Q20" i="14"/>
  <c r="V20" i="14"/>
  <c r="AC21" i="14"/>
  <c r="AC20" i="14"/>
  <c r="F29" i="13"/>
  <c r="AK44" i="6"/>
  <c r="AJ44" i="6"/>
  <c r="F28" i="14"/>
  <c r="AK65" i="6"/>
  <c r="F32" i="13"/>
  <c r="AJ65" i="6"/>
  <c r="F31" i="14"/>
  <c r="X65" i="19"/>
  <c r="H30" i="14"/>
  <c r="I30" i="14" s="1"/>
  <c r="G31" i="13"/>
  <c r="F23" i="13"/>
  <c r="AK22" i="6"/>
  <c r="AJ22" i="6"/>
  <c r="F22" i="14"/>
  <c r="W25" i="18"/>
  <c r="Z25" i="18" s="1"/>
  <c r="AB20" i="14"/>
  <c r="AJ25" i="6"/>
  <c r="AK25" i="6"/>
  <c r="F23" i="14"/>
  <c r="F24" i="13"/>
  <c r="Q17" i="14"/>
  <c r="V17" i="14"/>
  <c r="X17" i="14" s="1"/>
  <c r="AK51" i="6"/>
  <c r="F29" i="14"/>
  <c r="AJ51" i="6"/>
  <c r="F30" i="13"/>
  <c r="X51" i="19"/>
  <c r="W58" i="18"/>
  <c r="Z58" i="18" s="1"/>
  <c r="AB21" i="14"/>
  <c r="X25" i="19"/>
  <c r="N17" i="13"/>
  <c r="H28" i="14"/>
  <c r="I28" i="14" s="1"/>
  <c r="G29" i="13"/>
  <c r="AC19" i="14"/>
  <c r="W79" i="18"/>
  <c r="Z79" i="18" s="1"/>
  <c r="G33" i="13"/>
  <c r="H32" i="14"/>
  <c r="I32" i="14" s="1"/>
  <c r="S27" i="25" l="1"/>
  <c r="T27" i="25" s="1"/>
  <c r="S24" i="25"/>
  <c r="AM38" i="25"/>
  <c r="AX38" i="25" s="1"/>
  <c r="AW38" i="25"/>
  <c r="BA38" i="25"/>
  <c r="BC38" i="25" s="1"/>
  <c r="T30" i="25"/>
  <c r="W30" i="25"/>
  <c r="Y30" i="25" s="1"/>
  <c r="W27" i="25"/>
  <c r="Y27" i="25" s="1"/>
  <c r="AF17" i="21"/>
  <c r="AJ17" i="25"/>
  <c r="T33" i="25"/>
  <c r="W33" i="25"/>
  <c r="Y33" i="25" s="1"/>
  <c r="T29" i="25"/>
  <c r="W29" i="25"/>
  <c r="Y29" i="25" s="1"/>
  <c r="AM37" i="25"/>
  <c r="AX37" i="25" s="1"/>
  <c r="AW37" i="25"/>
  <c r="BA37" i="25"/>
  <c r="BC37" i="25" s="1"/>
  <c r="T32" i="25"/>
  <c r="W32" i="25"/>
  <c r="Y32" i="25" s="1"/>
  <c r="T31" i="25"/>
  <c r="W31" i="25"/>
  <c r="Y31" i="25" s="1"/>
  <c r="I23" i="25"/>
  <c r="T36" i="25"/>
  <c r="W36" i="25"/>
  <c r="Y36" i="25" s="1"/>
  <c r="T23" i="25"/>
  <c r="W23" i="25"/>
  <c r="AG17" i="21"/>
  <c r="AK17" i="25"/>
  <c r="T24" i="25"/>
  <c r="W24" i="25"/>
  <c r="Y24" i="25" s="1"/>
  <c r="T34" i="25"/>
  <c r="W34" i="25"/>
  <c r="Y34" i="25" s="1"/>
  <c r="AH38" i="21"/>
  <c r="AS38" i="21" s="1"/>
  <c r="AD37" i="14"/>
  <c r="S38" i="20"/>
  <c r="P38" i="13"/>
  <c r="AD36" i="14"/>
  <c r="P37" i="13"/>
  <c r="S37" i="20"/>
  <c r="AH37" i="21"/>
  <c r="AS37" i="21" s="1"/>
  <c r="J23" i="20"/>
  <c r="H23" i="20"/>
  <c r="Q23" i="20" s="1"/>
  <c r="I23" i="20"/>
  <c r="R23" i="20" s="1"/>
  <c r="K23" i="20"/>
  <c r="I34" i="20"/>
  <c r="R34" i="20" s="1"/>
  <c r="K34" i="20"/>
  <c r="J34" i="20"/>
  <c r="H34" i="20"/>
  <c r="Q34" i="20" s="1"/>
  <c r="I31" i="20"/>
  <c r="R31" i="20" s="1"/>
  <c r="H31" i="20"/>
  <c r="Q31" i="20" s="1"/>
  <c r="J31" i="20"/>
  <c r="K31" i="20"/>
  <c r="G30" i="21"/>
  <c r="S30" i="21"/>
  <c r="G34" i="21"/>
  <c r="S34" i="21"/>
  <c r="G31" i="21"/>
  <c r="S31" i="21"/>
  <c r="J30" i="20"/>
  <c r="H30" i="20"/>
  <c r="Q30" i="20" s="1"/>
  <c r="I30" i="20"/>
  <c r="R30" i="20" s="1"/>
  <c r="K30" i="20"/>
  <c r="K32" i="20"/>
  <c r="J32" i="20"/>
  <c r="H32" i="20"/>
  <c r="Q32" i="20" s="1"/>
  <c r="I32" i="20"/>
  <c r="R32" i="20" s="1"/>
  <c r="J24" i="20"/>
  <c r="K24" i="20"/>
  <c r="I24" i="20"/>
  <c r="R24" i="20" s="1"/>
  <c r="H24" i="20"/>
  <c r="Q24" i="20" s="1"/>
  <c r="G32" i="21"/>
  <c r="S32" i="21"/>
  <c r="G23" i="21"/>
  <c r="S23" i="21"/>
  <c r="G24" i="21"/>
  <c r="S24" i="21"/>
  <c r="G33" i="21"/>
  <c r="S33" i="21"/>
  <c r="G36" i="21"/>
  <c r="S36" i="21"/>
  <c r="H29" i="20"/>
  <c r="Q29" i="20" s="1"/>
  <c r="K29" i="20"/>
  <c r="J29" i="20"/>
  <c r="I29" i="20"/>
  <c r="R29" i="20" s="1"/>
  <c r="J27" i="20"/>
  <c r="H27" i="20"/>
  <c r="Q27" i="20" s="1"/>
  <c r="K27" i="20"/>
  <c r="I27" i="20"/>
  <c r="R27" i="20" s="1"/>
  <c r="I33" i="20"/>
  <c r="R33" i="20" s="1"/>
  <c r="J33" i="20"/>
  <c r="K33" i="20"/>
  <c r="H33" i="20"/>
  <c r="Q33" i="20" s="1"/>
  <c r="I36" i="20"/>
  <c r="R36" i="20" s="1"/>
  <c r="K36" i="20"/>
  <c r="H36" i="20"/>
  <c r="Q36" i="20" s="1"/>
  <c r="J36" i="20"/>
  <c r="G29" i="21"/>
  <c r="S29" i="21"/>
  <c r="G27" i="21"/>
  <c r="S27" i="21"/>
  <c r="K30" i="13"/>
  <c r="I30" i="13"/>
  <c r="O30" i="13" s="1"/>
  <c r="H30" i="13"/>
  <c r="N30" i="13" s="1"/>
  <c r="J30" i="13"/>
  <c r="I24" i="13"/>
  <c r="O24" i="13" s="1"/>
  <c r="J24" i="13"/>
  <c r="H24" i="13"/>
  <c r="N24" i="13" s="1"/>
  <c r="K24" i="13"/>
  <c r="I23" i="13"/>
  <c r="H23" i="13"/>
  <c r="K23" i="13"/>
  <c r="J23" i="13"/>
  <c r="AC16" i="14"/>
  <c r="G32" i="14"/>
  <c r="P32" i="14"/>
  <c r="G29" i="14"/>
  <c r="P29" i="14"/>
  <c r="P31" i="14"/>
  <c r="G31" i="14"/>
  <c r="H34" i="13"/>
  <c r="N34" i="13" s="1"/>
  <c r="J34" i="13"/>
  <c r="I34" i="13"/>
  <c r="O34" i="13" s="1"/>
  <c r="K34" i="13"/>
  <c r="P28" i="14"/>
  <c r="G28" i="14"/>
  <c r="H31" i="13"/>
  <c r="N31" i="13" s="1"/>
  <c r="J31" i="13"/>
  <c r="I31" i="13"/>
  <c r="O31" i="13" s="1"/>
  <c r="K31" i="13"/>
  <c r="P33" i="14"/>
  <c r="G33" i="14"/>
  <c r="AB16" i="14"/>
  <c r="J32" i="13"/>
  <c r="H32" i="13"/>
  <c r="N32" i="13" s="1"/>
  <c r="I32" i="13"/>
  <c r="O32" i="13" s="1"/>
  <c r="K32" i="13"/>
  <c r="P30" i="14"/>
  <c r="G30" i="14"/>
  <c r="G26" i="14"/>
  <c r="P26" i="14"/>
  <c r="X20" i="14"/>
  <c r="X53" i="14"/>
  <c r="W64" i="14" s="1"/>
  <c r="X16" i="14"/>
  <c r="K27" i="13"/>
  <c r="J27" i="13"/>
  <c r="H27" i="13"/>
  <c r="N27" i="13" s="1"/>
  <c r="I27" i="13"/>
  <c r="O27" i="13" s="1"/>
  <c r="G22" i="14"/>
  <c r="P22" i="14"/>
  <c r="J29" i="13"/>
  <c r="K29" i="13"/>
  <c r="H29" i="13"/>
  <c r="N29" i="13" s="1"/>
  <c r="I29" i="13"/>
  <c r="O29" i="13" s="1"/>
  <c r="G35" i="14"/>
  <c r="P35" i="14"/>
  <c r="P23" i="14"/>
  <c r="G23" i="14"/>
  <c r="K36" i="13"/>
  <c r="I36" i="13"/>
  <c r="O36" i="13" s="1"/>
  <c r="J36" i="13"/>
  <c r="H36" i="13"/>
  <c r="N36" i="13" s="1"/>
  <c r="K33" i="13"/>
  <c r="I33" i="13"/>
  <c r="O33" i="13" s="1"/>
  <c r="J33" i="13"/>
  <c r="H33" i="13"/>
  <c r="N33" i="13" s="1"/>
  <c r="AF33" i="21" l="1"/>
  <c r="AJ33" i="25"/>
  <c r="AG36" i="21"/>
  <c r="AK36" i="25"/>
  <c r="AF29" i="21"/>
  <c r="AJ29" i="25"/>
  <c r="AF32" i="21"/>
  <c r="AJ32" i="25"/>
  <c r="AG29" i="21"/>
  <c r="AK29" i="25"/>
  <c r="AG32" i="21"/>
  <c r="AK32" i="25"/>
  <c r="AF34" i="21"/>
  <c r="AJ34" i="25"/>
  <c r="AG30" i="21"/>
  <c r="AK30" i="25"/>
  <c r="AF30" i="21"/>
  <c r="AJ30" i="25"/>
  <c r="AG33" i="21"/>
  <c r="AK33" i="25"/>
  <c r="AG31" i="21"/>
  <c r="AK31" i="25"/>
  <c r="Y23" i="25"/>
  <c r="AG27" i="21"/>
  <c r="AK27" i="25"/>
  <c r="AF31" i="21"/>
  <c r="AJ31" i="25"/>
  <c r="AG34" i="21"/>
  <c r="AK34" i="25"/>
  <c r="AF24" i="21"/>
  <c r="AJ24" i="25"/>
  <c r="AG24" i="21"/>
  <c r="AK24" i="25"/>
  <c r="AF36" i="21"/>
  <c r="AJ36" i="25"/>
  <c r="AF27" i="21"/>
  <c r="AJ27" i="25"/>
  <c r="K95" i="7"/>
  <c r="I94" i="7"/>
  <c r="AI94" i="7" s="1"/>
  <c r="J94" i="7"/>
  <c r="AM94" i="7" s="1"/>
  <c r="I95" i="7"/>
  <c r="AI95" i="7" s="1"/>
  <c r="K94" i="7"/>
  <c r="J95" i="7"/>
  <c r="AM95" i="7" s="1"/>
  <c r="AW38" i="21"/>
  <c r="AY38" i="21" s="1"/>
  <c r="AI38" i="21"/>
  <c r="AT38" i="21" s="1"/>
  <c r="Q37" i="13"/>
  <c r="S37" i="13"/>
  <c r="R37" i="13"/>
  <c r="T37" i="13"/>
  <c r="AP36" i="14"/>
  <c r="AR36" i="14" s="1"/>
  <c r="AE36" i="14"/>
  <c r="AW37" i="21"/>
  <c r="AY37" i="21" s="1"/>
  <c r="AI37" i="21"/>
  <c r="AT37" i="21" s="1"/>
  <c r="W37" i="20"/>
  <c r="U37" i="20"/>
  <c r="T37" i="20"/>
  <c r="V37" i="20"/>
  <c r="AP37" i="14"/>
  <c r="AR37" i="14" s="1"/>
  <c r="AE37" i="14"/>
  <c r="S38" i="13"/>
  <c r="Q38" i="13"/>
  <c r="T38" i="13"/>
  <c r="R38" i="13"/>
  <c r="V38" i="20"/>
  <c r="T38" i="20"/>
  <c r="U38" i="20"/>
  <c r="W38" i="20"/>
  <c r="O27" i="23"/>
  <c r="Q27" i="23" s="1"/>
  <c r="O27" i="22"/>
  <c r="Q27" i="22" s="1"/>
  <c r="W23" i="21"/>
  <c r="Y23" i="21" s="1"/>
  <c r="T23" i="21"/>
  <c r="O66" i="23"/>
  <c r="Q66" i="23" s="1"/>
  <c r="O66" i="22"/>
  <c r="Q66" i="22" s="1"/>
  <c r="O26" i="23"/>
  <c r="Q26" i="23" s="1"/>
  <c r="O26" i="22"/>
  <c r="Q26" i="22" s="1"/>
  <c r="T30" i="21"/>
  <c r="W30" i="21"/>
  <c r="Y30" i="21" s="1"/>
  <c r="O20" i="23"/>
  <c r="Q20" i="23" s="1"/>
  <c r="O20" i="22"/>
  <c r="Q20" i="22" s="1"/>
  <c r="O22" i="23"/>
  <c r="Q22" i="23" s="1"/>
  <c r="O22" i="22"/>
  <c r="Q22" i="22" s="1"/>
  <c r="T29" i="21"/>
  <c r="W29" i="21"/>
  <c r="Y29" i="21" s="1"/>
  <c r="T32" i="21"/>
  <c r="W32" i="21"/>
  <c r="Y32" i="21" s="1"/>
  <c r="W31" i="21"/>
  <c r="Y31" i="21" s="1"/>
  <c r="T31" i="21"/>
  <c r="O68" i="23"/>
  <c r="Q68" i="23" s="1"/>
  <c r="O68" i="22"/>
  <c r="Q68" i="22" s="1"/>
  <c r="O21" i="23"/>
  <c r="Q21" i="23" s="1"/>
  <c r="O21" i="22"/>
  <c r="Q21" i="22" s="1"/>
  <c r="O23" i="23"/>
  <c r="Q23" i="23" s="1"/>
  <c r="O23" i="22"/>
  <c r="Q23" i="22" s="1"/>
  <c r="O65" i="22"/>
  <c r="Q65" i="22" s="1"/>
  <c r="O65" i="23"/>
  <c r="Q65" i="23" s="1"/>
  <c r="W24" i="21"/>
  <c r="Y24" i="21" s="1"/>
  <c r="T24" i="21"/>
  <c r="W34" i="21"/>
  <c r="Y34" i="21" s="1"/>
  <c r="T34" i="21"/>
  <c r="T33" i="21"/>
  <c r="W33" i="21"/>
  <c r="Y33" i="21" s="1"/>
  <c r="O69" i="22"/>
  <c r="Q69" i="22" s="1"/>
  <c r="O69" i="23"/>
  <c r="Q69" i="23" s="1"/>
  <c r="O67" i="23"/>
  <c r="Q67" i="23" s="1"/>
  <c r="O67" i="22"/>
  <c r="Q67" i="22" s="1"/>
  <c r="O64" i="23"/>
  <c r="Q64" i="23" s="1"/>
  <c r="O64" i="22"/>
  <c r="Q64" i="22" s="1"/>
  <c r="W27" i="21"/>
  <c r="Y27" i="21" s="1"/>
  <c r="T27" i="21"/>
  <c r="W36" i="21"/>
  <c r="Y36" i="21" s="1"/>
  <c r="T36" i="21"/>
  <c r="V14" i="23"/>
  <c r="R14" i="22"/>
  <c r="S14" i="22" s="1"/>
  <c r="V15" i="23"/>
  <c r="R15" i="22"/>
  <c r="S15" i="22" s="1"/>
  <c r="V47" i="23"/>
  <c r="R47" i="22"/>
  <c r="S47" i="22" s="1"/>
  <c r="R46" i="22"/>
  <c r="S46" i="22" s="1"/>
  <c r="V46" i="23"/>
  <c r="V16" i="23"/>
  <c r="R16" i="22"/>
  <c r="S16" i="22" s="1"/>
  <c r="R51" i="22"/>
  <c r="S51" i="22" s="1"/>
  <c r="V51" i="23"/>
  <c r="R12" i="22"/>
  <c r="S12" i="22" s="1"/>
  <c r="V12" i="23"/>
  <c r="V48" i="23"/>
  <c r="R48" i="22"/>
  <c r="S48" i="22" s="1"/>
  <c r="R50" i="22"/>
  <c r="S50" i="22" s="1"/>
  <c r="V50" i="23"/>
  <c r="V10" i="23"/>
  <c r="R10" i="22"/>
  <c r="S10" i="22" s="1"/>
  <c r="V49" i="23"/>
  <c r="R49" i="22"/>
  <c r="S49" i="22" s="1"/>
  <c r="V13" i="23"/>
  <c r="R13" i="22"/>
  <c r="S13" i="22" s="1"/>
  <c r="R11" i="22"/>
  <c r="S11" i="22" s="1"/>
  <c r="V11" i="23"/>
  <c r="AB64" i="14"/>
  <c r="AG64" i="14" s="1"/>
  <c r="E17" i="18"/>
  <c r="I17" i="18" s="1"/>
  <c r="AB17" i="18" s="1"/>
  <c r="E17" i="19"/>
  <c r="J17" i="19" s="1"/>
  <c r="AB17" i="19" s="1"/>
  <c r="Y53" i="14"/>
  <c r="AC32" i="14"/>
  <c r="AB35" i="14"/>
  <c r="V22" i="14"/>
  <c r="Q22" i="14"/>
  <c r="E82" i="6"/>
  <c r="I82" i="6" s="1"/>
  <c r="AB82" i="6" s="1"/>
  <c r="AC33" i="14"/>
  <c r="Q32" i="14"/>
  <c r="V32" i="14"/>
  <c r="X32" i="14" s="1"/>
  <c r="AC23" i="14"/>
  <c r="E61" i="18"/>
  <c r="I61" i="18" s="1"/>
  <c r="AB61" i="18" s="1"/>
  <c r="E61" i="19"/>
  <c r="J61" i="19" s="1"/>
  <c r="AB61" i="19" s="1"/>
  <c r="AC35" i="14"/>
  <c r="AC28" i="14"/>
  <c r="Q33" i="14"/>
  <c r="V33" i="14"/>
  <c r="X33" i="14" s="1"/>
  <c r="E30" i="6"/>
  <c r="I30" i="6" s="1"/>
  <c r="AB30" i="6" s="1"/>
  <c r="AB33" i="14"/>
  <c r="Q31" i="14"/>
  <c r="V31" i="14"/>
  <c r="X31" i="14" s="1"/>
  <c r="AB29" i="14"/>
  <c r="E62" i="18"/>
  <c r="I62" i="18" s="1"/>
  <c r="AB62" i="18" s="1"/>
  <c r="E62" i="19"/>
  <c r="J62" i="19" s="1"/>
  <c r="AB62" i="19" s="1"/>
  <c r="V26" i="14"/>
  <c r="Q26" i="14"/>
  <c r="E63" i="19"/>
  <c r="J63" i="19" s="1"/>
  <c r="AB63" i="19" s="1"/>
  <c r="E63" i="18"/>
  <c r="I63" i="18" s="1"/>
  <c r="AB63" i="18" s="1"/>
  <c r="AB32" i="14"/>
  <c r="AB28" i="14"/>
  <c r="E16" i="18"/>
  <c r="I16" i="18" s="1"/>
  <c r="AB16" i="18" s="1"/>
  <c r="E16" i="19"/>
  <c r="J16" i="19" s="1"/>
  <c r="AB16" i="19" s="1"/>
  <c r="E36" i="6"/>
  <c r="I36" i="6" s="1"/>
  <c r="AB36" i="6" s="1"/>
  <c r="AC31" i="14"/>
  <c r="N23" i="13"/>
  <c r="AC29" i="14"/>
  <c r="E84" i="6"/>
  <c r="I84" i="6" s="1"/>
  <c r="AB84" i="6" s="1"/>
  <c r="Q30" i="14"/>
  <c r="V30" i="14"/>
  <c r="X30" i="14" s="1"/>
  <c r="E20" i="19"/>
  <c r="J20" i="19" s="1"/>
  <c r="AB20" i="19" s="1"/>
  <c r="E20" i="18"/>
  <c r="I20" i="18" s="1"/>
  <c r="AB20" i="18" s="1"/>
  <c r="Q35" i="14"/>
  <c r="V35" i="14"/>
  <c r="X35" i="14" s="1"/>
  <c r="E81" i="6"/>
  <c r="I81" i="6" s="1"/>
  <c r="AB81" i="6" s="1"/>
  <c r="E35" i="6"/>
  <c r="I35" i="6" s="1"/>
  <c r="AB35" i="6" s="1"/>
  <c r="AB31" i="14"/>
  <c r="AC30" i="14"/>
  <c r="O23" i="13"/>
  <c r="E85" i="6"/>
  <c r="I85" i="6" s="1"/>
  <c r="AB85" i="6" s="1"/>
  <c r="E26" i="6"/>
  <c r="I26" i="6" s="1"/>
  <c r="AB26" i="6" s="1"/>
  <c r="Q28" i="14"/>
  <c r="V28" i="14"/>
  <c r="X28" i="14" s="1"/>
  <c r="E15" i="18"/>
  <c r="I15" i="18" s="1"/>
  <c r="AB15" i="18" s="1"/>
  <c r="E15" i="19"/>
  <c r="J15" i="19" s="1"/>
  <c r="AB15" i="19" s="1"/>
  <c r="E59" i="19"/>
  <c r="J59" i="19" s="1"/>
  <c r="AB59" i="19" s="1"/>
  <c r="E59" i="18"/>
  <c r="I59" i="18" s="1"/>
  <c r="AB59" i="18" s="1"/>
  <c r="E29" i="6"/>
  <c r="I29" i="6" s="1"/>
  <c r="AB29" i="6" s="1"/>
  <c r="E18" i="19"/>
  <c r="J18" i="19" s="1"/>
  <c r="AB18" i="19" s="1"/>
  <c r="E18" i="18"/>
  <c r="I18" i="18" s="1"/>
  <c r="AB18" i="18" s="1"/>
  <c r="AC26" i="14"/>
  <c r="E27" i="6"/>
  <c r="I27" i="6" s="1"/>
  <c r="AB27" i="6" s="1"/>
  <c r="AB30" i="14"/>
  <c r="E19" i="19"/>
  <c r="J19" i="19" s="1"/>
  <c r="AB19" i="19" s="1"/>
  <c r="E19" i="18"/>
  <c r="I19" i="18" s="1"/>
  <c r="AB19" i="18" s="1"/>
  <c r="AB23" i="14"/>
  <c r="E60" i="19"/>
  <c r="J60" i="19" s="1"/>
  <c r="AB60" i="19" s="1"/>
  <c r="E60" i="18"/>
  <c r="I60" i="18" s="1"/>
  <c r="AB60" i="18" s="1"/>
  <c r="E80" i="6"/>
  <c r="I80" i="6" s="1"/>
  <c r="AB80" i="6" s="1"/>
  <c r="E14" i="19"/>
  <c r="J14" i="19" s="1"/>
  <c r="AB14" i="19" s="1"/>
  <c r="E14" i="18"/>
  <c r="I14" i="18" s="1"/>
  <c r="AB14" i="18" s="1"/>
  <c r="Q23" i="14"/>
  <c r="V23" i="14"/>
  <c r="E83" i="6"/>
  <c r="I83" i="6" s="1"/>
  <c r="AB83" i="6" s="1"/>
  <c r="AB26" i="14"/>
  <c r="Q29" i="14"/>
  <c r="V29" i="14"/>
  <c r="X29" i="14" s="1"/>
  <c r="E64" i="18"/>
  <c r="I64" i="18" s="1"/>
  <c r="AB64" i="18" s="1"/>
  <c r="E64" i="19"/>
  <c r="J64" i="19" s="1"/>
  <c r="AB64" i="19" s="1"/>
  <c r="AM37" i="21" l="1"/>
  <c r="AJ36" i="14" s="1"/>
  <c r="AK36" i="14" s="1"/>
  <c r="AQ37" i="25"/>
  <c r="AM38" i="21"/>
  <c r="AJ37" i="14" s="1"/>
  <c r="AK37" i="14" s="1"/>
  <c r="AQ38" i="25"/>
  <c r="AJ37" i="21"/>
  <c r="AH36" i="14" s="1"/>
  <c r="AN37" i="25"/>
  <c r="Y77" i="23"/>
  <c r="X76" i="23"/>
  <c r="X77" i="23"/>
  <c r="AG23" i="21"/>
  <c r="AK23" i="25"/>
  <c r="AJ38" i="21"/>
  <c r="AH37" i="14" s="1"/>
  <c r="AN38" i="25"/>
  <c r="AF23" i="21"/>
  <c r="AJ23" i="25"/>
  <c r="Y76" i="23"/>
  <c r="AQ94" i="7"/>
  <c r="AT37" i="25" s="1"/>
  <c r="AU94" i="7"/>
  <c r="F94" i="19"/>
  <c r="AF94" i="19" s="1"/>
  <c r="AJ94" i="19" s="1"/>
  <c r="W76" i="23"/>
  <c r="AQ95" i="7"/>
  <c r="AT38" i="25" s="1"/>
  <c r="AU95" i="7"/>
  <c r="F95" i="19"/>
  <c r="AF95" i="19" s="1"/>
  <c r="AJ95" i="19" s="1"/>
  <c r="W77" i="23"/>
  <c r="E21" i="19"/>
  <c r="J21" i="19" s="1"/>
  <c r="AB21" i="19" s="1"/>
  <c r="AB22" i="19" s="1"/>
  <c r="R17" i="22"/>
  <c r="S17" i="22" s="1"/>
  <c r="E21" i="18"/>
  <c r="I21" i="18" s="1"/>
  <c r="AB21" i="18" s="1"/>
  <c r="AO21" i="18" s="1"/>
  <c r="V17" i="23"/>
  <c r="V73" i="23"/>
  <c r="R73" i="22"/>
  <c r="S73" i="22" s="1"/>
  <c r="R70" i="22"/>
  <c r="S70" i="22" s="1"/>
  <c r="V70" i="23"/>
  <c r="R28" i="22"/>
  <c r="S28" i="22" s="1"/>
  <c r="V28" i="23"/>
  <c r="V60" i="23"/>
  <c r="R60" i="22"/>
  <c r="S60" i="22" s="1"/>
  <c r="R59" i="22"/>
  <c r="S59" i="22" s="1"/>
  <c r="V59" i="23"/>
  <c r="V30" i="23"/>
  <c r="R30" i="22"/>
  <c r="S30" i="22" s="1"/>
  <c r="R52" i="22"/>
  <c r="S52" i="22" s="1"/>
  <c r="V52" i="23"/>
  <c r="R44" i="22"/>
  <c r="S44" i="22" s="1"/>
  <c r="V44" i="23"/>
  <c r="V58" i="23"/>
  <c r="R58" i="22"/>
  <c r="S58" i="22" s="1"/>
  <c r="R35" i="22"/>
  <c r="S35" i="22" s="1"/>
  <c r="V35" i="23"/>
  <c r="R75" i="22"/>
  <c r="S75" i="22" s="1"/>
  <c r="V75" i="23"/>
  <c r="R57" i="22"/>
  <c r="S57" i="22" s="1"/>
  <c r="V57" i="23"/>
  <c r="V41" i="23"/>
  <c r="R41" i="22"/>
  <c r="S41" i="22" s="1"/>
  <c r="V62" i="23"/>
  <c r="R62" i="22"/>
  <c r="S62" i="22" s="1"/>
  <c r="V34" i="23"/>
  <c r="R34" i="22"/>
  <c r="S34" i="22" s="1"/>
  <c r="R32" i="22"/>
  <c r="S32" i="22" s="1"/>
  <c r="V32" i="23"/>
  <c r="V53" i="23"/>
  <c r="R53" i="22"/>
  <c r="S53" i="22" s="1"/>
  <c r="V42" i="23"/>
  <c r="R42" i="22"/>
  <c r="S42" i="22" s="1"/>
  <c r="R63" i="22"/>
  <c r="S63" i="22" s="1"/>
  <c r="V63" i="23"/>
  <c r="V39" i="23"/>
  <c r="R39" i="22"/>
  <c r="S39" i="22" s="1"/>
  <c r="R45" i="22"/>
  <c r="S45" i="22" s="1"/>
  <c r="V45" i="23"/>
  <c r="V55" i="23"/>
  <c r="R55" i="22"/>
  <c r="S55" i="22" s="1"/>
  <c r="V25" i="23"/>
  <c r="R25" i="22"/>
  <c r="S25" i="22" s="1"/>
  <c r="V40" i="23"/>
  <c r="R40" i="22"/>
  <c r="S40" i="22" s="1"/>
  <c r="R18" i="22"/>
  <c r="S18" i="22" s="1"/>
  <c r="V18" i="23"/>
  <c r="V61" i="23"/>
  <c r="R61" i="22"/>
  <c r="S61" i="22" s="1"/>
  <c r="R38" i="22"/>
  <c r="S38" i="22" s="1"/>
  <c r="V38" i="23"/>
  <c r="V29" i="23"/>
  <c r="R29" i="22"/>
  <c r="S29" i="22" s="1"/>
  <c r="R72" i="22"/>
  <c r="S72" i="22" s="1"/>
  <c r="V72" i="23"/>
  <c r="V74" i="23"/>
  <c r="R74" i="22"/>
  <c r="S74" i="22" s="1"/>
  <c r="V54" i="23"/>
  <c r="R54" i="22"/>
  <c r="S54" i="22" s="1"/>
  <c r="R24" i="22"/>
  <c r="S24" i="22" s="1"/>
  <c r="V24" i="23"/>
  <c r="R43" i="22"/>
  <c r="S43" i="22" s="1"/>
  <c r="V43" i="23"/>
  <c r="R19" i="22"/>
  <c r="S19" i="22" s="1"/>
  <c r="V19" i="23"/>
  <c r="R37" i="22"/>
  <c r="S37" i="22" s="1"/>
  <c r="V37" i="23"/>
  <c r="V33" i="23"/>
  <c r="R33" i="22"/>
  <c r="S33" i="22" s="1"/>
  <c r="V71" i="23"/>
  <c r="R71" i="22"/>
  <c r="S71" i="22" s="1"/>
  <c r="R31" i="22"/>
  <c r="S31" i="22" s="1"/>
  <c r="V31" i="23"/>
  <c r="R56" i="22"/>
  <c r="S56" i="22" s="1"/>
  <c r="V56" i="23"/>
  <c r="V36" i="23"/>
  <c r="R36" i="22"/>
  <c r="S36" i="22" s="1"/>
  <c r="AB66" i="14"/>
  <c r="AG66" i="14" s="1"/>
  <c r="AC53" i="14"/>
  <c r="E90" i="19"/>
  <c r="J90" i="19" s="1"/>
  <c r="AB90" i="19" s="1"/>
  <c r="E90" i="18"/>
  <c r="I90" i="18" s="1"/>
  <c r="AB90" i="18" s="1"/>
  <c r="E40" i="19"/>
  <c r="J40" i="19" s="1"/>
  <c r="AB40" i="19" s="1"/>
  <c r="E40" i="18"/>
  <c r="I40" i="18" s="1"/>
  <c r="AB40" i="18" s="1"/>
  <c r="AO15" i="18"/>
  <c r="AF15" i="18"/>
  <c r="AL18" i="25" s="1"/>
  <c r="H85" i="18"/>
  <c r="H30" i="18"/>
  <c r="E76" i="18"/>
  <c r="I76" i="18" s="1"/>
  <c r="AB76" i="18" s="1"/>
  <c r="E76" i="19"/>
  <c r="J76" i="19" s="1"/>
  <c r="AB76" i="19" s="1"/>
  <c r="E45" i="19"/>
  <c r="J45" i="19" s="1"/>
  <c r="AB45" i="19" s="1"/>
  <c r="E45" i="18"/>
  <c r="I45" i="18" s="1"/>
  <c r="AB45" i="18" s="1"/>
  <c r="E39" i="18"/>
  <c r="I39" i="18" s="1"/>
  <c r="AB39" i="18" s="1"/>
  <c r="E39" i="19"/>
  <c r="J39" i="19" s="1"/>
  <c r="AB39" i="19" s="1"/>
  <c r="AO59" i="18"/>
  <c r="AB65" i="18"/>
  <c r="AF59" i="18"/>
  <c r="E33" i="18"/>
  <c r="I33" i="18" s="1"/>
  <c r="AB33" i="18" s="1"/>
  <c r="E33" i="19"/>
  <c r="J33" i="19" s="1"/>
  <c r="AB33" i="19" s="1"/>
  <c r="AO36" i="6"/>
  <c r="AF36" i="6"/>
  <c r="AK36" i="6" s="1"/>
  <c r="E57" i="19"/>
  <c r="J57" i="19" s="1"/>
  <c r="AB57" i="19" s="1"/>
  <c r="E57" i="18"/>
  <c r="I57" i="18" s="1"/>
  <c r="AB57" i="18" s="1"/>
  <c r="X26" i="14"/>
  <c r="E50" i="18"/>
  <c r="I50" i="18" s="1"/>
  <c r="AB50" i="18" s="1"/>
  <c r="E50" i="19"/>
  <c r="J50" i="19" s="1"/>
  <c r="AB50" i="19" s="1"/>
  <c r="AO61" i="18"/>
  <c r="AF61" i="18"/>
  <c r="AK61" i="18" s="1"/>
  <c r="E42" i="18"/>
  <c r="I42" i="18" s="1"/>
  <c r="AB42" i="18" s="1"/>
  <c r="E42" i="19"/>
  <c r="J42" i="19" s="1"/>
  <c r="AB42" i="19" s="1"/>
  <c r="AF18" i="18"/>
  <c r="AL21" i="25" s="1"/>
  <c r="AO18" i="18"/>
  <c r="H29" i="18"/>
  <c r="E66" i="19"/>
  <c r="J66" i="19" s="1"/>
  <c r="AB66" i="19" s="1"/>
  <c r="E66" i="18"/>
  <c r="I66" i="18" s="1"/>
  <c r="AB66" i="18" s="1"/>
  <c r="AF85" i="6"/>
  <c r="AO85" i="6"/>
  <c r="E32" i="18"/>
  <c r="I32" i="18" s="1"/>
  <c r="AB32" i="18" s="1"/>
  <c r="E32" i="19"/>
  <c r="J32" i="19" s="1"/>
  <c r="AB32" i="19" s="1"/>
  <c r="E56" i="19"/>
  <c r="J56" i="19" s="1"/>
  <c r="AB56" i="19" s="1"/>
  <c r="E56" i="18"/>
  <c r="I56" i="18" s="1"/>
  <c r="AB56" i="18" s="1"/>
  <c r="AO63" i="18"/>
  <c r="AF63" i="18"/>
  <c r="AK63" i="18" s="1"/>
  <c r="AF30" i="6"/>
  <c r="AK30" i="6" s="1"/>
  <c r="AO30" i="6"/>
  <c r="E49" i="19"/>
  <c r="J49" i="19" s="1"/>
  <c r="AB49" i="19" s="1"/>
  <c r="E49" i="18"/>
  <c r="I49" i="18" s="1"/>
  <c r="AB49" i="18" s="1"/>
  <c r="H82" i="18"/>
  <c r="X54" i="14"/>
  <c r="W65" i="14" s="1"/>
  <c r="X22" i="14"/>
  <c r="Z53" i="14"/>
  <c r="H80" i="18"/>
  <c r="X23" i="14"/>
  <c r="X55" i="14"/>
  <c r="AF64" i="18"/>
  <c r="AK64" i="18" s="1"/>
  <c r="AO64" i="18"/>
  <c r="AB65" i="19"/>
  <c r="E71" i="19"/>
  <c r="J71" i="19" s="1"/>
  <c r="AB71" i="19" s="1"/>
  <c r="E71" i="18"/>
  <c r="I71" i="18" s="1"/>
  <c r="AB71" i="18" s="1"/>
  <c r="H81" i="18"/>
  <c r="E53" i="19"/>
  <c r="J53" i="19" s="1"/>
  <c r="AB53" i="19" s="1"/>
  <c r="E53" i="18"/>
  <c r="I53" i="18" s="1"/>
  <c r="AB53" i="18" s="1"/>
  <c r="E75" i="18"/>
  <c r="I75" i="18" s="1"/>
  <c r="AB75" i="18" s="1"/>
  <c r="E75" i="19"/>
  <c r="J75" i="19" s="1"/>
  <c r="AB75" i="19" s="1"/>
  <c r="E48" i="18"/>
  <c r="I48" i="18" s="1"/>
  <c r="AB48" i="18" s="1"/>
  <c r="E48" i="19"/>
  <c r="J48" i="19" s="1"/>
  <c r="AB48" i="19" s="1"/>
  <c r="E87" i="19"/>
  <c r="J87" i="19" s="1"/>
  <c r="AB87" i="19" s="1"/>
  <c r="E87" i="18"/>
  <c r="I87" i="18" s="1"/>
  <c r="AB87" i="18" s="1"/>
  <c r="H83" i="18"/>
  <c r="E92" i="18"/>
  <c r="I92" i="18" s="1"/>
  <c r="AB92" i="18" s="1"/>
  <c r="E92" i="19"/>
  <c r="J92" i="19" s="1"/>
  <c r="AB92" i="19" s="1"/>
  <c r="AF14" i="18"/>
  <c r="AL17" i="25" s="1"/>
  <c r="AO14" i="18"/>
  <c r="AO80" i="6"/>
  <c r="AF80" i="6"/>
  <c r="AB86" i="6"/>
  <c r="AF29" i="6"/>
  <c r="AB31" i="6"/>
  <c r="AO29" i="6"/>
  <c r="E67" i="19"/>
  <c r="J67" i="19" s="1"/>
  <c r="AB67" i="19" s="1"/>
  <c r="E67" i="18"/>
  <c r="I67" i="18" s="1"/>
  <c r="AB67" i="18" s="1"/>
  <c r="H26" i="18"/>
  <c r="H35" i="18"/>
  <c r="H36" i="18"/>
  <c r="AO16" i="18"/>
  <c r="AF16" i="18"/>
  <c r="AL19" i="25" s="1"/>
  <c r="E54" i="19"/>
  <c r="J54" i="19" s="1"/>
  <c r="AB54" i="19" s="1"/>
  <c r="E54" i="18"/>
  <c r="I54" i="18" s="1"/>
  <c r="AB54" i="18" s="1"/>
  <c r="E74" i="18"/>
  <c r="I74" i="18" s="1"/>
  <c r="AB74" i="18" s="1"/>
  <c r="E74" i="19"/>
  <c r="J74" i="19" s="1"/>
  <c r="AB74" i="19" s="1"/>
  <c r="E47" i="19"/>
  <c r="J47" i="19" s="1"/>
  <c r="AB47" i="19" s="1"/>
  <c r="E47" i="18"/>
  <c r="I47" i="18" s="1"/>
  <c r="AB47" i="18" s="1"/>
  <c r="AO82" i="6"/>
  <c r="AF82" i="6"/>
  <c r="AK82" i="6" s="1"/>
  <c r="E41" i="19"/>
  <c r="J41" i="19" s="1"/>
  <c r="AB41" i="19" s="1"/>
  <c r="E41" i="18"/>
  <c r="I41" i="18" s="1"/>
  <c r="AB41" i="18" s="1"/>
  <c r="E69" i="18"/>
  <c r="I69" i="18" s="1"/>
  <c r="AB69" i="18" s="1"/>
  <c r="E69" i="19"/>
  <c r="J69" i="19" s="1"/>
  <c r="AB69" i="19" s="1"/>
  <c r="AO81" i="6"/>
  <c r="AF81" i="6"/>
  <c r="AK81" i="6" s="1"/>
  <c r="AF20" i="18"/>
  <c r="AO20" i="18"/>
  <c r="H84" i="18"/>
  <c r="AB22" i="14"/>
  <c r="E52" i="19"/>
  <c r="J52" i="19" s="1"/>
  <c r="AB52" i="19" s="1"/>
  <c r="E52" i="18"/>
  <c r="I52" i="18" s="1"/>
  <c r="AB52" i="18" s="1"/>
  <c r="AO62" i="18"/>
  <c r="AF62" i="18"/>
  <c r="AK62" i="18" s="1"/>
  <c r="E73" i="18"/>
  <c r="I73" i="18" s="1"/>
  <c r="AB73" i="18" s="1"/>
  <c r="E73" i="19"/>
  <c r="J73" i="19" s="1"/>
  <c r="AB73" i="19" s="1"/>
  <c r="AF27" i="6"/>
  <c r="AK27" i="6" s="1"/>
  <c r="AO27" i="6"/>
  <c r="E89" i="18"/>
  <c r="I89" i="18" s="1"/>
  <c r="AB89" i="18" s="1"/>
  <c r="E89" i="19"/>
  <c r="J89" i="19" s="1"/>
  <c r="AB89" i="19" s="1"/>
  <c r="E38" i="19"/>
  <c r="J38" i="19" s="1"/>
  <c r="AB38" i="19" s="1"/>
  <c r="E38" i="18"/>
  <c r="I38" i="18" s="1"/>
  <c r="AB38" i="18" s="1"/>
  <c r="E68" i="19"/>
  <c r="J68" i="19" s="1"/>
  <c r="AB68" i="19" s="1"/>
  <c r="E68" i="18"/>
  <c r="I68" i="18" s="1"/>
  <c r="AB68" i="18" s="1"/>
  <c r="AF26" i="6"/>
  <c r="AO26" i="6"/>
  <c r="AB28" i="6"/>
  <c r="E55" i="19"/>
  <c r="J55" i="19" s="1"/>
  <c r="AB55" i="19" s="1"/>
  <c r="E55" i="18"/>
  <c r="I55" i="18" s="1"/>
  <c r="AB55" i="18" s="1"/>
  <c r="E23" i="18"/>
  <c r="I23" i="18" s="1"/>
  <c r="AB23" i="18" s="1"/>
  <c r="E23" i="19"/>
  <c r="J23" i="19" s="1"/>
  <c r="AB23" i="19" s="1"/>
  <c r="E77" i="19"/>
  <c r="J77" i="19" s="1"/>
  <c r="AB77" i="19" s="1"/>
  <c r="E77" i="18"/>
  <c r="I77" i="18" s="1"/>
  <c r="AB77" i="18" s="1"/>
  <c r="E88" i="19"/>
  <c r="J88" i="19" s="1"/>
  <c r="AB88" i="19" s="1"/>
  <c r="E88" i="18"/>
  <c r="I88" i="18" s="1"/>
  <c r="AB88" i="18" s="1"/>
  <c r="AF60" i="18"/>
  <c r="AK60" i="18" s="1"/>
  <c r="AO60" i="18"/>
  <c r="AF83" i="6"/>
  <c r="AK83" i="6" s="1"/>
  <c r="AO83" i="6"/>
  <c r="E91" i="18"/>
  <c r="I91" i="18" s="1"/>
  <c r="AB91" i="18" s="1"/>
  <c r="E91" i="19"/>
  <c r="J91" i="19" s="1"/>
  <c r="AB91" i="19" s="1"/>
  <c r="AO19" i="18"/>
  <c r="AF19" i="18"/>
  <c r="AL22" i="25" s="1"/>
  <c r="E43" i="19"/>
  <c r="J43" i="19" s="1"/>
  <c r="AB43" i="19" s="1"/>
  <c r="E43" i="18"/>
  <c r="I43" i="18" s="1"/>
  <c r="AB43" i="18" s="1"/>
  <c r="H27" i="18"/>
  <c r="E70" i="18"/>
  <c r="I70" i="18" s="1"/>
  <c r="AB70" i="18" s="1"/>
  <c r="E70" i="19"/>
  <c r="J70" i="19" s="1"/>
  <c r="AB70" i="19" s="1"/>
  <c r="AC22" i="14"/>
  <c r="AF35" i="6"/>
  <c r="AO35" i="6"/>
  <c r="AB37" i="6"/>
  <c r="AF84" i="6"/>
  <c r="AK84" i="6" s="1"/>
  <c r="AK85" i="6" s="1"/>
  <c r="AO84" i="6"/>
  <c r="E24" i="19"/>
  <c r="J24" i="19" s="1"/>
  <c r="AB24" i="19" s="1"/>
  <c r="E24" i="18"/>
  <c r="I24" i="18" s="1"/>
  <c r="AB24" i="18" s="1"/>
  <c r="E78" i="19"/>
  <c r="J78" i="19" s="1"/>
  <c r="AB78" i="19" s="1"/>
  <c r="E78" i="18"/>
  <c r="I78" i="18" s="1"/>
  <c r="AB78" i="18" s="1"/>
  <c r="E46" i="19"/>
  <c r="J46" i="19" s="1"/>
  <c r="AB46" i="19" s="1"/>
  <c r="E46" i="18"/>
  <c r="I46" i="18" s="1"/>
  <c r="AB46" i="18" s="1"/>
  <c r="AO17" i="18"/>
  <c r="AF17" i="18"/>
  <c r="AL20" i="25" s="1"/>
  <c r="AM20" i="25" l="1"/>
  <c r="AX20" i="25" s="1"/>
  <c r="AW20" i="25"/>
  <c r="BA20" i="25"/>
  <c r="BC20" i="25" s="1"/>
  <c r="AV37" i="25"/>
  <c r="AU37" i="25"/>
  <c r="AP38" i="25"/>
  <c r="AO38" i="25"/>
  <c r="AL37" i="21"/>
  <c r="AK37" i="21"/>
  <c r="AP37" i="25"/>
  <c r="AO37" i="25"/>
  <c r="AL38" i="21"/>
  <c r="AK38" i="21"/>
  <c r="AR38" i="25"/>
  <c r="AS38" i="25"/>
  <c r="AW21" i="25"/>
  <c r="AM21" i="25"/>
  <c r="AX21" i="25" s="1"/>
  <c r="BA21" i="25"/>
  <c r="BC21" i="25" s="1"/>
  <c r="AO38" i="21"/>
  <c r="AN38" i="21"/>
  <c r="AW17" i="25"/>
  <c r="AM17" i="25"/>
  <c r="AX17" i="25" s="1"/>
  <c r="BA17" i="25"/>
  <c r="AV38" i="25"/>
  <c r="AU38" i="25"/>
  <c r="AM22" i="25"/>
  <c r="AX22" i="25" s="1"/>
  <c r="AW22" i="25"/>
  <c r="BA22" i="25"/>
  <c r="BC22" i="25" s="1"/>
  <c r="AM19" i="25"/>
  <c r="AX19" i="25" s="1"/>
  <c r="AW19" i="25"/>
  <c r="BA19" i="25"/>
  <c r="BC19" i="25" s="1"/>
  <c r="AR37" i="25"/>
  <c r="AS37" i="25"/>
  <c r="AM18" i="25"/>
  <c r="AX18" i="25" s="1"/>
  <c r="AW18" i="25"/>
  <c r="BA18" i="25"/>
  <c r="BC18" i="25" s="1"/>
  <c r="AO37" i="21"/>
  <c r="AN37" i="21"/>
  <c r="AI37" i="14"/>
  <c r="AI36" i="14"/>
  <c r="AF37" i="14"/>
  <c r="AP38" i="21"/>
  <c r="AQ38" i="21" s="1"/>
  <c r="AF36" i="14"/>
  <c r="AP37" i="21"/>
  <c r="AQ37" i="21" s="1"/>
  <c r="AO37" i="6"/>
  <c r="AB22" i="18"/>
  <c r="AF21" i="18"/>
  <c r="AK21" i="18" s="1"/>
  <c r="AB65" i="14"/>
  <c r="AG65" i="14" s="1"/>
  <c r="AO28" i="6"/>
  <c r="AO31" i="6"/>
  <c r="AO22" i="18"/>
  <c r="V23" i="23"/>
  <c r="R23" i="22"/>
  <c r="S23" i="22" s="1"/>
  <c r="V26" i="23"/>
  <c r="R26" i="22"/>
  <c r="S26" i="22" s="1"/>
  <c r="AH20" i="21"/>
  <c r="AS20" i="21" s="1"/>
  <c r="S20" i="20"/>
  <c r="S18" i="20"/>
  <c r="AH18" i="21"/>
  <c r="AS18" i="21" s="1"/>
  <c r="AH19" i="21"/>
  <c r="AS19" i="21" s="1"/>
  <c r="S19" i="20"/>
  <c r="AH17" i="21"/>
  <c r="AS17" i="21" s="1"/>
  <c r="S17" i="20"/>
  <c r="AH22" i="21"/>
  <c r="AS22" i="21" s="1"/>
  <c r="S22" i="20"/>
  <c r="R64" i="22"/>
  <c r="S64" i="22" s="1"/>
  <c r="V64" i="23"/>
  <c r="AH21" i="21"/>
  <c r="AS21" i="21" s="1"/>
  <c r="S21" i="20"/>
  <c r="R21" i="22"/>
  <c r="S21" i="22" s="1"/>
  <c r="V21" i="23"/>
  <c r="Y55" i="14"/>
  <c r="Z55" i="14" s="1"/>
  <c r="W66" i="14"/>
  <c r="AB3" i="6"/>
  <c r="AD5" i="6" s="1"/>
  <c r="AB58" i="19"/>
  <c r="I83" i="19"/>
  <c r="X83" i="19" s="1"/>
  <c r="W83" i="18"/>
  <c r="AF24" i="18"/>
  <c r="AK24" i="18" s="1"/>
  <c r="AO24" i="18"/>
  <c r="AF77" i="18"/>
  <c r="AK77" i="18" s="1"/>
  <c r="AK78" i="18" s="1"/>
  <c r="AO77" i="18"/>
  <c r="AO91" i="18"/>
  <c r="AF91" i="18"/>
  <c r="AK91" i="18" s="1"/>
  <c r="AJ17" i="18"/>
  <c r="AK17" i="18"/>
  <c r="AD19" i="14"/>
  <c r="P20" i="13"/>
  <c r="AF70" i="18"/>
  <c r="AK70" i="18" s="1"/>
  <c r="AK71" i="18" s="1"/>
  <c r="AO70" i="18"/>
  <c r="AO73" i="18"/>
  <c r="AF73" i="18"/>
  <c r="AB79" i="18"/>
  <c r="AF69" i="18"/>
  <c r="AK69" i="18" s="1"/>
  <c r="AO69" i="18"/>
  <c r="AF54" i="18"/>
  <c r="AK54" i="18" s="1"/>
  <c r="AO54" i="18"/>
  <c r="I36" i="19"/>
  <c r="X36" i="19" s="1"/>
  <c r="W36" i="18"/>
  <c r="I35" i="19"/>
  <c r="W35" i="18"/>
  <c r="AF53" i="18"/>
  <c r="AK53" i="18" s="1"/>
  <c r="AO53" i="18"/>
  <c r="I81" i="19"/>
  <c r="X81" i="19" s="1"/>
  <c r="W81" i="18"/>
  <c r="AB51" i="19"/>
  <c r="E80" i="18"/>
  <c r="I80" i="18" s="1"/>
  <c r="AB80" i="18" s="1"/>
  <c r="E80" i="19"/>
  <c r="AO50" i="18"/>
  <c r="AF50" i="18"/>
  <c r="AK59" i="18"/>
  <c r="AF65" i="18"/>
  <c r="AL32" i="25" s="1"/>
  <c r="E27" i="19"/>
  <c r="E27" i="18"/>
  <c r="I27" i="18" s="1"/>
  <c r="AB27" i="18" s="1"/>
  <c r="AF40" i="18"/>
  <c r="AK40" i="18" s="1"/>
  <c r="AO40" i="18"/>
  <c r="P17" i="13"/>
  <c r="AD16" i="14"/>
  <c r="AP16" i="14" s="1"/>
  <c r="AO49" i="18"/>
  <c r="AF49" i="18"/>
  <c r="W29" i="18"/>
  <c r="I29" i="19"/>
  <c r="AF57" i="18"/>
  <c r="AO57" i="18"/>
  <c r="W85" i="18"/>
  <c r="I85" i="19"/>
  <c r="X85" i="19" s="1"/>
  <c r="E35" i="18"/>
  <c r="I35" i="18" s="1"/>
  <c r="AB35" i="18" s="1"/>
  <c r="E35" i="19"/>
  <c r="AK35" i="6"/>
  <c r="AF37" i="6"/>
  <c r="F28" i="25" s="1"/>
  <c r="AO46" i="18"/>
  <c r="AF46" i="18"/>
  <c r="AK46" i="18" s="1"/>
  <c r="AO55" i="18"/>
  <c r="AF55" i="18"/>
  <c r="AK55" i="18" s="1"/>
  <c r="AK26" i="6"/>
  <c r="AF28" i="6"/>
  <c r="F25" i="25" s="1"/>
  <c r="AF47" i="18"/>
  <c r="AK47" i="18" s="1"/>
  <c r="AO47" i="18"/>
  <c r="I26" i="19"/>
  <c r="X26" i="19" s="1"/>
  <c r="W26" i="18"/>
  <c r="Y54" i="14"/>
  <c r="AO65" i="18"/>
  <c r="E30" i="18"/>
  <c r="I30" i="18" s="1"/>
  <c r="AB30" i="18" s="1"/>
  <c r="E30" i="19"/>
  <c r="AO90" i="18"/>
  <c r="AF90" i="18"/>
  <c r="AK90" i="18" s="1"/>
  <c r="AO43" i="18"/>
  <c r="AF43" i="18"/>
  <c r="AF88" i="18"/>
  <c r="AK88" i="18" s="1"/>
  <c r="AO88" i="18"/>
  <c r="I84" i="19"/>
  <c r="X84" i="19" s="1"/>
  <c r="W84" i="18"/>
  <c r="AO41" i="18"/>
  <c r="AF41" i="18"/>
  <c r="AK41" i="18" s="1"/>
  <c r="AK42" i="18" s="1"/>
  <c r="AK43" i="18" s="1"/>
  <c r="AF74" i="18"/>
  <c r="AK74" i="18" s="1"/>
  <c r="AO74" i="18"/>
  <c r="AO92" i="18"/>
  <c r="AF92" i="18"/>
  <c r="AK92" i="18" s="1"/>
  <c r="AO75" i="18"/>
  <c r="AF75" i="18"/>
  <c r="AK75" i="18" s="1"/>
  <c r="W80" i="18"/>
  <c r="I80" i="19"/>
  <c r="AB34" i="19"/>
  <c r="AF76" i="18"/>
  <c r="AK76" i="18" s="1"/>
  <c r="AO76" i="18"/>
  <c r="P18" i="13"/>
  <c r="AD17" i="14"/>
  <c r="AB25" i="19"/>
  <c r="AF68" i="18"/>
  <c r="AK68" i="18" s="1"/>
  <c r="AO68" i="18"/>
  <c r="AO89" i="18"/>
  <c r="AF89" i="18"/>
  <c r="AK89" i="18" s="1"/>
  <c r="AD18" i="14"/>
  <c r="AJ16" i="18"/>
  <c r="AK16" i="18"/>
  <c r="P19" i="13"/>
  <c r="AF31" i="6"/>
  <c r="F26" i="25" s="1"/>
  <c r="AK29" i="6"/>
  <c r="AB93" i="18"/>
  <c r="AO87" i="18"/>
  <c r="AF87" i="18"/>
  <c r="AO66" i="18"/>
  <c r="AF66" i="18"/>
  <c r="AB72" i="18"/>
  <c r="AF33" i="18"/>
  <c r="AK33" i="18" s="1"/>
  <c r="AO33" i="18"/>
  <c r="AF39" i="18"/>
  <c r="AK39" i="18" s="1"/>
  <c r="AO39" i="18"/>
  <c r="AF38" i="18"/>
  <c r="AO38" i="18"/>
  <c r="AB44" i="18"/>
  <c r="AK20" i="18"/>
  <c r="I27" i="19"/>
  <c r="W27" i="18"/>
  <c r="AB79" i="19"/>
  <c r="AK80" i="6"/>
  <c r="AF86" i="6"/>
  <c r="F35" i="25" s="1"/>
  <c r="AO71" i="18"/>
  <c r="AF71" i="18"/>
  <c r="W82" i="18"/>
  <c r="I82" i="19"/>
  <c r="AO56" i="18"/>
  <c r="AF56" i="18"/>
  <c r="AK56" i="18" s="1"/>
  <c r="AK57" i="18" s="1"/>
  <c r="AB34" i="18"/>
  <c r="AF32" i="18"/>
  <c r="AO32" i="18"/>
  <c r="AF42" i="18"/>
  <c r="AO42" i="18"/>
  <c r="AO78" i="18"/>
  <c r="AF78" i="18"/>
  <c r="AB44" i="19"/>
  <c r="P22" i="13"/>
  <c r="AJ19" i="18"/>
  <c r="AD21" i="14"/>
  <c r="AK19" i="18"/>
  <c r="AF23" i="18"/>
  <c r="AO23" i="18"/>
  <c r="AB25" i="18"/>
  <c r="AB58" i="18"/>
  <c r="AF52" i="18"/>
  <c r="AO52" i="18"/>
  <c r="AO67" i="18"/>
  <c r="AF67" i="18"/>
  <c r="AK67" i="18" s="1"/>
  <c r="AO86" i="6"/>
  <c r="H35" i="25" s="1"/>
  <c r="I35" i="25" s="1"/>
  <c r="AB93" i="19"/>
  <c r="AO48" i="18"/>
  <c r="AF48" i="18"/>
  <c r="AK48" i="18" s="1"/>
  <c r="AK49" i="18" s="1"/>
  <c r="AK50" i="18" s="1"/>
  <c r="AD53" i="14"/>
  <c r="AB72" i="19"/>
  <c r="P21" i="13"/>
  <c r="AJ18" i="18"/>
  <c r="AK18" i="18"/>
  <c r="AD20" i="14"/>
  <c r="AF45" i="18"/>
  <c r="AB51" i="18"/>
  <c r="AO45" i="18"/>
  <c r="I30" i="19"/>
  <c r="W30" i="18"/>
  <c r="E85" i="18" l="1"/>
  <c r="I85" i="18" s="1"/>
  <c r="AB85" i="18" s="1"/>
  <c r="AO85" i="18" s="1"/>
  <c r="G35" i="25"/>
  <c r="S35" i="25"/>
  <c r="G26" i="25"/>
  <c r="G28" i="13"/>
  <c r="H28" i="25"/>
  <c r="I28" i="25" s="1"/>
  <c r="G25" i="25"/>
  <c r="F41" i="25"/>
  <c r="G41" i="25" s="1"/>
  <c r="G28" i="25"/>
  <c r="H25" i="14"/>
  <c r="I25" i="14" s="1"/>
  <c r="H26" i="25"/>
  <c r="I26" i="25" s="1"/>
  <c r="H24" i="14"/>
  <c r="H25" i="25"/>
  <c r="AW32" i="25"/>
  <c r="AM32" i="25"/>
  <c r="AX32" i="25" s="1"/>
  <c r="BA32" i="25"/>
  <c r="BC32" i="25" s="1"/>
  <c r="BC17" i="25"/>
  <c r="AR37" i="21"/>
  <c r="AR38" i="21"/>
  <c r="E85" i="19"/>
  <c r="J85" i="19" s="1"/>
  <c r="AB85" i="19" s="1"/>
  <c r="V69" i="23"/>
  <c r="R69" i="22"/>
  <c r="S69" i="22" s="1"/>
  <c r="AG36" i="14"/>
  <c r="AG37" i="14"/>
  <c r="E26" i="19"/>
  <c r="J26" i="19" s="1"/>
  <c r="AB26" i="19" s="1"/>
  <c r="V20" i="23"/>
  <c r="E26" i="18"/>
  <c r="I26" i="18" s="1"/>
  <c r="AB26" i="18" s="1"/>
  <c r="AO26" i="18" s="1"/>
  <c r="R20" i="22"/>
  <c r="S20" i="22" s="1"/>
  <c r="AO25" i="18"/>
  <c r="E29" i="18"/>
  <c r="I29" i="18" s="1"/>
  <c r="AB29" i="18" s="1"/>
  <c r="AB31" i="18" s="1"/>
  <c r="E29" i="19"/>
  <c r="J29" i="19" s="1"/>
  <c r="AB29" i="19" s="1"/>
  <c r="H28" i="21"/>
  <c r="I28" i="21" s="1"/>
  <c r="G28" i="20"/>
  <c r="G25" i="13"/>
  <c r="H27" i="14"/>
  <c r="I27" i="14" s="1"/>
  <c r="AF22" i="18"/>
  <c r="V22" i="23"/>
  <c r="V67" i="23"/>
  <c r="E84" i="19"/>
  <c r="J84" i="19" s="1"/>
  <c r="AB84" i="19" s="1"/>
  <c r="AP19" i="14"/>
  <c r="AP17" i="14"/>
  <c r="AR16" i="14"/>
  <c r="AP20" i="14"/>
  <c r="AP21" i="14"/>
  <c r="AP18" i="14"/>
  <c r="R22" i="22"/>
  <c r="S22" i="22" s="1"/>
  <c r="E84" i="18"/>
  <c r="I84" i="18" s="1"/>
  <c r="AB84" i="18" s="1"/>
  <c r="AF84" i="18" s="1"/>
  <c r="AK84" i="18" s="1"/>
  <c r="AK85" i="18" s="1"/>
  <c r="AW19" i="21"/>
  <c r="AW21" i="21"/>
  <c r="AW22" i="21"/>
  <c r="AW18" i="21"/>
  <c r="AW20" i="21"/>
  <c r="AW17" i="21"/>
  <c r="F35" i="21"/>
  <c r="F35" i="20"/>
  <c r="F25" i="21"/>
  <c r="F25" i="20"/>
  <c r="AO3" i="6"/>
  <c r="AO5" i="6" s="1"/>
  <c r="AR9" i="6" s="1"/>
  <c r="H35" i="21"/>
  <c r="I35" i="21" s="1"/>
  <c r="G35" i="20"/>
  <c r="G26" i="20"/>
  <c r="G26" i="13"/>
  <c r="H26" i="21"/>
  <c r="I26" i="21" s="1"/>
  <c r="H25" i="21"/>
  <c r="I25" i="21" s="1"/>
  <c r="G25" i="20"/>
  <c r="E83" i="19"/>
  <c r="J83" i="19" s="1"/>
  <c r="AB83" i="19" s="1"/>
  <c r="R67" i="22"/>
  <c r="S67" i="22" s="1"/>
  <c r="E83" i="18"/>
  <c r="I83" i="18" s="1"/>
  <c r="AB83" i="18" s="1"/>
  <c r="AO83" i="18" s="1"/>
  <c r="F28" i="21"/>
  <c r="F28" i="20"/>
  <c r="W20" i="20"/>
  <c r="V20" i="20"/>
  <c r="T20" i="20"/>
  <c r="U20" i="20"/>
  <c r="AI17" i="21"/>
  <c r="AT17" i="21" s="1"/>
  <c r="AI20" i="21"/>
  <c r="AT20" i="21" s="1"/>
  <c r="W19" i="20"/>
  <c r="V19" i="20"/>
  <c r="T19" i="20"/>
  <c r="U19" i="20"/>
  <c r="W17" i="20"/>
  <c r="V17" i="20"/>
  <c r="T17" i="20"/>
  <c r="U17" i="20"/>
  <c r="F26" i="21"/>
  <c r="F26" i="20"/>
  <c r="E82" i="18"/>
  <c r="I82" i="18" s="1"/>
  <c r="AB82" i="18" s="1"/>
  <c r="AO82" i="18" s="1"/>
  <c r="R66" i="22"/>
  <c r="S66" i="22" s="1"/>
  <c r="V66" i="23"/>
  <c r="V21" i="20"/>
  <c r="U21" i="20"/>
  <c r="W21" i="20"/>
  <c r="T21" i="20"/>
  <c r="W22" i="20"/>
  <c r="V22" i="20"/>
  <c r="U22" i="20"/>
  <c r="T22" i="20"/>
  <c r="AI19" i="21"/>
  <c r="AT19" i="21" s="1"/>
  <c r="R65" i="22"/>
  <c r="S65" i="22" s="1"/>
  <c r="V65" i="23"/>
  <c r="AI21" i="21"/>
  <c r="AT21" i="21" s="1"/>
  <c r="AI22" i="21"/>
  <c r="AT22" i="21" s="1"/>
  <c r="AC55" i="14"/>
  <c r="AD55" i="14" s="1"/>
  <c r="AE55" i="14" s="1"/>
  <c r="R68" i="22"/>
  <c r="S68" i="22" s="1"/>
  <c r="V68" i="23"/>
  <c r="AI18" i="21"/>
  <c r="AT18" i="21" s="1"/>
  <c r="R27" i="22"/>
  <c r="S27" i="22" s="1"/>
  <c r="V27" i="23"/>
  <c r="AH32" i="21"/>
  <c r="AS32" i="21" s="1"/>
  <c r="S32" i="20"/>
  <c r="V18" i="20"/>
  <c r="W18" i="20"/>
  <c r="T18" i="20"/>
  <c r="U18" i="20"/>
  <c r="E82" i="19"/>
  <c r="J82" i="19" s="1"/>
  <c r="AB82" i="19" s="1"/>
  <c r="E81" i="18"/>
  <c r="I81" i="18" s="1"/>
  <c r="AB81" i="18" s="1"/>
  <c r="AF81" i="18" s="1"/>
  <c r="AK81" i="18" s="1"/>
  <c r="AO51" i="18"/>
  <c r="E81" i="19"/>
  <c r="J81" i="19" s="1"/>
  <c r="AB81" i="19" s="1"/>
  <c r="AC64" i="14"/>
  <c r="AO72" i="18"/>
  <c r="F35" i="13"/>
  <c r="AJ86" i="6"/>
  <c r="AK86" i="6"/>
  <c r="F34" i="14"/>
  <c r="E36" i="18"/>
  <c r="I36" i="18" s="1"/>
  <c r="AB36" i="18" s="1"/>
  <c r="AB37" i="18" s="1"/>
  <c r="E36" i="19"/>
  <c r="J36" i="19" s="1"/>
  <c r="AB36" i="19" s="1"/>
  <c r="AF30" i="18"/>
  <c r="AK30" i="18" s="1"/>
  <c r="AO30" i="18"/>
  <c r="X30" i="19"/>
  <c r="J30" i="19"/>
  <c r="AB30" i="19" s="1"/>
  <c r="AE20" i="14"/>
  <c r="T19" i="13"/>
  <c r="S19" i="13"/>
  <c r="Q19" i="13"/>
  <c r="R19" i="13"/>
  <c r="AJ37" i="6"/>
  <c r="F27" i="14"/>
  <c r="F28" i="13"/>
  <c r="AK37" i="6"/>
  <c r="AF35" i="18"/>
  <c r="AO35" i="18"/>
  <c r="J35" i="19"/>
  <c r="AB35" i="19" s="1"/>
  <c r="X35" i="19"/>
  <c r="X37" i="19" s="1"/>
  <c r="W31" i="18"/>
  <c r="Z31" i="18" s="1"/>
  <c r="S17" i="13"/>
  <c r="T17" i="13"/>
  <c r="Q17" i="13"/>
  <c r="R17" i="13"/>
  <c r="AO79" i="18"/>
  <c r="S20" i="13"/>
  <c r="T20" i="13"/>
  <c r="Q20" i="13"/>
  <c r="R20" i="13"/>
  <c r="S21" i="13"/>
  <c r="T21" i="13"/>
  <c r="Q21" i="13"/>
  <c r="R21" i="13"/>
  <c r="AF25" i="18"/>
  <c r="AL24" i="25" s="1"/>
  <c r="AK23" i="18"/>
  <c r="X27" i="19"/>
  <c r="X28" i="19" s="1"/>
  <c r="J27" i="19"/>
  <c r="AB27" i="19" s="1"/>
  <c r="AO44" i="18"/>
  <c r="AE18" i="14"/>
  <c r="AE19" i="14"/>
  <c r="AK87" i="18"/>
  <c r="AF93" i="18"/>
  <c r="AL36" i="25" s="1"/>
  <c r="AE17" i="14"/>
  <c r="S18" i="13"/>
  <c r="T18" i="13"/>
  <c r="Q18" i="13"/>
  <c r="R18" i="13"/>
  <c r="AO58" i="18"/>
  <c r="AF44" i="18"/>
  <c r="AL29" i="25" s="1"/>
  <c r="AK38" i="18"/>
  <c r="F25" i="13"/>
  <c r="F24" i="14"/>
  <c r="AK28" i="6"/>
  <c r="AJ28" i="6"/>
  <c r="AF3" i="6"/>
  <c r="AO27" i="18"/>
  <c r="AF27" i="18"/>
  <c r="AK27" i="18" s="1"/>
  <c r="AF79" i="18"/>
  <c r="AL34" i="25" s="1"/>
  <c r="AK73" i="18"/>
  <c r="AO93" i="18"/>
  <c r="AK52" i="18"/>
  <c r="AF58" i="18"/>
  <c r="AL31" i="25" s="1"/>
  <c r="AE21" i="14"/>
  <c r="AO34" i="18"/>
  <c r="X80" i="19"/>
  <c r="J80" i="19"/>
  <c r="AB80" i="19" s="1"/>
  <c r="Z54" i="14"/>
  <c r="AC54" i="14"/>
  <c r="X29" i="19"/>
  <c r="AE16" i="14"/>
  <c r="G35" i="13"/>
  <c r="H34" i="14"/>
  <c r="I34" i="14" s="1"/>
  <c r="X82" i="19"/>
  <c r="AK45" i="18"/>
  <c r="AF51" i="18"/>
  <c r="AL30" i="25" s="1"/>
  <c r="AK32" i="18"/>
  <c r="AF34" i="18"/>
  <c r="AL27" i="25" s="1"/>
  <c r="AK66" i="18"/>
  <c r="AF72" i="18"/>
  <c r="AL33" i="25" s="1"/>
  <c r="W86" i="18"/>
  <c r="Z86" i="18" s="1"/>
  <c r="I24" i="14"/>
  <c r="W28" i="18"/>
  <c r="AD31" i="14"/>
  <c r="P32" i="13"/>
  <c r="AJ65" i="18"/>
  <c r="AK65" i="18"/>
  <c r="AO80" i="18"/>
  <c r="AF80" i="18"/>
  <c r="AE53" i="14"/>
  <c r="T22" i="13"/>
  <c r="S22" i="13"/>
  <c r="Q22" i="13"/>
  <c r="R22" i="13"/>
  <c r="F26" i="13"/>
  <c r="AK31" i="6"/>
  <c r="AJ31" i="6"/>
  <c r="F25" i="14"/>
  <c r="W37" i="18"/>
  <c r="Z37" i="18" s="1"/>
  <c r="AF85" i="18" l="1"/>
  <c r="AB28" i="18"/>
  <c r="S26" i="25"/>
  <c r="T26" i="25" s="1"/>
  <c r="AW31" i="25"/>
  <c r="AM31" i="25"/>
  <c r="AX31" i="25" s="1"/>
  <c r="BA31" i="25"/>
  <c r="BC31" i="25" s="1"/>
  <c r="I25" i="25"/>
  <c r="H41" i="25"/>
  <c r="I41" i="25" s="1"/>
  <c r="AW27" i="25"/>
  <c r="AM27" i="25"/>
  <c r="AX27" i="25" s="1"/>
  <c r="BA27" i="25"/>
  <c r="BC27" i="25" s="1"/>
  <c r="P23" i="13"/>
  <c r="AL23" i="25"/>
  <c r="S25" i="25"/>
  <c r="AM30" i="25"/>
  <c r="AX30" i="25" s="1"/>
  <c r="AW30" i="25"/>
  <c r="BA30" i="25"/>
  <c r="BC30" i="25" s="1"/>
  <c r="AM34" i="25"/>
  <c r="AX34" i="25" s="1"/>
  <c r="AW34" i="25"/>
  <c r="BA34" i="25"/>
  <c r="BC34" i="25" s="1"/>
  <c r="AW36" i="25"/>
  <c r="AM36" i="25"/>
  <c r="AX36" i="25" s="1"/>
  <c r="BA36" i="25"/>
  <c r="BC36" i="25" s="1"/>
  <c r="AW24" i="25"/>
  <c r="AM24" i="25"/>
  <c r="AX24" i="25" s="1"/>
  <c r="BA24" i="25"/>
  <c r="BC24" i="25" s="1"/>
  <c r="S28" i="25"/>
  <c r="AM29" i="25"/>
  <c r="AX29" i="25" s="1"/>
  <c r="AW29" i="25"/>
  <c r="BA29" i="25"/>
  <c r="BC29" i="25" s="1"/>
  <c r="T35" i="25"/>
  <c r="W35" i="25"/>
  <c r="Y35" i="25" s="1"/>
  <c r="AW33" i="25"/>
  <c r="AM33" i="25"/>
  <c r="AX33" i="25" s="1"/>
  <c r="BA33" i="25"/>
  <c r="BC33" i="25" s="1"/>
  <c r="AF26" i="18"/>
  <c r="AK26" i="18" s="1"/>
  <c r="AF29" i="18"/>
  <c r="AF31" i="18" s="1"/>
  <c r="AL26" i="25" s="1"/>
  <c r="AO29" i="18"/>
  <c r="AO31" i="18" s="1"/>
  <c r="AO84" i="18"/>
  <c r="AJ22" i="18"/>
  <c r="AD22" i="14"/>
  <c r="S23" i="20"/>
  <c r="W23" i="20" s="1"/>
  <c r="AK22" i="18"/>
  <c r="AH23" i="21"/>
  <c r="AS23" i="21" s="1"/>
  <c r="AP31" i="14"/>
  <c r="G41" i="13"/>
  <c r="AF83" i="18"/>
  <c r="AK83" i="18" s="1"/>
  <c r="AB86" i="18"/>
  <c r="G41" i="20"/>
  <c r="AW32" i="21"/>
  <c r="I25" i="20"/>
  <c r="R25" i="20" s="1"/>
  <c r="K25" i="20"/>
  <c r="J25" i="20"/>
  <c r="H25" i="20"/>
  <c r="Q25" i="20" s="1"/>
  <c r="J35" i="20"/>
  <c r="H35" i="20"/>
  <c r="Q35" i="20" s="1"/>
  <c r="K35" i="20"/>
  <c r="I35" i="20"/>
  <c r="R35" i="20" s="1"/>
  <c r="G35" i="21"/>
  <c r="S35" i="21"/>
  <c r="H41" i="21"/>
  <c r="I41" i="21" s="1"/>
  <c r="G28" i="21"/>
  <c r="S28" i="21"/>
  <c r="G25" i="21"/>
  <c r="S25" i="21"/>
  <c r="AO81" i="18"/>
  <c r="AF82" i="18"/>
  <c r="AK82" i="18" s="1"/>
  <c r="H28" i="20"/>
  <c r="Q28" i="20" s="1"/>
  <c r="I28" i="20"/>
  <c r="R28" i="20" s="1"/>
  <c r="J28" i="20"/>
  <c r="K28" i="20"/>
  <c r="AI32" i="21"/>
  <c r="AT32" i="21" s="1"/>
  <c r="AY20" i="21"/>
  <c r="AH29" i="21"/>
  <c r="AS29" i="21" s="1"/>
  <c r="S29" i="20"/>
  <c r="S24" i="20"/>
  <c r="AH24" i="21"/>
  <c r="AS24" i="21" s="1"/>
  <c r="K26" i="20"/>
  <c r="H26" i="20"/>
  <c r="I26" i="20"/>
  <c r="F41" i="20"/>
  <c r="J26" i="20"/>
  <c r="AY22" i="21"/>
  <c r="S26" i="21"/>
  <c r="F41" i="21"/>
  <c r="G41" i="21" s="1"/>
  <c r="G26" i="21"/>
  <c r="AH36" i="21"/>
  <c r="AS36" i="21" s="1"/>
  <c r="S36" i="20"/>
  <c r="AH30" i="21"/>
  <c r="AS30" i="21" s="1"/>
  <c r="S30" i="20"/>
  <c r="AH34" i="21"/>
  <c r="AS34" i="21" s="1"/>
  <c r="S34" i="20"/>
  <c r="AY21" i="21"/>
  <c r="AH33" i="21"/>
  <c r="AS33" i="21" s="1"/>
  <c r="S33" i="20"/>
  <c r="AY18" i="21"/>
  <c r="AY19" i="21"/>
  <c r="AH27" i="21"/>
  <c r="AS27" i="21" s="1"/>
  <c r="S27" i="20"/>
  <c r="AH31" i="21"/>
  <c r="AS31" i="21" s="1"/>
  <c r="S31" i="20"/>
  <c r="W32" i="20"/>
  <c r="U32" i="20"/>
  <c r="V32" i="20"/>
  <c r="T32" i="20"/>
  <c r="F41" i="13"/>
  <c r="H40" i="14"/>
  <c r="I40" i="14" s="1"/>
  <c r="X86" i="19"/>
  <c r="P33" i="13"/>
  <c r="AJ72" i="18"/>
  <c r="AD32" i="14"/>
  <c r="AK72" i="18"/>
  <c r="AK79" i="18"/>
  <c r="AJ79" i="18"/>
  <c r="P34" i="13"/>
  <c r="AD33" i="14"/>
  <c r="K35" i="13"/>
  <c r="I35" i="13"/>
  <c r="O35" i="13" s="1"/>
  <c r="J35" i="13"/>
  <c r="H35" i="13"/>
  <c r="N35" i="13" s="1"/>
  <c r="G25" i="14"/>
  <c r="P25" i="14"/>
  <c r="AB28" i="19"/>
  <c r="Z28" i="18"/>
  <c r="Z3" i="18" s="1"/>
  <c r="W3" i="18"/>
  <c r="H25" i="13"/>
  <c r="I25" i="13"/>
  <c r="K25" i="13"/>
  <c r="J25" i="13"/>
  <c r="AK58" i="18"/>
  <c r="P31" i="13"/>
  <c r="AD30" i="14"/>
  <c r="AJ58" i="18"/>
  <c r="AR19" i="14"/>
  <c r="AB37" i="19"/>
  <c r="AK35" i="18"/>
  <c r="AE31" i="14"/>
  <c r="AK80" i="18"/>
  <c r="AK51" i="18"/>
  <c r="AD29" i="14"/>
  <c r="P30" i="13"/>
  <c r="AJ51" i="18"/>
  <c r="AD54" i="14"/>
  <c r="AR3" i="6"/>
  <c r="AR7" i="6" s="1"/>
  <c r="AR10" i="6" s="1"/>
  <c r="AR13" i="6" s="1"/>
  <c r="AH5" i="6"/>
  <c r="AR21" i="14"/>
  <c r="AJ93" i="18"/>
  <c r="P36" i="13"/>
  <c r="AK93" i="18"/>
  <c r="AD35" i="14"/>
  <c r="X31" i="19"/>
  <c r="AD28" i="14"/>
  <c r="P29" i="13"/>
  <c r="AK44" i="18"/>
  <c r="AJ44" i="18"/>
  <c r="H28" i="13"/>
  <c r="N28" i="13" s="1"/>
  <c r="K28" i="13"/>
  <c r="I28" i="13"/>
  <c r="O28" i="13" s="1"/>
  <c r="J28" i="13"/>
  <c r="AO36" i="18"/>
  <c r="AO37" i="18" s="1"/>
  <c r="AF36" i="18"/>
  <c r="AK36" i="18" s="1"/>
  <c r="S23" i="13"/>
  <c r="T23" i="13"/>
  <c r="R23" i="13"/>
  <c r="Q23" i="13"/>
  <c r="J26" i="13"/>
  <c r="I26" i="13"/>
  <c r="O26" i="13" s="1"/>
  <c r="H26" i="13"/>
  <c r="N26" i="13" s="1"/>
  <c r="K26" i="13"/>
  <c r="P27" i="13"/>
  <c r="AD26" i="14"/>
  <c r="AJ34" i="18"/>
  <c r="AK34" i="18"/>
  <c r="AB31" i="19"/>
  <c r="AR18" i="14"/>
  <c r="P24" i="13"/>
  <c r="AJ25" i="18"/>
  <c r="AD23" i="14"/>
  <c r="AK25" i="18"/>
  <c r="AO28" i="18"/>
  <c r="G27" i="14"/>
  <c r="P27" i="14"/>
  <c r="P34" i="14"/>
  <c r="G34" i="14"/>
  <c r="S32" i="13"/>
  <c r="T32" i="13"/>
  <c r="Q32" i="13"/>
  <c r="R32" i="13"/>
  <c r="AB86" i="19"/>
  <c r="P24" i="14"/>
  <c r="G24" i="14"/>
  <c r="F40" i="14"/>
  <c r="G40" i="14" s="1"/>
  <c r="AB3" i="18" l="1"/>
  <c r="AD5" i="18" s="1"/>
  <c r="W26" i="25"/>
  <c r="Y26" i="25" s="1"/>
  <c r="H94" i="7"/>
  <c r="AE94" i="7" s="1"/>
  <c r="H96" i="7"/>
  <c r="AE96" i="7" s="1"/>
  <c r="H95" i="7"/>
  <c r="AE95" i="7" s="1"/>
  <c r="AF28" i="21"/>
  <c r="AJ28" i="25"/>
  <c r="T25" i="25"/>
  <c r="W25" i="25"/>
  <c r="S41" i="25"/>
  <c r="T41" i="25" s="1"/>
  <c r="AW23" i="25"/>
  <c r="AM23" i="25"/>
  <c r="AX23" i="25" s="1"/>
  <c r="BA23" i="25"/>
  <c r="AF26" i="21"/>
  <c r="AJ26" i="25"/>
  <c r="BA26" i="25" s="1"/>
  <c r="BC26" i="25" s="1"/>
  <c r="AW26" i="25"/>
  <c r="AG26" i="21"/>
  <c r="AK26" i="25"/>
  <c r="AF35" i="21"/>
  <c r="AJ35" i="25"/>
  <c r="T28" i="25"/>
  <c r="W28" i="25"/>
  <c r="Y28" i="25" s="1"/>
  <c r="AG28" i="21"/>
  <c r="AK28" i="25"/>
  <c r="AG35" i="21"/>
  <c r="AK35" i="25"/>
  <c r="AF28" i="18"/>
  <c r="AL25" i="25" s="1"/>
  <c r="F15" i="7"/>
  <c r="F14" i="7"/>
  <c r="F19" i="7"/>
  <c r="AW23" i="21"/>
  <c r="AY23" i="21" s="1"/>
  <c r="AK29" i="18"/>
  <c r="AI23" i="21"/>
  <c r="AT23" i="21" s="1"/>
  <c r="T23" i="20"/>
  <c r="U23" i="20"/>
  <c r="AO86" i="18"/>
  <c r="AO3" i="18" s="1"/>
  <c r="AO5" i="18" s="1"/>
  <c r="AR9" i="18" s="1"/>
  <c r="V23" i="20"/>
  <c r="AE22" i="14"/>
  <c r="AP22" i="14"/>
  <c r="AR22" i="14" s="1"/>
  <c r="AP26" i="14"/>
  <c r="AP32" i="14"/>
  <c r="AP23" i="14"/>
  <c r="AP30" i="14"/>
  <c r="AP29" i="14"/>
  <c r="AP33" i="14"/>
  <c r="AC65" i="14"/>
  <c r="AP28" i="14"/>
  <c r="AP35" i="14"/>
  <c r="AF86" i="18"/>
  <c r="AW34" i="21"/>
  <c r="AW24" i="21"/>
  <c r="AW30" i="21"/>
  <c r="AW29" i="21"/>
  <c r="AW31" i="21"/>
  <c r="AW33" i="21"/>
  <c r="AW27" i="21"/>
  <c r="AW36" i="21"/>
  <c r="T25" i="21"/>
  <c r="W25" i="21"/>
  <c r="Y25" i="21" s="1"/>
  <c r="AC66" i="14"/>
  <c r="T35" i="21"/>
  <c r="W35" i="21"/>
  <c r="Y35" i="21" s="1"/>
  <c r="W28" i="21"/>
  <c r="Y28" i="21" s="1"/>
  <c r="T28" i="21"/>
  <c r="W31" i="20"/>
  <c r="U31" i="20"/>
  <c r="T31" i="20"/>
  <c r="V31" i="20"/>
  <c r="V34" i="20"/>
  <c r="W34" i="20"/>
  <c r="T34" i="20"/>
  <c r="U34" i="20"/>
  <c r="AI34" i="21"/>
  <c r="AT34" i="21" s="1"/>
  <c r="T26" i="21"/>
  <c r="W26" i="21"/>
  <c r="S41" i="21"/>
  <c r="T41" i="21" s="1"/>
  <c r="W27" i="20"/>
  <c r="V27" i="20"/>
  <c r="T27" i="20"/>
  <c r="U27" i="20"/>
  <c r="W33" i="20"/>
  <c r="V33" i="20"/>
  <c r="U33" i="20"/>
  <c r="T33" i="20"/>
  <c r="V30" i="20"/>
  <c r="T30" i="20"/>
  <c r="W30" i="20"/>
  <c r="U30" i="20"/>
  <c r="AI24" i="21"/>
  <c r="AT24" i="21" s="1"/>
  <c r="AI27" i="21"/>
  <c r="AT27" i="21" s="1"/>
  <c r="AI33" i="21"/>
  <c r="AT33" i="21" s="1"/>
  <c r="AI30" i="21"/>
  <c r="AT30" i="21" s="1"/>
  <c r="AY17" i="21"/>
  <c r="J41" i="20"/>
  <c r="K41" i="20"/>
  <c r="V24" i="20"/>
  <c r="W24" i="20"/>
  <c r="U24" i="20"/>
  <c r="T24" i="20"/>
  <c r="R26" i="20"/>
  <c r="I41" i="20"/>
  <c r="W29" i="20"/>
  <c r="V29" i="20"/>
  <c r="T29" i="20"/>
  <c r="U29" i="20"/>
  <c r="Q26" i="20"/>
  <c r="H41" i="20"/>
  <c r="AI29" i="21"/>
  <c r="AT29" i="21" s="1"/>
  <c r="AI31" i="21"/>
  <c r="AT31" i="21" s="1"/>
  <c r="V36" i="20"/>
  <c r="W36" i="20"/>
  <c r="T36" i="20"/>
  <c r="U36" i="20"/>
  <c r="AH26" i="21"/>
  <c r="AS26" i="21" s="1"/>
  <c r="S26" i="20"/>
  <c r="AI36" i="21"/>
  <c r="AT36" i="21" s="1"/>
  <c r="AY32" i="21"/>
  <c r="X3" i="19"/>
  <c r="Z5" i="19" s="1"/>
  <c r="AR20" i="14"/>
  <c r="X64" i="14"/>
  <c r="Y64" i="14" s="1"/>
  <c r="AR17" i="14"/>
  <c r="Z5" i="18"/>
  <c r="V25" i="14"/>
  <c r="X25" i="14" s="1"/>
  <c r="Q25" i="14"/>
  <c r="Q24" i="14"/>
  <c r="V24" i="14"/>
  <c r="P40" i="14"/>
  <c r="Q40" i="14" s="1"/>
  <c r="T24" i="13"/>
  <c r="S24" i="13"/>
  <c r="R24" i="13"/>
  <c r="Q24" i="13"/>
  <c r="AB25" i="14"/>
  <c r="AE54" i="14"/>
  <c r="AR31" i="14"/>
  <c r="J41" i="13"/>
  <c r="K41" i="13"/>
  <c r="T34" i="13"/>
  <c r="S34" i="13"/>
  <c r="Q34" i="13"/>
  <c r="R34" i="13"/>
  <c r="AC27" i="14"/>
  <c r="AE35" i="14"/>
  <c r="AB34" i="14"/>
  <c r="O25" i="13"/>
  <c r="I41" i="13"/>
  <c r="AB3" i="19"/>
  <c r="AD5" i="19" s="1"/>
  <c r="AE32" i="14"/>
  <c r="AK31" i="18"/>
  <c r="P26" i="13"/>
  <c r="Q26" i="13" s="1"/>
  <c r="AD25" i="14"/>
  <c r="AJ31" i="18"/>
  <c r="S29" i="13"/>
  <c r="T29" i="13"/>
  <c r="Q29" i="13"/>
  <c r="R29" i="13"/>
  <c r="T36" i="13"/>
  <c r="S36" i="13"/>
  <c r="R36" i="13"/>
  <c r="Q36" i="13"/>
  <c r="S30" i="13"/>
  <c r="T30" i="13"/>
  <c r="Q30" i="13"/>
  <c r="R30" i="13"/>
  <c r="N25" i="13"/>
  <c r="H41" i="13"/>
  <c r="AC34" i="14"/>
  <c r="AE33" i="14"/>
  <c r="Q27" i="14"/>
  <c r="V27" i="14"/>
  <c r="Q34" i="14"/>
  <c r="V34" i="14"/>
  <c r="X34" i="14" s="1"/>
  <c r="AE26" i="14"/>
  <c r="AE28" i="14"/>
  <c r="AE29" i="14"/>
  <c r="AE30" i="14"/>
  <c r="T33" i="13"/>
  <c r="S33" i="13"/>
  <c r="R33" i="13"/>
  <c r="Q33" i="13"/>
  <c r="AC25" i="14"/>
  <c r="AB27" i="14"/>
  <c r="AE23" i="14"/>
  <c r="T27" i="13"/>
  <c r="S27" i="13"/>
  <c r="R27" i="13"/>
  <c r="Q27" i="13"/>
  <c r="AF37" i="18"/>
  <c r="AL28" i="25" s="1"/>
  <c r="T31" i="13"/>
  <c r="S31" i="13"/>
  <c r="Q31" i="13"/>
  <c r="R31" i="13"/>
  <c r="F41" i="7" l="1"/>
  <c r="P38" i="25"/>
  <c r="N37" i="14"/>
  <c r="P38" i="21"/>
  <c r="F40" i="7"/>
  <c r="T77" i="23"/>
  <c r="Z77" i="23" s="1"/>
  <c r="F83" i="5"/>
  <c r="G83" i="5" s="1"/>
  <c r="H83" i="5" s="1"/>
  <c r="K83" i="5" s="1"/>
  <c r="P39" i="25"/>
  <c r="N38" i="14"/>
  <c r="P39" i="21"/>
  <c r="T78" i="23"/>
  <c r="Z78" i="23" s="1"/>
  <c r="F84" i="5"/>
  <c r="G84" i="5" s="1"/>
  <c r="H84" i="5" s="1"/>
  <c r="K84" i="5" s="1"/>
  <c r="T76" i="23"/>
  <c r="Z76" i="23" s="1"/>
  <c r="F82" i="5"/>
  <c r="G82" i="5" s="1"/>
  <c r="H82" i="5" s="1"/>
  <c r="K82" i="5" s="1"/>
  <c r="P37" i="21"/>
  <c r="N36" i="14"/>
  <c r="P37" i="25"/>
  <c r="F67" i="7"/>
  <c r="F17" i="7"/>
  <c r="W17" i="7" s="1"/>
  <c r="AH25" i="21"/>
  <c r="AS25" i="21" s="1"/>
  <c r="AJ28" i="18"/>
  <c r="F69" i="7"/>
  <c r="AM26" i="25"/>
  <c r="AX26" i="25" s="1"/>
  <c r="BA28" i="25"/>
  <c r="BC28" i="25" s="1"/>
  <c r="AD24" i="14"/>
  <c r="F73" i="7"/>
  <c r="AG25" i="21"/>
  <c r="AK25" i="25"/>
  <c r="P25" i="13"/>
  <c r="T25" i="13" s="1"/>
  <c r="AW25" i="25"/>
  <c r="Y25" i="25"/>
  <c r="W41" i="25"/>
  <c r="Y41" i="25" s="1"/>
  <c r="S25" i="20"/>
  <c r="AF25" i="21"/>
  <c r="AF41" i="21" s="1"/>
  <c r="AJ25" i="25"/>
  <c r="AW28" i="25"/>
  <c r="AM28" i="25"/>
  <c r="AX28" i="25" s="1"/>
  <c r="AK28" i="18"/>
  <c r="P35" i="13"/>
  <c r="Q35" i="13" s="1"/>
  <c r="AL35" i="25"/>
  <c r="BC23" i="25"/>
  <c r="H17" i="7"/>
  <c r="AE17" i="7" s="1"/>
  <c r="H19" i="7"/>
  <c r="AE19" i="7" s="1"/>
  <c r="H18" i="7"/>
  <c r="AE18" i="7" s="1"/>
  <c r="H16" i="7"/>
  <c r="AE16" i="7" s="1"/>
  <c r="H15" i="7"/>
  <c r="AE15" i="7" s="1"/>
  <c r="H14" i="7"/>
  <c r="AE14" i="7" s="1"/>
  <c r="W15" i="7"/>
  <c r="J18" i="25" s="1"/>
  <c r="W14" i="7"/>
  <c r="W19" i="7"/>
  <c r="J22" i="25" s="1"/>
  <c r="F18" i="7"/>
  <c r="F64" i="7"/>
  <c r="F16" i="7"/>
  <c r="F53" i="7"/>
  <c r="F91" i="7"/>
  <c r="F46" i="7"/>
  <c r="F54" i="7"/>
  <c r="F92" i="7"/>
  <c r="F50" i="7"/>
  <c r="F23" i="7"/>
  <c r="F42" i="7"/>
  <c r="F57" i="7"/>
  <c r="F87" i="7"/>
  <c r="F66" i="7"/>
  <c r="G14" i="7"/>
  <c r="AA14" i="7" s="1"/>
  <c r="F21" i="7"/>
  <c r="G16" i="7"/>
  <c r="AA16" i="7" s="1"/>
  <c r="F56" i="7"/>
  <c r="F88" i="7"/>
  <c r="R15" i="23"/>
  <c r="R12" i="23"/>
  <c r="R13" i="23"/>
  <c r="F78" i="7"/>
  <c r="F52" i="7"/>
  <c r="G18" i="7"/>
  <c r="AA18" i="7" s="1"/>
  <c r="F45" i="7"/>
  <c r="F62" i="7"/>
  <c r="F75" i="7"/>
  <c r="F55" i="7"/>
  <c r="F49" i="7"/>
  <c r="R10" i="23"/>
  <c r="R11" i="23"/>
  <c r="R14" i="23"/>
  <c r="F24" i="7"/>
  <c r="F90" i="7"/>
  <c r="F47" i="7"/>
  <c r="G19" i="7"/>
  <c r="AA19" i="7" s="1"/>
  <c r="G15" i="7"/>
  <c r="AA15" i="7" s="1"/>
  <c r="F68" i="7"/>
  <c r="F33" i="7"/>
  <c r="F39" i="7"/>
  <c r="F89" i="7"/>
  <c r="F48" i="7"/>
  <c r="G17" i="7"/>
  <c r="AA17" i="7" s="1"/>
  <c r="F32" i="7"/>
  <c r="AP25" i="14"/>
  <c r="AJ86" i="18"/>
  <c r="AK86" i="18"/>
  <c r="S35" i="20"/>
  <c r="W35" i="20" s="1"/>
  <c r="AH35" i="21"/>
  <c r="AS35" i="21" s="1"/>
  <c r="AD34" i="14"/>
  <c r="AW26" i="21"/>
  <c r="AY27" i="21"/>
  <c r="AG41" i="21"/>
  <c r="T26" i="20"/>
  <c r="Q41" i="20"/>
  <c r="W26" i="20"/>
  <c r="V26" i="20"/>
  <c r="Y26" i="21"/>
  <c r="W41" i="21"/>
  <c r="Y41" i="21" s="1"/>
  <c r="AY30" i="21"/>
  <c r="AY36" i="21"/>
  <c r="AY31" i="21"/>
  <c r="W25" i="20"/>
  <c r="V25" i="20"/>
  <c r="U25" i="20"/>
  <c r="T25" i="20"/>
  <c r="U26" i="20"/>
  <c r="R41" i="20"/>
  <c r="AY33" i="21"/>
  <c r="AY34" i="21"/>
  <c r="AH28" i="21"/>
  <c r="AS28" i="21" s="1"/>
  <c r="S28" i="20"/>
  <c r="AI26" i="21"/>
  <c r="AT26" i="21" s="1"/>
  <c r="AY29" i="21"/>
  <c r="R26" i="13"/>
  <c r="AB68" i="14"/>
  <c r="AG68" i="14" s="1"/>
  <c r="Z64" i="14"/>
  <c r="AJ37" i="18"/>
  <c r="AD27" i="14"/>
  <c r="AK37" i="18"/>
  <c r="P28" i="13"/>
  <c r="AF3" i="18"/>
  <c r="AC24" i="14"/>
  <c r="O41" i="13"/>
  <c r="X27" i="14"/>
  <c r="X57" i="14"/>
  <c r="AE25" i="14"/>
  <c r="AR35" i="14"/>
  <c r="AB24" i="14"/>
  <c r="N41" i="13"/>
  <c r="S26" i="13"/>
  <c r="T26" i="13"/>
  <c r="AR28" i="14"/>
  <c r="AR33" i="14"/>
  <c r="X24" i="14"/>
  <c r="X56" i="14"/>
  <c r="W67" i="14" s="1"/>
  <c r="V40" i="14"/>
  <c r="X40" i="14" s="1"/>
  <c r="AR30" i="14"/>
  <c r="AR29" i="14"/>
  <c r="AR32" i="14"/>
  <c r="J18" i="21" l="1"/>
  <c r="F21" i="5"/>
  <c r="G21" i="5" s="1"/>
  <c r="H21" i="5" s="1"/>
  <c r="K21" i="5" s="1"/>
  <c r="F19" i="5"/>
  <c r="G19" i="5" s="1"/>
  <c r="H19" i="5" s="1"/>
  <c r="K19" i="5" s="1"/>
  <c r="F43" i="7"/>
  <c r="F20" i="7"/>
  <c r="F71" i="7"/>
  <c r="W71" i="7" s="1"/>
  <c r="J17" i="14"/>
  <c r="K17" i="14" s="1"/>
  <c r="AW25" i="21"/>
  <c r="AY25" i="21" s="1"/>
  <c r="F70" i="7"/>
  <c r="W70" i="7" s="1"/>
  <c r="F38" i="7"/>
  <c r="W38" i="7" s="1"/>
  <c r="T15" i="23"/>
  <c r="T10" i="23"/>
  <c r="T13" i="23"/>
  <c r="T11" i="23"/>
  <c r="T12" i="23"/>
  <c r="T14" i="23"/>
  <c r="Q39" i="21"/>
  <c r="R39" i="21"/>
  <c r="U39" i="21"/>
  <c r="AU39" i="21"/>
  <c r="T35" i="13"/>
  <c r="O38" i="14"/>
  <c r="R38" i="14"/>
  <c r="AL38" i="14"/>
  <c r="F20" i="5"/>
  <c r="G20" i="5" s="1"/>
  <c r="H20" i="5" s="1"/>
  <c r="K20" i="5" s="1"/>
  <c r="R39" i="25"/>
  <c r="Q39" i="25"/>
  <c r="U39" i="25"/>
  <c r="AY39" i="25"/>
  <c r="Q38" i="21"/>
  <c r="R38" i="21"/>
  <c r="U38" i="21"/>
  <c r="AU38" i="21"/>
  <c r="R37" i="25"/>
  <c r="Q37" i="25"/>
  <c r="U37" i="25"/>
  <c r="AY37" i="25"/>
  <c r="O37" i="14"/>
  <c r="R37" i="14"/>
  <c r="AL37" i="14"/>
  <c r="S35" i="13"/>
  <c r="AI25" i="21"/>
  <c r="AT25" i="21" s="1"/>
  <c r="O36" i="14"/>
  <c r="R36" i="14"/>
  <c r="AL36" i="14"/>
  <c r="R38" i="25"/>
  <c r="Q38" i="25"/>
  <c r="U38" i="25"/>
  <c r="AY38" i="25"/>
  <c r="AP24" i="14"/>
  <c r="R35" i="13"/>
  <c r="Q37" i="21"/>
  <c r="R37" i="21"/>
  <c r="U37" i="21"/>
  <c r="AU37" i="21"/>
  <c r="R51" i="23"/>
  <c r="F77" i="7"/>
  <c r="W77" i="7" s="1"/>
  <c r="F76" i="7"/>
  <c r="W76" i="7" s="1"/>
  <c r="F60" i="7"/>
  <c r="W60" i="7" s="1"/>
  <c r="F17" i="5"/>
  <c r="G17" i="5" s="1"/>
  <c r="H17" i="5" s="1"/>
  <c r="K17" i="5" s="1"/>
  <c r="S25" i="13"/>
  <c r="Q25" i="13"/>
  <c r="R25" i="13"/>
  <c r="F74" i="7"/>
  <c r="W74" i="7" s="1"/>
  <c r="M20" i="25"/>
  <c r="M20" i="21"/>
  <c r="K22" i="25"/>
  <c r="L22" i="25"/>
  <c r="J21" i="14"/>
  <c r="K21" i="14" s="1"/>
  <c r="L18" i="25"/>
  <c r="K18" i="25"/>
  <c r="N20" i="14"/>
  <c r="O20" i="14" s="1"/>
  <c r="P21" i="25"/>
  <c r="P21" i="21"/>
  <c r="AW35" i="25"/>
  <c r="AM35" i="25"/>
  <c r="AX35" i="25" s="1"/>
  <c r="BA35" i="25"/>
  <c r="BC35" i="25" s="1"/>
  <c r="M22" i="25"/>
  <c r="M22" i="21"/>
  <c r="M21" i="25"/>
  <c r="M21" i="21"/>
  <c r="M19" i="25"/>
  <c r="M19" i="21"/>
  <c r="N16" i="14"/>
  <c r="O16" i="14" s="1"/>
  <c r="P17" i="25"/>
  <c r="P17" i="21"/>
  <c r="F18" i="5"/>
  <c r="G18" i="5" s="1"/>
  <c r="H18" i="5" s="1"/>
  <c r="K18" i="5" s="1"/>
  <c r="M17" i="25"/>
  <c r="M17" i="21"/>
  <c r="N17" i="14"/>
  <c r="O17" i="14" s="1"/>
  <c r="P18" i="25"/>
  <c r="P18" i="21"/>
  <c r="AK41" i="25"/>
  <c r="N21" i="14"/>
  <c r="O21" i="14" s="1"/>
  <c r="P22" i="25"/>
  <c r="P22" i="21"/>
  <c r="F16" i="5"/>
  <c r="G16" i="5" s="1"/>
  <c r="H16" i="5" s="1"/>
  <c r="K16" i="5" s="1"/>
  <c r="N19" i="14"/>
  <c r="O19" i="14" s="1"/>
  <c r="P20" i="25"/>
  <c r="P20" i="21"/>
  <c r="L18" i="21"/>
  <c r="K18" i="21"/>
  <c r="J20" i="21"/>
  <c r="J20" i="25"/>
  <c r="N18" i="14"/>
  <c r="O18" i="14" s="1"/>
  <c r="P19" i="25"/>
  <c r="P19" i="21"/>
  <c r="BA25" i="25"/>
  <c r="AJ41" i="25"/>
  <c r="AM25" i="25"/>
  <c r="AX25" i="25" s="1"/>
  <c r="M18" i="25"/>
  <c r="M18" i="21"/>
  <c r="J22" i="21"/>
  <c r="J16" i="14"/>
  <c r="K16" i="14" s="1"/>
  <c r="J17" i="25"/>
  <c r="AL41" i="25"/>
  <c r="F59" i="7"/>
  <c r="W59" i="7" s="1"/>
  <c r="F63" i="7"/>
  <c r="W63" i="7" s="1"/>
  <c r="J17" i="21"/>
  <c r="H39" i="7"/>
  <c r="AE39" i="7" s="1"/>
  <c r="H89" i="7"/>
  <c r="AE89" i="7" s="1"/>
  <c r="H54" i="7"/>
  <c r="AE54" i="7" s="1"/>
  <c r="H63" i="7"/>
  <c r="AE63" i="7" s="1"/>
  <c r="H24" i="7"/>
  <c r="AE24" i="7" s="1"/>
  <c r="H50" i="7"/>
  <c r="AE50" i="7" s="1"/>
  <c r="H92" i="7"/>
  <c r="AE92" i="7" s="1"/>
  <c r="H55" i="7"/>
  <c r="AE55" i="7" s="1"/>
  <c r="H61" i="7"/>
  <c r="AE61" i="7" s="1"/>
  <c r="H21" i="7"/>
  <c r="AE21" i="7" s="1"/>
  <c r="H45" i="7"/>
  <c r="AE45" i="7" s="1"/>
  <c r="H77" i="7"/>
  <c r="AE77" i="7" s="1"/>
  <c r="H52" i="7"/>
  <c r="AE52" i="7" s="1"/>
  <c r="J19" i="14"/>
  <c r="K19" i="14" s="1"/>
  <c r="H71" i="7"/>
  <c r="AE71" i="7" s="1"/>
  <c r="H91" i="7"/>
  <c r="AE91" i="7" s="1"/>
  <c r="H56" i="7"/>
  <c r="AE56" i="7" s="1"/>
  <c r="H60" i="7"/>
  <c r="AE60" i="7" s="1"/>
  <c r="H20" i="7"/>
  <c r="AE20" i="7" s="1"/>
  <c r="H40" i="7"/>
  <c r="AE40" i="7" s="1"/>
  <c r="H73" i="7"/>
  <c r="AE73" i="7" s="1"/>
  <c r="H23" i="7"/>
  <c r="AE23" i="7" s="1"/>
  <c r="H69" i="7"/>
  <c r="AE69" i="7" s="1"/>
  <c r="H88" i="7"/>
  <c r="AE88" i="7" s="1"/>
  <c r="H57" i="7"/>
  <c r="AE57" i="7" s="1"/>
  <c r="H64" i="7"/>
  <c r="AE64" i="7" s="1"/>
  <c r="H42" i="7"/>
  <c r="AE42" i="7" s="1"/>
  <c r="H78" i="7"/>
  <c r="AE78" i="7" s="1"/>
  <c r="H49" i="7"/>
  <c r="AE49" i="7" s="1"/>
  <c r="H70" i="7"/>
  <c r="AE70" i="7" s="1"/>
  <c r="H87" i="7"/>
  <c r="AE87" i="7" s="1"/>
  <c r="H53" i="7"/>
  <c r="AE53" i="7" s="1"/>
  <c r="H59" i="7"/>
  <c r="AE59" i="7" s="1"/>
  <c r="H48" i="7"/>
  <c r="AE48" i="7" s="1"/>
  <c r="H38" i="7"/>
  <c r="AE38" i="7" s="1"/>
  <c r="H76" i="7"/>
  <c r="AE76" i="7" s="1"/>
  <c r="H68" i="7"/>
  <c r="AE68" i="7" s="1"/>
  <c r="H66" i="7"/>
  <c r="AE66" i="7" s="1"/>
  <c r="H90" i="7"/>
  <c r="AE90" i="7" s="1"/>
  <c r="H33" i="7"/>
  <c r="AE33" i="7" s="1"/>
  <c r="H47" i="7"/>
  <c r="AE47" i="7" s="1"/>
  <c r="H41" i="7"/>
  <c r="AE41" i="7" s="1"/>
  <c r="H75" i="7"/>
  <c r="AE75" i="7" s="1"/>
  <c r="H62" i="7"/>
  <c r="AE62" i="7" s="1"/>
  <c r="H67" i="7"/>
  <c r="AE67" i="7" s="1"/>
  <c r="H32" i="7"/>
  <c r="AE32" i="7" s="1"/>
  <c r="H46" i="7"/>
  <c r="AE46" i="7" s="1"/>
  <c r="H43" i="7"/>
  <c r="AE43" i="7" s="1"/>
  <c r="H74" i="7"/>
  <c r="AE74" i="7" s="1"/>
  <c r="W32" i="7"/>
  <c r="W89" i="7"/>
  <c r="W47" i="7"/>
  <c r="W90" i="7"/>
  <c r="W87" i="7"/>
  <c r="W92" i="7"/>
  <c r="W69" i="7"/>
  <c r="W18" i="7"/>
  <c r="W55" i="7"/>
  <c r="W43" i="7"/>
  <c r="W66" i="7"/>
  <c r="W68" i="7"/>
  <c r="W57" i="7"/>
  <c r="W54" i="7"/>
  <c r="W78" i="7"/>
  <c r="W33" i="7"/>
  <c r="W40" i="7"/>
  <c r="W20" i="7"/>
  <c r="W52" i="7"/>
  <c r="W21" i="7"/>
  <c r="W49" i="7"/>
  <c r="W56" i="7"/>
  <c r="W67" i="7"/>
  <c r="W73" i="7"/>
  <c r="W42" i="7"/>
  <c r="W64" i="7"/>
  <c r="W50" i="7"/>
  <c r="W91" i="7"/>
  <c r="W16" i="7"/>
  <c r="J19" i="25" s="1"/>
  <c r="W45" i="7"/>
  <c r="W39" i="7"/>
  <c r="W75" i="7"/>
  <c r="W41" i="7"/>
  <c r="W88" i="7"/>
  <c r="W62" i="7"/>
  <c r="W48" i="7"/>
  <c r="W24" i="7"/>
  <c r="W23" i="7"/>
  <c r="W46" i="7"/>
  <c r="W53" i="7"/>
  <c r="F61" i="7"/>
  <c r="G76" i="7"/>
  <c r="AA76" i="7" s="1"/>
  <c r="R31" i="23"/>
  <c r="R46" i="23"/>
  <c r="R49" i="23"/>
  <c r="S12" i="23"/>
  <c r="U12" i="23" s="1"/>
  <c r="G47" i="7"/>
  <c r="AA47" i="7" s="1"/>
  <c r="G89" i="7"/>
  <c r="AA89" i="7" s="1"/>
  <c r="R34" i="23"/>
  <c r="R63" i="23"/>
  <c r="R55" i="23"/>
  <c r="G66" i="7"/>
  <c r="AA66" i="7" s="1"/>
  <c r="L16" i="14"/>
  <c r="G55" i="7"/>
  <c r="AA55" i="7" s="1"/>
  <c r="F30" i="7"/>
  <c r="G91" i="7"/>
  <c r="AA91" i="7" s="1"/>
  <c r="G32" i="7"/>
  <c r="AA32" i="7" s="1"/>
  <c r="R19" i="23"/>
  <c r="G77" i="7"/>
  <c r="AA77" i="7" s="1"/>
  <c r="G56" i="7"/>
  <c r="AA56" i="7" s="1"/>
  <c r="R24" i="23"/>
  <c r="R61" i="23"/>
  <c r="R72" i="23"/>
  <c r="G92" i="7"/>
  <c r="AA92" i="7" s="1"/>
  <c r="R59" i="23"/>
  <c r="R36" i="23"/>
  <c r="R73" i="23"/>
  <c r="R56" i="23"/>
  <c r="R16" i="23"/>
  <c r="R57" i="23"/>
  <c r="L20" i="14"/>
  <c r="M20" i="14" s="1"/>
  <c r="F27" i="7"/>
  <c r="R71" i="23"/>
  <c r="G69" i="7"/>
  <c r="AA69" i="7" s="1"/>
  <c r="S10" i="23"/>
  <c r="U10" i="23" s="1"/>
  <c r="R32" i="23"/>
  <c r="G52" i="7"/>
  <c r="AA52" i="7" s="1"/>
  <c r="R39" i="23"/>
  <c r="F29" i="7"/>
  <c r="G57" i="7"/>
  <c r="AA57" i="7" s="1"/>
  <c r="R37" i="23"/>
  <c r="S15" i="23"/>
  <c r="U15" i="23" s="1"/>
  <c r="R47" i="23"/>
  <c r="R45" i="23"/>
  <c r="F82" i="7"/>
  <c r="L19" i="14"/>
  <c r="M19" i="14" s="1"/>
  <c r="G64" i="7"/>
  <c r="AA64" i="7" s="1"/>
  <c r="G75" i="7"/>
  <c r="AA75" i="7" s="1"/>
  <c r="S14" i="23"/>
  <c r="U14" i="23" s="1"/>
  <c r="F26" i="7"/>
  <c r="G71" i="7"/>
  <c r="AA71" i="7" s="1"/>
  <c r="G45" i="7"/>
  <c r="AA45" i="7" s="1"/>
  <c r="G43" i="7"/>
  <c r="AA43" i="7" s="1"/>
  <c r="G24" i="7"/>
  <c r="AA24" i="7" s="1"/>
  <c r="F80" i="7"/>
  <c r="G33" i="7"/>
  <c r="AA33" i="7" s="1"/>
  <c r="G46" i="7"/>
  <c r="AA46" i="7" s="1"/>
  <c r="R17" i="23"/>
  <c r="G41" i="7"/>
  <c r="AA41" i="7" s="1"/>
  <c r="F83" i="7"/>
  <c r="S13" i="23"/>
  <c r="U13" i="23" s="1"/>
  <c r="R29" i="23"/>
  <c r="R25" i="23"/>
  <c r="R54" i="23"/>
  <c r="G63" i="7"/>
  <c r="AA63" i="7" s="1"/>
  <c r="R28" i="23"/>
  <c r="G73" i="7"/>
  <c r="AA73" i="7" s="1"/>
  <c r="R44" i="23"/>
  <c r="G70" i="7"/>
  <c r="AA70" i="7" s="1"/>
  <c r="R50" i="23"/>
  <c r="R18" i="23"/>
  <c r="G49" i="7"/>
  <c r="AA49" i="7" s="1"/>
  <c r="G42" i="7"/>
  <c r="AA42" i="7" s="1"/>
  <c r="G23" i="7"/>
  <c r="AA23" i="7" s="1"/>
  <c r="R48" i="23"/>
  <c r="R74" i="23"/>
  <c r="L21" i="14"/>
  <c r="G38" i="7"/>
  <c r="AA38" i="7" s="1"/>
  <c r="G90" i="7"/>
  <c r="AA90" i="7" s="1"/>
  <c r="F81" i="7"/>
  <c r="G88" i="7"/>
  <c r="AA88" i="7" s="1"/>
  <c r="F35" i="7"/>
  <c r="L17" i="14"/>
  <c r="M17" i="14" s="1"/>
  <c r="G61" i="7"/>
  <c r="AA61" i="7" s="1"/>
  <c r="G20" i="7"/>
  <c r="AA20" i="7" s="1"/>
  <c r="G74" i="7"/>
  <c r="AA74" i="7" s="1"/>
  <c r="R40" i="23"/>
  <c r="R62" i="23"/>
  <c r="G67" i="7"/>
  <c r="AA67" i="7" s="1"/>
  <c r="G53" i="7"/>
  <c r="AA53" i="7" s="1"/>
  <c r="G50" i="7"/>
  <c r="AA50" i="7" s="1"/>
  <c r="G40" i="7"/>
  <c r="AA40" i="7" s="1"/>
  <c r="G62" i="7"/>
  <c r="AA62" i="7" s="1"/>
  <c r="L18" i="14"/>
  <c r="F85" i="7"/>
  <c r="G60" i="7"/>
  <c r="AA60" i="7" s="1"/>
  <c r="R43" i="23"/>
  <c r="R42" i="23"/>
  <c r="F84" i="7"/>
  <c r="R53" i="23"/>
  <c r="G87" i="7"/>
  <c r="AA87" i="7" s="1"/>
  <c r="F36" i="7"/>
  <c r="S11" i="23"/>
  <c r="U11" i="23" s="1"/>
  <c r="G59" i="7"/>
  <c r="AA59" i="7" s="1"/>
  <c r="G21" i="7"/>
  <c r="AA21" i="7" s="1"/>
  <c r="R38" i="23"/>
  <c r="G78" i="7"/>
  <c r="AA78" i="7" s="1"/>
  <c r="R60" i="23"/>
  <c r="R33" i="23"/>
  <c r="G68" i="7"/>
  <c r="AA68" i="7" s="1"/>
  <c r="R52" i="23"/>
  <c r="R70" i="23"/>
  <c r="G54" i="7"/>
  <c r="AA54" i="7" s="1"/>
  <c r="G48" i="7"/>
  <c r="AA48" i="7" s="1"/>
  <c r="G39" i="7"/>
  <c r="AA39" i="7" s="1"/>
  <c r="R75" i="23"/>
  <c r="R35" i="23"/>
  <c r="R41" i="23"/>
  <c r="AP27" i="14"/>
  <c r="AP34" i="14"/>
  <c r="AR34" i="14" s="1"/>
  <c r="AE34" i="14"/>
  <c r="AI35" i="21"/>
  <c r="AT35" i="21" s="1"/>
  <c r="T35" i="20"/>
  <c r="U35" i="20"/>
  <c r="V35" i="20"/>
  <c r="AW35" i="21"/>
  <c r="AY35" i="21" s="1"/>
  <c r="AW28" i="21"/>
  <c r="AC40" i="14"/>
  <c r="AY26" i="21"/>
  <c r="W28" i="20"/>
  <c r="V28" i="20"/>
  <c r="T28" i="20"/>
  <c r="U28" i="20"/>
  <c r="S41" i="20"/>
  <c r="W41" i="20" s="1"/>
  <c r="AY24" i="21"/>
  <c r="AI28" i="21"/>
  <c r="AT28" i="21" s="1"/>
  <c r="AH41" i="21"/>
  <c r="AB67" i="14"/>
  <c r="AG67" i="14" s="1"/>
  <c r="AG69" i="14" s="1"/>
  <c r="Y57" i="14"/>
  <c r="W68" i="14"/>
  <c r="W69" i="14" s="1"/>
  <c r="AR23" i="14"/>
  <c r="X66" i="14"/>
  <c r="Y66" i="14" s="1"/>
  <c r="AC68" i="14"/>
  <c r="AR26" i="14"/>
  <c r="X65" i="14"/>
  <c r="Y65" i="14" s="1"/>
  <c r="AB40" i="14"/>
  <c r="AH5" i="18"/>
  <c r="AR3" i="18"/>
  <c r="AR7" i="18" s="1"/>
  <c r="AR10" i="18" s="1"/>
  <c r="AR13" i="18" s="1"/>
  <c r="AE27" i="14"/>
  <c r="AD40" i="14"/>
  <c r="S28" i="13"/>
  <c r="T28" i="13"/>
  <c r="R28" i="13"/>
  <c r="Q28" i="13"/>
  <c r="Y56" i="14"/>
  <c r="X58" i="14"/>
  <c r="AE24" i="14"/>
  <c r="P41" i="13"/>
  <c r="Q41" i="13" l="1"/>
  <c r="F39" i="5"/>
  <c r="G39" i="5" s="1"/>
  <c r="H39" i="5" s="1"/>
  <c r="R41" i="13"/>
  <c r="F68" i="5"/>
  <c r="G68" i="5" s="1"/>
  <c r="H68" i="5" s="1"/>
  <c r="F60" i="5"/>
  <c r="G60" i="5" s="1"/>
  <c r="H60" i="5" s="1"/>
  <c r="F61" i="5"/>
  <c r="G61" i="5" s="1"/>
  <c r="H61" i="5" s="1"/>
  <c r="R30" i="23"/>
  <c r="F67" i="5"/>
  <c r="G67" i="5" s="1"/>
  <c r="H67" i="5" s="1"/>
  <c r="F35" i="5"/>
  <c r="G35" i="5" s="1"/>
  <c r="H35" i="5" s="1"/>
  <c r="F80" i="5"/>
  <c r="G80" i="5" s="1"/>
  <c r="H80" i="5" s="1"/>
  <c r="F22" i="5"/>
  <c r="G22" i="5" s="1"/>
  <c r="H22" i="5" s="1"/>
  <c r="F25" i="5"/>
  <c r="G25" i="5" s="1"/>
  <c r="H25" i="5" s="1"/>
  <c r="U18" i="25"/>
  <c r="X18" i="25" s="1"/>
  <c r="Z18" i="25" s="1"/>
  <c r="T35" i="23"/>
  <c r="T25" i="23"/>
  <c r="T51" i="23"/>
  <c r="T47" i="23"/>
  <c r="T46" i="23"/>
  <c r="T38" i="23"/>
  <c r="T18" i="23"/>
  <c r="T42" i="23"/>
  <c r="T44" i="23"/>
  <c r="T40" i="23"/>
  <c r="T24" i="23"/>
  <c r="T60" i="23"/>
  <c r="T61" i="23"/>
  <c r="T41" i="23"/>
  <c r="T45" i="23"/>
  <c r="T72" i="23"/>
  <c r="T52" i="23"/>
  <c r="T74" i="23"/>
  <c r="T53" i="23"/>
  <c r="T31" i="23"/>
  <c r="T70" i="23"/>
  <c r="T30" i="23"/>
  <c r="T43" i="23"/>
  <c r="T49" i="23"/>
  <c r="T16" i="23"/>
  <c r="T62" i="23"/>
  <c r="T19" i="23"/>
  <c r="T29" i="23"/>
  <c r="T33" i="23"/>
  <c r="T36" i="23"/>
  <c r="T54" i="23"/>
  <c r="T37" i="23"/>
  <c r="T56" i="23"/>
  <c r="T32" i="23"/>
  <c r="T55" i="23"/>
  <c r="T34" i="23"/>
  <c r="T75" i="23"/>
  <c r="F51" i="5"/>
  <c r="G51" i="5" s="1"/>
  <c r="H51" i="5" s="1"/>
  <c r="BB37" i="25"/>
  <c r="BD37" i="25" s="1"/>
  <c r="AZ37" i="25"/>
  <c r="AZ39" i="25"/>
  <c r="BB39" i="25"/>
  <c r="BD39" i="25" s="1"/>
  <c r="F47" i="5"/>
  <c r="G47" i="5" s="1"/>
  <c r="H47" i="5" s="1"/>
  <c r="V37" i="25"/>
  <c r="X37" i="25"/>
  <c r="Z37" i="25" s="1"/>
  <c r="X39" i="25"/>
  <c r="Z39" i="25" s="1"/>
  <c r="V39" i="25"/>
  <c r="AV39" i="21"/>
  <c r="AX39" i="21"/>
  <c r="AZ39" i="21" s="1"/>
  <c r="X39" i="21"/>
  <c r="Z39" i="21" s="1"/>
  <c r="V39" i="21"/>
  <c r="F78" i="5"/>
  <c r="G78" i="5" s="1"/>
  <c r="H78" i="5" s="1"/>
  <c r="S36" i="14"/>
  <c r="W36" i="14"/>
  <c r="Y36" i="14" s="1"/>
  <c r="F30" i="5"/>
  <c r="G30" i="5" s="1"/>
  <c r="H30" i="5" s="1"/>
  <c r="AZ38" i="25"/>
  <c r="BB38" i="25"/>
  <c r="BD38" i="25" s="1"/>
  <c r="AV38" i="21"/>
  <c r="AX38" i="21"/>
  <c r="AZ38" i="21" s="1"/>
  <c r="X37" i="21"/>
  <c r="Z37" i="21" s="1"/>
  <c r="V37" i="21"/>
  <c r="F66" i="5"/>
  <c r="G66" i="5" s="1"/>
  <c r="H66" i="5" s="1"/>
  <c r="V38" i="25"/>
  <c r="X38" i="25"/>
  <c r="Z38" i="25" s="1"/>
  <c r="AM37" i="14"/>
  <c r="AQ37" i="14"/>
  <c r="AS37" i="14" s="1"/>
  <c r="X38" i="21"/>
  <c r="Z38" i="21" s="1"/>
  <c r="V38" i="21"/>
  <c r="AQ38" i="14"/>
  <c r="AS38" i="14" s="1"/>
  <c r="AM38" i="14"/>
  <c r="AV37" i="21"/>
  <c r="AX37" i="21"/>
  <c r="AZ37" i="21" s="1"/>
  <c r="AQ36" i="14"/>
  <c r="AS36" i="14" s="1"/>
  <c r="AM36" i="14"/>
  <c r="S37" i="14"/>
  <c r="W37" i="14"/>
  <c r="Y37" i="14" s="1"/>
  <c r="S38" i="14"/>
  <c r="W38" i="14"/>
  <c r="Y38" i="14" s="1"/>
  <c r="F55" i="5"/>
  <c r="G55" i="5" s="1"/>
  <c r="H55" i="5" s="1"/>
  <c r="R58" i="23"/>
  <c r="F48" i="5"/>
  <c r="G48" i="5" s="1"/>
  <c r="H48" i="5" s="1"/>
  <c r="F44" i="5"/>
  <c r="G44" i="5" s="1"/>
  <c r="H44" i="5" s="1"/>
  <c r="F24" i="5"/>
  <c r="G24" i="5" s="1"/>
  <c r="H24" i="5" s="1"/>
  <c r="K24" i="5" s="1"/>
  <c r="U22" i="21"/>
  <c r="F42" i="5"/>
  <c r="G42" i="5" s="1"/>
  <c r="H42" i="5" s="1"/>
  <c r="F41" i="5"/>
  <c r="G41" i="5" s="1"/>
  <c r="H41" i="5" s="1"/>
  <c r="F31" i="5"/>
  <c r="G31" i="5" s="1"/>
  <c r="H31" i="5" s="1"/>
  <c r="F38" i="5"/>
  <c r="G38" i="5" s="1"/>
  <c r="H38" i="5" s="1"/>
  <c r="F62" i="5"/>
  <c r="G62" i="5" s="1"/>
  <c r="H62" i="5" s="1"/>
  <c r="U18" i="21"/>
  <c r="F43" i="5"/>
  <c r="G43" i="5" s="1"/>
  <c r="H43" i="5" s="1"/>
  <c r="W58" i="7"/>
  <c r="J31" i="25" s="1"/>
  <c r="K31" i="25" s="1"/>
  <c r="F53" i="5"/>
  <c r="G53" i="5" s="1"/>
  <c r="H53" i="5" s="1"/>
  <c r="F40" i="5"/>
  <c r="G40" i="5" s="1"/>
  <c r="H40" i="5" s="1"/>
  <c r="R16" i="14"/>
  <c r="W16" i="14" s="1"/>
  <c r="U22" i="25"/>
  <c r="V22" i="25" s="1"/>
  <c r="V18" i="25"/>
  <c r="F36" i="5"/>
  <c r="G36" i="5" s="1"/>
  <c r="H36" i="5" s="1"/>
  <c r="AM41" i="25"/>
  <c r="AX41" i="25" s="1"/>
  <c r="AW41" i="25"/>
  <c r="BC25" i="25"/>
  <c r="BA41" i="25"/>
  <c r="BC41" i="25" s="1"/>
  <c r="N17" i="21"/>
  <c r="O17" i="21"/>
  <c r="AI41" i="21"/>
  <c r="AT41" i="21" s="1"/>
  <c r="AS41" i="21"/>
  <c r="F59" i="5"/>
  <c r="G59" i="5" s="1"/>
  <c r="H59" i="5" s="1"/>
  <c r="J21" i="21"/>
  <c r="U21" i="21" s="1"/>
  <c r="X21" i="21" s="1"/>
  <c r="Z21" i="21" s="1"/>
  <c r="J21" i="25"/>
  <c r="F63" i="5"/>
  <c r="G63" i="5" s="1"/>
  <c r="H63" i="5" s="1"/>
  <c r="T57" i="23"/>
  <c r="F56" i="5"/>
  <c r="G56" i="5" s="1"/>
  <c r="H56" i="5" s="1"/>
  <c r="T50" i="23"/>
  <c r="L17" i="25"/>
  <c r="K17" i="25"/>
  <c r="U17" i="25"/>
  <c r="O17" i="25"/>
  <c r="N17" i="25"/>
  <c r="N21" i="21"/>
  <c r="O21" i="21"/>
  <c r="Q21" i="21"/>
  <c r="R21" i="21"/>
  <c r="N19" i="25"/>
  <c r="O19" i="25"/>
  <c r="L17" i="21"/>
  <c r="K17" i="21"/>
  <c r="Q19" i="21"/>
  <c r="R19" i="21"/>
  <c r="Q20" i="21"/>
  <c r="R20" i="21"/>
  <c r="O21" i="25"/>
  <c r="N21" i="25"/>
  <c r="R21" i="25"/>
  <c r="Q21" i="25"/>
  <c r="R22" i="25"/>
  <c r="Q22" i="25"/>
  <c r="F49" i="5"/>
  <c r="G49" i="5" s="1"/>
  <c r="H49" i="5" s="1"/>
  <c r="F37" i="5"/>
  <c r="G37" i="5" s="1"/>
  <c r="H37" i="5" s="1"/>
  <c r="L22" i="21"/>
  <c r="K22" i="21"/>
  <c r="R19" i="25"/>
  <c r="Q19" i="25"/>
  <c r="Q20" i="25"/>
  <c r="R20" i="25"/>
  <c r="Q17" i="21"/>
  <c r="R17" i="21"/>
  <c r="N22" i="21"/>
  <c r="O22" i="21"/>
  <c r="W22" i="7"/>
  <c r="J23" i="25" s="1"/>
  <c r="F79" i="5"/>
  <c r="G79" i="5" s="1"/>
  <c r="H79" i="5" s="1"/>
  <c r="T73" i="23"/>
  <c r="F64" i="5"/>
  <c r="G64" i="5" s="1"/>
  <c r="H64" i="5" s="1"/>
  <c r="T58" i="23"/>
  <c r="F23" i="5"/>
  <c r="G23" i="5" s="1"/>
  <c r="H23" i="5" s="1"/>
  <c r="T17" i="23"/>
  <c r="N18" i="21"/>
  <c r="O18" i="21"/>
  <c r="Q17" i="25"/>
  <c r="R17" i="25"/>
  <c r="N22" i="25"/>
  <c r="O22" i="25"/>
  <c r="L19" i="25"/>
  <c r="K19" i="25"/>
  <c r="U19" i="25"/>
  <c r="F54" i="5"/>
  <c r="G54" i="5" s="1"/>
  <c r="H54" i="5" s="1"/>
  <c r="T48" i="23"/>
  <c r="F45" i="5"/>
  <c r="G45" i="5" s="1"/>
  <c r="H45" i="5" s="1"/>
  <c r="T39" i="23"/>
  <c r="N18" i="25"/>
  <c r="O18" i="25"/>
  <c r="L20" i="25"/>
  <c r="K20" i="25"/>
  <c r="U20" i="25"/>
  <c r="Q18" i="21"/>
  <c r="R18" i="21"/>
  <c r="N20" i="21"/>
  <c r="O20" i="21"/>
  <c r="F76" i="5"/>
  <c r="G76" i="5" s="1"/>
  <c r="H76" i="5" s="1"/>
  <c r="R21" i="14"/>
  <c r="W34" i="7"/>
  <c r="J26" i="14" s="1"/>
  <c r="K26" i="14" s="1"/>
  <c r="F65" i="5"/>
  <c r="G65" i="5" s="1"/>
  <c r="H65" i="5" s="1"/>
  <c r="T59" i="23"/>
  <c r="F34" i="5"/>
  <c r="G34" i="5" s="1"/>
  <c r="H34" i="5" s="1"/>
  <c r="T28" i="23"/>
  <c r="F69" i="5"/>
  <c r="G69" i="5" s="1"/>
  <c r="H69" i="5" s="1"/>
  <c r="T63" i="23"/>
  <c r="F77" i="5"/>
  <c r="G77" i="5" s="1"/>
  <c r="H77" i="5" s="1"/>
  <c r="T71" i="23"/>
  <c r="U20" i="21"/>
  <c r="L20" i="21"/>
  <c r="K20" i="21"/>
  <c r="Q22" i="21"/>
  <c r="R22" i="21"/>
  <c r="R18" i="25"/>
  <c r="Q18" i="25"/>
  <c r="N19" i="21"/>
  <c r="O19" i="21"/>
  <c r="N20" i="25"/>
  <c r="O20" i="25"/>
  <c r="U17" i="21"/>
  <c r="X17" i="21" s="1"/>
  <c r="W25" i="7"/>
  <c r="J24" i="25" s="1"/>
  <c r="W79" i="7"/>
  <c r="J34" i="25" s="1"/>
  <c r="F50" i="5"/>
  <c r="G50" i="5" s="1"/>
  <c r="H50" i="5" s="1"/>
  <c r="F46" i="5"/>
  <c r="G46" i="5" s="1"/>
  <c r="H46" i="5" s="1"/>
  <c r="F58" i="5"/>
  <c r="G58" i="5" s="1"/>
  <c r="H58" i="5" s="1"/>
  <c r="W51" i="7"/>
  <c r="J30" i="25" s="1"/>
  <c r="W72" i="7"/>
  <c r="J33" i="25" s="1"/>
  <c r="R17" i="14"/>
  <c r="F52" i="5"/>
  <c r="G52" i="5" s="1"/>
  <c r="H52" i="5" s="1"/>
  <c r="R19" i="14"/>
  <c r="F81" i="5"/>
  <c r="G81" i="5" s="1"/>
  <c r="H81" i="5" s="1"/>
  <c r="W44" i="7"/>
  <c r="W93" i="7"/>
  <c r="J36" i="21" s="1"/>
  <c r="H80" i="7"/>
  <c r="AE80" i="7" s="1"/>
  <c r="F57" i="5"/>
  <c r="G57" i="5" s="1"/>
  <c r="H57" i="5" s="1"/>
  <c r="H85" i="7"/>
  <c r="AE85" i="7" s="1"/>
  <c r="H35" i="7"/>
  <c r="AE35" i="7" s="1"/>
  <c r="H84" i="7"/>
  <c r="AE84" i="7" s="1"/>
  <c r="H36" i="7"/>
  <c r="AE36" i="7" s="1"/>
  <c r="H83" i="7"/>
  <c r="AE83" i="7" s="1"/>
  <c r="J20" i="14"/>
  <c r="H82" i="7"/>
  <c r="AE82" i="7" s="1"/>
  <c r="H81" i="7"/>
  <c r="AE81" i="7" s="1"/>
  <c r="H30" i="7"/>
  <c r="AE30" i="7" s="1"/>
  <c r="H29" i="7"/>
  <c r="AE29" i="7" s="1"/>
  <c r="H26" i="7"/>
  <c r="AE26" i="7" s="1"/>
  <c r="H27" i="7"/>
  <c r="AE27" i="7" s="1"/>
  <c r="W61" i="7"/>
  <c r="W65" i="7" s="1"/>
  <c r="J32" i="25" s="1"/>
  <c r="W26" i="7"/>
  <c r="W82" i="7"/>
  <c r="W29" i="7"/>
  <c r="W27" i="7"/>
  <c r="W84" i="7"/>
  <c r="W83" i="7"/>
  <c r="W80" i="7"/>
  <c r="W30" i="7"/>
  <c r="W85" i="7"/>
  <c r="W36" i="7"/>
  <c r="W81" i="7"/>
  <c r="W35" i="7"/>
  <c r="J18" i="14"/>
  <c r="J19" i="21"/>
  <c r="AA22" i="7"/>
  <c r="AA25" i="7"/>
  <c r="AA72" i="7"/>
  <c r="AA51" i="7"/>
  <c r="S46" i="23"/>
  <c r="U46" i="23" s="1"/>
  <c r="S25" i="23"/>
  <c r="U25" i="23" s="1"/>
  <c r="S34" i="23"/>
  <c r="U34" i="23" s="1"/>
  <c r="S45" i="23"/>
  <c r="U45" i="23" s="1"/>
  <c r="R22" i="23"/>
  <c r="M18" i="14"/>
  <c r="R20" i="23"/>
  <c r="G82" i="7"/>
  <c r="AA82" i="7" s="1"/>
  <c r="R67" i="23"/>
  <c r="S52" i="23"/>
  <c r="U52" i="23" s="1"/>
  <c r="S41" i="23"/>
  <c r="U41" i="23" s="1"/>
  <c r="S60" i="23"/>
  <c r="U60" i="23" s="1"/>
  <c r="S42" i="23"/>
  <c r="U42" i="23" s="1"/>
  <c r="M21" i="14"/>
  <c r="S38" i="23"/>
  <c r="U38" i="23" s="1"/>
  <c r="S51" i="23"/>
  <c r="U51" i="23" s="1"/>
  <c r="R23" i="23"/>
  <c r="G26" i="7"/>
  <c r="AA26" i="7" s="1"/>
  <c r="S75" i="23"/>
  <c r="U75" i="23" s="1"/>
  <c r="S55" i="23"/>
  <c r="U55" i="23" s="1"/>
  <c r="S62" i="23"/>
  <c r="U62" i="23" s="1"/>
  <c r="R26" i="23"/>
  <c r="S35" i="23"/>
  <c r="U35" i="23" s="1"/>
  <c r="G85" i="7"/>
  <c r="R21" i="23"/>
  <c r="S43" i="23"/>
  <c r="U43" i="23" s="1"/>
  <c r="S36" i="23"/>
  <c r="U36" i="23" s="1"/>
  <c r="S49" i="23"/>
  <c r="U49" i="23" s="1"/>
  <c r="S73" i="23"/>
  <c r="U73" i="23" s="1"/>
  <c r="S31" i="23"/>
  <c r="U31" i="23" s="1"/>
  <c r="R64" i="23"/>
  <c r="G83" i="7"/>
  <c r="AA83" i="7" s="1"/>
  <c r="AA58" i="7"/>
  <c r="S44" i="23"/>
  <c r="U44" i="23" s="1"/>
  <c r="S63" i="23"/>
  <c r="U63" i="23" s="1"/>
  <c r="S16" i="23"/>
  <c r="U16" i="23" s="1"/>
  <c r="S71" i="23"/>
  <c r="U71" i="23" s="1"/>
  <c r="AA44" i="7"/>
  <c r="R66" i="23"/>
  <c r="G81" i="7"/>
  <c r="AA81" i="7" s="1"/>
  <c r="S40" i="23"/>
  <c r="U40" i="23" s="1"/>
  <c r="S74" i="23"/>
  <c r="U74" i="23" s="1"/>
  <c r="S61" i="23"/>
  <c r="U61" i="23" s="1"/>
  <c r="S29" i="23"/>
  <c r="U29" i="23" s="1"/>
  <c r="S54" i="23"/>
  <c r="U54" i="23" s="1"/>
  <c r="R27" i="23"/>
  <c r="S47" i="23"/>
  <c r="U47" i="23" s="1"/>
  <c r="S30" i="23"/>
  <c r="S53" i="23"/>
  <c r="U53" i="23" s="1"/>
  <c r="S28" i="23"/>
  <c r="U28" i="23" s="1"/>
  <c r="S18" i="23"/>
  <c r="U18" i="23" s="1"/>
  <c r="S50" i="23"/>
  <c r="U50" i="23" s="1"/>
  <c r="S19" i="23"/>
  <c r="U19" i="23" s="1"/>
  <c r="G84" i="7"/>
  <c r="AA84" i="7" s="1"/>
  <c r="G35" i="7"/>
  <c r="AA35" i="7" s="1"/>
  <c r="M16" i="14"/>
  <c r="G30" i="7"/>
  <c r="AA30" i="7" s="1"/>
  <c r="S17" i="23"/>
  <c r="U17" i="23" s="1"/>
  <c r="AA93" i="7"/>
  <c r="R68" i="23"/>
  <c r="S59" i="23"/>
  <c r="U59" i="23" s="1"/>
  <c r="S48" i="23"/>
  <c r="U48" i="23" s="1"/>
  <c r="R65" i="23"/>
  <c r="AA79" i="7"/>
  <c r="S57" i="23"/>
  <c r="U57" i="23" s="1"/>
  <c r="G80" i="7"/>
  <c r="AA80" i="7" s="1"/>
  <c r="AA34" i="7"/>
  <c r="G36" i="7"/>
  <c r="AA36" i="7" s="1"/>
  <c r="S72" i="23"/>
  <c r="U72" i="23" s="1"/>
  <c r="G29" i="7"/>
  <c r="AA29" i="7" s="1"/>
  <c r="S37" i="23"/>
  <c r="U37" i="23" s="1"/>
  <c r="AA65" i="7"/>
  <c r="S70" i="23"/>
  <c r="U70" i="23" s="1"/>
  <c r="R69" i="23"/>
  <c r="S39" i="23"/>
  <c r="U39" i="23" s="1"/>
  <c r="G27" i="7"/>
  <c r="AA27" i="7" s="1"/>
  <c r="S32" i="23"/>
  <c r="U32" i="23" s="1"/>
  <c r="S56" i="23"/>
  <c r="U56" i="23" s="1"/>
  <c r="S58" i="23"/>
  <c r="S33" i="23"/>
  <c r="U33" i="23" s="1"/>
  <c r="S24" i="23"/>
  <c r="U24" i="23" s="1"/>
  <c r="AO40" i="14"/>
  <c r="U41" i="20"/>
  <c r="T41" i="20"/>
  <c r="V41" i="20"/>
  <c r="AC67" i="14"/>
  <c r="AB69" i="14"/>
  <c r="AC57" i="14"/>
  <c r="AD57" i="14" s="1"/>
  <c r="AE57" i="14" s="1"/>
  <c r="Z57" i="14"/>
  <c r="Z65" i="14"/>
  <c r="Z66" i="14"/>
  <c r="Y58" i="14"/>
  <c r="AR25" i="14"/>
  <c r="X67" i="14"/>
  <c r="AR24" i="14"/>
  <c r="AE40" i="14"/>
  <c r="S41" i="13"/>
  <c r="T41" i="13"/>
  <c r="AC56" i="14"/>
  <c r="Z56" i="14"/>
  <c r="K30" i="5" l="1"/>
  <c r="J31" i="14"/>
  <c r="K31" i="14" s="1"/>
  <c r="K22" i="5"/>
  <c r="U30" i="23"/>
  <c r="U58" i="23"/>
  <c r="F74" i="5"/>
  <c r="G74" i="5" s="1"/>
  <c r="H74" i="5" s="1"/>
  <c r="F70" i="5"/>
  <c r="G70" i="5" s="1"/>
  <c r="H70" i="5" s="1"/>
  <c r="J22" i="14"/>
  <c r="J23" i="21"/>
  <c r="K23" i="21" s="1"/>
  <c r="J33" i="14"/>
  <c r="K33" i="14" s="1"/>
  <c r="K40" i="5"/>
  <c r="T21" i="23"/>
  <c r="T69" i="23"/>
  <c r="S16" i="14"/>
  <c r="T20" i="23"/>
  <c r="T27" i="23"/>
  <c r="T22" i="23"/>
  <c r="T68" i="23"/>
  <c r="T64" i="23"/>
  <c r="T65" i="23"/>
  <c r="T23" i="23"/>
  <c r="F71" i="5"/>
  <c r="G71" i="5" s="1"/>
  <c r="H71" i="5" s="1"/>
  <c r="J32" i="21"/>
  <c r="F27" i="5"/>
  <c r="G27" i="5" s="1"/>
  <c r="H27" i="5" s="1"/>
  <c r="J34" i="21"/>
  <c r="L34" i="21" s="1"/>
  <c r="F29" i="5"/>
  <c r="G29" i="5" s="1"/>
  <c r="H29" i="5" s="1"/>
  <c r="W28" i="7"/>
  <c r="J25" i="25" s="1"/>
  <c r="K25" i="25" s="1"/>
  <c r="J24" i="21"/>
  <c r="L24" i="21" s="1"/>
  <c r="F28" i="5"/>
  <c r="G28" i="5" s="1"/>
  <c r="H28" i="5" s="1"/>
  <c r="K34" i="5"/>
  <c r="K64" i="5"/>
  <c r="K58" i="5"/>
  <c r="J23" i="14"/>
  <c r="K23" i="14" s="1"/>
  <c r="F33" i="5"/>
  <c r="G33" i="5" s="1"/>
  <c r="H33" i="5" s="1"/>
  <c r="J30" i="21"/>
  <c r="L30" i="21" s="1"/>
  <c r="J29" i="14"/>
  <c r="J33" i="21"/>
  <c r="L33" i="21" s="1"/>
  <c r="J30" i="14"/>
  <c r="J32" i="14"/>
  <c r="K32" i="14" s="1"/>
  <c r="J31" i="21"/>
  <c r="L31" i="21" s="1"/>
  <c r="L31" i="25"/>
  <c r="K46" i="5"/>
  <c r="X22" i="25"/>
  <c r="Z22" i="25" s="1"/>
  <c r="K76" i="5"/>
  <c r="L19" i="21"/>
  <c r="K19" i="21"/>
  <c r="K33" i="25"/>
  <c r="L33" i="25"/>
  <c r="L24" i="25"/>
  <c r="K24" i="25"/>
  <c r="L32" i="21"/>
  <c r="K32" i="21"/>
  <c r="L30" i="25"/>
  <c r="K30" i="25"/>
  <c r="M32" i="25"/>
  <c r="M32" i="21"/>
  <c r="L23" i="21"/>
  <c r="M31" i="25"/>
  <c r="M31" i="21"/>
  <c r="J27" i="21"/>
  <c r="J27" i="25"/>
  <c r="F75" i="5"/>
  <c r="G75" i="5" s="1"/>
  <c r="H75" i="5" s="1"/>
  <c r="M36" i="25"/>
  <c r="M36" i="21"/>
  <c r="F26" i="5"/>
  <c r="G26" i="5" s="1"/>
  <c r="H26" i="5" s="1"/>
  <c r="J35" i="14"/>
  <c r="K35" i="14" s="1"/>
  <c r="J36" i="25"/>
  <c r="L23" i="14"/>
  <c r="M23" i="14" s="1"/>
  <c r="M24" i="25"/>
  <c r="M24" i="21"/>
  <c r="F32" i="5"/>
  <c r="G32" i="5" s="1"/>
  <c r="H32" i="5" s="1"/>
  <c r="T26" i="23"/>
  <c r="J28" i="14"/>
  <c r="K28" i="14" s="1"/>
  <c r="J29" i="25"/>
  <c r="X19" i="25"/>
  <c r="Z19" i="25" s="1"/>
  <c r="V19" i="25"/>
  <c r="L21" i="21"/>
  <c r="K21" i="21"/>
  <c r="M27" i="25"/>
  <c r="M27" i="21"/>
  <c r="L29" i="14"/>
  <c r="M29" i="14" s="1"/>
  <c r="M30" i="25"/>
  <c r="M30" i="21"/>
  <c r="L22" i="14"/>
  <c r="M22" i="14" s="1"/>
  <c r="M23" i="25"/>
  <c r="M23" i="21"/>
  <c r="K23" i="25"/>
  <c r="L23" i="25"/>
  <c r="M34" i="25"/>
  <c r="M34" i="21"/>
  <c r="M29" i="25"/>
  <c r="M29" i="21"/>
  <c r="L36" i="21"/>
  <c r="K36" i="21"/>
  <c r="M33" i="25"/>
  <c r="M33" i="21"/>
  <c r="K32" i="25"/>
  <c r="L32" i="25"/>
  <c r="F72" i="5"/>
  <c r="G72" i="5" s="1"/>
  <c r="H72" i="5" s="1"/>
  <c r="T66" i="23"/>
  <c r="F73" i="5"/>
  <c r="G73" i="5" s="1"/>
  <c r="H73" i="5" s="1"/>
  <c r="T67" i="23"/>
  <c r="K34" i="25"/>
  <c r="L34" i="25"/>
  <c r="V20" i="25"/>
  <c r="X20" i="25"/>
  <c r="Z20" i="25" s="1"/>
  <c r="V17" i="25"/>
  <c r="X17" i="25"/>
  <c r="L21" i="25"/>
  <c r="K21" i="25"/>
  <c r="U21" i="25"/>
  <c r="U19" i="21"/>
  <c r="V19" i="21" s="1"/>
  <c r="V17" i="21"/>
  <c r="K52" i="5"/>
  <c r="J29" i="21"/>
  <c r="W86" i="7"/>
  <c r="J35" i="25" s="1"/>
  <c r="V21" i="21"/>
  <c r="K18" i="14"/>
  <c r="R18" i="14"/>
  <c r="S18" i="14" s="1"/>
  <c r="R20" i="14"/>
  <c r="K20" i="14"/>
  <c r="W31" i="7"/>
  <c r="W37" i="7"/>
  <c r="L32" i="14"/>
  <c r="M32" i="14" s="1"/>
  <c r="AA31" i="7"/>
  <c r="AA37" i="7"/>
  <c r="W19" i="14"/>
  <c r="Y19" i="14" s="1"/>
  <c r="S19" i="14"/>
  <c r="K15" i="7"/>
  <c r="S26" i="23"/>
  <c r="U26" i="23" s="1"/>
  <c r="S65" i="23"/>
  <c r="U65" i="23" s="1"/>
  <c r="V18" i="21"/>
  <c r="X18" i="21"/>
  <c r="Z18" i="21" s="1"/>
  <c r="I14" i="7"/>
  <c r="AI14" i="7" s="1"/>
  <c r="L28" i="14"/>
  <c r="M28" i="14" s="1"/>
  <c r="L31" i="14"/>
  <c r="M31" i="14" s="1"/>
  <c r="K14" i="7"/>
  <c r="I15" i="7"/>
  <c r="AI15" i="7" s="1"/>
  <c r="AA85" i="7"/>
  <c r="AA86" i="7" s="1"/>
  <c r="J18" i="7"/>
  <c r="AM18" i="7" s="1"/>
  <c r="S20" i="23"/>
  <c r="U20" i="23" s="1"/>
  <c r="S69" i="23"/>
  <c r="U69" i="23" s="1"/>
  <c r="J19" i="7"/>
  <c r="AM19" i="7" s="1"/>
  <c r="I18" i="7"/>
  <c r="AI18" i="7" s="1"/>
  <c r="L30" i="14"/>
  <c r="M30" i="14" s="1"/>
  <c r="J16" i="7"/>
  <c r="AM16" i="7" s="1"/>
  <c r="Z17" i="21"/>
  <c r="S22" i="23"/>
  <c r="U22" i="23" s="1"/>
  <c r="I16" i="7"/>
  <c r="AI16" i="7" s="1"/>
  <c r="S64" i="23"/>
  <c r="U64" i="23" s="1"/>
  <c r="K17" i="7"/>
  <c r="K18" i="7"/>
  <c r="J17" i="7"/>
  <c r="AM17" i="7" s="1"/>
  <c r="I19" i="7"/>
  <c r="AI19" i="7" s="1"/>
  <c r="X20" i="21"/>
  <c r="Z20" i="21" s="1"/>
  <c r="V20" i="21"/>
  <c r="S66" i="23"/>
  <c r="U66" i="23" s="1"/>
  <c r="K16" i="7"/>
  <c r="J15" i="7"/>
  <c r="AM15" i="7" s="1"/>
  <c r="K22" i="14"/>
  <c r="Y16" i="14"/>
  <c r="X22" i="21"/>
  <c r="Z22" i="21" s="1"/>
  <c r="V22" i="21"/>
  <c r="S27" i="23"/>
  <c r="U27" i="23" s="1"/>
  <c r="J14" i="7"/>
  <c r="AM14" i="7" s="1"/>
  <c r="W17" i="14"/>
  <c r="S17" i="14"/>
  <c r="K32" i="5"/>
  <c r="K29" i="14"/>
  <c r="S21" i="23"/>
  <c r="U21" i="23" s="1"/>
  <c r="L26" i="14"/>
  <c r="S23" i="23"/>
  <c r="U23" i="23" s="1"/>
  <c r="S67" i="23"/>
  <c r="U67" i="23" s="1"/>
  <c r="S21" i="14"/>
  <c r="W21" i="14"/>
  <c r="Y21" i="14" s="1"/>
  <c r="I17" i="7"/>
  <c r="AI17" i="7" s="1"/>
  <c r="K19" i="7"/>
  <c r="L33" i="14"/>
  <c r="M33" i="14" s="1"/>
  <c r="L35" i="14"/>
  <c r="M35" i="14" s="1"/>
  <c r="S68" i="23"/>
  <c r="U68" i="23" s="1"/>
  <c r="AA28" i="7"/>
  <c r="K30" i="14"/>
  <c r="AY28" i="21"/>
  <c r="AW41" i="21"/>
  <c r="AY41" i="21" s="1"/>
  <c r="Z58" i="14"/>
  <c r="Y67" i="14"/>
  <c r="AR27" i="14"/>
  <c r="X68" i="14"/>
  <c r="Y68" i="14" s="1"/>
  <c r="AD56" i="14"/>
  <c r="AC58" i="14"/>
  <c r="AP40" i="14"/>
  <c r="AR40" i="14" s="1"/>
  <c r="K34" i="21" l="1"/>
  <c r="K33" i="21"/>
  <c r="J34" i="14"/>
  <c r="K34" i="14" s="1"/>
  <c r="J35" i="21"/>
  <c r="L35" i="21" s="1"/>
  <c r="K28" i="5"/>
  <c r="K26" i="5"/>
  <c r="J24" i="14"/>
  <c r="K24" i="14" s="1"/>
  <c r="L25" i="25"/>
  <c r="J25" i="21"/>
  <c r="K25" i="21" s="1"/>
  <c r="Y11" i="23"/>
  <c r="X11" i="23"/>
  <c r="Y14" i="23"/>
  <c r="X10" i="23"/>
  <c r="Y10" i="23"/>
  <c r="Y13" i="23"/>
  <c r="Y12" i="23"/>
  <c r="X14" i="23"/>
  <c r="X13" i="23"/>
  <c r="X12" i="23"/>
  <c r="K70" i="5"/>
  <c r="L38" i="13"/>
  <c r="L38" i="20"/>
  <c r="K31" i="21"/>
  <c r="L37" i="20"/>
  <c r="L37" i="13"/>
  <c r="H86" i="5"/>
  <c r="K24" i="21"/>
  <c r="K30" i="21"/>
  <c r="AJ21" i="21"/>
  <c r="AH20" i="14" s="1"/>
  <c r="AI20" i="14" s="1"/>
  <c r="AN21" i="25"/>
  <c r="AJ17" i="21"/>
  <c r="AH16" i="14" s="1"/>
  <c r="AI16" i="14" s="1"/>
  <c r="AN17" i="25"/>
  <c r="N34" i="25"/>
  <c r="O34" i="25"/>
  <c r="O27" i="25"/>
  <c r="N27" i="25"/>
  <c r="AM20" i="21"/>
  <c r="AJ19" i="14" s="1"/>
  <c r="AK19" i="14" s="1"/>
  <c r="AQ20" i="25"/>
  <c r="M28" i="25"/>
  <c r="M28" i="21"/>
  <c r="J28" i="21"/>
  <c r="J28" i="25"/>
  <c r="Z17" i="25"/>
  <c r="L36" i="25"/>
  <c r="K36" i="25"/>
  <c r="AJ19" i="21"/>
  <c r="AH18" i="14" s="1"/>
  <c r="AI18" i="14" s="1"/>
  <c r="AN19" i="25"/>
  <c r="AM21" i="21"/>
  <c r="AJ20" i="14" s="1"/>
  <c r="AK20" i="14" s="1"/>
  <c r="AQ21" i="25"/>
  <c r="L25" i="14"/>
  <c r="M25" i="14" s="1"/>
  <c r="M26" i="25"/>
  <c r="M26" i="21"/>
  <c r="W3" i="7"/>
  <c r="Y5" i="7" s="1"/>
  <c r="AZ4" i="7" s="1"/>
  <c r="J26" i="25"/>
  <c r="L29" i="25"/>
  <c r="K29" i="25"/>
  <c r="AJ20" i="21"/>
  <c r="AH19" i="14" s="1"/>
  <c r="AI19" i="14" s="1"/>
  <c r="AN20" i="25"/>
  <c r="L25" i="21"/>
  <c r="N33" i="21"/>
  <c r="O33" i="21"/>
  <c r="N29" i="21"/>
  <c r="O29" i="21"/>
  <c r="N23" i="21"/>
  <c r="O23" i="21"/>
  <c r="L27" i="25"/>
  <c r="K27" i="25"/>
  <c r="AM17" i="21"/>
  <c r="AJ16" i="14" s="1"/>
  <c r="AK16" i="14" s="1"/>
  <c r="AQ17" i="25"/>
  <c r="M25" i="25"/>
  <c r="M25" i="21"/>
  <c r="AM19" i="21"/>
  <c r="AJ18" i="14" s="1"/>
  <c r="AK18" i="14" s="1"/>
  <c r="AQ19" i="25"/>
  <c r="O33" i="25"/>
  <c r="N33" i="25"/>
  <c r="N29" i="25"/>
  <c r="O29" i="25"/>
  <c r="O23" i="25"/>
  <c r="N23" i="25"/>
  <c r="L27" i="21"/>
  <c r="K27" i="21"/>
  <c r="AJ18" i="21"/>
  <c r="AH17" i="14" s="1"/>
  <c r="AI17" i="14" s="1"/>
  <c r="AN18" i="25"/>
  <c r="N24" i="21"/>
  <c r="O24" i="21"/>
  <c r="N31" i="21"/>
  <c r="O31" i="21"/>
  <c r="Y15" i="23"/>
  <c r="X15" i="23"/>
  <c r="V21" i="25"/>
  <c r="X21" i="25"/>
  <c r="Z21" i="25" s="1"/>
  <c r="N30" i="21"/>
  <c r="O30" i="21"/>
  <c r="O24" i="25"/>
  <c r="N24" i="25"/>
  <c r="N36" i="21"/>
  <c r="O36" i="21"/>
  <c r="N31" i="25"/>
  <c r="O31" i="25"/>
  <c r="N32" i="21"/>
  <c r="O32" i="21"/>
  <c r="AM18" i="21"/>
  <c r="AJ17" i="14" s="1"/>
  <c r="AK17" i="14" s="1"/>
  <c r="AQ18" i="25"/>
  <c r="AJ22" i="21"/>
  <c r="AH21" i="14" s="1"/>
  <c r="AI21" i="14" s="1"/>
  <c r="AN22" i="25"/>
  <c r="AM22" i="21"/>
  <c r="AJ21" i="14" s="1"/>
  <c r="AK21" i="14" s="1"/>
  <c r="AQ22" i="25"/>
  <c r="M35" i="25"/>
  <c r="M35" i="21"/>
  <c r="K35" i="25"/>
  <c r="L35" i="25"/>
  <c r="L29" i="21"/>
  <c r="K29" i="21"/>
  <c r="N34" i="21"/>
  <c r="O34" i="21"/>
  <c r="O30" i="25"/>
  <c r="N30" i="25"/>
  <c r="N27" i="21"/>
  <c r="O27" i="21"/>
  <c r="N36" i="25"/>
  <c r="O36" i="25"/>
  <c r="O32" i="25"/>
  <c r="N32" i="25"/>
  <c r="X19" i="21"/>
  <c r="Z19" i="21" s="1"/>
  <c r="W18" i="14"/>
  <c r="Y18" i="14" s="1"/>
  <c r="J27" i="14"/>
  <c r="W20" i="14"/>
  <c r="Y20" i="14" s="1"/>
  <c r="S20" i="14"/>
  <c r="J25" i="14"/>
  <c r="J26" i="21"/>
  <c r="L27" i="14"/>
  <c r="M27" i="14" s="1"/>
  <c r="K74" i="7"/>
  <c r="J38" i="7"/>
  <c r="AM38" i="7" s="1"/>
  <c r="AA18" i="25"/>
  <c r="K71" i="7"/>
  <c r="K87" i="7"/>
  <c r="J46" i="7"/>
  <c r="AM46" i="7" s="1"/>
  <c r="J88" i="7"/>
  <c r="AM88" i="7" s="1"/>
  <c r="I42" i="7"/>
  <c r="AI42" i="7" s="1"/>
  <c r="J68" i="7"/>
  <c r="AM68" i="7" s="1"/>
  <c r="I55" i="7"/>
  <c r="AI55" i="7" s="1"/>
  <c r="K78" i="7"/>
  <c r="I90" i="7"/>
  <c r="AI90" i="7" s="1"/>
  <c r="J77" i="7"/>
  <c r="AM77" i="7" s="1"/>
  <c r="I50" i="7"/>
  <c r="AI50" i="7" s="1"/>
  <c r="J42" i="7"/>
  <c r="AM42" i="7" s="1"/>
  <c r="J62" i="7"/>
  <c r="AM62" i="7" s="1"/>
  <c r="K61" i="7"/>
  <c r="I23" i="7"/>
  <c r="AI23" i="7" s="1"/>
  <c r="K92" i="7"/>
  <c r="I63" i="7"/>
  <c r="AI63" i="7" s="1"/>
  <c r="I78" i="7"/>
  <c r="AI78" i="7" s="1"/>
  <c r="K66" i="7"/>
  <c r="J52" i="7"/>
  <c r="AM52" i="7" s="1"/>
  <c r="I21" i="7"/>
  <c r="AI21" i="7" s="1"/>
  <c r="K45" i="7"/>
  <c r="J45" i="7"/>
  <c r="AM45" i="7" s="1"/>
  <c r="I66" i="7"/>
  <c r="AI66" i="7" s="1"/>
  <c r="F15" i="19"/>
  <c r="AF15" i="19" s="1"/>
  <c r="AJ15" i="19" s="1"/>
  <c r="W11" i="23"/>
  <c r="J90" i="7"/>
  <c r="AM90" i="7" s="1"/>
  <c r="J24" i="7"/>
  <c r="AM24" i="7" s="1"/>
  <c r="I48" i="7"/>
  <c r="AI48" i="7" s="1"/>
  <c r="AA21" i="25"/>
  <c r="K73" i="7"/>
  <c r="J74" i="7"/>
  <c r="AM74" i="7" s="1"/>
  <c r="J43" i="7"/>
  <c r="AM43" i="7" s="1"/>
  <c r="L21" i="20"/>
  <c r="L21" i="13"/>
  <c r="J33" i="7"/>
  <c r="AM33" i="7" s="1"/>
  <c r="K39" i="7"/>
  <c r="J92" i="7"/>
  <c r="AM92" i="7" s="1"/>
  <c r="I39" i="7"/>
  <c r="AI39" i="7" s="1"/>
  <c r="J67" i="7"/>
  <c r="AM67" i="7" s="1"/>
  <c r="I52" i="7"/>
  <c r="AI52" i="7" s="1"/>
  <c r="M26" i="14"/>
  <c r="L20" i="20"/>
  <c r="L20" i="13"/>
  <c r="I91" i="7"/>
  <c r="AI91" i="7" s="1"/>
  <c r="Y17" i="14"/>
  <c r="I47" i="7"/>
  <c r="AI47" i="7" s="1"/>
  <c r="J41" i="7"/>
  <c r="AM41" i="7" s="1"/>
  <c r="J61" i="7"/>
  <c r="AM61" i="7" s="1"/>
  <c r="K64" i="7"/>
  <c r="K89" i="7"/>
  <c r="I61" i="7"/>
  <c r="AI61" i="7" s="1"/>
  <c r="K24" i="7"/>
  <c r="F18" i="19"/>
  <c r="AF18" i="19" s="1"/>
  <c r="AJ18" i="19" s="1"/>
  <c r="W14" i="23"/>
  <c r="K70" i="7"/>
  <c r="J57" i="7"/>
  <c r="AM57" i="7" s="1"/>
  <c r="K47" i="7"/>
  <c r="J50" i="7"/>
  <c r="AM50" i="7" s="1"/>
  <c r="I71" i="7"/>
  <c r="AI71" i="7" s="1"/>
  <c r="K57" i="7"/>
  <c r="K50" i="7"/>
  <c r="I68" i="7"/>
  <c r="AI68" i="7" s="1"/>
  <c r="I24" i="7"/>
  <c r="AI24" i="7" s="1"/>
  <c r="K49" i="7"/>
  <c r="K38" i="7"/>
  <c r="J87" i="7"/>
  <c r="AM87" i="7" s="1"/>
  <c r="I38" i="7"/>
  <c r="AI38" i="7" s="1"/>
  <c r="J69" i="7"/>
  <c r="AM69" i="7" s="1"/>
  <c r="I56" i="7"/>
  <c r="AI56" i="7" s="1"/>
  <c r="I32" i="7"/>
  <c r="AI32" i="7" s="1"/>
  <c r="I87" i="7"/>
  <c r="AI87" i="7" s="1"/>
  <c r="I49" i="7"/>
  <c r="AI49" i="7" s="1"/>
  <c r="J40" i="7"/>
  <c r="AM40" i="7" s="1"/>
  <c r="J60" i="7"/>
  <c r="AM60" i="7" s="1"/>
  <c r="AA20" i="25"/>
  <c r="K88" i="7"/>
  <c r="K23" i="7"/>
  <c r="AQ18" i="7"/>
  <c r="AT21" i="25" s="1"/>
  <c r="AU18" i="7"/>
  <c r="K67" i="7"/>
  <c r="J56" i="7"/>
  <c r="AM56" i="7" s="1"/>
  <c r="I20" i="7"/>
  <c r="AI20" i="7" s="1"/>
  <c r="K48" i="7"/>
  <c r="J49" i="7"/>
  <c r="AM49" i="7" s="1"/>
  <c r="I70" i="7"/>
  <c r="AI70" i="7" s="1"/>
  <c r="K52" i="7"/>
  <c r="F19" i="19"/>
  <c r="AF19" i="19" s="1"/>
  <c r="AJ19" i="19" s="1"/>
  <c r="W15" i="23"/>
  <c r="K59" i="7"/>
  <c r="I60" i="7"/>
  <c r="AI60" i="7" s="1"/>
  <c r="J32" i="7"/>
  <c r="AM32" i="7" s="1"/>
  <c r="J89" i="7"/>
  <c r="AM89" i="7" s="1"/>
  <c r="J63" i="7"/>
  <c r="AM63" i="7" s="1"/>
  <c r="I74" i="7"/>
  <c r="AI74" i="7" s="1"/>
  <c r="AQ15" i="7"/>
  <c r="AT18" i="25" s="1"/>
  <c r="AU15" i="7"/>
  <c r="K41" i="7"/>
  <c r="J91" i="7"/>
  <c r="AM91" i="7" s="1"/>
  <c r="I41" i="7"/>
  <c r="AI41" i="7" s="1"/>
  <c r="J66" i="7"/>
  <c r="AM66" i="7" s="1"/>
  <c r="I53" i="7"/>
  <c r="AI53" i="7" s="1"/>
  <c r="I33" i="7"/>
  <c r="AI33" i="7" s="1"/>
  <c r="K75" i="7"/>
  <c r="I92" i="7"/>
  <c r="AI92" i="7" s="1"/>
  <c r="J76" i="7"/>
  <c r="AM76" i="7" s="1"/>
  <c r="I45" i="7"/>
  <c r="AI45" i="7" s="1"/>
  <c r="J39" i="7"/>
  <c r="AM39" i="7" s="1"/>
  <c r="J59" i="7"/>
  <c r="AM59" i="7" s="1"/>
  <c r="L18" i="20"/>
  <c r="L18" i="13"/>
  <c r="AA17" i="25"/>
  <c r="K90" i="7"/>
  <c r="I73" i="7"/>
  <c r="AI73" i="7" s="1"/>
  <c r="J55" i="7"/>
  <c r="AM55" i="7" s="1"/>
  <c r="K32" i="7"/>
  <c r="K46" i="7"/>
  <c r="J48" i="7"/>
  <c r="AM48" i="7" s="1"/>
  <c r="W10" i="23"/>
  <c r="F14" i="19"/>
  <c r="AF14" i="19" s="1"/>
  <c r="AJ14" i="19" s="1"/>
  <c r="I67" i="7"/>
  <c r="AI67" i="7" s="1"/>
  <c r="K56" i="7"/>
  <c r="I46" i="7"/>
  <c r="AI46" i="7" s="1"/>
  <c r="I59" i="7"/>
  <c r="AI59" i="7" s="1"/>
  <c r="K42" i="7"/>
  <c r="I40" i="7"/>
  <c r="AI40" i="7" s="1"/>
  <c r="J71" i="7"/>
  <c r="AM71" i="7" s="1"/>
  <c r="I54" i="7"/>
  <c r="AI54" i="7" s="1"/>
  <c r="AA19" i="25"/>
  <c r="K77" i="7"/>
  <c r="I88" i="7"/>
  <c r="AI88" i="7" s="1"/>
  <c r="J75" i="7"/>
  <c r="AM75" i="7" s="1"/>
  <c r="J64" i="7"/>
  <c r="AM64" i="7" s="1"/>
  <c r="K62" i="7"/>
  <c r="K91" i="7"/>
  <c r="F16" i="19"/>
  <c r="AF16" i="19" s="1"/>
  <c r="AJ16" i="19" s="1"/>
  <c r="W12" i="23"/>
  <c r="I64" i="7"/>
  <c r="AI64" i="7" s="1"/>
  <c r="AQ17" i="7"/>
  <c r="AT20" i="25" s="1"/>
  <c r="AU17" i="7"/>
  <c r="J21" i="7"/>
  <c r="AM21" i="7" s="1"/>
  <c r="I75" i="7"/>
  <c r="AI75" i="7" s="1"/>
  <c r="J54" i="7"/>
  <c r="AM54" i="7" s="1"/>
  <c r="K33" i="7"/>
  <c r="J47" i="7"/>
  <c r="AM47" i="7" s="1"/>
  <c r="AQ14" i="7"/>
  <c r="AT17" i="25" s="1"/>
  <c r="AU14" i="7"/>
  <c r="K55" i="7"/>
  <c r="K43" i="7"/>
  <c r="J78" i="7"/>
  <c r="AM78" i="7" s="1"/>
  <c r="L17" i="20"/>
  <c r="L17" i="13"/>
  <c r="I76" i="7"/>
  <c r="AI76" i="7" s="1"/>
  <c r="K53" i="7"/>
  <c r="I57" i="7"/>
  <c r="AI57" i="7" s="1"/>
  <c r="K63" i="7"/>
  <c r="K68" i="7"/>
  <c r="I69" i="7"/>
  <c r="AI69" i="7" s="1"/>
  <c r="K40" i="7"/>
  <c r="L24" i="14"/>
  <c r="AA3" i="7"/>
  <c r="AC5" i="7" s="1"/>
  <c r="AZ5" i="7" s="1"/>
  <c r="I43" i="7"/>
  <c r="AI43" i="7" s="1"/>
  <c r="J70" i="7"/>
  <c r="AM70" i="7" s="1"/>
  <c r="AQ19" i="7"/>
  <c r="AT22" i="25" s="1"/>
  <c r="AU19" i="7"/>
  <c r="J23" i="7"/>
  <c r="AM23" i="7" s="1"/>
  <c r="K76" i="7"/>
  <c r="I89" i="7"/>
  <c r="AI89" i="7" s="1"/>
  <c r="J73" i="7"/>
  <c r="AM73" i="7" s="1"/>
  <c r="K60" i="7"/>
  <c r="AQ16" i="7"/>
  <c r="AT19" i="25" s="1"/>
  <c r="AU16" i="7"/>
  <c r="I62" i="7"/>
  <c r="AI62" i="7" s="1"/>
  <c r="F17" i="19"/>
  <c r="AF17" i="19" s="1"/>
  <c r="AJ17" i="19" s="1"/>
  <c r="W13" i="23"/>
  <c r="J20" i="7"/>
  <c r="AM20" i="7" s="1"/>
  <c r="I77" i="7"/>
  <c r="AI77" i="7" s="1"/>
  <c r="K69" i="7"/>
  <c r="J53" i="7"/>
  <c r="AM53" i="7" s="1"/>
  <c r="L34" i="14"/>
  <c r="M34" i="14" s="1"/>
  <c r="L19" i="20"/>
  <c r="L19" i="13"/>
  <c r="K54" i="7"/>
  <c r="Z68" i="14"/>
  <c r="Z67" i="14"/>
  <c r="Y69" i="14"/>
  <c r="X69" i="14"/>
  <c r="AE56" i="14"/>
  <c r="AD58" i="14"/>
  <c r="K35" i="21" l="1"/>
  <c r="M86" i="5"/>
  <c r="N28" i="5" s="1"/>
  <c r="O29" i="5" s="1"/>
  <c r="Z10" i="23"/>
  <c r="P86" i="5"/>
  <c r="Q34" i="5" s="1"/>
  <c r="R35" i="5" s="1"/>
  <c r="Z13" i="23"/>
  <c r="Z11" i="23"/>
  <c r="K86" i="5"/>
  <c r="Z12" i="23"/>
  <c r="Z14" i="23"/>
  <c r="Y58" i="23"/>
  <c r="X72" i="23"/>
  <c r="X33" i="23"/>
  <c r="Y63" i="23"/>
  <c r="X42" i="23"/>
  <c r="X53" i="23"/>
  <c r="X56" i="23"/>
  <c r="Y40" i="23"/>
  <c r="X73" i="23"/>
  <c r="X74" i="23"/>
  <c r="Y73" i="23"/>
  <c r="X61" i="23"/>
  <c r="Y50" i="23"/>
  <c r="X28" i="23"/>
  <c r="X29" i="23"/>
  <c r="Y33" i="23"/>
  <c r="X39" i="23"/>
  <c r="Y43" i="23"/>
  <c r="X75" i="23"/>
  <c r="Y75" i="23"/>
  <c r="X51" i="23"/>
  <c r="X47" i="23"/>
  <c r="X24" i="23"/>
  <c r="Y48" i="23"/>
  <c r="Y19" i="23"/>
  <c r="X50" i="23"/>
  <c r="Y35" i="23"/>
  <c r="Y59" i="23"/>
  <c r="Y36" i="23"/>
  <c r="Y51" i="23"/>
  <c r="X71" i="23"/>
  <c r="X58" i="23"/>
  <c r="Y61" i="23"/>
  <c r="Y74" i="23"/>
  <c r="Y72" i="23"/>
  <c r="Y70" i="23"/>
  <c r="Y39" i="23"/>
  <c r="X52" i="23"/>
  <c r="X59" i="23"/>
  <c r="X70" i="23"/>
  <c r="X62" i="23"/>
  <c r="X30" i="23"/>
  <c r="X35" i="23"/>
  <c r="Y29" i="23"/>
  <c r="Y47" i="23"/>
  <c r="X44" i="23"/>
  <c r="X48" i="23"/>
  <c r="X40" i="23"/>
  <c r="X37" i="23"/>
  <c r="X63" i="23"/>
  <c r="W5" i="14"/>
  <c r="Y5" i="14" s="1"/>
  <c r="Y37" i="23"/>
  <c r="Y24" i="23"/>
  <c r="Y44" i="23"/>
  <c r="X17" i="23"/>
  <c r="X18" i="23"/>
  <c r="Y62" i="23"/>
  <c r="Y28" i="23"/>
  <c r="Y17" i="23"/>
  <c r="X19" i="23"/>
  <c r="Y56" i="23"/>
  <c r="Y18" i="23"/>
  <c r="Y42" i="23"/>
  <c r="Y52" i="23"/>
  <c r="Y30" i="23"/>
  <c r="X36" i="23"/>
  <c r="Y53" i="23"/>
  <c r="X43" i="23"/>
  <c r="Y71" i="23"/>
  <c r="AH53" i="14"/>
  <c r="AI53" i="14" s="1"/>
  <c r="AA38" i="25"/>
  <c r="AA38" i="21"/>
  <c r="Z37" i="14"/>
  <c r="Z15" i="23"/>
  <c r="AI22" i="7"/>
  <c r="AN23" i="25" s="1"/>
  <c r="AP23" i="25" s="1"/>
  <c r="K26" i="25"/>
  <c r="L26" i="25"/>
  <c r="J41" i="25"/>
  <c r="AU19" i="25"/>
  <c r="AV19" i="25"/>
  <c r="X55" i="23"/>
  <c r="J40" i="14"/>
  <c r="K40" i="14" s="1"/>
  <c r="AO18" i="21"/>
  <c r="AN18" i="21"/>
  <c r="N25" i="21"/>
  <c r="O25" i="21"/>
  <c r="M41" i="21"/>
  <c r="L28" i="25"/>
  <c r="K28" i="25"/>
  <c r="X31" i="23"/>
  <c r="N35" i="21"/>
  <c r="O35" i="21"/>
  <c r="N25" i="25"/>
  <c r="O25" i="25"/>
  <c r="AP20" i="25"/>
  <c r="AO20" i="25"/>
  <c r="AY20" i="25"/>
  <c r="N26" i="21"/>
  <c r="O26" i="21"/>
  <c r="L28" i="21"/>
  <c r="K28" i="21"/>
  <c r="AL19" i="21"/>
  <c r="AK19" i="21"/>
  <c r="Y60" i="23"/>
  <c r="Y46" i="23"/>
  <c r="Y38" i="23"/>
  <c r="AU21" i="25"/>
  <c r="AV21" i="25"/>
  <c r="X54" i="23"/>
  <c r="X57" i="23"/>
  <c r="Y54" i="23"/>
  <c r="O35" i="25"/>
  <c r="N35" i="25"/>
  <c r="AR17" i="25"/>
  <c r="AS17" i="25"/>
  <c r="AL20" i="21"/>
  <c r="AK20" i="21"/>
  <c r="O26" i="25"/>
  <c r="N26" i="25"/>
  <c r="N28" i="21"/>
  <c r="O28" i="21"/>
  <c r="AO17" i="25"/>
  <c r="AP17" i="25"/>
  <c r="AY17" i="25"/>
  <c r="AV20" i="25"/>
  <c r="AU20" i="25"/>
  <c r="X38" i="23"/>
  <c r="Y32" i="23"/>
  <c r="AR18" i="25"/>
  <c r="AS18" i="25"/>
  <c r="X60" i="23"/>
  <c r="X46" i="23"/>
  <c r="AS22" i="25"/>
  <c r="AR22" i="25"/>
  <c r="AP18" i="25"/>
  <c r="AO18" i="25"/>
  <c r="AY18" i="25"/>
  <c r="AO17" i="21"/>
  <c r="AN17" i="21"/>
  <c r="N28" i="25"/>
  <c r="O28" i="25"/>
  <c r="AL17" i="21"/>
  <c r="AK17" i="21"/>
  <c r="Y16" i="23"/>
  <c r="Y57" i="23"/>
  <c r="X25" i="23"/>
  <c r="AV18" i="25"/>
  <c r="AU18" i="25"/>
  <c r="Y49" i="23"/>
  <c r="X32" i="23"/>
  <c r="AO22" i="21"/>
  <c r="AN22" i="21"/>
  <c r="AL18" i="21"/>
  <c r="AK18" i="21"/>
  <c r="AS21" i="25"/>
  <c r="AR21" i="25"/>
  <c r="AR20" i="25"/>
  <c r="AS20" i="25"/>
  <c r="AO21" i="25"/>
  <c r="AP21" i="25"/>
  <c r="AY21" i="25"/>
  <c r="Y41" i="23"/>
  <c r="X49" i="23"/>
  <c r="AU17" i="25"/>
  <c r="AV17" i="25"/>
  <c r="X41" i="23"/>
  <c r="Y34" i="23"/>
  <c r="AO22" i="25"/>
  <c r="AP22" i="25"/>
  <c r="AY22" i="25"/>
  <c r="M41" i="25"/>
  <c r="AS19" i="25"/>
  <c r="AR19" i="25"/>
  <c r="AO21" i="21"/>
  <c r="AN21" i="21"/>
  <c r="AO20" i="21"/>
  <c r="AN20" i="21"/>
  <c r="AL21" i="21"/>
  <c r="AK21" i="21"/>
  <c r="AV22" i="25"/>
  <c r="AU22" i="25"/>
  <c r="X45" i="23"/>
  <c r="X34" i="23"/>
  <c r="X16" i="23"/>
  <c r="Y55" i="23"/>
  <c r="Y45" i="23"/>
  <c r="Y31" i="23"/>
  <c r="Y25" i="23"/>
  <c r="L26" i="21"/>
  <c r="K26" i="21"/>
  <c r="AL22" i="21"/>
  <c r="AK22" i="21"/>
  <c r="AO19" i="21"/>
  <c r="AN19" i="21"/>
  <c r="AP19" i="25"/>
  <c r="AO19" i="25"/>
  <c r="AY19" i="25"/>
  <c r="J41" i="21"/>
  <c r="K27" i="14"/>
  <c r="K25" i="14"/>
  <c r="AM25" i="7"/>
  <c r="AE34" i="7"/>
  <c r="AE72" i="7"/>
  <c r="AE58" i="7"/>
  <c r="AE44" i="7"/>
  <c r="AE51" i="7"/>
  <c r="AE65" i="7"/>
  <c r="AE93" i="7"/>
  <c r="AE79" i="7"/>
  <c r="AE25" i="7"/>
  <c r="AM22" i="7"/>
  <c r="AM34" i="7"/>
  <c r="Q30" i="5"/>
  <c r="AM79" i="7"/>
  <c r="AM51" i="7"/>
  <c r="AI34" i="7"/>
  <c r="J80" i="7"/>
  <c r="AM80" i="7" s="1"/>
  <c r="AF17" i="14"/>
  <c r="AL17" i="14" s="1"/>
  <c r="AP18" i="21"/>
  <c r="AQ18" i="21" s="1"/>
  <c r="AN18" i="19"/>
  <c r="AO18" i="19"/>
  <c r="F39" i="19"/>
  <c r="AF39" i="19" s="1"/>
  <c r="AJ39" i="19" s="1"/>
  <c r="AO39" i="19" s="1"/>
  <c r="W29" i="23"/>
  <c r="F73" i="19"/>
  <c r="AF73" i="19" s="1"/>
  <c r="W58" i="23"/>
  <c r="AF21" i="14"/>
  <c r="AL21" i="14" s="1"/>
  <c r="AP22" i="21"/>
  <c r="AQ22" i="21" s="1"/>
  <c r="M24" i="14"/>
  <c r="L40" i="14"/>
  <c r="M40" i="14" s="1"/>
  <c r="AQ68" i="7"/>
  <c r="AU68" i="7"/>
  <c r="J30" i="7"/>
  <c r="AM30" i="7" s="1"/>
  <c r="F55" i="19"/>
  <c r="AF55" i="19" s="1"/>
  <c r="AJ55" i="19" s="1"/>
  <c r="AO55" i="19" s="1"/>
  <c r="W43" i="23"/>
  <c r="Z43" i="23" s="1"/>
  <c r="K80" i="7"/>
  <c r="AF19" i="14"/>
  <c r="AL19" i="14" s="1"/>
  <c r="AP20" i="21"/>
  <c r="AQ20" i="21" s="1"/>
  <c r="I83" i="7"/>
  <c r="AI83" i="7" s="1"/>
  <c r="AU77" i="7"/>
  <c r="AQ77" i="7"/>
  <c r="AU42" i="7"/>
  <c r="AQ42" i="7"/>
  <c r="J84" i="7"/>
  <c r="AM84" i="7" s="1"/>
  <c r="F56" i="19"/>
  <c r="AF56" i="19" s="1"/>
  <c r="AJ56" i="19" s="1"/>
  <c r="AO56" i="19" s="1"/>
  <c r="AO57" i="19" s="1"/>
  <c r="W44" i="23"/>
  <c r="AI79" i="7"/>
  <c r="AA17" i="21"/>
  <c r="Z16" i="14"/>
  <c r="F75" i="19"/>
  <c r="AF75" i="19" s="1"/>
  <c r="AJ75" i="19" s="1"/>
  <c r="AO75" i="19" s="1"/>
  <c r="W60" i="23"/>
  <c r="I30" i="7"/>
  <c r="AI30" i="7" s="1"/>
  <c r="F48" i="19"/>
  <c r="AF48" i="19" s="1"/>
  <c r="AJ48" i="19" s="1"/>
  <c r="AO48" i="19" s="1"/>
  <c r="AO49" i="19" s="1"/>
  <c r="AO50" i="19" s="1"/>
  <c r="W37" i="23"/>
  <c r="AQ67" i="7"/>
  <c r="AU67" i="7"/>
  <c r="AF20" i="14"/>
  <c r="AL20" i="14" s="1"/>
  <c r="AP21" i="21"/>
  <c r="AQ21" i="21" s="1"/>
  <c r="AM93" i="7"/>
  <c r="F50" i="19"/>
  <c r="AF50" i="19" s="1"/>
  <c r="AJ50" i="19" s="1"/>
  <c r="W39" i="23"/>
  <c r="K30" i="7"/>
  <c r="AI72" i="7"/>
  <c r="F66" i="19"/>
  <c r="AF66" i="19" s="1"/>
  <c r="W52" i="23"/>
  <c r="L29" i="20"/>
  <c r="L29" i="13"/>
  <c r="AM44" i="7"/>
  <c r="AQ63" i="7"/>
  <c r="AU63" i="7"/>
  <c r="K82" i="7"/>
  <c r="I84" i="7"/>
  <c r="AI84" i="7" s="1"/>
  <c r="I27" i="7"/>
  <c r="AI27" i="7" s="1"/>
  <c r="J26" i="7"/>
  <c r="AM26" i="7" s="1"/>
  <c r="F76" i="19"/>
  <c r="AF76" i="19" s="1"/>
  <c r="AJ76" i="19" s="1"/>
  <c r="AO76" i="19" s="1"/>
  <c r="W61" i="23"/>
  <c r="Z61" i="23" s="1"/>
  <c r="AU55" i="7"/>
  <c r="AQ55" i="7"/>
  <c r="F42" i="19"/>
  <c r="AF42" i="19" s="1"/>
  <c r="AJ42" i="19" s="1"/>
  <c r="W32" i="23"/>
  <c r="I29" i="7"/>
  <c r="AI29" i="7" s="1"/>
  <c r="F40" i="19"/>
  <c r="AF40" i="19" s="1"/>
  <c r="AJ40" i="19" s="1"/>
  <c r="AO40" i="19" s="1"/>
  <c r="W30" i="23"/>
  <c r="F68" i="19"/>
  <c r="AF68" i="19" s="1"/>
  <c r="AJ68" i="19" s="1"/>
  <c r="AO68" i="19" s="1"/>
  <c r="W54" i="23"/>
  <c r="J29" i="7"/>
  <c r="AM29" i="7" s="1"/>
  <c r="AO16" i="19"/>
  <c r="AN16" i="19"/>
  <c r="I80" i="7"/>
  <c r="AI80" i="7" s="1"/>
  <c r="F77" i="19"/>
  <c r="AF77" i="19" s="1"/>
  <c r="AJ77" i="19" s="1"/>
  <c r="AO77" i="19" s="1"/>
  <c r="AO78" i="19" s="1"/>
  <c r="W62" i="23"/>
  <c r="J83" i="7"/>
  <c r="AM83" i="7" s="1"/>
  <c r="AQ56" i="7"/>
  <c r="AU56" i="7"/>
  <c r="F46" i="19"/>
  <c r="AF46" i="19" s="1"/>
  <c r="AJ46" i="19" s="1"/>
  <c r="AO46" i="19" s="1"/>
  <c r="W35" i="23"/>
  <c r="AI51" i="7"/>
  <c r="AU75" i="7"/>
  <c r="AQ75" i="7"/>
  <c r="AM72" i="7"/>
  <c r="AQ41" i="7"/>
  <c r="AU41" i="7"/>
  <c r="F59" i="19"/>
  <c r="AF59" i="19" s="1"/>
  <c r="W46" i="23"/>
  <c r="AQ52" i="7"/>
  <c r="AU52" i="7"/>
  <c r="AA22" i="25"/>
  <c r="AU48" i="7"/>
  <c r="AQ48" i="7"/>
  <c r="F67" i="19"/>
  <c r="AF67" i="19" s="1"/>
  <c r="AJ67" i="19" s="1"/>
  <c r="AO67" i="19" s="1"/>
  <c r="W53" i="23"/>
  <c r="AU23" i="7"/>
  <c r="AQ23" i="7"/>
  <c r="AI93" i="7"/>
  <c r="AU50" i="7"/>
  <c r="AQ50" i="7"/>
  <c r="AQ24" i="7"/>
  <c r="AU24" i="7"/>
  <c r="W51" i="23"/>
  <c r="F64" i="19"/>
  <c r="AF64" i="19" s="1"/>
  <c r="AJ64" i="19" s="1"/>
  <c r="AO64" i="19" s="1"/>
  <c r="AA21" i="21"/>
  <c r="Z20" i="14"/>
  <c r="AQ45" i="7"/>
  <c r="AU45" i="7"/>
  <c r="AQ61" i="7"/>
  <c r="AU61" i="7"/>
  <c r="AA19" i="21"/>
  <c r="Z18" i="14"/>
  <c r="AO19" i="19"/>
  <c r="AN19" i="19"/>
  <c r="AU89" i="7"/>
  <c r="AQ89" i="7"/>
  <c r="F60" i="19"/>
  <c r="AF60" i="19" s="1"/>
  <c r="AJ60" i="19" s="1"/>
  <c r="AO60" i="19" s="1"/>
  <c r="W47" i="23"/>
  <c r="I85" i="7"/>
  <c r="AI85" i="7" s="1"/>
  <c r="F90" i="19"/>
  <c r="AF90" i="19" s="1"/>
  <c r="AJ90" i="19" s="1"/>
  <c r="AO90" i="19" s="1"/>
  <c r="W73" i="23"/>
  <c r="AQ40" i="7"/>
  <c r="AU40" i="7"/>
  <c r="AF16" i="14"/>
  <c r="AL16" i="14" s="1"/>
  <c r="AQ16" i="14" s="1"/>
  <c r="AP17" i="21"/>
  <c r="AQ17" i="21" s="1"/>
  <c r="AQ91" i="7"/>
  <c r="AU91" i="7"/>
  <c r="AQ46" i="7"/>
  <c r="AU46" i="7"/>
  <c r="F41" i="19"/>
  <c r="AF41" i="19" s="1"/>
  <c r="AJ41" i="19" s="1"/>
  <c r="AO41" i="19" s="1"/>
  <c r="AO42" i="19" s="1"/>
  <c r="AO43" i="19" s="1"/>
  <c r="W31" i="23"/>
  <c r="AQ59" i="7"/>
  <c r="AU59" i="7"/>
  <c r="F52" i="19"/>
  <c r="AF52" i="19" s="1"/>
  <c r="W40" i="23"/>
  <c r="K36" i="7"/>
  <c r="F23" i="19"/>
  <c r="AF23" i="19" s="1"/>
  <c r="W18" i="23"/>
  <c r="AQ38" i="7"/>
  <c r="AU38" i="7"/>
  <c r="F24" i="19"/>
  <c r="AF24" i="19" s="1"/>
  <c r="AJ24" i="19" s="1"/>
  <c r="AO24" i="19" s="1"/>
  <c r="W19" i="23"/>
  <c r="AU64" i="7"/>
  <c r="AQ64" i="7"/>
  <c r="F45" i="19"/>
  <c r="AF45" i="19" s="1"/>
  <c r="W34" i="23"/>
  <c r="F92" i="19"/>
  <c r="AF92" i="19" s="1"/>
  <c r="AJ92" i="19" s="1"/>
  <c r="AO92" i="19" s="1"/>
  <c r="W75" i="23"/>
  <c r="F61" i="19"/>
  <c r="AF61" i="19" s="1"/>
  <c r="AJ61" i="19" s="1"/>
  <c r="AO61" i="19" s="1"/>
  <c r="W48" i="23"/>
  <c r="AQ71" i="7"/>
  <c r="AU71" i="7"/>
  <c r="W59" i="23"/>
  <c r="F74" i="19"/>
  <c r="AF74" i="19" s="1"/>
  <c r="AJ74" i="19" s="1"/>
  <c r="AO74" i="19" s="1"/>
  <c r="AQ69" i="7"/>
  <c r="AU69" i="7"/>
  <c r="AU90" i="7"/>
  <c r="AQ90" i="7"/>
  <c r="F78" i="19"/>
  <c r="AF78" i="19" s="1"/>
  <c r="AJ78" i="19" s="1"/>
  <c r="W63" i="23"/>
  <c r="F63" i="19"/>
  <c r="AF63" i="19" s="1"/>
  <c r="AJ63" i="19" s="1"/>
  <c r="AO63" i="19" s="1"/>
  <c r="W50" i="23"/>
  <c r="J85" i="7"/>
  <c r="AM85" i="7" s="1"/>
  <c r="AU73" i="7"/>
  <c r="AQ73" i="7"/>
  <c r="I36" i="7"/>
  <c r="AI36" i="7" s="1"/>
  <c r="I35" i="7"/>
  <c r="AI35" i="7" s="1"/>
  <c r="F43" i="19"/>
  <c r="AF43" i="19" s="1"/>
  <c r="AJ43" i="19" s="1"/>
  <c r="W33" i="23"/>
  <c r="AQ33" i="7"/>
  <c r="AU33" i="7"/>
  <c r="K81" i="7"/>
  <c r="F91" i="19"/>
  <c r="AF91" i="19" s="1"/>
  <c r="AJ91" i="19" s="1"/>
  <c r="AO91" i="19" s="1"/>
  <c r="W74" i="23"/>
  <c r="AI65" i="7"/>
  <c r="AQ32" i="7"/>
  <c r="AU32" i="7"/>
  <c r="K26" i="7"/>
  <c r="K35" i="7"/>
  <c r="AQ88" i="7"/>
  <c r="AU88" i="7"/>
  <c r="AA20" i="21"/>
  <c r="Z19" i="14"/>
  <c r="F38" i="19"/>
  <c r="AF38" i="19" s="1"/>
  <c r="W28" i="23"/>
  <c r="AQ47" i="7"/>
  <c r="AU47" i="7"/>
  <c r="F70" i="19"/>
  <c r="AF70" i="19" s="1"/>
  <c r="AJ70" i="19" s="1"/>
  <c r="AO70" i="19" s="1"/>
  <c r="AO71" i="19" s="1"/>
  <c r="W56" i="23"/>
  <c r="AI58" i="7"/>
  <c r="AQ92" i="7"/>
  <c r="AU92" i="7"/>
  <c r="F71" i="19"/>
  <c r="AF71" i="19" s="1"/>
  <c r="AJ71" i="19" s="1"/>
  <c r="W57" i="23"/>
  <c r="AQ74" i="7"/>
  <c r="AU74" i="7"/>
  <c r="AQ60" i="7"/>
  <c r="AU60" i="7"/>
  <c r="K83" i="7"/>
  <c r="K29" i="7"/>
  <c r="AE31" i="7" s="1"/>
  <c r="AQ39" i="7"/>
  <c r="AU39" i="7"/>
  <c r="AQ66" i="7"/>
  <c r="AU66" i="7"/>
  <c r="AQ53" i="7"/>
  <c r="AU53" i="7"/>
  <c r="AU43" i="7"/>
  <c r="AQ43" i="7"/>
  <c r="F33" i="19"/>
  <c r="AF33" i="19" s="1"/>
  <c r="AJ33" i="19" s="1"/>
  <c r="AO33" i="19" s="1"/>
  <c r="W25" i="23"/>
  <c r="K84" i="7"/>
  <c r="I81" i="7"/>
  <c r="AI81" i="7" s="1"/>
  <c r="AQ62" i="7"/>
  <c r="AU62" i="7"/>
  <c r="J81" i="7"/>
  <c r="AM81" i="7" s="1"/>
  <c r="L22" i="20"/>
  <c r="L22" i="13"/>
  <c r="F32" i="19"/>
  <c r="AF32" i="19" s="1"/>
  <c r="W24" i="23"/>
  <c r="K27" i="7"/>
  <c r="F88" i="19"/>
  <c r="AF88" i="19" s="1"/>
  <c r="AJ88" i="19" s="1"/>
  <c r="AO88" i="19" s="1"/>
  <c r="W71" i="23"/>
  <c r="AI44" i="7"/>
  <c r="F49" i="19"/>
  <c r="AF49" i="19" s="1"/>
  <c r="AJ49" i="19" s="1"/>
  <c r="W38" i="23"/>
  <c r="AQ57" i="7"/>
  <c r="AU57" i="7"/>
  <c r="F47" i="19"/>
  <c r="AF47" i="19" s="1"/>
  <c r="AJ47" i="19" s="1"/>
  <c r="AO47" i="19" s="1"/>
  <c r="W36" i="23"/>
  <c r="AU70" i="7"/>
  <c r="AQ70" i="7"/>
  <c r="AI25" i="7"/>
  <c r="AU87" i="7"/>
  <c r="AQ87" i="7"/>
  <c r="AQ76" i="7"/>
  <c r="AU76" i="7"/>
  <c r="J35" i="7"/>
  <c r="AM35" i="7" s="1"/>
  <c r="AQ54" i="7"/>
  <c r="AU54" i="7"/>
  <c r="AP19" i="21"/>
  <c r="AQ19" i="21" s="1"/>
  <c r="AF18" i="14"/>
  <c r="AL18" i="14" s="1"/>
  <c r="F54" i="19"/>
  <c r="AF54" i="19" s="1"/>
  <c r="AJ54" i="19" s="1"/>
  <c r="AO54" i="19" s="1"/>
  <c r="W42" i="23"/>
  <c r="Z42" i="23" s="1"/>
  <c r="W55" i="23"/>
  <c r="F69" i="19"/>
  <c r="AF69" i="19" s="1"/>
  <c r="AJ69" i="19" s="1"/>
  <c r="AO69" i="19" s="1"/>
  <c r="AO17" i="19"/>
  <c r="AN17" i="19"/>
  <c r="AA37" i="25"/>
  <c r="W41" i="23"/>
  <c r="F53" i="19"/>
  <c r="AF53" i="19" s="1"/>
  <c r="AJ53" i="19" s="1"/>
  <c r="AO53" i="19" s="1"/>
  <c r="K85" i="7"/>
  <c r="I82" i="7"/>
  <c r="AI82" i="7" s="1"/>
  <c r="F62" i="19"/>
  <c r="AF62" i="19" s="1"/>
  <c r="AJ62" i="19" s="1"/>
  <c r="AO62" i="19" s="1"/>
  <c r="W49" i="23"/>
  <c r="J82" i="7"/>
  <c r="AM82" i="7" s="1"/>
  <c r="AM65" i="7"/>
  <c r="AQ49" i="7"/>
  <c r="AU49" i="7"/>
  <c r="F57" i="19"/>
  <c r="AF57" i="19" s="1"/>
  <c r="AJ57" i="19" s="1"/>
  <c r="W45" i="23"/>
  <c r="I26" i="7"/>
  <c r="AI26" i="7" s="1"/>
  <c r="W72" i="23"/>
  <c r="F89" i="19"/>
  <c r="AF89" i="19" s="1"/>
  <c r="AJ89" i="19" s="1"/>
  <c r="AO89" i="19" s="1"/>
  <c r="J27" i="7"/>
  <c r="AM27" i="7" s="1"/>
  <c r="AM58" i="7"/>
  <c r="J36" i="7"/>
  <c r="AM36" i="7" s="1"/>
  <c r="AQ78" i="7"/>
  <c r="AU78" i="7"/>
  <c r="F87" i="19"/>
  <c r="AF87" i="19" s="1"/>
  <c r="W70" i="23"/>
  <c r="AA18" i="21"/>
  <c r="Z17" i="14"/>
  <c r="AE58" i="14"/>
  <c r="Z69" i="14"/>
  <c r="AC69" i="14"/>
  <c r="AD65" i="14"/>
  <c r="AE65" i="14" s="1"/>
  <c r="AD64" i="14"/>
  <c r="AE64" i="14" s="1"/>
  <c r="AD67" i="14"/>
  <c r="AE67" i="14" s="1"/>
  <c r="AD68" i="14"/>
  <c r="AE68" i="14" s="1"/>
  <c r="AD66" i="14"/>
  <c r="AE66" i="14" s="1"/>
  <c r="R36" i="5" l="1"/>
  <c r="Q40" i="5"/>
  <c r="R43" i="5" s="1"/>
  <c r="Q19" i="5"/>
  <c r="R19" i="5" s="1"/>
  <c r="Z70" i="23"/>
  <c r="Z19" i="23"/>
  <c r="Q46" i="5"/>
  <c r="Q18" i="5"/>
  <c r="R18" i="5" s="1"/>
  <c r="Q64" i="5"/>
  <c r="R66" i="5" s="1"/>
  <c r="Q76" i="5"/>
  <c r="R76" i="5" s="1"/>
  <c r="Q21" i="5"/>
  <c r="R21" i="5" s="1"/>
  <c r="Q16" i="5"/>
  <c r="R16" i="5" s="1"/>
  <c r="R34" i="5"/>
  <c r="Q22" i="5"/>
  <c r="R23" i="5" s="1"/>
  <c r="Q32" i="5"/>
  <c r="R32" i="5" s="1"/>
  <c r="Q70" i="5"/>
  <c r="R75" i="5" s="1"/>
  <c r="R37" i="5"/>
  <c r="Q26" i="5"/>
  <c r="R27" i="5" s="1"/>
  <c r="Q58" i="5"/>
  <c r="R59" i="5" s="1"/>
  <c r="Z36" i="23"/>
  <c r="R38" i="5"/>
  <c r="Q82" i="5"/>
  <c r="R82" i="5" s="1"/>
  <c r="Q20" i="5"/>
  <c r="R20" i="5" s="1"/>
  <c r="Q24" i="5"/>
  <c r="R24" i="5" s="1"/>
  <c r="R39" i="5"/>
  <c r="Q83" i="5"/>
  <c r="R83" i="5" s="1"/>
  <c r="Q52" i="5"/>
  <c r="R57" i="5" s="1"/>
  <c r="Q28" i="5"/>
  <c r="R28" i="5" s="1"/>
  <c r="Q17" i="5"/>
  <c r="R17" i="5" s="1"/>
  <c r="Q84" i="5"/>
  <c r="R84" i="5" s="1"/>
  <c r="Z33" i="23"/>
  <c r="Z53" i="23"/>
  <c r="N58" i="5"/>
  <c r="O62" i="5" s="1"/>
  <c r="N19" i="5"/>
  <c r="O19" i="5" s="1"/>
  <c r="Z39" i="23"/>
  <c r="Z58" i="23"/>
  <c r="Z71" i="23"/>
  <c r="Z63" i="23"/>
  <c r="Z73" i="23"/>
  <c r="X5" i="14"/>
  <c r="N46" i="5"/>
  <c r="O50" i="5" s="1"/>
  <c r="N24" i="5"/>
  <c r="O24" i="5" s="1"/>
  <c r="N83" i="5"/>
  <c r="O83" i="5" s="1"/>
  <c r="O28" i="5"/>
  <c r="N34" i="5"/>
  <c r="O35" i="5" s="1"/>
  <c r="N64" i="5"/>
  <c r="N82" i="5"/>
  <c r="O82" i="5" s="1"/>
  <c r="N26" i="5"/>
  <c r="O26" i="5" s="1"/>
  <c r="N22" i="5"/>
  <c r="O22" i="5" s="1"/>
  <c r="N16" i="5"/>
  <c r="O16" i="5" s="1"/>
  <c r="N84" i="5"/>
  <c r="O84" i="5" s="1"/>
  <c r="N70" i="5"/>
  <c r="O70" i="5" s="1"/>
  <c r="N40" i="5"/>
  <c r="O44" i="5" s="1"/>
  <c r="N17" i="5"/>
  <c r="O17" i="5" s="1"/>
  <c r="Z52" i="23"/>
  <c r="N52" i="5"/>
  <c r="O52" i="5" s="1"/>
  <c r="N20" i="5"/>
  <c r="O20" i="5" s="1"/>
  <c r="N32" i="5"/>
  <c r="O32" i="5" s="1"/>
  <c r="Z72" i="23"/>
  <c r="N76" i="5"/>
  <c r="N21" i="5"/>
  <c r="O21" i="5" s="1"/>
  <c r="Z35" i="23"/>
  <c r="N30" i="5"/>
  <c r="N18" i="5"/>
  <c r="O18" i="5" s="1"/>
  <c r="AI37" i="7"/>
  <c r="AJ28" i="21" s="1"/>
  <c r="AH27" i="14" s="1"/>
  <c r="AI27" i="14" s="1"/>
  <c r="Z24" i="23"/>
  <c r="Z48" i="23"/>
  <c r="Z56" i="23"/>
  <c r="Z28" i="23"/>
  <c r="Z74" i="23"/>
  <c r="Z75" i="23"/>
  <c r="Z50" i="23"/>
  <c r="Z47" i="23"/>
  <c r="Z37" i="23"/>
  <c r="AT18" i="14"/>
  <c r="Z40" i="23"/>
  <c r="Z30" i="23"/>
  <c r="Z44" i="23"/>
  <c r="Z29" i="23"/>
  <c r="AO23" i="25"/>
  <c r="Z51" i="23"/>
  <c r="Z25" i="23"/>
  <c r="Z18" i="23"/>
  <c r="Z59" i="23"/>
  <c r="AA29" i="25"/>
  <c r="Z62" i="23"/>
  <c r="Z60" i="23"/>
  <c r="Z41" i="23"/>
  <c r="AJ23" i="21"/>
  <c r="AK23" i="21" s="1"/>
  <c r="Y69" i="23"/>
  <c r="X22" i="23"/>
  <c r="Y20" i="23"/>
  <c r="Y68" i="23"/>
  <c r="X67" i="23"/>
  <c r="Y23" i="23"/>
  <c r="Y21" i="23"/>
  <c r="Y67" i="23"/>
  <c r="X21" i="23"/>
  <c r="X68" i="23"/>
  <c r="X20" i="23"/>
  <c r="Y22" i="23"/>
  <c r="X69" i="23"/>
  <c r="Y66" i="23"/>
  <c r="X66" i="23"/>
  <c r="X23" i="23"/>
  <c r="AT21" i="14"/>
  <c r="X38" i="20"/>
  <c r="U38" i="13"/>
  <c r="AT37" i="14"/>
  <c r="BE38" i="25"/>
  <c r="BA38" i="21"/>
  <c r="BA37" i="21"/>
  <c r="AT36" i="14"/>
  <c r="BE37" i="25"/>
  <c r="X39" i="20"/>
  <c r="U39" i="13"/>
  <c r="X37" i="20"/>
  <c r="U37" i="13"/>
  <c r="AT38" i="14"/>
  <c r="BA39" i="21"/>
  <c r="BE39" i="25"/>
  <c r="R33" i="5"/>
  <c r="R77" i="5"/>
  <c r="Z45" i="23"/>
  <c r="Z46" i="23"/>
  <c r="R74" i="5"/>
  <c r="Z49" i="23"/>
  <c r="Z57" i="23"/>
  <c r="Z34" i="23"/>
  <c r="N41" i="25"/>
  <c r="O41" i="25"/>
  <c r="Z55" i="23"/>
  <c r="AJ31" i="21"/>
  <c r="AH30" i="14" s="1"/>
  <c r="AI30" i="14" s="1"/>
  <c r="AN31" i="25"/>
  <c r="Z31" i="23"/>
  <c r="AJ27" i="21"/>
  <c r="AH26" i="14" s="1"/>
  <c r="AI26" i="14" s="1"/>
  <c r="AN27" i="25"/>
  <c r="AM27" i="21"/>
  <c r="AJ26" i="14" s="1"/>
  <c r="AK26" i="14" s="1"/>
  <c r="AQ27" i="25"/>
  <c r="N30" i="14"/>
  <c r="R30" i="14" s="1"/>
  <c r="P31" i="25"/>
  <c r="P31" i="21"/>
  <c r="AZ22" i="25"/>
  <c r="BB22" i="25"/>
  <c r="BD22" i="25" s="1"/>
  <c r="AZ17" i="25"/>
  <c r="BB17" i="25"/>
  <c r="Y65" i="23"/>
  <c r="AJ24" i="21"/>
  <c r="AN24" i="25"/>
  <c r="N25" i="14"/>
  <c r="O25" i="14" s="1"/>
  <c r="P26" i="25"/>
  <c r="P26" i="21"/>
  <c r="X26" i="23"/>
  <c r="X27" i="23"/>
  <c r="Z54" i="23"/>
  <c r="AM23" i="21"/>
  <c r="AJ22" i="14" s="1"/>
  <c r="AK22" i="14" s="1"/>
  <c r="AQ23" i="25"/>
  <c r="N32" i="14"/>
  <c r="O32" i="14" s="1"/>
  <c r="P33" i="25"/>
  <c r="P33" i="21"/>
  <c r="O41" i="21"/>
  <c r="N41" i="21"/>
  <c r="AJ30" i="21"/>
  <c r="AH29" i="14" s="1"/>
  <c r="AI29" i="14" s="1"/>
  <c r="AN30" i="25"/>
  <c r="N28" i="14"/>
  <c r="O28" i="14" s="1"/>
  <c r="P29" i="25"/>
  <c r="P29" i="21"/>
  <c r="AJ36" i="21"/>
  <c r="AH35" i="14" s="1"/>
  <c r="AI35" i="14" s="1"/>
  <c r="AN36" i="25"/>
  <c r="AM33" i="21"/>
  <c r="AJ32" i="14" s="1"/>
  <c r="AK32" i="14" s="1"/>
  <c r="AQ33" i="25"/>
  <c r="R25" i="5"/>
  <c r="AM29" i="21"/>
  <c r="AQ29" i="25"/>
  <c r="AJ33" i="21"/>
  <c r="AH32" i="14" s="1"/>
  <c r="AI32" i="14" s="1"/>
  <c r="AN33" i="25"/>
  <c r="AM30" i="21"/>
  <c r="AJ29" i="14" s="1"/>
  <c r="AK29" i="14" s="1"/>
  <c r="AQ30" i="25"/>
  <c r="N23" i="14"/>
  <c r="O23" i="14" s="1"/>
  <c r="P24" i="25"/>
  <c r="P24" i="21"/>
  <c r="N26" i="14"/>
  <c r="O26" i="14" s="1"/>
  <c r="P27" i="25"/>
  <c r="P27" i="21"/>
  <c r="X65" i="23"/>
  <c r="Y27" i="23"/>
  <c r="AT19" i="14"/>
  <c r="BE20" i="25"/>
  <c r="BA20" i="21"/>
  <c r="AM34" i="21"/>
  <c r="AJ33" i="14" s="1"/>
  <c r="AK33" i="14" s="1"/>
  <c r="AQ34" i="25"/>
  <c r="N33" i="14"/>
  <c r="O33" i="14" s="1"/>
  <c r="P34" i="25"/>
  <c r="P34" i="21"/>
  <c r="AM24" i="21"/>
  <c r="AJ23" i="14" s="1"/>
  <c r="AK23" i="14" s="1"/>
  <c r="AQ24" i="25"/>
  <c r="L41" i="21"/>
  <c r="K41" i="21"/>
  <c r="AZ20" i="25"/>
  <c r="BB20" i="25"/>
  <c r="BD20" i="25" s="1"/>
  <c r="L41" i="25"/>
  <c r="K41" i="25"/>
  <c r="AJ29" i="21"/>
  <c r="AH28" i="14" s="1"/>
  <c r="AI28" i="14" s="1"/>
  <c r="AN29" i="25"/>
  <c r="AM32" i="21"/>
  <c r="AJ31" i="14" s="1"/>
  <c r="AK31" i="14" s="1"/>
  <c r="AQ32" i="25"/>
  <c r="AT17" i="14"/>
  <c r="BE18" i="25"/>
  <c r="BA18" i="21"/>
  <c r="AJ34" i="21"/>
  <c r="AH33" i="14" s="1"/>
  <c r="AI33" i="14" s="1"/>
  <c r="AN34" i="25"/>
  <c r="Y64" i="23"/>
  <c r="N35" i="14"/>
  <c r="O35" i="14" s="1"/>
  <c r="P36" i="25"/>
  <c r="P36" i="21"/>
  <c r="AZ19" i="25"/>
  <c r="BB19" i="25"/>
  <c r="BD19" i="25" s="1"/>
  <c r="AZ18" i="25"/>
  <c r="BB18" i="25"/>
  <c r="BD18" i="25" s="1"/>
  <c r="Z38" i="23"/>
  <c r="AT20" i="14"/>
  <c r="BE21" i="25"/>
  <c r="BA21" i="21"/>
  <c r="AJ32" i="21"/>
  <c r="AH31" i="14" s="1"/>
  <c r="AI31" i="14" s="1"/>
  <c r="AN32" i="25"/>
  <c r="X64" i="23"/>
  <c r="Z32" i="23"/>
  <c r="AM36" i="21"/>
  <c r="AJ35" i="14" s="1"/>
  <c r="AK35" i="14" s="1"/>
  <c r="AQ36" i="25"/>
  <c r="N31" i="14"/>
  <c r="R31" i="14" s="1"/>
  <c r="P32" i="25"/>
  <c r="P32" i="21"/>
  <c r="AM31" i="21"/>
  <c r="AJ30" i="14" s="1"/>
  <c r="AK30" i="14" s="1"/>
  <c r="AQ31" i="25"/>
  <c r="Y26" i="23"/>
  <c r="N29" i="14"/>
  <c r="O29" i="14" s="1"/>
  <c r="P30" i="25"/>
  <c r="P30" i="21"/>
  <c r="AZ21" i="25"/>
  <c r="BB21" i="25"/>
  <c r="BD21" i="25" s="1"/>
  <c r="AU19" i="21"/>
  <c r="AR19" i="21"/>
  <c r="AU21" i="21"/>
  <c r="AR21" i="21"/>
  <c r="AU18" i="21"/>
  <c r="AR18" i="21"/>
  <c r="AU22" i="21"/>
  <c r="AR22" i="21"/>
  <c r="AU17" i="21"/>
  <c r="AR17" i="21"/>
  <c r="AU20" i="21"/>
  <c r="AR20" i="21"/>
  <c r="R63" i="5"/>
  <c r="AA24" i="25"/>
  <c r="R79" i="5"/>
  <c r="R80" i="5"/>
  <c r="R78" i="5"/>
  <c r="R81" i="5"/>
  <c r="R52" i="5"/>
  <c r="R53" i="5"/>
  <c r="R54" i="5"/>
  <c r="R56" i="5"/>
  <c r="L32" i="13"/>
  <c r="R55" i="5"/>
  <c r="R72" i="5"/>
  <c r="R70" i="5"/>
  <c r="R71" i="5"/>
  <c r="R22" i="5"/>
  <c r="R29" i="5"/>
  <c r="R73" i="5"/>
  <c r="R40" i="5"/>
  <c r="R42" i="5"/>
  <c r="R41" i="5"/>
  <c r="R45" i="5"/>
  <c r="R44" i="5"/>
  <c r="R26" i="5"/>
  <c r="AE37" i="7"/>
  <c r="AE28" i="7"/>
  <c r="AE86" i="7"/>
  <c r="L24" i="20"/>
  <c r="L24" i="13"/>
  <c r="AI28" i="7"/>
  <c r="AA34" i="25"/>
  <c r="R50" i="5"/>
  <c r="R47" i="5"/>
  <c r="R51" i="5"/>
  <c r="R49" i="5"/>
  <c r="R48" i="5"/>
  <c r="R46" i="5"/>
  <c r="AM31" i="7"/>
  <c r="AU93" i="7"/>
  <c r="R31" i="5"/>
  <c r="R30" i="5"/>
  <c r="AQ72" i="7"/>
  <c r="AQ25" i="7"/>
  <c r="AM86" i="7"/>
  <c r="AA31" i="25"/>
  <c r="AA33" i="25"/>
  <c r="AA22" i="21"/>
  <c r="Z21" i="14"/>
  <c r="AM37" i="7"/>
  <c r="AU27" i="7"/>
  <c r="AQ27" i="7"/>
  <c r="AQ84" i="7"/>
  <c r="AU84" i="7"/>
  <c r="O30" i="5"/>
  <c r="O31" i="5"/>
  <c r="AJ23" i="19"/>
  <c r="AF25" i="19"/>
  <c r="AI31" i="7"/>
  <c r="AF72" i="19"/>
  <c r="AJ66" i="19"/>
  <c r="L27" i="20"/>
  <c r="L27" i="13"/>
  <c r="X19" i="20"/>
  <c r="U19" i="13"/>
  <c r="AF65" i="19"/>
  <c r="AJ59" i="19"/>
  <c r="AG20" i="14"/>
  <c r="AJ73" i="19"/>
  <c r="AF79" i="19"/>
  <c r="AF93" i="19"/>
  <c r="AJ87" i="19"/>
  <c r="F85" i="19"/>
  <c r="AF85" i="19" s="1"/>
  <c r="AJ85" i="19" s="1"/>
  <c r="W69" i="23"/>
  <c r="AA37" i="21"/>
  <c r="Z36" i="14"/>
  <c r="AG18" i="14"/>
  <c r="AQ29" i="7"/>
  <c r="AU29" i="7"/>
  <c r="AF44" i="19"/>
  <c r="AJ38" i="19"/>
  <c r="AQ26" i="7"/>
  <c r="AU26" i="7"/>
  <c r="AU79" i="7"/>
  <c r="AQ36" i="7"/>
  <c r="AU36" i="7"/>
  <c r="L30" i="20"/>
  <c r="L30" i="13"/>
  <c r="AQ51" i="7"/>
  <c r="AT30" i="25" s="1"/>
  <c r="AM28" i="7"/>
  <c r="AQ25" i="25" s="1"/>
  <c r="F84" i="19"/>
  <c r="AF84" i="19" s="1"/>
  <c r="AJ84" i="19" s="1"/>
  <c r="AO84" i="19" s="1"/>
  <c r="AO85" i="19" s="1"/>
  <c r="W68" i="23"/>
  <c r="AQ79" i="7"/>
  <c r="AT34" i="25" s="1"/>
  <c r="AU51" i="7"/>
  <c r="AA30" i="25"/>
  <c r="F29" i="19"/>
  <c r="AF29" i="19" s="1"/>
  <c r="W22" i="23"/>
  <c r="O38" i="5"/>
  <c r="O65" i="5"/>
  <c r="O68" i="5"/>
  <c r="O66" i="5"/>
  <c r="O69" i="5"/>
  <c r="O64" i="5"/>
  <c r="O67" i="5"/>
  <c r="W20" i="23"/>
  <c r="F26" i="19"/>
  <c r="AF26" i="19" s="1"/>
  <c r="AG16" i="14"/>
  <c r="X17" i="20"/>
  <c r="U17" i="13"/>
  <c r="AQ30" i="7"/>
  <c r="AU30" i="7"/>
  <c r="AG19" i="14"/>
  <c r="AG21" i="14"/>
  <c r="F27" i="19"/>
  <c r="AF27" i="19" s="1"/>
  <c r="AJ27" i="19" s="1"/>
  <c r="AO27" i="19" s="1"/>
  <c r="W21" i="23"/>
  <c r="Z21" i="23" s="1"/>
  <c r="L23" i="20"/>
  <c r="L23" i="13"/>
  <c r="W27" i="23"/>
  <c r="F36" i="19"/>
  <c r="AF36" i="19" s="1"/>
  <c r="AJ36" i="19" s="1"/>
  <c r="AO36" i="19" s="1"/>
  <c r="AQ93" i="7"/>
  <c r="AT36" i="25" s="1"/>
  <c r="W67" i="23"/>
  <c r="F83" i="19"/>
  <c r="AF83" i="19" s="1"/>
  <c r="AJ83" i="19" s="1"/>
  <c r="AO83" i="19" s="1"/>
  <c r="AQ35" i="7"/>
  <c r="AU35" i="7"/>
  <c r="AU34" i="7"/>
  <c r="AJ52" i="19"/>
  <c r="AF58" i="19"/>
  <c r="L36" i="20"/>
  <c r="L36" i="13"/>
  <c r="AU82" i="7"/>
  <c r="AQ82" i="7"/>
  <c r="F30" i="19"/>
  <c r="AF30" i="19" s="1"/>
  <c r="AJ30" i="19" s="1"/>
  <c r="AO30" i="19" s="1"/>
  <c r="W23" i="23"/>
  <c r="AA26" i="25"/>
  <c r="AQ80" i="7"/>
  <c r="AU80" i="7"/>
  <c r="O77" i="5"/>
  <c r="O81" i="5"/>
  <c r="O78" i="5"/>
  <c r="O79" i="5"/>
  <c r="O76" i="5"/>
  <c r="O80" i="5"/>
  <c r="L26" i="20"/>
  <c r="L26" i="13"/>
  <c r="X20" i="20"/>
  <c r="U20" i="13"/>
  <c r="AQ85" i="7"/>
  <c r="AU85" i="7"/>
  <c r="AQ83" i="7"/>
  <c r="AU83" i="7"/>
  <c r="F35" i="19"/>
  <c r="AF35" i="19" s="1"/>
  <c r="W26" i="23"/>
  <c r="AQ34" i="7"/>
  <c r="AT27" i="25" s="1"/>
  <c r="AQ81" i="7"/>
  <c r="AU81" i="7"/>
  <c r="AF51" i="19"/>
  <c r="AJ45" i="19"/>
  <c r="AU44" i="7"/>
  <c r="AU65" i="7"/>
  <c r="AU58" i="7"/>
  <c r="AI86" i="7"/>
  <c r="F82" i="19"/>
  <c r="AF82" i="19" s="1"/>
  <c r="AJ82" i="19" s="1"/>
  <c r="AO82" i="19" s="1"/>
  <c r="W66" i="23"/>
  <c r="Z66" i="23" s="1"/>
  <c r="AA36" i="25"/>
  <c r="F80" i="19"/>
  <c r="AF80" i="19" s="1"/>
  <c r="W64" i="23"/>
  <c r="AG17" i="14"/>
  <c r="L31" i="20"/>
  <c r="L31" i="13"/>
  <c r="AQ53" i="14"/>
  <c r="AL53" i="14"/>
  <c r="AA23" i="25"/>
  <c r="X21" i="20"/>
  <c r="U21" i="13"/>
  <c r="AH23" i="14"/>
  <c r="AI23" i="14" s="1"/>
  <c r="AF34" i="19"/>
  <c r="AJ32" i="19"/>
  <c r="AU72" i="7"/>
  <c r="O57" i="5"/>
  <c r="O54" i="5"/>
  <c r="O53" i="5"/>
  <c r="W65" i="23"/>
  <c r="F81" i="19"/>
  <c r="AF81" i="19" s="1"/>
  <c r="AJ81" i="19" s="1"/>
  <c r="AO81" i="19" s="1"/>
  <c r="L34" i="20"/>
  <c r="L34" i="13"/>
  <c r="AQ44" i="7"/>
  <c r="AT29" i="25" s="1"/>
  <c r="AQ65" i="7"/>
  <c r="AT32" i="25" s="1"/>
  <c r="Z28" i="14"/>
  <c r="X18" i="20"/>
  <c r="U18" i="13"/>
  <c r="AU25" i="7"/>
  <c r="AQ58" i="7"/>
  <c r="AT31" i="25" s="1"/>
  <c r="L33" i="20"/>
  <c r="L33" i="13"/>
  <c r="L25" i="20"/>
  <c r="L25" i="13"/>
  <c r="AD69" i="14"/>
  <c r="O46" i="5" l="1"/>
  <c r="O61" i="5"/>
  <c r="O63" i="5"/>
  <c r="O23" i="5"/>
  <c r="O59" i="5"/>
  <c r="R67" i="5"/>
  <c r="O60" i="5"/>
  <c r="R65" i="5"/>
  <c r="O58" i="5"/>
  <c r="R64" i="5"/>
  <c r="R69" i="5"/>
  <c r="R68" i="5"/>
  <c r="O25" i="5"/>
  <c r="R62" i="5"/>
  <c r="Q86" i="5"/>
  <c r="O27" i="5"/>
  <c r="AN28" i="25"/>
  <c r="O51" i="5"/>
  <c r="R58" i="5"/>
  <c r="R60" i="5"/>
  <c r="O49" i="5"/>
  <c r="O47" i="5"/>
  <c r="O48" i="5"/>
  <c r="R61" i="5"/>
  <c r="O56" i="5"/>
  <c r="O75" i="5"/>
  <c r="O74" i="5"/>
  <c r="O55" i="5"/>
  <c r="AA27" i="25"/>
  <c r="O73" i="5"/>
  <c r="O71" i="5"/>
  <c r="O72" i="5"/>
  <c r="Z69" i="23"/>
  <c r="O45" i="5"/>
  <c r="O42" i="5"/>
  <c r="O40" i="5"/>
  <c r="O33" i="5"/>
  <c r="O43" i="5"/>
  <c r="N86" i="5"/>
  <c r="O41" i="5"/>
  <c r="R25" i="14"/>
  <c r="S25" i="14" s="1"/>
  <c r="Z27" i="23"/>
  <c r="O34" i="5"/>
  <c r="O39" i="5"/>
  <c r="O37" i="5"/>
  <c r="BA19" i="21"/>
  <c r="O36" i="5"/>
  <c r="BE19" i="25"/>
  <c r="BA17" i="21"/>
  <c r="Z20" i="23"/>
  <c r="AA29" i="21"/>
  <c r="L32" i="20"/>
  <c r="Z68" i="23"/>
  <c r="AL23" i="21"/>
  <c r="AH22" i="14"/>
  <c r="AI22" i="14" s="1"/>
  <c r="Z67" i="23"/>
  <c r="Z23" i="23"/>
  <c r="Z64" i="23"/>
  <c r="Z22" i="23"/>
  <c r="R32" i="14"/>
  <c r="R35" i="14"/>
  <c r="W35" i="14" s="1"/>
  <c r="Y35" i="14" s="1"/>
  <c r="BA22" i="21"/>
  <c r="BE22" i="25"/>
  <c r="O30" i="14"/>
  <c r="Z33" i="14"/>
  <c r="Z65" i="23"/>
  <c r="R29" i="14"/>
  <c r="W29" i="14" s="1"/>
  <c r="Y29" i="14" s="1"/>
  <c r="AA34" i="21"/>
  <c r="O31" i="14"/>
  <c r="Z23" i="14"/>
  <c r="AA24" i="21"/>
  <c r="R28" i="14"/>
  <c r="W28" i="14" s="1"/>
  <c r="Y28" i="14" s="1"/>
  <c r="R23" i="14"/>
  <c r="S23" i="14" s="1"/>
  <c r="R26" i="14"/>
  <c r="S26" i="14" s="1"/>
  <c r="Z26" i="23"/>
  <c r="R33" i="14"/>
  <c r="S33" i="14" s="1"/>
  <c r="AR34" i="25"/>
  <c r="AS34" i="25"/>
  <c r="Q30" i="21"/>
  <c r="R30" i="21"/>
  <c r="U30" i="21"/>
  <c r="Q32" i="25"/>
  <c r="R32" i="25"/>
  <c r="U32" i="25"/>
  <c r="AO32" i="25"/>
  <c r="AP32" i="25"/>
  <c r="AY32" i="25"/>
  <c r="AL34" i="21"/>
  <c r="AK34" i="21"/>
  <c r="AS32" i="25"/>
  <c r="AR32" i="25"/>
  <c r="AO34" i="21"/>
  <c r="AN34" i="21"/>
  <c r="Q24" i="25"/>
  <c r="R24" i="25"/>
  <c r="U24" i="25"/>
  <c r="R29" i="25"/>
  <c r="Q29" i="25"/>
  <c r="U29" i="25"/>
  <c r="Q26" i="21"/>
  <c r="R26" i="21"/>
  <c r="U26" i="21"/>
  <c r="R31" i="25"/>
  <c r="Q31" i="25"/>
  <c r="U31" i="25"/>
  <c r="AP24" i="21"/>
  <c r="AQ24" i="21" s="1"/>
  <c r="AT24" i="25"/>
  <c r="AY24" i="25" s="1"/>
  <c r="Q32" i="21"/>
  <c r="R32" i="21"/>
  <c r="U32" i="21"/>
  <c r="Q24" i="21"/>
  <c r="R24" i="21"/>
  <c r="U24" i="21"/>
  <c r="Q29" i="21"/>
  <c r="R29" i="21"/>
  <c r="U29" i="21"/>
  <c r="AV30" i="25"/>
  <c r="AU30" i="25"/>
  <c r="AM28" i="21"/>
  <c r="AJ27" i="14" s="1"/>
  <c r="AK27" i="14" s="1"/>
  <c r="AQ28" i="25"/>
  <c r="AJ25" i="21"/>
  <c r="AH24" i="14" s="1"/>
  <c r="AI24" i="14" s="1"/>
  <c r="AN25" i="25"/>
  <c r="R30" i="25"/>
  <c r="Q30" i="25"/>
  <c r="U30" i="25"/>
  <c r="AL32" i="21"/>
  <c r="AK32" i="21"/>
  <c r="AO32" i="21"/>
  <c r="AN32" i="21"/>
  <c r="AS33" i="25"/>
  <c r="AR33" i="25"/>
  <c r="AR23" i="25"/>
  <c r="AS23" i="25"/>
  <c r="R26" i="25"/>
  <c r="Q26" i="25"/>
  <c r="U26" i="25"/>
  <c r="AO29" i="21"/>
  <c r="AN29" i="21"/>
  <c r="AU36" i="25"/>
  <c r="AV36" i="25"/>
  <c r="AP33" i="21"/>
  <c r="AQ33" i="21" s="1"/>
  <c r="AT33" i="25"/>
  <c r="AS36" i="25"/>
  <c r="AR36" i="25"/>
  <c r="Q36" i="21"/>
  <c r="R36" i="21"/>
  <c r="U36" i="21"/>
  <c r="AP29" i="25"/>
  <c r="AO29" i="25"/>
  <c r="AY29" i="25"/>
  <c r="AS24" i="25"/>
  <c r="AR24" i="25"/>
  <c r="AR30" i="25"/>
  <c r="AS30" i="25"/>
  <c r="AO33" i="21"/>
  <c r="AN33" i="21"/>
  <c r="AP30" i="25"/>
  <c r="AO30" i="25"/>
  <c r="AY30" i="25"/>
  <c r="AO23" i="21"/>
  <c r="AN23" i="21"/>
  <c r="BD17" i="25"/>
  <c r="AS27" i="25"/>
  <c r="AR27" i="25"/>
  <c r="AP31" i="25"/>
  <c r="AO31" i="25"/>
  <c r="AY31" i="25"/>
  <c r="R33" i="25"/>
  <c r="Q33" i="25"/>
  <c r="U33" i="25"/>
  <c r="AV31" i="25"/>
  <c r="AU31" i="25"/>
  <c r="AV34" i="25"/>
  <c r="AU34" i="25"/>
  <c r="AJ28" i="14"/>
  <c r="AK28" i="14" s="1"/>
  <c r="AO36" i="21"/>
  <c r="AN36" i="21"/>
  <c r="Q36" i="25"/>
  <c r="R36" i="25"/>
  <c r="U36" i="25"/>
  <c r="AL29" i="21"/>
  <c r="AK29" i="21"/>
  <c r="AO24" i="21"/>
  <c r="AN24" i="21"/>
  <c r="AO30" i="21"/>
  <c r="AN30" i="21"/>
  <c r="AP36" i="25"/>
  <c r="AO36" i="25"/>
  <c r="AY36" i="25"/>
  <c r="AL30" i="21"/>
  <c r="AK30" i="21"/>
  <c r="AO24" i="25"/>
  <c r="AP24" i="25"/>
  <c r="AO27" i="21"/>
  <c r="AN27" i="21"/>
  <c r="AL31" i="21"/>
  <c r="AK31" i="21"/>
  <c r="N27" i="14"/>
  <c r="R27" i="14" s="1"/>
  <c r="P28" i="25"/>
  <c r="P28" i="21"/>
  <c r="AU27" i="25"/>
  <c r="AV27" i="25"/>
  <c r="AR25" i="25"/>
  <c r="AS25" i="25"/>
  <c r="AJ26" i="21"/>
  <c r="AN26" i="25"/>
  <c r="Q34" i="21"/>
  <c r="R34" i="21"/>
  <c r="U34" i="21"/>
  <c r="Q27" i="21"/>
  <c r="R27" i="21"/>
  <c r="U27" i="21"/>
  <c r="AP33" i="25"/>
  <c r="AO33" i="25"/>
  <c r="AL36" i="21"/>
  <c r="AK36" i="21"/>
  <c r="AL24" i="21"/>
  <c r="AK24" i="21"/>
  <c r="AP27" i="25"/>
  <c r="AO27" i="25"/>
  <c r="AY27" i="25"/>
  <c r="AO34" i="25"/>
  <c r="AP34" i="25"/>
  <c r="AY34" i="25"/>
  <c r="AV32" i="25"/>
  <c r="AU32" i="25"/>
  <c r="AU29" i="25"/>
  <c r="AV29" i="25"/>
  <c r="AM26" i="21"/>
  <c r="AJ25" i="14" s="1"/>
  <c r="AK25" i="14" s="1"/>
  <c r="AQ26" i="25"/>
  <c r="N34" i="14"/>
  <c r="O34" i="14" s="1"/>
  <c r="P35" i="25"/>
  <c r="P35" i="21"/>
  <c r="AS31" i="25"/>
  <c r="AR31" i="25"/>
  <c r="R34" i="25"/>
  <c r="Q34" i="25"/>
  <c r="U34" i="25"/>
  <c r="R27" i="25"/>
  <c r="Q27" i="25"/>
  <c r="U27" i="25"/>
  <c r="AL33" i="21"/>
  <c r="AK33" i="21"/>
  <c r="AO28" i="25"/>
  <c r="AP28" i="25"/>
  <c r="AL27" i="21"/>
  <c r="AK27" i="21"/>
  <c r="Q31" i="21"/>
  <c r="R31" i="21"/>
  <c r="U31" i="21"/>
  <c r="AJ35" i="21"/>
  <c r="AH34" i="14" s="1"/>
  <c r="AI34" i="14" s="1"/>
  <c r="AN35" i="25"/>
  <c r="AM35" i="21"/>
  <c r="AJ34" i="14" s="1"/>
  <c r="AK34" i="14" s="1"/>
  <c r="AQ35" i="25"/>
  <c r="N24" i="14"/>
  <c r="O24" i="14" s="1"/>
  <c r="P25" i="25"/>
  <c r="P25" i="21"/>
  <c r="AO31" i="21"/>
  <c r="AN31" i="21"/>
  <c r="AR29" i="25"/>
  <c r="AS29" i="25"/>
  <c r="AL28" i="21"/>
  <c r="AK28" i="21"/>
  <c r="Q33" i="21"/>
  <c r="R33" i="21"/>
  <c r="U33" i="21"/>
  <c r="W31" i="14"/>
  <c r="Y31" i="14" s="1"/>
  <c r="S31" i="14"/>
  <c r="AF23" i="14"/>
  <c r="AL23" i="14" s="1"/>
  <c r="S30" i="14"/>
  <c r="W30" i="14"/>
  <c r="Y30" i="14" s="1"/>
  <c r="S28" i="14"/>
  <c r="S32" i="14"/>
  <c r="W32" i="14"/>
  <c r="Y32" i="14" s="1"/>
  <c r="AU28" i="7"/>
  <c r="X33" i="20"/>
  <c r="AF32" i="14"/>
  <c r="AL32" i="14" s="1"/>
  <c r="AI3" i="7"/>
  <c r="AK5" i="7" s="1"/>
  <c r="AZ9" i="7" s="1"/>
  <c r="AQ37" i="7"/>
  <c r="AT28" i="25" s="1"/>
  <c r="AQ31" i="7"/>
  <c r="AP26" i="21" s="1"/>
  <c r="AQ26" i="21" s="1"/>
  <c r="X24" i="20"/>
  <c r="U24" i="13"/>
  <c r="AQ20" i="14"/>
  <c r="AM20" i="14"/>
  <c r="AV19" i="21"/>
  <c r="AX19" i="21"/>
  <c r="AZ19" i="21" s="1"/>
  <c r="X29" i="20"/>
  <c r="U29" i="13"/>
  <c r="AO38" i="19"/>
  <c r="AJ44" i="19"/>
  <c r="AJ79" i="19"/>
  <c r="AO73" i="19"/>
  <c r="AA31" i="21"/>
  <c r="Z30" i="14"/>
  <c r="AA28" i="25"/>
  <c r="L28" i="20"/>
  <c r="L28" i="13"/>
  <c r="AF86" i="19"/>
  <c r="AJ80" i="19"/>
  <c r="AF29" i="14"/>
  <c r="AL29" i="14" s="1"/>
  <c r="AP30" i="21"/>
  <c r="AQ30" i="21" s="1"/>
  <c r="Z26" i="14"/>
  <c r="AX18" i="21"/>
  <c r="AZ18" i="21" s="1"/>
  <c r="AV18" i="21"/>
  <c r="AA33" i="21"/>
  <c r="Z32" i="14"/>
  <c r="AM16" i="14"/>
  <c r="AM18" i="14"/>
  <c r="AQ18" i="14"/>
  <c r="AS18" i="14" s="1"/>
  <c r="AA26" i="21"/>
  <c r="Z25" i="14"/>
  <c r="AF28" i="19"/>
  <c r="AJ26" i="19"/>
  <c r="AM25" i="21"/>
  <c r="AM3" i="7"/>
  <c r="AO5" i="7" s="1"/>
  <c r="AZ10" i="7" s="1"/>
  <c r="X34" i="20"/>
  <c r="U34" i="13"/>
  <c r="AJ72" i="19"/>
  <c r="AO66" i="19"/>
  <c r="AF31" i="19"/>
  <c r="AJ29" i="19"/>
  <c r="AA36" i="21"/>
  <c r="Z35" i="14"/>
  <c r="AF37" i="19"/>
  <c r="AJ35" i="19"/>
  <c r="AU86" i="7"/>
  <c r="X22" i="20"/>
  <c r="U22" i="13"/>
  <c r="AF33" i="14"/>
  <c r="AL33" i="14" s="1"/>
  <c r="AP34" i="21"/>
  <c r="AQ34" i="21" s="1"/>
  <c r="AU31" i="7"/>
  <c r="AV21" i="21"/>
  <c r="AX21" i="21"/>
  <c r="AZ21" i="21" s="1"/>
  <c r="AJ34" i="19"/>
  <c r="AO32" i="19"/>
  <c r="AA35" i="25"/>
  <c r="AQ17" i="14"/>
  <c r="AS17" i="14" s="1"/>
  <c r="AM17" i="14"/>
  <c r="AQ86" i="7"/>
  <c r="AT35" i="25" s="1"/>
  <c r="AF28" i="14"/>
  <c r="AP29" i="21"/>
  <c r="AQ29" i="21" s="1"/>
  <c r="AA23" i="21"/>
  <c r="Z22" i="14"/>
  <c r="AJ51" i="19"/>
  <c r="AO45" i="19"/>
  <c r="AU37" i="7"/>
  <c r="AM21" i="14"/>
  <c r="AQ21" i="14"/>
  <c r="AS21" i="14" s="1"/>
  <c r="AJ25" i="19"/>
  <c r="AO23" i="19"/>
  <c r="AM19" i="14"/>
  <c r="AQ19" i="14"/>
  <c r="AS19" i="14" s="1"/>
  <c r="AV20" i="21"/>
  <c r="AX20" i="21"/>
  <c r="AZ20" i="21" s="1"/>
  <c r="L35" i="20"/>
  <c r="L35" i="13"/>
  <c r="AF31" i="14"/>
  <c r="AL31" i="14" s="1"/>
  <c r="AP32" i="21"/>
  <c r="AQ32" i="21" s="1"/>
  <c r="AJ58" i="19"/>
  <c r="AO52" i="19"/>
  <c r="AP31" i="21"/>
  <c r="AQ31" i="21" s="1"/>
  <c r="AF30" i="14"/>
  <c r="AL30" i="14" s="1"/>
  <c r="AF26" i="14"/>
  <c r="AL26" i="14" s="1"/>
  <c r="AP27" i="21"/>
  <c r="AQ27" i="21" s="1"/>
  <c r="AF35" i="14"/>
  <c r="AL35" i="14" s="1"/>
  <c r="AP36" i="21"/>
  <c r="AQ36" i="21" s="1"/>
  <c r="AA30" i="21"/>
  <c r="Z29" i="14"/>
  <c r="AV22" i="21"/>
  <c r="AX22" i="21"/>
  <c r="AZ22" i="21" s="1"/>
  <c r="AX17" i="21"/>
  <c r="AZ17" i="21" s="1"/>
  <c r="AV17" i="21"/>
  <c r="AQ28" i="7"/>
  <c r="AT25" i="25" s="1"/>
  <c r="AO87" i="19"/>
  <c r="AJ93" i="19"/>
  <c r="AJ65" i="19"/>
  <c r="AO59" i="19"/>
  <c r="X36" i="20"/>
  <c r="U36" i="13"/>
  <c r="AE69" i="14"/>
  <c r="AF27" i="14" l="1"/>
  <c r="AA27" i="21"/>
  <c r="BA29" i="21"/>
  <c r="AT32" i="14"/>
  <c r="AP28" i="21"/>
  <c r="AQ28" i="21" s="1"/>
  <c r="AT35" i="14"/>
  <c r="S35" i="14"/>
  <c r="AL28" i="14"/>
  <c r="AT33" i="14"/>
  <c r="W26" i="14"/>
  <c r="Y26" i="14" s="1"/>
  <c r="W25" i="14"/>
  <c r="S29" i="14"/>
  <c r="AT16" i="14"/>
  <c r="BE17" i="25"/>
  <c r="BE30" i="25"/>
  <c r="AT25" i="14"/>
  <c r="R24" i="14"/>
  <c r="S24" i="14" s="1"/>
  <c r="AR24" i="21"/>
  <c r="AU24" i="21"/>
  <c r="AV24" i="21" s="1"/>
  <c r="R34" i="14"/>
  <c r="W34" i="14" s="1"/>
  <c r="Y34" i="14" s="1"/>
  <c r="O27" i="14"/>
  <c r="W23" i="14"/>
  <c r="Y23" i="14" s="1"/>
  <c r="AU33" i="21"/>
  <c r="AV33" i="21" s="1"/>
  <c r="AJ41" i="21"/>
  <c r="AK41" i="21" s="1"/>
  <c r="W33" i="14"/>
  <c r="Y33" i="14" s="1"/>
  <c r="AH25" i="14"/>
  <c r="AI25" i="14" s="1"/>
  <c r="AQ41" i="25"/>
  <c r="AR41" i="25" s="1"/>
  <c r="AN41" i="25"/>
  <c r="AP41" i="25" s="1"/>
  <c r="AL35" i="21"/>
  <c r="AK35" i="21"/>
  <c r="AL26" i="21"/>
  <c r="AK26" i="21"/>
  <c r="AZ31" i="25"/>
  <c r="BB31" i="25"/>
  <c r="BD31" i="25" s="1"/>
  <c r="X26" i="25"/>
  <c r="Z26" i="25" s="1"/>
  <c r="V26" i="25"/>
  <c r="AP25" i="25"/>
  <c r="AO25" i="25"/>
  <c r="AY25" i="25"/>
  <c r="AU24" i="25"/>
  <c r="AV24" i="25"/>
  <c r="V29" i="25"/>
  <c r="X29" i="25"/>
  <c r="Z29" i="25" s="1"/>
  <c r="AV25" i="25"/>
  <c r="AU25" i="25"/>
  <c r="V33" i="21"/>
  <c r="X33" i="21"/>
  <c r="Z33" i="21" s="1"/>
  <c r="V31" i="21"/>
  <c r="X31" i="21"/>
  <c r="Z31" i="21" s="1"/>
  <c r="V27" i="21"/>
  <c r="X27" i="21"/>
  <c r="Z27" i="21" s="1"/>
  <c r="BB30" i="25"/>
  <c r="BD30" i="25" s="1"/>
  <c r="AZ30" i="25"/>
  <c r="AL25" i="21"/>
  <c r="AK25" i="21"/>
  <c r="AZ36" i="25"/>
  <c r="BB36" i="25"/>
  <c r="BD36" i="25" s="1"/>
  <c r="AZ29" i="25"/>
  <c r="BB29" i="25"/>
  <c r="BD29" i="25" s="1"/>
  <c r="AV33" i="25"/>
  <c r="AU33" i="25"/>
  <c r="AS28" i="25"/>
  <c r="AR28" i="25"/>
  <c r="X24" i="21"/>
  <c r="Z24" i="21" s="1"/>
  <c r="V24" i="21"/>
  <c r="V31" i="25"/>
  <c r="X31" i="25"/>
  <c r="Z31" i="25" s="1"/>
  <c r="V30" i="21"/>
  <c r="X30" i="21"/>
  <c r="Z30" i="21" s="1"/>
  <c r="AF25" i="14"/>
  <c r="AT26" i="25"/>
  <c r="AY26" i="25" s="1"/>
  <c r="R25" i="25"/>
  <c r="Q25" i="25"/>
  <c r="U25" i="25"/>
  <c r="V27" i="25"/>
  <c r="X27" i="25"/>
  <c r="Z27" i="25" s="1"/>
  <c r="Q35" i="21"/>
  <c r="R35" i="21"/>
  <c r="U35" i="21"/>
  <c r="V36" i="25"/>
  <c r="X36" i="25"/>
  <c r="Z36" i="25" s="1"/>
  <c r="AO28" i="21"/>
  <c r="AN28" i="21"/>
  <c r="V24" i="25"/>
  <c r="X24" i="25"/>
  <c r="Z24" i="25" s="1"/>
  <c r="AT30" i="14"/>
  <c r="BE31" i="25"/>
  <c r="BA31" i="21"/>
  <c r="AU35" i="25"/>
  <c r="AV35" i="25"/>
  <c r="AO25" i="21"/>
  <c r="AN25" i="21"/>
  <c r="AU28" i="25"/>
  <c r="AV28" i="25"/>
  <c r="AT23" i="14"/>
  <c r="BE24" i="25"/>
  <c r="BA24" i="21"/>
  <c r="AA32" i="21"/>
  <c r="AA32" i="25"/>
  <c r="Q35" i="25"/>
  <c r="R35" i="25"/>
  <c r="U35" i="25"/>
  <c r="AZ34" i="25"/>
  <c r="BB34" i="25"/>
  <c r="BD34" i="25" s="1"/>
  <c r="V34" i="21"/>
  <c r="X34" i="21"/>
  <c r="Z34" i="21" s="1"/>
  <c r="AZ32" i="25"/>
  <c r="BB32" i="25"/>
  <c r="BD32" i="25" s="1"/>
  <c r="AT31" i="14"/>
  <c r="BE32" i="25"/>
  <c r="BA32" i="21"/>
  <c r="AR33" i="21"/>
  <c r="AS35" i="25"/>
  <c r="AR35" i="25"/>
  <c r="Q28" i="21"/>
  <c r="R28" i="21"/>
  <c r="U28" i="21"/>
  <c r="AZ24" i="25"/>
  <c r="BB24" i="25"/>
  <c r="BD24" i="25" s="1"/>
  <c r="V33" i="25"/>
  <c r="X33" i="25"/>
  <c r="Z33" i="25" s="1"/>
  <c r="X36" i="21"/>
  <c r="Z36" i="21" s="1"/>
  <c r="V36" i="21"/>
  <c r="X30" i="25"/>
  <c r="Z30" i="25" s="1"/>
  <c r="V30" i="25"/>
  <c r="V32" i="21"/>
  <c r="X32" i="21"/>
  <c r="Z32" i="21" s="1"/>
  <c r="V26" i="21"/>
  <c r="X26" i="21"/>
  <c r="Z26" i="21" s="1"/>
  <c r="AT28" i="14"/>
  <c r="BE29" i="25"/>
  <c r="AO35" i="21"/>
  <c r="AN35" i="21"/>
  <c r="AY28" i="25"/>
  <c r="V34" i="25"/>
  <c r="X34" i="25"/>
  <c r="Z34" i="25" s="1"/>
  <c r="AS26" i="25"/>
  <c r="AR26" i="25"/>
  <c r="AY33" i="25"/>
  <c r="Q28" i="25"/>
  <c r="R28" i="25"/>
  <c r="U28" i="25"/>
  <c r="BE26" i="25"/>
  <c r="BA26" i="21"/>
  <c r="Q25" i="21"/>
  <c r="R25" i="21"/>
  <c r="U25" i="21"/>
  <c r="AT26" i="14"/>
  <c r="BE27" i="25"/>
  <c r="BA27" i="21"/>
  <c r="AO35" i="25"/>
  <c r="AP35" i="25"/>
  <c r="AY35" i="25"/>
  <c r="AO26" i="21"/>
  <c r="AN26" i="21"/>
  <c r="AZ27" i="25"/>
  <c r="BB27" i="25"/>
  <c r="BD27" i="25" s="1"/>
  <c r="AP26" i="25"/>
  <c r="AO26" i="25"/>
  <c r="X29" i="21"/>
  <c r="Z29" i="21" s="1"/>
  <c r="V29" i="21"/>
  <c r="V32" i="25"/>
  <c r="X32" i="25"/>
  <c r="Z32" i="25" s="1"/>
  <c r="AU36" i="21"/>
  <c r="AR36" i="21"/>
  <c r="AU29" i="21"/>
  <c r="AR29" i="21"/>
  <c r="AU27" i="21"/>
  <c r="AR27" i="21"/>
  <c r="AU30" i="21"/>
  <c r="AR30" i="21"/>
  <c r="AU34" i="21"/>
  <c r="AR34" i="21"/>
  <c r="AU26" i="21"/>
  <c r="AR26" i="21"/>
  <c r="AU32" i="21"/>
  <c r="AR32" i="21"/>
  <c r="AU31" i="21"/>
  <c r="AR31" i="21"/>
  <c r="AU28" i="21"/>
  <c r="AR28" i="21"/>
  <c r="AG23" i="14"/>
  <c r="Z31" i="14"/>
  <c r="AL27" i="14"/>
  <c r="S27" i="14"/>
  <c r="W27" i="14"/>
  <c r="Y25" i="14"/>
  <c r="U33" i="13"/>
  <c r="AG32" i="14"/>
  <c r="AJ37" i="19"/>
  <c r="AO35" i="19"/>
  <c r="AQ32" i="14"/>
  <c r="AS32" i="14" s="1"/>
  <c r="AM32" i="14"/>
  <c r="AG29" i="14"/>
  <c r="X30" i="20"/>
  <c r="U30" i="13"/>
  <c r="AM23" i="14"/>
  <c r="AQ23" i="14"/>
  <c r="AS23" i="14" s="1"/>
  <c r="AO25" i="19"/>
  <c r="AN25" i="19"/>
  <c r="AO80" i="19"/>
  <c r="AJ86" i="19"/>
  <c r="AG31" i="14"/>
  <c r="AA35" i="21"/>
  <c r="Z34" i="14"/>
  <c r="X31" i="20"/>
  <c r="U31" i="13"/>
  <c r="AG35" i="14"/>
  <c r="X32" i="20"/>
  <c r="U32" i="13"/>
  <c r="AA28" i="21"/>
  <c r="Z27" i="14"/>
  <c r="AG28" i="14"/>
  <c r="AJ31" i="19"/>
  <c r="AO29" i="19"/>
  <c r="AF24" i="14"/>
  <c r="AP25" i="21"/>
  <c r="AG26" i="14"/>
  <c r="AG33" i="14"/>
  <c r="X23" i="20"/>
  <c r="U23" i="13"/>
  <c r="AO58" i="19"/>
  <c r="AN58" i="19"/>
  <c r="AO51" i="19"/>
  <c r="AN51" i="19"/>
  <c r="X27" i="20"/>
  <c r="U27" i="13"/>
  <c r="AO65" i="19"/>
  <c r="AN65" i="19"/>
  <c r="AG27" i="14"/>
  <c r="AO26" i="19"/>
  <c r="AJ28" i="19"/>
  <c r="AO79" i="19"/>
  <c r="AN79" i="19"/>
  <c r="AP35" i="21"/>
  <c r="AQ35" i="21" s="1"/>
  <c r="AF34" i="14"/>
  <c r="AL34" i="14" s="1"/>
  <c r="X26" i="20"/>
  <c r="U26" i="13"/>
  <c r="AN93" i="19"/>
  <c r="AO93" i="19"/>
  <c r="AG30" i="14"/>
  <c r="AO34" i="19"/>
  <c r="AN34" i="19"/>
  <c r="AO72" i="19"/>
  <c r="AN72" i="19"/>
  <c r="AJ24" i="14"/>
  <c r="AM41" i="21"/>
  <c r="AS16" i="14"/>
  <c r="AQ5" i="14"/>
  <c r="AH64" i="14"/>
  <c r="AI64" i="14" s="1"/>
  <c r="AN44" i="19"/>
  <c r="AO44" i="19"/>
  <c r="AS20" i="14"/>
  <c r="BA33" i="21" l="1"/>
  <c r="BE33" i="25"/>
  <c r="BA36" i="21"/>
  <c r="BE36" i="25"/>
  <c r="AH55" i="14"/>
  <c r="AI55" i="14" s="1"/>
  <c r="AL55" i="14" s="1"/>
  <c r="BA34" i="21"/>
  <c r="BE34" i="25"/>
  <c r="W24" i="14"/>
  <c r="AH56" i="14" s="1"/>
  <c r="AH40" i="14"/>
  <c r="AI40" i="14" s="1"/>
  <c r="AL41" i="21"/>
  <c r="AT29" i="14"/>
  <c r="S34" i="14"/>
  <c r="W7" i="14"/>
  <c r="Y7" i="14" s="1"/>
  <c r="AL25" i="14"/>
  <c r="AQ25" i="14" s="1"/>
  <c r="BA30" i="21"/>
  <c r="AG25" i="14"/>
  <c r="AX24" i="21"/>
  <c r="AZ24" i="21" s="1"/>
  <c r="AX33" i="21"/>
  <c r="AZ33" i="21" s="1"/>
  <c r="AO41" i="25"/>
  <c r="AS41" i="25"/>
  <c r="AO41" i="21"/>
  <c r="AN41" i="21"/>
  <c r="V28" i="21"/>
  <c r="X28" i="21"/>
  <c r="Z28" i="21" s="1"/>
  <c r="AR25" i="21"/>
  <c r="AQ25" i="21"/>
  <c r="AT27" i="14"/>
  <c r="BE28" i="25"/>
  <c r="BA28" i="21"/>
  <c r="AZ33" i="25"/>
  <c r="BB33" i="25"/>
  <c r="BD33" i="25" s="1"/>
  <c r="V25" i="25"/>
  <c r="X25" i="25"/>
  <c r="Z25" i="25" s="1"/>
  <c r="AZ28" i="25"/>
  <c r="BB28" i="25"/>
  <c r="BD28" i="25" s="1"/>
  <c r="AZ35" i="25"/>
  <c r="BB35" i="25"/>
  <c r="BD35" i="25" s="1"/>
  <c r="V35" i="25"/>
  <c r="X35" i="25"/>
  <c r="Z35" i="25" s="1"/>
  <c r="X25" i="21"/>
  <c r="Z25" i="21" s="1"/>
  <c r="V25" i="21"/>
  <c r="BB26" i="25"/>
  <c r="BD26" i="25" s="1"/>
  <c r="AZ26" i="25"/>
  <c r="V28" i="25"/>
  <c r="X28" i="25"/>
  <c r="Z28" i="25" s="1"/>
  <c r="X35" i="21"/>
  <c r="Z35" i="21" s="1"/>
  <c r="V35" i="21"/>
  <c r="AU26" i="25"/>
  <c r="AV26" i="25"/>
  <c r="AZ25" i="25"/>
  <c r="BB25" i="25"/>
  <c r="BD25" i="25" s="1"/>
  <c r="AT34" i="14"/>
  <c r="BE35" i="25"/>
  <c r="BA35" i="21"/>
  <c r="AU35" i="21"/>
  <c r="AR35" i="21"/>
  <c r="AU25" i="21"/>
  <c r="AV25" i="21" s="1"/>
  <c r="AQ55" i="14"/>
  <c r="AL24" i="14"/>
  <c r="Y27" i="14"/>
  <c r="AH57" i="14"/>
  <c r="AI57" i="14" s="1"/>
  <c r="AM26" i="14"/>
  <c r="AQ26" i="14"/>
  <c r="AQ30" i="14"/>
  <c r="AS30" i="14" s="1"/>
  <c r="AM30" i="14"/>
  <c r="AX28" i="21"/>
  <c r="AZ28" i="21" s="1"/>
  <c r="AV28" i="21"/>
  <c r="AG34" i="14"/>
  <c r="AM27" i="14"/>
  <c r="AQ27" i="14"/>
  <c r="AS27" i="14" s="1"/>
  <c r="AG24" i="14"/>
  <c r="AV34" i="21"/>
  <c r="AX34" i="21"/>
  <c r="AZ34" i="21" s="1"/>
  <c r="AM28" i="14"/>
  <c r="AQ28" i="14"/>
  <c r="AS28" i="14" s="1"/>
  <c r="AM35" i="14"/>
  <c r="AQ35" i="14"/>
  <c r="AS35" i="14" s="1"/>
  <c r="AV26" i="21"/>
  <c r="AX26" i="21"/>
  <c r="AZ26" i="21" s="1"/>
  <c r="AN31" i="19"/>
  <c r="AO31" i="19"/>
  <c r="AX36" i="21"/>
  <c r="AZ36" i="21" s="1"/>
  <c r="AV36" i="21"/>
  <c r="AQ64" i="14"/>
  <c r="AL64" i="14"/>
  <c r="AV29" i="21"/>
  <c r="AX29" i="21"/>
  <c r="AZ29" i="21" s="1"/>
  <c r="AM29" i="14"/>
  <c r="AQ29" i="14"/>
  <c r="AV31" i="21"/>
  <c r="AX31" i="21"/>
  <c r="AZ31" i="21" s="1"/>
  <c r="AQ31" i="14"/>
  <c r="AS31" i="14" s="1"/>
  <c r="AM31" i="14"/>
  <c r="AK24" i="14"/>
  <c r="AJ40" i="14"/>
  <c r="AK40" i="14" s="1"/>
  <c r="AM33" i="14"/>
  <c r="AQ33" i="14"/>
  <c r="AS33" i="14" s="1"/>
  <c r="X35" i="20"/>
  <c r="U35" i="13"/>
  <c r="X28" i="20"/>
  <c r="U28" i="13"/>
  <c r="AS5" i="14"/>
  <c r="AR5" i="14"/>
  <c r="AV32" i="21"/>
  <c r="AX32" i="21"/>
  <c r="AZ32" i="21" s="1"/>
  <c r="AN28" i="19"/>
  <c r="AO28" i="19"/>
  <c r="AV30" i="21"/>
  <c r="AX30" i="21"/>
  <c r="AZ30" i="21" s="1"/>
  <c r="AO37" i="19"/>
  <c r="AN37" i="19"/>
  <c r="AX27" i="21"/>
  <c r="AZ27" i="21" s="1"/>
  <c r="AV27" i="21"/>
  <c r="K20" i="7"/>
  <c r="AM25" i="14" l="1"/>
  <c r="Y24" i="14"/>
  <c r="X7" i="14"/>
  <c r="AX25" i="21"/>
  <c r="AZ25" i="21" s="1"/>
  <c r="F20" i="19"/>
  <c r="AF20" i="19" s="1"/>
  <c r="AQ57" i="14"/>
  <c r="AL57" i="14"/>
  <c r="F21" i="19"/>
  <c r="AF21" i="19" s="1"/>
  <c r="AJ21" i="19" s="1"/>
  <c r="AO21" i="19" s="1"/>
  <c r="AI56" i="14"/>
  <c r="AQ20" i="7"/>
  <c r="AS29" i="14"/>
  <c r="AH66" i="14"/>
  <c r="AI66" i="14" s="1"/>
  <c r="AS25" i="14"/>
  <c r="AQ7" i="14"/>
  <c r="AQ34" i="14"/>
  <c r="AS34" i="14" s="1"/>
  <c r="AM34" i="14"/>
  <c r="AV35" i="21"/>
  <c r="AX35" i="21"/>
  <c r="AZ35" i="21" s="1"/>
  <c r="AQ24" i="14"/>
  <c r="AS24" i="14" s="1"/>
  <c r="AM24" i="14"/>
  <c r="AS26" i="14"/>
  <c r="W16" i="23"/>
  <c r="Z16" i="23" s="1"/>
  <c r="W17" i="23"/>
  <c r="Z17" i="23" s="1"/>
  <c r="K21" i="7"/>
  <c r="AU20" i="7"/>
  <c r="AL56" i="14" l="1"/>
  <c r="AQ56" i="14"/>
  <c r="AE22" i="7"/>
  <c r="AR7" i="14"/>
  <c r="AS7" i="14"/>
  <c r="AH67" i="14"/>
  <c r="AI67" i="14" s="1"/>
  <c r="AH68" i="14"/>
  <c r="AI68" i="14" s="1"/>
  <c r="AQ66" i="14"/>
  <c r="AL66" i="14"/>
  <c r="AU21" i="7"/>
  <c r="AU22" i="7" s="1"/>
  <c r="AU3" i="7" s="1"/>
  <c r="AW5" i="7" s="1"/>
  <c r="AQ21" i="7"/>
  <c r="AQ22" i="7" s="1"/>
  <c r="AT23" i="25" s="1"/>
  <c r="AF22" i="19"/>
  <c r="AF3" i="19" s="1"/>
  <c r="AH5" i="19" s="1"/>
  <c r="AJ20" i="19"/>
  <c r="AV23" i="25" l="1"/>
  <c r="AU23" i="25"/>
  <c r="AT41" i="25"/>
  <c r="P23" i="25"/>
  <c r="P23" i="21"/>
  <c r="AE3" i="7"/>
  <c r="AG5" i="7" s="1"/>
  <c r="AZ6" i="7" s="1"/>
  <c r="AZ7" i="7" s="1"/>
  <c r="N22" i="14"/>
  <c r="AQ68" i="14"/>
  <c r="AL68" i="14"/>
  <c r="AL67" i="14"/>
  <c r="AQ67" i="14"/>
  <c r="AO20" i="19"/>
  <c r="AJ22" i="19"/>
  <c r="AP23" i="21"/>
  <c r="AQ23" i="21" s="1"/>
  <c r="AF22" i="14"/>
  <c r="AQ3" i="7"/>
  <c r="AS5" i="7" s="1"/>
  <c r="AZ11" i="7" s="1"/>
  <c r="R23" i="25" l="1"/>
  <c r="Q23" i="25"/>
  <c r="P41" i="25"/>
  <c r="Q41" i="25" s="1"/>
  <c r="U23" i="25"/>
  <c r="Q23" i="21"/>
  <c r="R23" i="21"/>
  <c r="U23" i="21"/>
  <c r="P41" i="21"/>
  <c r="AY23" i="25"/>
  <c r="AT22" i="14"/>
  <c r="BE23" i="25"/>
  <c r="BA23" i="21"/>
  <c r="AL22" i="14"/>
  <c r="AU41" i="25"/>
  <c r="AV41" i="25"/>
  <c r="AU23" i="21"/>
  <c r="AR23" i="21"/>
  <c r="O22" i="14"/>
  <c r="R22" i="14"/>
  <c r="N40" i="14"/>
  <c r="O40" i="14" s="1"/>
  <c r="AZ12" i="7"/>
  <c r="AZ13" i="7" s="1"/>
  <c r="AZ16" i="7" s="1"/>
  <c r="AG22" i="14"/>
  <c r="AF40" i="14"/>
  <c r="AG40" i="14" s="1"/>
  <c r="AO22" i="19"/>
  <c r="AN22" i="19"/>
  <c r="AJ3" i="19"/>
  <c r="AP41" i="21"/>
  <c r="R41" i="21" l="1"/>
  <c r="Q41" i="21"/>
  <c r="AR41" i="21"/>
  <c r="AQ41" i="21"/>
  <c r="V23" i="21"/>
  <c r="X23" i="21"/>
  <c r="U41" i="21"/>
  <c r="V41" i="21" s="1"/>
  <c r="V23" i="25"/>
  <c r="X23" i="25"/>
  <c r="U41" i="25"/>
  <c r="V41" i="25" s="1"/>
  <c r="AZ23" i="25"/>
  <c r="BB23" i="25"/>
  <c r="AY41" i="25"/>
  <c r="AZ41" i="25" s="1"/>
  <c r="S22" i="14"/>
  <c r="W22" i="14"/>
  <c r="R40" i="14"/>
  <c r="S40" i="14" s="1"/>
  <c r="AM22" i="14"/>
  <c r="AL40" i="14"/>
  <c r="AM40" i="14" s="1"/>
  <c r="AQ22" i="14"/>
  <c r="AU41" i="21"/>
  <c r="AV41" i="21" s="1"/>
  <c r="AX23" i="21"/>
  <c r="AV23" i="21"/>
  <c r="AV3" i="19"/>
  <c r="AV7" i="19" s="1"/>
  <c r="AV10" i="19" s="1"/>
  <c r="AV13" i="19" s="1"/>
  <c r="AL5" i="19"/>
  <c r="Z23" i="25" l="1"/>
  <c r="X41" i="25"/>
  <c r="Z41" i="25" s="1"/>
  <c r="BD23" i="25"/>
  <c r="BB41" i="25"/>
  <c r="BD41" i="25" s="1"/>
  <c r="Z23" i="21"/>
  <c r="X41" i="21"/>
  <c r="Z41" i="21" s="1"/>
  <c r="Y22" i="14"/>
  <c r="AH54" i="14"/>
  <c r="W40" i="14"/>
  <c r="W6" i="14"/>
  <c r="AZ23" i="21"/>
  <c r="AX41" i="21"/>
  <c r="AZ41" i="21" s="1"/>
  <c r="AH65" i="14"/>
  <c r="AS22" i="14"/>
  <c r="AQ40" i="14"/>
  <c r="AQ6" i="14"/>
  <c r="X6" i="14" l="1"/>
  <c r="W8" i="14"/>
  <c r="Y8" i="14" s="1"/>
  <c r="Y6" i="14"/>
  <c r="Y40" i="14"/>
  <c r="X8" i="14"/>
  <c r="AI54" i="14"/>
  <c r="AH58" i="14"/>
  <c r="AR8" i="14"/>
  <c r="AS40" i="14"/>
  <c r="AQ8" i="14"/>
  <c r="AS8" i="14" s="1"/>
  <c r="AR6" i="14"/>
  <c r="AS6" i="14"/>
  <c r="AH69" i="14"/>
  <c r="AI65" i="14"/>
  <c r="AL54" i="14" l="1"/>
  <c r="AQ54" i="14"/>
  <c r="AI58" i="14"/>
  <c r="AQ65" i="14"/>
  <c r="AI69" i="14"/>
  <c r="AL65" i="14"/>
  <c r="AL58" i="14" l="1"/>
  <c r="AQ58" i="14"/>
  <c r="AL69" i="14"/>
  <c r="AQ69" i="14"/>
  <c r="AA25" i="25" l="1"/>
  <c r="Z24" i="14"/>
  <c r="AA25" i="21"/>
  <c r="X25" i="20" l="1"/>
  <c r="U25" i="13"/>
  <c r="AT24" i="14"/>
  <c r="BE25" i="25"/>
  <c r="BA25" i="21"/>
</calcChain>
</file>

<file path=xl/sharedStrings.xml><?xml version="1.0" encoding="utf-8"?>
<sst xmlns="http://schemas.openxmlformats.org/spreadsheetml/2006/main" count="4383" uniqueCount="647">
  <si>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</si>
  <si>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</si>
  <si>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</si>
  <si>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</si>
  <si>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</si>
  <si>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</si>
  <si>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</si>
  <si>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</si>
  <si>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</si>
  <si>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</si>
  <si>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</si>
  <si>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</si>
  <si>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</si>
  <si>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</si>
  <si>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</si>
  <si>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</si>
  <si>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</si>
  <si>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</si>
  <si>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</si>
  <si>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</si>
  <si>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</si>
  <si>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</si>
  <si>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</si>
  <si>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</si>
  <si>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</si>
  <si>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</si>
  <si>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</si>
  <si>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</si>
  <si>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</si>
  <si>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</si>
  <si>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</si>
  <si>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</si>
  <si>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</si>
  <si>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</si>
  <si>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</si>
  <si>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</si>
  <si>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</si>
  <si>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</si>
  <si>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</si>
  <si>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</si>
  <si>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</si>
  <si>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</si>
  <si>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</si>
  <si>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</si>
  <si>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43 FT</t>
  </si>
  <si>
    <t>Sources:</t>
  </si>
  <si>
    <t>Direct Inputs</t>
  </si>
  <si>
    <t>Equal % of margin</t>
  </si>
  <si>
    <t>Totals</t>
  </si>
  <si>
    <t>Rates in detail</t>
  </si>
  <si>
    <t>Rates in summary</t>
  </si>
  <si>
    <t>Therms in</t>
  </si>
  <si>
    <t>Therms</t>
  </si>
  <si>
    <t>Average use</t>
  </si>
  <si>
    <t>Minimum</t>
  </si>
  <si>
    <t>Monthly</t>
  </si>
  <si>
    <t>Charge</t>
  </si>
  <si>
    <t>Average Bill</t>
  </si>
  <si>
    <t>% Bill Change</t>
  </si>
  <si>
    <t>all additional</t>
  </si>
  <si>
    <t>Customers</t>
  </si>
  <si>
    <t>per Tariff</t>
  </si>
  <si>
    <t>TOTAL</t>
  </si>
  <si>
    <t>Sources for line 2 above:</t>
  </si>
  <si>
    <t>Inputs page</t>
  </si>
  <si>
    <t>Normal</t>
  </si>
  <si>
    <t>Customer</t>
  </si>
  <si>
    <t>Note: Allocation to rate schedules or blocks with zero volumes is calculated on an overall margin percentage change basis.</t>
  </si>
  <si>
    <t>Sales</t>
  </si>
  <si>
    <t>Volumetric</t>
  </si>
  <si>
    <t>Allocation to RS</t>
  </si>
  <si>
    <t>R</t>
  </si>
  <si>
    <t>Base Rate</t>
  </si>
  <si>
    <t>GRAND TOTAL</t>
  </si>
  <si>
    <t>S</t>
  </si>
  <si>
    <t>T</t>
  </si>
  <si>
    <t>U</t>
  </si>
  <si>
    <t>Tariff Schedules:</t>
  </si>
  <si>
    <t>Schedule #</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</si>
  <si>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</si>
  <si>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</si>
  <si>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</si>
  <si>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</si>
  <si>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</si>
  <si>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</si>
  <si>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</si>
  <si>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</si>
  <si>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</si>
  <si>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</si>
  <si>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</si>
  <si>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</si>
  <si>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</si>
  <si>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</si>
  <si>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</si>
  <si>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</si>
  <si>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</si>
  <si>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</si>
  <si>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</si>
  <si>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</si>
  <si>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</si>
  <si>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PROPOSED Volumetric Rates</t>
  </si>
  <si>
    <t>Test Year</t>
  </si>
  <si>
    <t>PROPOSED Fixed Charges and Demand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</si>
  <si>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</si>
  <si>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</si>
  <si>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</si>
  <si>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</si>
  <si>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</si>
  <si>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</si>
  <si>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</si>
  <si>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</si>
  <si>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</si>
  <si>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</si>
  <si>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</si>
  <si>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</si>
  <si>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</si>
  <si>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</si>
  <si>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</si>
  <si>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</si>
  <si>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</si>
  <si>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</si>
  <si>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</si>
  <si>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</si>
  <si>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</si>
  <si>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</si>
  <si>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</si>
  <si>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</si>
  <si>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</si>
  <si>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</si>
  <si>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</si>
  <si>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</si>
  <si>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</si>
  <si>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</si>
  <si>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</si>
  <si>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</si>
  <si>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</si>
  <si>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</si>
  <si>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</si>
  <si>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</si>
  <si>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</si>
  <si>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</si>
  <si>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</si>
  <si>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</si>
  <si>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</si>
  <si>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</si>
  <si>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</si>
  <si>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</si>
  <si>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</si>
  <si>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</si>
  <si>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</si>
  <si>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</si>
  <si>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</si>
  <si>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</si>
  <si>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</si>
  <si>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</si>
  <si>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</si>
  <si>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</si>
  <si>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</si>
  <si>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</si>
  <si>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</si>
  <si>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</si>
  <si>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</si>
  <si>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</si>
  <si>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</si>
  <si>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</si>
  <si>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</si>
  <si>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</si>
  <si>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 xml:space="preserve">Proposed </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</si>
  <si>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</si>
  <si>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</si>
  <si>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</si>
  <si>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</si>
  <si>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</si>
  <si>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</si>
  <si>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</si>
  <si>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</si>
  <si>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</si>
  <si>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</si>
  <si>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</si>
  <si>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</si>
  <si>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</si>
  <si>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</si>
  <si>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</si>
  <si>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</si>
  <si>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</si>
  <si>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</si>
  <si>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</si>
  <si>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</si>
  <si>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</si>
  <si>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</si>
  <si>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</si>
  <si>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</si>
  <si>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</si>
  <si>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D = A+C</t>
  </si>
  <si>
    <t>E = B+C</t>
  </si>
  <si>
    <t>Revenue Requirement Adj</t>
  </si>
  <si>
    <t>Unadjusted</t>
  </si>
  <si>
    <t>Total Margin</t>
  </si>
  <si>
    <t>Adjusted</t>
  </si>
  <si>
    <t>Volumetric Margin</t>
  </si>
  <si>
    <t>Temporary Adjustment</t>
  </si>
  <si>
    <t>Pipeline Capacity Rate (Demand)</t>
  </si>
  <si>
    <t>Commodity Rate (WACOG)</t>
  </si>
  <si>
    <t>X</t>
  </si>
  <si>
    <t>Base Rate Adj</t>
  </si>
  <si>
    <t>Purchased Gas Adj. (PGA)</t>
  </si>
  <si>
    <t>Revenue
Change
($)</t>
  </si>
  <si>
    <t>Revenue
Change
(%)</t>
  </si>
  <si>
    <t>W</t>
  </si>
  <si>
    <t>Y</t>
  </si>
  <si>
    <t>Z</t>
  </si>
  <si>
    <t>AA</t>
  </si>
  <si>
    <t>PGA</t>
  </si>
  <si>
    <t>Proposed Change</t>
  </si>
  <si>
    <r>
      <t xml:space="preserve">Calculation of Effect on Customer Average Bill by Rate Schedule </t>
    </r>
    <r>
      <rPr>
        <b/>
        <vertAlign val="superscript"/>
        <sz val="11"/>
        <rFont val="Calibri"/>
        <family val="2"/>
        <scheme val="minor"/>
      </rPr>
      <t>[1]</t>
    </r>
  </si>
  <si>
    <t>Billing /Tariff</t>
  </si>
  <si>
    <t>Billing/Tariff</t>
  </si>
  <si>
    <t>2020-21</t>
  </si>
  <si>
    <t>REVENUE REQUIREMENT</t>
  </si>
  <si>
    <t>FINAL</t>
  </si>
  <si>
    <t>PGA 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</si>
  <si>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</si>
  <si>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</si>
  <si>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</si>
  <si>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</si>
  <si>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</si>
  <si>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</si>
  <si>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</si>
  <si>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</si>
  <si>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</si>
  <si>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</si>
  <si>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</si>
  <si>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</si>
  <si>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</si>
  <si>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</si>
  <si>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</si>
  <si>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</si>
  <si>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</si>
  <si>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</si>
  <si>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</si>
  <si>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UG XXXXXX</t>
  </si>
  <si>
    <t>Test Year Ending September 30, 2020</t>
  </si>
  <si>
    <t>Washington Jurisdictional Rate Case</t>
  </si>
  <si>
    <t>Test Year Twelve Months Ended September 30, 2020</t>
  </si>
  <si>
    <t>WA GRC</t>
  </si>
  <si>
    <t>WA</t>
  </si>
  <si>
    <t>1R</t>
  </si>
  <si>
    <t>1C</t>
  </si>
  <si>
    <t>n/a</t>
  </si>
  <si>
    <t>41C Firm Sales</t>
  </si>
  <si>
    <t>42C Firm Sales</t>
  </si>
  <si>
    <t>41C Interr Sales</t>
  </si>
  <si>
    <t>42C Interr Sales</t>
  </si>
  <si>
    <t>41I Firm Sales</t>
  </si>
  <si>
    <t>41I Firm Transpt</t>
  </si>
  <si>
    <t>42C Firm Transpt</t>
  </si>
  <si>
    <t>42I Firm Transpt</t>
  </si>
  <si>
    <t>41I Interr Sales</t>
  </si>
  <si>
    <t>42I Interr Sales</t>
  </si>
  <si>
    <t>42I Firm Sales</t>
  </si>
  <si>
    <t>41C Firm Transpt</t>
  </si>
  <si>
    <t>42C Inter Transpt</t>
  </si>
  <si>
    <t>42I Inter Transpt</t>
  </si>
  <si>
    <t>43 Firm Transpt</t>
  </si>
  <si>
    <t>43 IT</t>
  </si>
  <si>
    <t>43 Interr Transpt</t>
  </si>
  <si>
    <t>41CFS</t>
  </si>
  <si>
    <t>41IFS</t>
  </si>
  <si>
    <t>Washington Total</t>
  </si>
  <si>
    <t>41CIS</t>
  </si>
  <si>
    <t>41IIS</t>
  </si>
  <si>
    <t>41CTF</t>
  </si>
  <si>
    <t>41ITF</t>
  </si>
  <si>
    <t>42CFS</t>
  </si>
  <si>
    <t>42IFS</t>
  </si>
  <si>
    <t>42CFT</t>
  </si>
  <si>
    <t>42IFT</t>
  </si>
  <si>
    <t>42CIS</t>
  </si>
  <si>
    <t>42IIS</t>
  </si>
  <si>
    <t>Sale</t>
  </si>
  <si>
    <t>42CIT</t>
  </si>
  <si>
    <t>42IIT</t>
  </si>
  <si>
    <t>Special Contract</t>
  </si>
  <si>
    <t>CURRENT PGA RATES</t>
  </si>
  <si>
    <t>Adj</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</si>
  <si>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</si>
  <si>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</si>
  <si>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</si>
  <si>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</si>
  <si>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</si>
  <si>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</si>
  <si>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</si>
  <si>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</si>
  <si>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</si>
  <si>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</si>
  <si>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OTHER</t>
  </si>
  <si>
    <t>S=O…R</t>
  </si>
  <si>
    <t>N=I…M</t>
  </si>
  <si>
    <t xml:space="preserve">CHANGE </t>
  </si>
  <si>
    <t>E = A…D</t>
  </si>
  <si>
    <t>G= E+F</t>
  </si>
  <si>
    <t>Open</t>
  </si>
  <si>
    <t>for</t>
  </si>
  <si>
    <t>Use</t>
  </si>
  <si>
    <t>Special</t>
  </si>
  <si>
    <t>11-1-20 Current 
Rates:
Base Rate</t>
  </si>
  <si>
    <t>11-1-20 Current 
Rates:
Pipeline Capacity</t>
  </si>
  <si>
    <t>11-1-20 Current 
Rates:
Commodity</t>
  </si>
  <si>
    <t>11-1-20 Current 
Rates:
Temporary Adj</t>
  </si>
  <si>
    <t>11-1-20 Current Billing Rates</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</si>
  <si>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</si>
  <si>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</si>
  <si>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</si>
  <si>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</si>
  <si>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</si>
  <si>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</si>
  <si>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</si>
  <si>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</si>
  <si>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</si>
  <si>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</si>
  <si>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</si>
  <si>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</si>
  <si>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</si>
  <si>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</si>
  <si>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</si>
  <si>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</si>
  <si>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</si>
  <si>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</si>
  <si>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</si>
  <si>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</si>
  <si>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</si>
  <si>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</si>
  <si>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</si>
  <si>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</si>
  <si>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</si>
  <si>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2022-2023 PGA</t>
  </si>
  <si>
    <t xml:space="preserve"> Margin 
Decrease
($)</t>
  </si>
  <si>
    <t>Margin 
Decrease 
(%)</t>
  </si>
  <si>
    <t>Margin 
Increase
($)</t>
  </si>
  <si>
    <t>Rates Effective November 1, 2021</t>
  </si>
  <si>
    <t>2022-23 PGA</t>
  </si>
  <si>
    <t>AC</t>
  </si>
  <si>
    <t>AJ</t>
  </si>
  <si>
    <t>AN</t>
  </si>
  <si>
    <t>AR</t>
  </si>
  <si>
    <t>AS</t>
  </si>
  <si>
    <t>AT</t>
  </si>
  <si>
    <t>K = G…J</t>
  </si>
  <si>
    <t xml:space="preserve">REVENUE REQUIREMENT </t>
  </si>
  <si>
    <t>to all customers</t>
  </si>
  <si>
    <t>01R</t>
  </si>
  <si>
    <t>01C</t>
  </si>
  <si>
    <t>02R</t>
  </si>
  <si>
    <t>03C</t>
  </si>
  <si>
    <t>03I</t>
  </si>
  <si>
    <t>*Note: Margin used for spread excludes special contract revenues.</t>
  </si>
  <si>
    <t>Note: Proposal places entire increment on volumetric rates.</t>
  </si>
  <si>
    <t>5a</t>
  </si>
  <si>
    <t>5b</t>
  </si>
  <si>
    <t>5c</t>
  </si>
  <si>
    <t>5d</t>
  </si>
  <si>
    <t>Post Year 1 Margin:</t>
  </si>
  <si>
    <t>Equal % of Margin Adjustment</t>
  </si>
  <si>
    <t>Less: Plant EDIT Amortization Credit</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</si>
  <si>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</si>
  <si>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</si>
  <si>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</si>
  <si>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</si>
  <si>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</si>
  <si>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</si>
  <si>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</si>
  <si>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</si>
  <si>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</si>
  <si>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</si>
  <si>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</si>
  <si>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t>Astoria Property Sale</t>
  </si>
  <si>
    <t>Astoria Prop Sale</t>
  </si>
  <si>
    <t>Historic EE</t>
  </si>
  <si>
    <t>Year 1 Temp Adjustments</t>
  </si>
  <si>
    <t>Year 2 Temp Adjustments</t>
  </si>
  <si>
    <t>Plant EDIT Credit</t>
  </si>
  <si>
    <t>(3)</t>
  </si>
  <si>
    <t>F = B+C+D</t>
  </si>
  <si>
    <t>P = M…O</t>
  </si>
  <si>
    <t>T = Q…S</t>
  </si>
  <si>
    <t>Z = U…Y</t>
  </si>
  <si>
    <t>AF = AA…AE</t>
  </si>
  <si>
    <t>AH</t>
  </si>
  <si>
    <t>AK</t>
  </si>
  <si>
    <t>AQ</t>
  </si>
  <si>
    <t>(4)</t>
  </si>
  <si>
    <t>Margin
Increase
($)</t>
  </si>
  <si>
    <t>Revenue
Decrease
($)</t>
  </si>
  <si>
    <t>Revenue
Decrease 
(%)</t>
  </si>
  <si>
    <t>Revenue 
Decrease
($)</t>
  </si>
  <si>
    <t>E = A+C+D</t>
  </si>
  <si>
    <t>Revenue
Increase
($)</t>
  </si>
  <si>
    <t>Rev % Increase</t>
  </si>
  <si>
    <t>Avg Bill Increase</t>
  </si>
  <si>
    <t>Rates Effective November 1, 2022</t>
  </si>
  <si>
    <t>Incremental</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</si>
  <si>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</si>
  <si>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</si>
  <si>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</si>
  <si>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</si>
  <si>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</si>
  <si>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</si>
  <si>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</si>
  <si>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</si>
  <si>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</si>
  <si>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</si>
  <si>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</si>
  <si>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</si>
  <si>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</si>
  <si>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</si>
  <si>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</si>
  <si>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</si>
  <si>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</si>
  <si>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</si>
  <si>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</si>
  <si>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</si>
  <si>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</si>
  <si>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</si>
  <si>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</si>
  <si>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</si>
  <si>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</si>
  <si>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 xml:space="preserve">Weighted </t>
  </si>
  <si>
    <t>Avg Bill</t>
  </si>
  <si>
    <t xml:space="preserve"> and credit of Block 24 property net gain on sale.</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</si>
  <si>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</si>
  <si>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</si>
  <si>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</si>
  <si>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</si>
  <si>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</si>
  <si>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</si>
  <si>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</si>
  <si>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</si>
  <si>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</si>
  <si>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</si>
  <si>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</si>
  <si>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</si>
  <si>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</si>
  <si>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</si>
  <si>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</si>
  <si>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</si>
  <si>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</si>
  <si>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</si>
  <si>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</si>
  <si>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</si>
  <si>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t>Current 
Rates:
Base Rate</t>
  </si>
  <si>
    <t>Current 
Rates:
Pipeline Capacity</t>
  </si>
  <si>
    <t>Current 
Rates:
Commodity</t>
  </si>
  <si>
    <t>Current 
Billing 
Rates</t>
  </si>
  <si>
    <t>Current 
Rates:
Temporary 
Adjustment</t>
  </si>
  <si>
    <t>UG Proposed</t>
  </si>
  <si>
    <t>Current Tariff Rate</t>
  </si>
  <si>
    <t>O = L+M+N</t>
  </si>
  <si>
    <t>For Year One and Year Two of the Multi-Year Plan</t>
  </si>
  <si>
    <t>Q=O+P</t>
  </si>
  <si>
    <t>Year Two</t>
  </si>
  <si>
    <t>Year One</t>
  </si>
  <si>
    <t>M= K+L-C</t>
  </si>
  <si>
    <t>K=F+(E * H)</t>
  </si>
  <si>
    <t>J=F+(D * H)</t>
  </si>
  <si>
    <t>M=F+(D * I)</t>
  </si>
  <si>
    <t>AF</t>
  </si>
  <si>
    <t>AI</t>
  </si>
  <si>
    <t>Prior to Rate Mitigation Proposal</t>
  </si>
  <si>
    <t>Year One: October 1, 2020 through October 31, 2021</t>
  </si>
  <si>
    <t>Year One: November 1, 2021 through October 31, 2022</t>
  </si>
  <si>
    <t>Incremental Revenue Requirement</t>
  </si>
  <si>
    <t>* held for future use</t>
  </si>
  <si>
    <t>Exh. RJW-1T</t>
  </si>
  <si>
    <t>Exh. KTW-1T</t>
  </si>
  <si>
    <t>Reference</t>
  </si>
  <si>
    <t>UG-20XXXX + PGA</t>
  </si>
  <si>
    <t>--&gt;Total split for 2 Years</t>
  </si>
  <si>
    <t>* to be spread to all schedules on an equal percent of margin, through the base rate</t>
  </si>
  <si>
    <t>Revenue Requirement to Spread - Settlement</t>
  </si>
  <si>
    <r>
      <rPr>
        <b/>
        <sz val="10"/>
        <rFont val="Calibri"/>
        <family val="2"/>
        <scheme val="minor"/>
      </rPr>
      <t>Step 2</t>
    </r>
    <r>
      <rPr>
        <sz val="10"/>
        <rFont val="Calibri"/>
        <family val="2"/>
        <scheme val="minor"/>
      </rPr>
      <t>: Rate Impacts - Settled Rate Spread w/ EDIT</t>
    </r>
  </si>
  <si>
    <r>
      <rPr>
        <b/>
        <sz val="10"/>
        <rFont val="Calibri"/>
        <family val="2"/>
        <scheme val="minor"/>
      </rPr>
      <t>Step 2</t>
    </r>
    <r>
      <rPr>
        <sz val="10"/>
        <rFont val="Calibri"/>
        <family val="2"/>
        <scheme val="minor"/>
      </rPr>
      <t>: Rate Impacts - Settled Rate Spread w/o EDIT</t>
    </r>
  </si>
  <si>
    <t>Rate Spread Settlement Notes:</t>
  </si>
  <si>
    <t>(Testimony References: Exh. RJW-1T)</t>
  </si>
  <si>
    <t>Rate Spread: UG-200994 Settled Rate Spread</t>
  </si>
  <si>
    <t>Rate Spread: UG-200994 - Attestation Adjustment</t>
  </si>
  <si>
    <t>Rate Spread: UG-200994 YEAR ONE FINAL SPREAD</t>
  </si>
  <si>
    <t>7a</t>
  </si>
  <si>
    <t>7b</t>
  </si>
  <si>
    <t>8b</t>
  </si>
  <si>
    <t>Proposed UG-200994 Revenue</t>
  </si>
  <si>
    <t>Proposed UG-200994 Margin</t>
  </si>
  <si>
    <r>
      <rPr>
        <b/>
        <sz val="10"/>
        <rFont val="Calibri"/>
        <family val="2"/>
        <scheme val="minor"/>
      </rPr>
      <t>Step 1</t>
    </r>
    <r>
      <rPr>
        <sz val="10"/>
        <rFont val="Calibri"/>
        <family val="2"/>
        <scheme val="minor"/>
      </rPr>
      <t>: Rate Impacts - Settled Rate Spread</t>
    </r>
  </si>
  <si>
    <t xml:space="preserve">Rate Spread: UG-200994 YEAR TWO FINAL </t>
  </si>
  <si>
    <t>Proposed UG-200994 Year 2 Margin</t>
  </si>
  <si>
    <t>UG-200994</t>
  </si>
  <si>
    <t>11/01/2021</t>
  </si>
  <si>
    <t>11/01/2022</t>
  </si>
  <si>
    <t>F = D+E</t>
  </si>
  <si>
    <t>Derivation of Rate Migitation Items Under Settled Rates</t>
  </si>
  <si>
    <t>Derivation of Rev Req Under Settled Rates</t>
  </si>
  <si>
    <t>Derivation of All Combined Items Under Settled Rates - YEAR TWO</t>
  </si>
  <si>
    <t>Calculation of Settled Rates - DETAIL</t>
  </si>
  <si>
    <t>Calculation of Settled Rates - SUMMARY</t>
  </si>
  <si>
    <t>UG-200994 + PGA</t>
  </si>
  <si>
    <t>Incremental Revenue Requirement Allocation by Rate Schedule - Revenue Requirement Effects</t>
  </si>
  <si>
    <t>Prior to Rate Mitigation</t>
  </si>
  <si>
    <t>Includes Rate Mitigation</t>
  </si>
  <si>
    <t>Base and Total Billing Rates by Rate Schedule and Block - Combined Effects</t>
  </si>
  <si>
    <t xml:space="preserve">UG-200994 
Base Rate </t>
  </si>
  <si>
    <t xml:space="preserve">UG-200994
 Base  + Temp Rate </t>
  </si>
  <si>
    <t>Total PGA Rate</t>
  </si>
  <si>
    <t>Monthly 
Base Charge</t>
  </si>
  <si>
    <t>Increase:
Base Rates</t>
  </si>
  <si>
    <t>Decrease:
Base Rates</t>
  </si>
  <si>
    <t>Decrease:
Base Rate</t>
  </si>
  <si>
    <t>Decrease:
Temporary Rate</t>
  </si>
  <si>
    <t>Total 
PGA + Year 1 GRC Rate</t>
  </si>
  <si>
    <t>UG-200994 + 2021-2022 PGA</t>
  </si>
  <si>
    <t>UG-200994 Tariff Base + Temp Rate</t>
  </si>
  <si>
    <t>Total 
PGA Rate</t>
  </si>
  <si>
    <t>UG-200994 + 2022-2023 PGA</t>
  </si>
  <si>
    <t>Total 
PGA + Year 2 GRC Rate</t>
  </si>
  <si>
    <t>--&gt; Margin allocation to 41CIS to match 41CSF and 42CIS.</t>
  </si>
  <si>
    <t>--&gt; Margin allocation to schedules with no customers, except 41CIS.</t>
  </si>
  <si>
    <r>
      <t xml:space="preserve">Impacts of Revenue Requirement items of $5.0M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</si>
  <si>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$3.0M, </t>
    </r>
    <r>
      <rPr>
        <i/>
        <u/>
        <sz val="10"/>
        <color rgb="FF0000FF"/>
        <rFont val="Calibri"/>
        <family val="2"/>
        <scheme val="minor"/>
      </rPr>
      <t>prior to</t>
    </r>
    <r>
      <rPr>
        <i/>
        <sz val="10"/>
        <color rgb="FF0000FF"/>
        <rFont val="Calibri"/>
        <family val="2"/>
        <scheme val="minor"/>
      </rPr>
      <t xml:space="preserve"> rate mitigation adjustment: Suspension of Historical Energy Efficiency Deferral,</t>
    </r>
  </si>
  <si>
    <t>credit of Block 24 property net gain on sale, and credit of Astoria Resource Center property net gain on sale.</t>
  </si>
  <si>
    <r>
      <t xml:space="preserve">NOTE </t>
    </r>
    <r>
      <rPr>
        <b/>
        <sz val="10"/>
        <rFont val="Calibri"/>
        <family val="2"/>
        <scheme val="minor"/>
      </rPr>
      <t>(1):</t>
    </r>
    <r>
      <rPr>
        <sz val="10"/>
        <rFont val="Calibri"/>
        <family val="2"/>
        <scheme val="minor"/>
      </rPr>
      <t xml:space="preserve"> Revenue Requirement spread to all rate schedules based on All-Party Settlement.</t>
    </r>
  </si>
  <si>
    <r>
      <rPr>
        <sz val="10"/>
        <color theme="0"/>
        <rFont val="Calibri"/>
        <family val="2"/>
        <scheme val="minor"/>
      </rPr>
      <t xml:space="preserve">NOTE:       </t>
    </r>
    <r>
      <rPr>
        <sz val="10"/>
        <rFont val="Calibri"/>
        <family val="2"/>
        <scheme val="minor"/>
      </rPr>
      <t>Therefore, there may be a small discrepancy with the All-Party settled revenue requirement.</t>
    </r>
  </si>
  <si>
    <r>
      <t xml:space="preserve">Impacts of Revenue Requirement items of $3.0M, </t>
    </r>
    <r>
      <rPr>
        <i/>
        <u/>
        <sz val="10"/>
        <color rgb="FF0000FF"/>
        <rFont val="Calibri"/>
        <family val="2"/>
        <scheme val="minor"/>
      </rPr>
      <t>including</t>
    </r>
    <r>
      <rPr>
        <i/>
        <sz val="10"/>
        <color rgb="FF0000FF"/>
        <rFont val="Calibri"/>
        <family val="2"/>
        <scheme val="minor"/>
      </rPr>
      <t xml:space="preserve"> rate mitigation adjustment: Suspension of Historical Energy Efficiency Deferral,</t>
    </r>
  </si>
  <si>
    <r>
      <t xml:space="preserve">NOTE </t>
    </r>
    <r>
      <rPr>
        <b/>
        <sz val="10"/>
        <rFont val="Calibri"/>
        <family val="2"/>
        <scheme val="minor"/>
      </rPr>
      <t>(2):</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</si>
  <si>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(3):</t>
    </r>
    <r>
      <rPr>
        <sz val="10"/>
        <rFont val="Calibri"/>
        <family val="2"/>
        <scheme val="minor"/>
      </rPr>
      <t xml:space="preserve"> Block 24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</si>
  <si>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Astoria Resource Center property net gain on sale spread to all rate schedules on equal percent of margin basis.  See Exh. RJW-1T.</t>
    </r>
  </si>
  <si>
    <t>M= A+C</t>
  </si>
  <si>
    <t>N=B+K</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</si>
  <si>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</si>
  <si>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t>Base and Total Billing Rates by Rate Schedule and Block - Revenue Requirement Effects</t>
  </si>
  <si>
    <t>Base and Total Billing Rates by Rate Schedule and Block - Revenue Requirement Effects with Rate Mitigation</t>
  </si>
  <si>
    <t>UG-200994 Increase:
Base Rates</t>
  </si>
  <si>
    <t>UG-200994 Decrease:
Base Rates</t>
  </si>
  <si>
    <t>Year One 
Rates</t>
  </si>
  <si>
    <t>Year Two 
Rates</t>
  </si>
  <si>
    <t>Year One  
Base + Temp Rates</t>
  </si>
  <si>
    <t>UG-200994 Decrease:
Temporary Rate</t>
  </si>
  <si>
    <t>Year Two
Base + Temp Rates</t>
  </si>
  <si>
    <t>G = A * B</t>
  </si>
  <si>
    <t>H = A * D</t>
  </si>
  <si>
    <t>I = A * F</t>
  </si>
  <si>
    <t>N = (J*K*12)+I</t>
  </si>
  <si>
    <t>M = (J*K*12)+H</t>
  </si>
  <si>
    <t>L = (J*K*12)+G</t>
  </si>
  <si>
    <t>&lt; based on pre Year 1 margin rates &gt;</t>
  </si>
  <si>
    <t>UG-200994 Washington Jurisdictional Rate Case</t>
  </si>
  <si>
    <t>UG- 200994 Washington Jurisdictional Rate Case</t>
  </si>
  <si>
    <t>Conservation Potential Assessment Deferral</t>
  </si>
  <si>
    <t>CPA</t>
  </si>
  <si>
    <t>Conservation Potential Assessment</t>
  </si>
  <si>
    <r>
      <t xml:space="preserve">Impacts of Revenue Requirement items of $5.0M (Incl. Plant EDIT Amortization Credits), </t>
    </r>
    <r>
      <rPr>
        <i/>
        <u/>
        <sz val="10"/>
        <color rgb="FF0000FF"/>
        <rFont val="Calibri"/>
        <family val="2"/>
        <scheme val="minor"/>
      </rPr>
      <t xml:space="preserve">prior to </t>
    </r>
    <r>
      <rPr>
        <i/>
        <sz val="10"/>
        <color rgb="FF0000FF"/>
        <rFont val="Calibri"/>
        <family val="2"/>
        <scheme val="minor"/>
      </rPr>
      <t>Conservation Potential Assessment Costs Deferral and</t>
    </r>
  </si>
  <si>
    <t xml:space="preserve"> rate mitigation adjustments: Suspension of Historical Energy Efficiency Deferraland credit of Block 24 property net gain on sale.</t>
  </si>
  <si>
    <t>rate mitigation adjustments: Suspension of Historical Energy Efficiency Deferral and credit of Block 24 property net gain on sale.</t>
  </si>
  <si>
    <t>CPA Deferral</t>
  </si>
  <si>
    <r>
      <t xml:space="preserve">Impacts of Revenue Requirement items of $5.0M (Incl. Plant EDIT Amortization Credits), </t>
    </r>
    <r>
      <rPr>
        <i/>
        <u/>
        <sz val="10"/>
        <color rgb="FF0000FF"/>
        <rFont val="Calibri"/>
        <family val="2"/>
        <scheme val="minor"/>
      </rPr>
      <t xml:space="preserve">including </t>
    </r>
    <r>
      <rPr>
        <i/>
        <sz val="10"/>
        <color rgb="FF0000FF"/>
        <rFont val="Calibri"/>
        <family val="2"/>
        <scheme val="minor"/>
      </rPr>
      <t>Conservation Potential Assessment (CPA) Costs Deferral and</t>
    </r>
  </si>
  <si>
    <t>Revenue
Increase 
(%)</t>
  </si>
  <si>
    <t>Margin Revenue 
at 
Year 1
Rates</t>
  </si>
  <si>
    <t>Total Revenue
 at 
Year 1
Rates</t>
  </si>
  <si>
    <t>Total Revenue 
at 
Year 1
Rates</t>
  </si>
  <si>
    <t>Margin Revenue 
at 
Year 2
Rates</t>
  </si>
  <si>
    <t>Total Revenue
 at 
Year 2
Rates</t>
  </si>
  <si>
    <t>M=C+E</t>
  </si>
  <si>
    <t>O=C+E+G+I+K</t>
  </si>
  <si>
    <t>Q= A+M</t>
  </si>
  <si>
    <t>R=B+O</t>
  </si>
  <si>
    <t>Increase:
Temporary Rate</t>
  </si>
  <si>
    <t>Conservation Potential Assessment (CPA)</t>
  </si>
  <si>
    <t>(7)</t>
  </si>
  <si>
    <r>
      <t xml:space="preserve">NOTE </t>
    </r>
    <r>
      <rPr>
        <b/>
        <sz val="10"/>
        <rFont val="Calibri"/>
        <family val="2"/>
        <scheme val="minor"/>
      </rPr>
      <t>(5):</t>
    </r>
    <r>
      <rPr>
        <sz val="10"/>
        <rFont val="Calibri"/>
        <family val="2"/>
        <scheme val="minor"/>
      </rPr>
      <t xml:space="preserve"> Conservation Potential Assessment (CPA) Costs spread to all rate schedules on equal percent of margin basis.  See UG-210085 Petition for Deferred Accounting.</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</si>
  <si>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</si>
  <si>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r>
      <t>NOTE</t>
    </r>
    <r>
      <rPr>
        <b/>
        <sz val="10"/>
        <rFont val="Calibri"/>
        <family val="2"/>
        <scheme val="minor"/>
      </rPr>
      <t xml:space="preserve"> (7):</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</si>
  <si>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t>O=C+E+G+K</t>
  </si>
  <si>
    <t>Margin
Decrease 
(%)</t>
  </si>
  <si>
    <t>UG-200994 Increase:
Temporary Rate</t>
  </si>
  <si>
    <t>S = O+P+Q+R</t>
  </si>
  <si>
    <t>X=S+T+U+V+W-(P+Q+R)</t>
  </si>
  <si>
    <t>Year 1 Incremental Revenue Requirement Allocation by Rate Schedule - Revenue Requirement Effects Including Rate Mitigation</t>
  </si>
  <si>
    <t>Year 1 Rate Credit by Rate Schedule Due to Revenue Requirement Rate Mitigation</t>
  </si>
  <si>
    <t>Year 2 Rate Credit by Rate Schedule Due to Revenue Requirement Rate Mitigation</t>
  </si>
  <si>
    <r>
      <t xml:space="preserve">NOTE </t>
    </r>
    <r>
      <rPr>
        <b/>
        <sz val="10"/>
        <rFont val="Calibri"/>
        <family val="2"/>
        <scheme val="minor"/>
      </rPr>
      <t>(1):</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</si>
  <si>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(2):</t>
    </r>
    <r>
      <rPr>
        <sz val="10"/>
        <rFont val="Calibri"/>
        <family val="2"/>
        <scheme val="minor"/>
      </rPr>
      <t xml:space="preserve"> Block 24 property net gain on sale spread to all rate schedules on equal percent of margin basis.  See Exh. RJW-1T.</t>
    </r>
  </si>
  <si>
    <t>Historical Energy Efficiency</t>
  </si>
  <si>
    <t>Block 24 Gain on Sale</t>
  </si>
  <si>
    <t>Impacts of Year 1 revenue requirement rate mitigation adjustments:</t>
  </si>
  <si>
    <t>Suspension of Historical Energy Efficiency Deferral and credit of Block 24 property net gain on sale.</t>
  </si>
  <si>
    <t>Impacts of Year 2 revenue requirement rate mitigation adjustments:</t>
  </si>
  <si>
    <t>Suspension of Historical Energy Efficiency Deferral, credit of Block 24 property net gain on sale, and credit of Astoria Resource Center property net gain on sale.</t>
  </si>
  <si>
    <t>Astoria Property Gain on Sale</t>
  </si>
  <si>
    <r>
      <t xml:space="preserve">NOTE </t>
    </r>
    <r>
      <rPr>
        <b/>
        <sz val="10"/>
        <rFont val="Calibri"/>
        <family val="2"/>
        <scheme val="minor"/>
      </rPr>
      <t>(3):</t>
    </r>
    <r>
      <rPr>
        <sz val="10"/>
        <rFont val="Calibri"/>
        <family val="2"/>
        <scheme val="minor"/>
      </rPr>
      <t xml:space="preserve"> Astoria Resource Center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</si>
  <si>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The proposed margin revenue increase is based on volumetric billing rates rounded to the fifth decimal as necessitated by the Company's tariff.</t>
    </r>
  </si>
  <si>
    <t>Multi-Party Settlement Agreement - Attachment 2</t>
  </si>
  <si>
    <r>
      <t xml:space="preserve">NOTE </t>
    </r>
    <r>
      <rPr>
        <b/>
        <sz val="10"/>
        <rFont val="Calibri"/>
        <family val="2"/>
        <scheme val="minor"/>
      </rPr>
      <t>(1):</t>
    </r>
    <r>
      <rPr>
        <sz val="10"/>
        <rFont val="Calibri"/>
        <family val="2"/>
        <scheme val="minor"/>
      </rPr>
      <t xml:space="preserve"> Revenue Requirement spread to all rate schedules based on Multi-Party Settlement.</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</si>
  <si>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</si>
  <si>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</si>
  <si>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Multi-Party Settlement Agreement - Attachment </t>
    </r>
    <r>
      <rPr>
        <b/>
        <sz val="10"/>
        <color rgb="FFFF0000"/>
        <rFont val="Calibri"/>
        <family val="2"/>
        <scheme val="minor"/>
      </rPr>
      <t>XXX</t>
    </r>
  </si>
  <si>
    <r>
      <rPr>
        <sz val="10"/>
        <color theme="0"/>
        <rFont val="Calibri"/>
        <family val="2"/>
        <scheme val="minor"/>
      </rPr>
      <t xml:space="preserve">NOTE (3): </t>
    </r>
    <r>
      <rPr>
        <sz val="10"/>
        <rFont val="Calibri"/>
        <family val="2"/>
        <scheme val="minor"/>
      </rPr>
      <t>Therefore, there may be a small discrepancy with the Multi-Party settled revenue requirement.</t>
    </r>
  </si>
  <si>
    <t>P=C+E</t>
  </si>
  <si>
    <t>R=C+E+G+J+M</t>
  </si>
  <si>
    <t>T= A+P</t>
  </si>
  <si>
    <t>U=B+R</t>
  </si>
  <si>
    <t>P= C+E+H+K</t>
  </si>
  <si>
    <t>R= A+C</t>
  </si>
  <si>
    <t>S=B+P</t>
  </si>
  <si>
    <t>UG-200994, UG-200995, UG-200996 &amp; UG-210085</t>
  </si>
  <si>
    <t>Year 2 Incremental Revenue Requirement Allocation by Rate Schedule - Revenue Requirement Effects Including Rate Mitigation</t>
  </si>
  <si>
    <t>* to be spread to all schedules per multi-party settlement position</t>
  </si>
  <si>
    <t>SPREAD REVENUE REQUIREMENT INCREMENT BASED ON SETTLEMENT</t>
  </si>
  <si>
    <t>WA PGA</t>
  </si>
  <si>
    <t>Net Change WACOG</t>
  </si>
  <si>
    <t>Net Change Demand</t>
  </si>
  <si>
    <t>Net Change Temps</t>
  </si>
  <si>
    <t>L=F+(D * I)</t>
  </si>
  <si>
    <t>AO</t>
  </si>
  <si>
    <t>AU</t>
  </si>
  <si>
    <t>AV</t>
  </si>
  <si>
    <t>AX</t>
  </si>
  <si>
    <t>AY</t>
  </si>
  <si>
    <t>AZ</t>
  </si>
  <si>
    <t>AQ = AL…AP</t>
  </si>
  <si>
    <t>AK=AG...AJ</t>
  </si>
  <si>
    <t>AX = AR…AV</t>
  </si>
  <si>
    <t>UG 200994</t>
  </si>
  <si>
    <t>Billing Rate</t>
  </si>
  <si>
    <t>Updated from PGA</t>
  </si>
  <si>
    <t>Pipeline Capacity Rate (Demand) [1]</t>
  </si>
  <si>
    <t>UG-200994, UG-210698, UG-210699, UG-170094, UG-210555 &amp; UG-210701</t>
  </si>
  <si>
    <t>H=D+(F * C)</t>
  </si>
  <si>
    <t>I=D+(G * C)</t>
  </si>
  <si>
    <t>K=E+(J*C)</t>
  </si>
  <si>
    <t>L=(K-H)/H</t>
  </si>
  <si>
    <t>O=(N-I)/I</t>
  </si>
  <si>
    <t>N=(E+(M*C)</t>
  </si>
  <si>
    <t>[1] Rate Schedule 41 and 42 customers may choose demand charges at a volumetric rate or based on MDDV. For convenience of presentation, demand charges are not inlcuded in the calculations for those schedules.</t>
  </si>
  <si>
    <t>add revenue sensitive factor</t>
  </si>
  <si>
    <t>rev sensitive factor is built in</t>
  </si>
  <si>
    <t>Rate Spread SETTLEMENT</t>
  </si>
  <si>
    <r>
      <t xml:space="preserve">Revenue Requirement to Spread - </t>
    </r>
    <r>
      <rPr>
        <b/>
        <sz val="10"/>
        <rFont val="Calibri"/>
        <family val="2"/>
        <scheme val="minor"/>
      </rPr>
      <t>YEAR 1</t>
    </r>
  </si>
  <si>
    <r>
      <t xml:space="preserve">Revenue Requirement to Spread - </t>
    </r>
    <r>
      <rPr>
        <b/>
        <sz val="10"/>
        <rFont val="Calibri"/>
        <family val="2"/>
        <scheme val="minor"/>
      </rPr>
      <t>YEAR 2</t>
    </r>
  </si>
  <si>
    <t>RATE SPREAD SETTLEMENT - YEAR 1</t>
  </si>
  <si>
    <t>RATE SPREAD SETTLEMENT - YEAR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</si>
</sst>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 numFmtId="252" formatCode="_(* #,##0.0000_);_(* \(#,##0.0000\);_(* &quot;-&quot;??_);_(@_)"/>
  </numFmts>
  <fonts count="229"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u/>
      <sz val="11"/>
      <color rgb="FFC00000"/>
      <name val="Calibri"/>
      <family val="2"/>
      <scheme val="minor"/>
    </font>
    <font>
      <sz val="11"/>
      <color rgb="FFC000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
      <sz val="10"/>
      <name val="Times New Roman"/>
      <family val="1"/>
    </font>
  </fonts>
  <fills count="16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rgb="FFFFCCCC"/>
        <bgColor indexed="64"/>
      </patternFill>
    </fill>
    <fill>
      <patternFill patternType="solid">
        <fgColor rgb="FFFFFF00"/>
        <bgColor indexed="64"/>
      </patternFill>
    </fill>
    <fill>
      <patternFill patternType="solid">
        <fgColor rgb="FFFFFF99"/>
        <bgColor indexed="64"/>
      </patternFill>
    </fill>
  </fills>
  <borders count="129">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dashed">
        <color indexed="64"/>
      </left>
      <right style="hair">
        <color indexed="64"/>
      </right>
      <top style="medium">
        <color indexed="64"/>
      </top>
      <bottom style="thin">
        <color indexed="64"/>
      </bottom>
      <diagonal/>
    </border>
    <border>
      <left style="dashed">
        <color indexed="64"/>
      </left>
      <right style="hair">
        <color indexed="64"/>
      </right>
      <top/>
      <bottom/>
      <diagonal/>
    </border>
    <border>
      <left style="dashed">
        <color indexed="64"/>
      </left>
      <right style="hair">
        <color indexed="64"/>
      </right>
      <top style="thin">
        <color indexed="64"/>
      </top>
      <bottom style="medium">
        <color indexed="64"/>
      </bottom>
      <diagonal/>
    </border>
    <border>
      <left/>
      <right style="hair">
        <color indexed="64"/>
      </right>
      <top/>
      <bottom/>
      <diagonal/>
    </border>
  </borders>
  <cellStyleXfs count="56368">
    <xf numFmtId="0" fontId="0"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175" fontId="8" fillId="0" borderId="0" applyFont="0" applyFill="0" applyBorder="0" applyAlignment="0" applyProtection="0"/>
    <xf numFmtId="9" fontId="8" fillId="0" borderId="0" applyFont="0" applyFill="0" applyBorder="0" applyAlignment="0" applyProtection="0"/>
    <xf numFmtId="0" fontId="17"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8" fillId="12"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8" fillId="5"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8" fillId="14" borderId="0" applyNumberFormat="0" applyBorder="0" applyAlignment="0" applyProtection="0"/>
    <xf numFmtId="1" fontId="19" fillId="0" borderId="24">
      <alignment vertical="top"/>
    </xf>
    <xf numFmtId="43" fontId="20"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alignment vertical="top"/>
    </xf>
    <xf numFmtId="177" fontId="8" fillId="0" borderId="0" applyFont="0" applyFill="0" applyBorder="0" applyAlignment="0" applyProtection="0">
      <alignment vertical="top"/>
    </xf>
    <xf numFmtId="174" fontId="21" fillId="0" borderId="0"/>
    <xf numFmtId="5" fontId="8" fillId="0" borderId="0">
      <alignment vertical="top"/>
    </xf>
    <xf numFmtId="44" fontId="20" fillId="0" borderId="0" applyFont="0" applyFill="0" applyBorder="0" applyAlignment="0" applyProtection="0"/>
    <xf numFmtId="44" fontId="8" fillId="0" borderId="0" applyFont="0" applyFill="0" applyBorder="0" applyAlignment="0" applyProtection="0"/>
    <xf numFmtId="178" fontId="8" fillId="0" borderId="0" applyFont="0" applyFill="0" applyBorder="0" applyAlignment="0" applyProtection="0"/>
    <xf numFmtId="5" fontId="8" fillId="0" borderId="0" applyFont="0" applyFill="0" applyBorder="0" applyAlignment="0" applyProtection="0">
      <alignment vertical="top"/>
    </xf>
    <xf numFmtId="177" fontId="8" fillId="0" borderId="0">
      <alignment vertical="top"/>
    </xf>
    <xf numFmtId="15" fontId="8" fillId="0" borderId="0" applyFont="0" applyFill="0" applyBorder="0" applyAlignment="0" applyProtection="0">
      <alignment vertical="top"/>
    </xf>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179" fontId="23" fillId="0" borderId="0">
      <protection locked="0"/>
    </xf>
    <xf numFmtId="174" fontId="11" fillId="0" borderId="0"/>
    <xf numFmtId="0" fontId="24" fillId="0" borderId="0">
      <protection locked="0"/>
    </xf>
    <xf numFmtId="0" fontId="24" fillId="0" borderId="0">
      <protection locked="0"/>
    </xf>
    <xf numFmtId="180" fontId="11" fillId="0" borderId="0"/>
    <xf numFmtId="181" fontId="11" fillId="0" borderId="0"/>
    <xf numFmtId="0" fontId="20" fillId="0" borderId="0"/>
    <xf numFmtId="10" fontId="8" fillId="0" borderId="0" applyFont="0" applyFill="0" applyBorder="0" applyAlignment="0" applyProtection="0">
      <alignment vertical="top"/>
    </xf>
    <xf numFmtId="182" fontId="25" fillId="0" borderId="0"/>
    <xf numFmtId="4" fontId="26" fillId="18" borderId="45" applyNumberFormat="0" applyProtection="0">
      <alignment vertical="center"/>
    </xf>
    <xf numFmtId="4" fontId="27" fillId="18" borderId="45" applyNumberFormat="0" applyProtection="0">
      <alignment vertical="center"/>
    </xf>
    <xf numFmtId="4" fontId="26" fillId="18" borderId="45" applyNumberFormat="0" applyProtection="0">
      <alignment horizontal="left" vertical="center" indent="1"/>
    </xf>
    <xf numFmtId="0" fontId="26" fillId="18" borderId="45" applyNumberFormat="0" applyProtection="0">
      <alignment horizontal="left" vertical="top" indent="1"/>
    </xf>
    <xf numFmtId="4" fontId="26" fillId="19" borderId="0" applyNumberFormat="0" applyProtection="0">
      <alignment horizontal="left" vertical="center" indent="1"/>
    </xf>
    <xf numFmtId="4" fontId="28" fillId="20" borderId="45" applyNumberFormat="0" applyProtection="0">
      <alignment horizontal="right" vertical="center"/>
    </xf>
    <xf numFmtId="4" fontId="28" fillId="21" borderId="45" applyNumberFormat="0" applyProtection="0">
      <alignment horizontal="right" vertical="center"/>
    </xf>
    <xf numFmtId="4" fontId="28" fillId="22" borderId="45" applyNumberFormat="0" applyProtection="0">
      <alignment horizontal="right" vertical="center"/>
    </xf>
    <xf numFmtId="4" fontId="28" fillId="23" borderId="45" applyNumberFormat="0" applyProtection="0">
      <alignment horizontal="right" vertical="center"/>
    </xf>
    <xf numFmtId="4" fontId="28" fillId="24" borderId="45" applyNumberFormat="0" applyProtection="0">
      <alignment horizontal="right" vertical="center"/>
    </xf>
    <xf numFmtId="4" fontId="28" fillId="25" borderId="45" applyNumberFormat="0" applyProtection="0">
      <alignment horizontal="right" vertical="center"/>
    </xf>
    <xf numFmtId="4" fontId="28" fillId="26" borderId="45" applyNumberFormat="0" applyProtection="0">
      <alignment horizontal="right" vertical="center"/>
    </xf>
    <xf numFmtId="4" fontId="28" fillId="27" borderId="45" applyNumberFormat="0" applyProtection="0">
      <alignment horizontal="right" vertical="center"/>
    </xf>
    <xf numFmtId="4" fontId="28" fillId="28" borderId="45" applyNumberFormat="0" applyProtection="0">
      <alignment horizontal="right" vertical="center"/>
    </xf>
    <xf numFmtId="4" fontId="26" fillId="29" borderId="46" applyNumberFormat="0" applyProtection="0">
      <alignment horizontal="left" vertical="center" indent="1"/>
    </xf>
    <xf numFmtId="4" fontId="28" fillId="30" borderId="0" applyNumberFormat="0" applyProtection="0">
      <alignment horizontal="left" vertical="center" indent="1"/>
    </xf>
    <xf numFmtId="4" fontId="29" fillId="31" borderId="0" applyNumberFormat="0" applyProtection="0">
      <alignment horizontal="left" vertical="center" indent="1"/>
    </xf>
    <xf numFmtId="4" fontId="28" fillId="19" borderId="45" applyNumberFormat="0" applyProtection="0">
      <alignment horizontal="right" vertical="center"/>
    </xf>
    <xf numFmtId="4" fontId="28" fillId="30" borderId="0" applyNumberFormat="0" applyProtection="0">
      <alignment horizontal="left" vertical="center" indent="1"/>
    </xf>
    <xf numFmtId="4" fontId="28" fillId="19" borderId="0" applyNumberFormat="0" applyProtection="0">
      <alignment horizontal="left" vertical="center" indent="1"/>
    </xf>
    <xf numFmtId="0" fontId="8" fillId="31" borderId="45" applyNumberFormat="0" applyProtection="0">
      <alignment horizontal="left" vertical="center" indent="1"/>
    </xf>
    <xf numFmtId="0" fontId="8" fillId="31" borderId="45" applyNumberFormat="0" applyProtection="0">
      <alignment horizontal="left" vertical="top" indent="1"/>
    </xf>
    <xf numFmtId="0" fontId="8" fillId="19" borderId="45" applyNumberFormat="0" applyProtection="0">
      <alignment horizontal="left" vertical="center" indent="1"/>
    </xf>
    <xf numFmtId="0" fontId="8" fillId="19" borderId="45" applyNumberFormat="0" applyProtection="0">
      <alignment horizontal="left" vertical="top" indent="1"/>
    </xf>
    <xf numFmtId="0" fontId="8" fillId="32" borderId="45" applyNumberFormat="0" applyProtection="0">
      <alignment horizontal="left" vertical="center" indent="1"/>
    </xf>
    <xf numFmtId="0" fontId="8" fillId="32" borderId="45" applyNumberFormat="0" applyProtection="0">
      <alignment horizontal="left" vertical="top" indent="1"/>
    </xf>
    <xf numFmtId="0" fontId="8" fillId="30" borderId="45" applyNumberFormat="0" applyProtection="0">
      <alignment horizontal="left" vertical="center" indent="1"/>
    </xf>
    <xf numFmtId="0" fontId="8" fillId="30" borderId="45" applyNumberFormat="0" applyProtection="0">
      <alignment horizontal="left" vertical="top" indent="1"/>
    </xf>
    <xf numFmtId="177" fontId="8" fillId="33" borderId="38" applyNumberFormat="0">
      <protection locked="0"/>
    </xf>
    <xf numFmtId="4" fontId="28" fillId="34" borderId="45" applyNumberFormat="0" applyProtection="0">
      <alignment vertical="center"/>
    </xf>
    <xf numFmtId="4" fontId="30" fillId="34" borderId="45" applyNumberFormat="0" applyProtection="0">
      <alignment vertical="center"/>
    </xf>
    <xf numFmtId="4" fontId="28" fillId="34" borderId="45" applyNumberFormat="0" applyProtection="0">
      <alignment horizontal="left" vertical="center" indent="1"/>
    </xf>
    <xf numFmtId="0" fontId="28" fillId="34" borderId="45" applyNumberFormat="0" applyProtection="0">
      <alignment horizontal="left" vertical="top" indent="1"/>
    </xf>
    <xf numFmtId="4" fontId="28" fillId="30" borderId="45" applyNumberFormat="0" applyProtection="0">
      <alignment horizontal="right" vertical="center"/>
    </xf>
    <xf numFmtId="4" fontId="30" fillId="30" borderId="45" applyNumberFormat="0" applyProtection="0">
      <alignment horizontal="right" vertical="center"/>
    </xf>
    <xf numFmtId="4" fontId="28" fillId="19" borderId="45" applyNumberFormat="0" applyProtection="0">
      <alignment horizontal="left" vertical="center" indent="1"/>
    </xf>
    <xf numFmtId="0" fontId="28" fillId="19" borderId="45" applyNumberFormat="0" applyProtection="0">
      <alignment horizontal="left" vertical="top" indent="1"/>
    </xf>
    <xf numFmtId="4" fontId="31" fillId="35" borderId="0" applyNumberFormat="0" applyProtection="0">
      <alignment horizontal="left" vertical="center" indent="1"/>
    </xf>
    <xf numFmtId="4" fontId="32" fillId="30" borderId="45" applyNumberFormat="0" applyProtection="0">
      <alignment horizontal="right" vertical="center"/>
    </xf>
    <xf numFmtId="0" fontId="33" fillId="0" borderId="0" applyNumberFormat="0" applyFill="0" applyBorder="0" applyAlignment="0" applyProtection="0"/>
    <xf numFmtId="182" fontId="34" fillId="0" borderId="0"/>
    <xf numFmtId="174" fontId="10" fillId="0" borderId="0"/>
    <xf numFmtId="182" fontId="35" fillId="36" borderId="0" applyFont="0" applyBorder="0" applyAlignment="0">
      <alignment vertical="top" wrapText="1"/>
    </xf>
    <xf numFmtId="182" fontId="36" fillId="36" borderId="47" applyBorder="0">
      <alignment horizontal="right" vertical="top" wrapText="1"/>
    </xf>
    <xf numFmtId="182" fontId="19" fillId="0" borderId="34" applyAlignment="0">
      <alignment horizontal="right"/>
    </xf>
    <xf numFmtId="180" fontId="19" fillId="0" borderId="34" applyAlignment="0"/>
    <xf numFmtId="181" fontId="19" fillId="0" borderId="34" applyAlignment="0"/>
    <xf numFmtId="0" fontId="9" fillId="0" borderId="34" applyFont="0" applyFill="0" applyBorder="0" applyAlignment="0" applyProtection="0"/>
    <xf numFmtId="0" fontId="5" fillId="0" borderId="0"/>
    <xf numFmtId="0" fontId="8" fillId="0" borderId="0"/>
    <xf numFmtId="185" fontId="6" fillId="0" borderId="0"/>
    <xf numFmtId="0" fontId="48" fillId="0" borderId="0" applyNumberFormat="0" applyFill="0" applyBorder="0" applyAlignment="0" applyProtection="0"/>
    <xf numFmtId="0" fontId="49" fillId="0" borderId="57" applyNumberFormat="0" applyFill="0" applyAlignment="0" applyProtection="0"/>
    <xf numFmtId="0" fontId="50" fillId="0" borderId="58" applyNumberFormat="0" applyFill="0" applyAlignment="0" applyProtection="0"/>
    <xf numFmtId="0" fontId="51" fillId="0" borderId="59" applyNumberFormat="0" applyFill="0" applyAlignment="0" applyProtection="0"/>
    <xf numFmtId="0" fontId="51" fillId="0" borderId="0" applyNumberFormat="0" applyFill="0" applyBorder="0" applyAlignment="0" applyProtection="0"/>
    <xf numFmtId="0" fontId="52" fillId="40" borderId="0" applyNumberFormat="0" applyBorder="0" applyAlignment="0" applyProtection="0"/>
    <xf numFmtId="0" fontId="53" fillId="41" borderId="0" applyNumberFormat="0" applyBorder="0" applyAlignment="0" applyProtection="0"/>
    <xf numFmtId="0" fontId="54" fillId="42" borderId="0" applyNumberFormat="0" applyBorder="0" applyAlignment="0" applyProtection="0"/>
    <xf numFmtId="0" fontId="55" fillId="43" borderId="60" applyNumberFormat="0" applyAlignment="0" applyProtection="0"/>
    <xf numFmtId="0" fontId="56" fillId="44" borderId="61" applyNumberFormat="0" applyAlignment="0" applyProtection="0"/>
    <xf numFmtId="0" fontId="57" fillId="44" borderId="60" applyNumberFormat="0" applyAlignment="0" applyProtection="0"/>
    <xf numFmtId="0" fontId="58" fillId="0" borderId="62" applyNumberFormat="0" applyFill="0" applyAlignment="0" applyProtection="0"/>
    <xf numFmtId="0" fontId="59" fillId="45" borderId="63"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45" fillId="0" borderId="65" applyNumberFormat="0" applyFill="0" applyAlignment="0" applyProtection="0"/>
    <xf numFmtId="0" fontId="62"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62"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62"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62" fillId="59"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62"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62" fillId="67"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0" borderId="0"/>
    <xf numFmtId="43" fontId="4" fillId="0" borderId="0" applyFont="0" applyFill="0" applyBorder="0" applyAlignment="0" applyProtection="0"/>
    <xf numFmtId="0" fontId="4" fillId="46" borderId="64" applyNumberFormat="0" applyFont="0" applyAlignment="0" applyProtection="0"/>
    <xf numFmtId="9" fontId="4" fillId="0" borderId="0" applyFont="0" applyFill="0" applyBorder="0" applyAlignment="0" applyProtection="0"/>
    <xf numFmtId="0" fontId="20" fillId="0" borderId="0"/>
    <xf numFmtId="0" fontId="20" fillId="0" borderId="0"/>
    <xf numFmtId="0" fontId="63" fillId="0" borderId="0"/>
    <xf numFmtId="43" fontId="63" fillId="0" borderId="0" applyFont="0" applyFill="0" applyBorder="0" applyAlignment="0" applyProtection="0"/>
    <xf numFmtId="9" fontId="63" fillId="0" borderId="0" applyFont="0" applyFill="0" applyBorder="0" applyAlignment="0" applyProtection="0"/>
    <xf numFmtId="0" fontId="6" fillId="0" borderId="0"/>
    <xf numFmtId="43" fontId="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8" fillId="0" borderId="0"/>
    <xf numFmtId="0" fontId="17" fillId="71"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7" fillId="2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7" fillId="7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7" fillId="73"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7" fillId="7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7" fillId="75"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17" fillId="3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7" fillId="21"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7" fillId="28"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7" fillId="73"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17" fillId="32"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7" fillId="2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8" fillId="76" borderId="0" applyNumberFormat="0" applyBorder="0" applyAlignment="0" applyProtection="0"/>
    <xf numFmtId="0" fontId="18" fillId="21" borderId="0" applyNumberFormat="0" applyBorder="0" applyAlignment="0" applyProtection="0"/>
    <xf numFmtId="0" fontId="18" fillId="28" borderId="0" applyNumberFormat="0" applyBorder="0" applyAlignment="0" applyProtection="0"/>
    <xf numFmtId="0" fontId="18" fillId="77" borderId="0" applyNumberFormat="0" applyBorder="0" applyAlignment="0" applyProtection="0"/>
    <xf numFmtId="0" fontId="18" fillId="78" borderId="0" applyNumberFormat="0" applyBorder="0" applyAlignment="0" applyProtection="0"/>
    <xf numFmtId="0" fontId="18" fillId="24"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4"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0"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11"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9"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9"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1"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9"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9"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9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9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3"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3"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187" fontId="8" fillId="94" borderId="68">
      <alignment horizontal="center" vertical="center"/>
    </xf>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9" fillId="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9" fillId="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1" fillId="96" borderId="70" applyNumberFormat="0" applyAlignment="0" applyProtection="0"/>
    <xf numFmtId="0" fontId="70" fillId="95" borderId="69" applyNumberFormat="0" applyAlignment="0" applyProtection="0"/>
    <xf numFmtId="0" fontId="70" fillId="95" borderId="69" applyNumberFormat="0" applyAlignment="0" applyProtection="0"/>
    <xf numFmtId="0" fontId="71" fillId="96" borderId="70"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1" fillId="96" borderId="70" applyNumberFormat="0" applyAlignment="0" applyProtection="0"/>
    <xf numFmtId="0" fontId="71" fillId="96" borderId="70" applyNumberFormat="0" applyAlignment="0" applyProtection="0"/>
    <xf numFmtId="0" fontId="71" fillId="96" borderId="70"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9"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9"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9" borderId="71" applyNumberFormat="0" applyAlignment="0" applyProtection="0"/>
    <xf numFmtId="0" fontId="72" fillId="9" borderId="71" applyNumberFormat="0" applyAlignment="0" applyProtection="0"/>
    <xf numFmtId="0" fontId="72" fillId="9"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8" fillId="0" borderId="0">
      <alignment vertical="top"/>
    </xf>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8"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4" fontId="8" fillId="0" borderId="0" applyFill="0" applyBorder="0" applyProtection="0">
      <alignment horizontal="right" vertical="top"/>
    </xf>
    <xf numFmtId="4" fontId="3" fillId="0" borderId="0" applyFill="0" applyBorder="0" applyProtection="0">
      <alignment horizontal="right" vertical="top"/>
    </xf>
    <xf numFmtId="0" fontId="73" fillId="0" borderId="0"/>
    <xf numFmtId="0" fontId="73" fillId="0" borderId="0"/>
    <xf numFmtId="37" fontId="74" fillId="0" borderId="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75" fillId="0" borderId="0" applyFont="0" applyFill="0" applyBorder="0" applyAlignment="0" applyProtection="0">
      <alignment vertical="top"/>
    </xf>
    <xf numFmtId="0" fontId="73" fillId="0" borderId="0"/>
    <xf numFmtId="0" fontId="8" fillId="0" borderId="0" applyFont="0" applyFill="0" applyBorder="0" applyAlignment="0" applyProtection="0">
      <alignment vertical="top"/>
    </xf>
    <xf numFmtId="0" fontId="73" fillId="0" borderId="0"/>
    <xf numFmtId="0" fontId="73" fillId="0" borderId="0"/>
    <xf numFmtId="5" fontId="3" fillId="0" borderId="0">
      <alignment vertical="top"/>
    </xf>
    <xf numFmtId="44" fontId="8"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7" fontId="3" fillId="0" borderId="0" applyFont="0" applyFill="0" applyBorder="0" applyAlignment="0" applyProtection="0">
      <alignment vertical="top"/>
    </xf>
    <xf numFmtId="178" fontId="8" fillId="0" borderId="0" applyFont="0" applyFill="0" applyBorder="0" applyAlignment="0" applyProtection="0"/>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37" fontId="74" fillId="0" borderId="0" applyFill="0" applyBorder="0" applyAlignment="0" applyProtection="0">
      <alignment vertical="top"/>
    </xf>
    <xf numFmtId="0" fontId="8" fillId="0" borderId="0">
      <alignment vertical="top"/>
    </xf>
    <xf numFmtId="15" fontId="8" fillId="0" borderId="0" applyFont="0" applyFill="0" applyBorder="0" applyAlignment="0" applyProtection="0">
      <alignment vertical="top"/>
    </xf>
    <xf numFmtId="0" fontId="23" fillId="0" borderId="0">
      <protection locked="0"/>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3" fillId="0" borderId="0" applyFont="0" applyFill="0" applyBorder="0" applyAlignment="0" applyProtection="0">
      <alignment vertical="top"/>
    </xf>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76" fillId="0" borderId="0" applyNumberFormat="0" applyFill="0" applyBorder="0" applyAlignment="0" applyProtection="0"/>
    <xf numFmtId="2" fontId="8" fillId="0" borderId="0" applyFont="0" applyFill="0" applyBorder="0" applyAlignment="0" applyProtection="0">
      <alignment vertical="top"/>
    </xf>
    <xf numFmtId="0" fontId="73"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77" fillId="99"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77" fillId="99"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38" fontId="11" fillId="2" borderId="0" applyNumberFormat="0" applyBorder="0" applyAlignment="0" applyProtection="0"/>
    <xf numFmtId="0" fontId="78" fillId="0" borderId="0" applyNumberFormat="0" applyFill="0" applyBorder="0" applyAlignment="0" applyProtection="0"/>
    <xf numFmtId="0" fontId="10" fillId="0" borderId="29" applyNumberFormat="0" applyAlignment="0" applyProtection="0">
      <alignment horizontal="left" vertical="center"/>
    </xf>
    <xf numFmtId="0" fontId="10" fillId="0" borderId="27">
      <alignment horizontal="left" vertical="center"/>
    </xf>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49" fillId="0" borderId="57"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4"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4"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6"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6"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189" fontId="8" fillId="0" borderId="0">
      <protection locked="0"/>
    </xf>
    <xf numFmtId="189" fontId="8" fillId="0" borderId="0">
      <protection locked="0"/>
    </xf>
    <xf numFmtId="0" fontId="8" fillId="0" borderId="0">
      <alignment horizontal="right" vertical="top"/>
    </xf>
    <xf numFmtId="0" fontId="82" fillId="0" borderId="0">
      <alignment vertical="top"/>
    </xf>
    <xf numFmtId="0" fontId="67" fillId="0" borderId="77" applyNumberFormat="0" applyFill="0" applyAlignment="0" applyProtection="0"/>
    <xf numFmtId="10" fontId="11" fillId="100" borderId="38" applyNumberFormat="0" applyBorder="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70"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70"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70" applyNumberFormat="0" applyAlignment="0" applyProtection="0"/>
    <xf numFmtId="0" fontId="83" fillId="14" borderId="70" applyNumberFormat="0" applyAlignment="0" applyProtection="0"/>
    <xf numFmtId="0" fontId="83" fillId="14" borderId="70"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84" fillId="0" borderId="79"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84" fillId="0" borderId="79"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84" fillId="0" borderId="79" applyNumberFormat="0" applyFill="0" applyAlignment="0" applyProtection="0"/>
    <xf numFmtId="0" fontId="84" fillId="0" borderId="79" applyNumberFormat="0" applyFill="0" applyAlignment="0" applyProtection="0"/>
    <xf numFmtId="0" fontId="84" fillId="0" borderId="79"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5"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5"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37" fontId="86" fillId="0" borderId="0"/>
    <xf numFmtId="190" fontId="8"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8" fillId="0" borderId="0"/>
    <xf numFmtId="0" fontId="11" fillId="101" borderId="0"/>
    <xf numFmtId="0" fontId="11" fillId="101" borderId="0"/>
    <xf numFmtId="0" fontId="11" fillId="101"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11" fillId="101" borderId="0"/>
    <xf numFmtId="0" fontId="11" fillId="101" borderId="0"/>
    <xf numFmtId="0" fontId="20" fillId="0" borderId="0"/>
    <xf numFmtId="0" fontId="12" fillId="0" borderId="0"/>
    <xf numFmtId="0" fontId="11" fillId="101" borderId="0"/>
    <xf numFmtId="0" fontId="11" fillId="101" borderId="0"/>
    <xf numFmtId="0" fontId="11" fillId="101" borderId="0"/>
    <xf numFmtId="0" fontId="11" fillId="101" borderId="0"/>
    <xf numFmtId="0" fontId="11" fillId="101" borderId="0"/>
    <xf numFmtId="0" fontId="12" fillId="0" borderId="0"/>
    <xf numFmtId="0" fontId="8" fillId="0" borderId="0"/>
    <xf numFmtId="0" fontId="75" fillId="0" borderId="0"/>
    <xf numFmtId="0" fontId="17" fillId="0" borderId="0"/>
    <xf numFmtId="0" fontId="8" fillId="0" borderId="0"/>
    <xf numFmtId="0" fontId="8" fillId="0" borderId="0"/>
    <xf numFmtId="0" fontId="8" fillId="0" borderId="0"/>
    <xf numFmtId="0" fontId="8" fillId="0" borderId="0"/>
    <xf numFmtId="0" fontId="8" fillId="0" borderId="0"/>
    <xf numFmtId="0" fontId="20" fillId="0" borderId="0"/>
    <xf numFmtId="0" fontId="75" fillId="0" borderId="0"/>
    <xf numFmtId="0" fontId="8" fillId="0" borderId="0">
      <alignment vertical="top"/>
    </xf>
    <xf numFmtId="0" fontId="3" fillId="0" borderId="0">
      <alignment vertical="top"/>
    </xf>
    <xf numFmtId="0" fontId="3" fillId="0" borderId="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8" fillId="13" borderId="80"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3" fontId="82" fillId="0" borderId="81">
      <alignment vertical="top"/>
    </xf>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6"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40" fontId="88" fillId="102" borderId="0">
      <alignment horizontal="right"/>
    </xf>
    <xf numFmtId="0" fontId="89" fillId="102" borderId="0">
      <alignment horizontal="right"/>
    </xf>
    <xf numFmtId="0" fontId="90" fillId="102" borderId="8"/>
    <xf numFmtId="0" fontId="90" fillId="0" borderId="0" applyBorder="0">
      <alignment horizontal="centerContinuous"/>
    </xf>
    <xf numFmtId="0" fontId="91" fillId="0" borderId="0" applyBorder="0">
      <alignment horizontal="centerContinuous"/>
    </xf>
    <xf numFmtId="0" fontId="73" fillId="0" borderId="0"/>
    <xf numFmtId="10"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0" fontId="8" fillId="0" borderId="0" applyNumberFormat="0" applyFont="0" applyFill="0" applyBorder="0" applyAlignment="0" applyProtection="0"/>
    <xf numFmtId="9" fontId="3" fillId="0" borderId="0" applyFill="0" applyBorder="0" applyAlignment="0" applyProtection="0">
      <alignment vertical="top"/>
    </xf>
    <xf numFmtId="10" fontId="3" fillId="0" borderId="0" applyFont="0" applyFill="0" applyBorder="0" applyAlignment="0" applyProtection="0">
      <alignment vertical="top"/>
    </xf>
    <xf numFmtId="0" fontId="8" fillId="0" borderId="0" applyFont="0" applyFill="0" applyBorder="0" applyAlignment="0" applyProtection="0">
      <alignment vertical="top"/>
    </xf>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92" fillId="0" borderId="12">
      <alignment horizontal="center"/>
    </xf>
    <xf numFmtId="3" fontId="20" fillId="0" borderId="0" applyFont="0" applyFill="0" applyBorder="0" applyAlignment="0" applyProtection="0"/>
    <xf numFmtId="0" fontId="20" fillId="103" borderId="0" applyNumberFormat="0" applyFont="0" applyBorder="0" applyAlignment="0" applyProtection="0"/>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8" fillId="33" borderId="38"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8" fillId="33" borderId="38"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95" fillId="31" borderId="85" applyBorder="0"/>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0" fontId="11" fillId="107" borderId="38"/>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32" fillId="30" borderId="45"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0" fontId="28" fillId="0" borderId="0" applyNumberFormat="0" applyBorder="0" applyAlignment="0"/>
    <xf numFmtId="0" fontId="99" fillId="0" borderId="0" applyNumberFormat="0" applyBorder="0" applyAlignment="0"/>
    <xf numFmtId="0" fontId="21" fillId="0" borderId="0" applyNumberFormat="0" applyBorder="0" applyAlignment="0"/>
    <xf numFmtId="0" fontId="100" fillId="0" borderId="0" applyNumberFormat="0" applyBorder="0" applyAlignment="0"/>
    <xf numFmtId="0" fontId="28" fillId="0" borderId="0" applyNumberFormat="0" applyBorder="0" applyAlignment="0"/>
    <xf numFmtId="0" fontId="101" fillId="0" borderId="0" applyNumberFormat="0" applyBorder="0" applyAlignment="0"/>
    <xf numFmtId="174" fontId="102" fillId="0" borderId="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45" fillId="0" borderId="65" applyNumberFormat="0" applyFill="0" applyAlignment="0" applyProtection="0"/>
    <xf numFmtId="37" fontId="11" fillId="3" borderId="0" applyNumberFormat="0" applyBorder="0" applyAlignment="0" applyProtection="0"/>
    <xf numFmtId="37" fontId="11" fillId="0" borderId="0"/>
    <xf numFmtId="3" fontId="103" fillId="0" borderId="77"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8" fontId="20" fillId="108" borderId="0"/>
    <xf numFmtId="44" fontId="3" fillId="0" borderId="0" applyFont="0" applyFill="0" applyBorder="0" applyAlignment="0" applyProtection="0"/>
    <xf numFmtId="43" fontId="17" fillId="0" borderId="0" applyFont="0" applyFill="0" applyBorder="0" applyAlignment="0" applyProtection="0"/>
    <xf numFmtId="9" fontId="3" fillId="0" borderId="0" applyFont="0" applyFill="0" applyBorder="0" applyAlignment="0" applyProtection="0"/>
    <xf numFmtId="185" fontId="6" fillId="0" borderId="0"/>
    <xf numFmtId="9" fontId="6" fillId="0" borderId="0" applyFont="0" applyFill="0" applyBorder="0" applyAlignment="0" applyProtection="0"/>
    <xf numFmtId="43" fontId="6" fillId="0" borderId="0" applyFont="0" applyFill="0" applyBorder="0" applyAlignment="0" applyProtection="0"/>
    <xf numFmtId="185" fontId="6" fillId="0" borderId="0"/>
    <xf numFmtId="191" fontId="8" fillId="0" borderId="0">
      <alignment horizontal="right" wrapText="1"/>
    </xf>
    <xf numFmtId="192" fontId="8" fillId="0" borderId="0">
      <alignment horizontal="right" wrapText="1"/>
    </xf>
    <xf numFmtId="193" fontId="8" fillId="0" borderId="0">
      <alignment horizontal="right" wrapText="1"/>
    </xf>
    <xf numFmtId="194" fontId="8" fillId="0" borderId="0">
      <alignment horizontal="right" wrapText="1"/>
    </xf>
    <xf numFmtId="195" fontId="8" fillId="0" borderId="0">
      <alignment horizontal="right" wrapText="1"/>
    </xf>
    <xf numFmtId="196" fontId="38" fillId="0" borderId="0" applyFont="0" applyFill="0" applyBorder="0" applyAlignment="0" applyProtection="0"/>
    <xf numFmtId="197" fontId="108" fillId="0" borderId="0">
      <alignment horizontal="center"/>
    </xf>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4" fillId="48" borderId="0" applyNumberFormat="0" applyBorder="0" applyAlignment="0" applyProtection="0"/>
    <xf numFmtId="185" fontId="74"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17" fillId="71" borderId="0" applyNumberFormat="0" applyBorder="0" applyAlignment="0" applyProtection="0"/>
    <xf numFmtId="185" fontId="17" fillId="71" borderId="0" applyNumberFormat="0" applyBorder="0" applyAlignment="0" applyProtection="0"/>
    <xf numFmtId="0" fontId="75"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17" fillId="10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5" fillId="48" borderId="0" applyNumberFormat="0" applyBorder="0" applyAlignment="0" applyProtection="0"/>
    <xf numFmtId="0" fontId="3" fillId="48" borderId="0" applyNumberFormat="0" applyBorder="0" applyAlignment="0" applyProtection="0"/>
    <xf numFmtId="185" fontId="3" fillId="30"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5"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4" fillId="52" borderId="0" applyNumberFormat="0" applyBorder="0" applyAlignment="0" applyProtection="0"/>
    <xf numFmtId="185" fontId="74"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17" fillId="20" borderId="0" applyNumberFormat="0" applyBorder="0" applyAlignment="0" applyProtection="0"/>
    <xf numFmtId="185" fontId="17" fillId="20" borderId="0" applyNumberFormat="0" applyBorder="0" applyAlignment="0" applyProtection="0"/>
    <xf numFmtId="0" fontId="75"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17" fillId="11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5" fillId="52" borderId="0" applyNumberFormat="0" applyBorder="0" applyAlignment="0" applyProtection="0"/>
    <xf numFmtId="0" fontId="3" fillId="52" borderId="0" applyNumberFormat="0" applyBorder="0" applyAlignment="0" applyProtection="0"/>
    <xf numFmtId="185" fontId="3" fillId="19"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5"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4" fillId="56" borderId="0" applyNumberFormat="0" applyBorder="0" applyAlignment="0" applyProtection="0"/>
    <xf numFmtId="185" fontId="74"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7" fillId="111" borderId="0" applyNumberFormat="0" applyBorder="0" applyAlignment="0" applyProtection="0"/>
    <xf numFmtId="185" fontId="17" fillId="11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7" fillId="111" borderId="0" applyNumberFormat="0" applyBorder="0" applyAlignment="0" applyProtection="0"/>
    <xf numFmtId="185" fontId="17" fillId="111" borderId="0" applyNumberFormat="0" applyBorder="0" applyAlignment="0" applyProtection="0"/>
    <xf numFmtId="0" fontId="17" fillId="72" borderId="0" applyNumberFormat="0" applyBorder="0" applyAlignment="0" applyProtection="0"/>
    <xf numFmtId="185" fontId="17" fillId="72" borderId="0" applyNumberFormat="0" applyBorder="0" applyAlignment="0" applyProtection="0"/>
    <xf numFmtId="0" fontId="75"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17" fillId="11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5" fillId="56" borderId="0" applyNumberFormat="0" applyBorder="0" applyAlignment="0" applyProtection="0"/>
    <xf numFmtId="0" fontId="3" fillId="56" borderId="0" applyNumberFormat="0" applyBorder="0" applyAlignment="0" applyProtection="0"/>
    <xf numFmtId="185" fontId="3" fillId="27"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5"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4" fillId="60" borderId="0" applyNumberFormat="0" applyBorder="0" applyAlignment="0" applyProtection="0"/>
    <xf numFmtId="185" fontId="74"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17" fillId="113" borderId="0" applyNumberFormat="0" applyBorder="0" applyAlignment="0" applyProtection="0"/>
    <xf numFmtId="185" fontId="17" fillId="113"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7" fillId="113" borderId="0" applyNumberFormat="0" applyBorder="0" applyAlignment="0" applyProtection="0"/>
    <xf numFmtId="185" fontId="17" fillId="113" borderId="0" applyNumberFormat="0" applyBorder="0" applyAlignment="0" applyProtection="0"/>
    <xf numFmtId="0" fontId="17" fillId="73" borderId="0" applyNumberFormat="0" applyBorder="0" applyAlignment="0" applyProtection="0"/>
    <xf numFmtId="185" fontId="17" fillId="73" borderId="0" applyNumberFormat="0" applyBorder="0" applyAlignment="0" applyProtection="0"/>
    <xf numFmtId="0" fontId="75"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17" fillId="113"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5" fillId="60" borderId="0" applyNumberFormat="0" applyBorder="0" applyAlignment="0" applyProtection="0"/>
    <xf numFmtId="0" fontId="3" fillId="60" borderId="0" applyNumberFormat="0" applyBorder="0" applyAlignment="0" applyProtection="0"/>
    <xf numFmtId="185" fontId="3" fillId="112"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5"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4" fillId="64" borderId="0" applyNumberFormat="0" applyBorder="0" applyAlignment="0" applyProtection="0"/>
    <xf numFmtId="185" fontId="74"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17" fillId="74" borderId="0" applyNumberFormat="0" applyBorder="0" applyAlignment="0" applyProtection="0"/>
    <xf numFmtId="185" fontId="17" fillId="74" borderId="0" applyNumberFormat="0" applyBorder="0" applyAlignment="0" applyProtection="0"/>
    <xf numFmtId="0" fontId="75"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17" fillId="109"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5" fillId="64" borderId="0" applyNumberFormat="0" applyBorder="0" applyAlignment="0" applyProtection="0"/>
    <xf numFmtId="0" fontId="3" fillId="64" borderId="0" applyNumberFormat="0" applyBorder="0" applyAlignment="0" applyProtection="0"/>
    <xf numFmtId="185" fontId="3" fillId="30"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5"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17" fillId="38" borderId="0" applyNumberFormat="0" applyBorder="0" applyAlignment="0" applyProtection="0"/>
    <xf numFmtId="185" fontId="17" fillId="3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17" fillId="38" borderId="0" applyNumberFormat="0" applyBorder="0" applyAlignment="0" applyProtection="0"/>
    <xf numFmtId="185" fontId="17" fillId="38" borderId="0" applyNumberFormat="0" applyBorder="0" applyAlignment="0" applyProtection="0"/>
    <xf numFmtId="0" fontId="17" fillId="75" borderId="0" applyNumberFormat="0" applyBorder="0" applyAlignment="0" applyProtection="0"/>
    <xf numFmtId="185" fontId="17" fillId="75" borderId="0" applyNumberFormat="0" applyBorder="0" applyAlignment="0" applyProtection="0"/>
    <xf numFmtId="0" fontId="75" fillId="68" borderId="0" applyNumberFormat="0" applyBorder="0" applyAlignment="0" applyProtection="0"/>
    <xf numFmtId="0" fontId="3" fillId="68" borderId="0" applyNumberFormat="0" applyBorder="0" applyAlignment="0" applyProtection="0"/>
    <xf numFmtId="185" fontId="17" fillId="3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5"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5"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185"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4" fillId="49" borderId="0" applyNumberFormat="0" applyBorder="0" applyAlignment="0" applyProtection="0"/>
    <xf numFmtId="185" fontId="74"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17" fillId="2" borderId="0" applyNumberFormat="0" applyBorder="0" applyAlignment="0" applyProtection="0"/>
    <xf numFmtId="185" fontId="17"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7" fillId="2" borderId="0" applyNumberFormat="0" applyBorder="0" applyAlignment="0" applyProtection="0"/>
    <xf numFmtId="185" fontId="17" fillId="2" borderId="0" applyNumberFormat="0" applyBorder="0" applyAlignment="0" applyProtection="0"/>
    <xf numFmtId="0" fontId="17" fillId="32" borderId="0" applyNumberFormat="0" applyBorder="0" applyAlignment="0" applyProtection="0"/>
    <xf numFmtId="185" fontId="17" fillId="32" borderId="0" applyNumberFormat="0" applyBorder="0" applyAlignment="0" applyProtection="0"/>
    <xf numFmtId="0" fontId="75"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17"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5" fillId="49" borderId="0" applyNumberFormat="0" applyBorder="0" applyAlignment="0" applyProtection="0"/>
    <xf numFmtId="0" fontId="3" fillId="49" borderId="0" applyNumberFormat="0" applyBorder="0" applyAlignment="0" applyProtection="0"/>
    <xf numFmtId="185" fontId="3" fillId="105"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5"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4" fillId="53" borderId="0" applyNumberFormat="0" applyBorder="0" applyAlignment="0" applyProtection="0"/>
    <xf numFmtId="185" fontId="74"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17" fillId="21" borderId="0" applyNumberFormat="0" applyBorder="0" applyAlignment="0" applyProtection="0"/>
    <xf numFmtId="185" fontId="17" fillId="21" borderId="0" applyNumberFormat="0" applyBorder="0" applyAlignment="0" applyProtection="0"/>
    <xf numFmtId="0" fontId="75"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17" fillId="110"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5" fillId="53" borderId="0" applyNumberFormat="0" applyBorder="0" applyAlignment="0" applyProtection="0"/>
    <xf numFmtId="0" fontId="3" fillId="53" borderId="0" applyNumberFormat="0" applyBorder="0" applyAlignment="0" applyProtection="0"/>
    <xf numFmtId="185" fontId="3" fillId="19"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5"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4" fillId="57" borderId="0" applyNumberFormat="0" applyBorder="0" applyAlignment="0" applyProtection="0"/>
    <xf numFmtId="185" fontId="74"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7" fillId="114" borderId="0" applyNumberFormat="0" applyBorder="0" applyAlignment="0" applyProtection="0"/>
    <xf numFmtId="185" fontId="17" fillId="114"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7" fillId="114" borderId="0" applyNumberFormat="0" applyBorder="0" applyAlignment="0" applyProtection="0"/>
    <xf numFmtId="185" fontId="17" fillId="114" borderId="0" applyNumberFormat="0" applyBorder="0" applyAlignment="0" applyProtection="0"/>
    <xf numFmtId="0" fontId="17" fillId="28" borderId="0" applyNumberFormat="0" applyBorder="0" applyAlignment="0" applyProtection="0"/>
    <xf numFmtId="185" fontId="17" fillId="28" borderId="0" applyNumberFormat="0" applyBorder="0" applyAlignment="0" applyProtection="0"/>
    <xf numFmtId="0" fontId="75"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17" fillId="114"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5" fillId="57" borderId="0" applyNumberFormat="0" applyBorder="0" applyAlignment="0" applyProtection="0"/>
    <xf numFmtId="0" fontId="3" fillId="57" borderId="0" applyNumberFormat="0" applyBorder="0" applyAlignment="0" applyProtection="0"/>
    <xf numFmtId="185" fontId="3" fillId="26"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5"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4" fillId="61" borderId="0" applyNumberFormat="0" applyBorder="0" applyAlignment="0" applyProtection="0"/>
    <xf numFmtId="185" fontId="74"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17" fillId="116" borderId="0" applyNumberFormat="0" applyBorder="0" applyAlignment="0" applyProtection="0"/>
    <xf numFmtId="185" fontId="17" fillId="11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17" fillId="116" borderId="0" applyNumberFormat="0" applyBorder="0" applyAlignment="0" applyProtection="0"/>
    <xf numFmtId="185" fontId="17" fillId="116" borderId="0" applyNumberFormat="0" applyBorder="0" applyAlignment="0" applyProtection="0"/>
    <xf numFmtId="0" fontId="17" fillId="73" borderId="0" applyNumberFormat="0" applyBorder="0" applyAlignment="0" applyProtection="0"/>
    <xf numFmtId="185" fontId="17" fillId="73" borderId="0" applyNumberFormat="0" applyBorder="0" applyAlignment="0" applyProtection="0"/>
    <xf numFmtId="0" fontId="75"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17" fillId="11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5" fillId="61" borderId="0" applyNumberFormat="0" applyBorder="0" applyAlignment="0" applyProtection="0"/>
    <xf numFmtId="0" fontId="3" fillId="61" borderId="0" applyNumberFormat="0" applyBorder="0" applyAlignment="0" applyProtection="0"/>
    <xf numFmtId="185" fontId="3" fillId="115"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5"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4" fillId="65" borderId="0" applyNumberFormat="0" applyBorder="0" applyAlignment="0" applyProtection="0"/>
    <xf numFmtId="185" fontId="74"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7" fillId="117" borderId="0" applyNumberFormat="0" applyBorder="0" applyAlignment="0" applyProtection="0"/>
    <xf numFmtId="185" fontId="17" fillId="117"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7" fillId="117" borderId="0" applyNumberFormat="0" applyBorder="0" applyAlignment="0" applyProtection="0"/>
    <xf numFmtId="185" fontId="17" fillId="117" borderId="0" applyNumberFormat="0" applyBorder="0" applyAlignment="0" applyProtection="0"/>
    <xf numFmtId="0" fontId="17" fillId="32" borderId="0" applyNumberFormat="0" applyBorder="0" applyAlignment="0" applyProtection="0"/>
    <xf numFmtId="185" fontId="17" fillId="32" borderId="0" applyNumberFormat="0" applyBorder="0" applyAlignment="0" applyProtection="0"/>
    <xf numFmtId="0" fontId="75"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17" fillId="117"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5" fillId="65" borderId="0" applyNumberFormat="0" applyBorder="0" applyAlignment="0" applyProtection="0"/>
    <xf numFmtId="0" fontId="3" fillId="65" borderId="0" applyNumberFormat="0" applyBorder="0" applyAlignment="0" applyProtection="0"/>
    <xf numFmtId="185" fontId="3" fillId="31"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5"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4" fillId="69" borderId="0" applyNumberFormat="0" applyBorder="0" applyAlignment="0" applyProtection="0"/>
    <xf numFmtId="185" fontId="74"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17" fillId="118" borderId="0" applyNumberFormat="0" applyBorder="0" applyAlignment="0" applyProtection="0"/>
    <xf numFmtId="185" fontId="17" fillId="11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7" fillId="118" borderId="0" applyNumberFormat="0" applyBorder="0" applyAlignment="0" applyProtection="0"/>
    <xf numFmtId="185" fontId="17" fillId="118" borderId="0" applyNumberFormat="0" applyBorder="0" applyAlignment="0" applyProtection="0"/>
    <xf numFmtId="0" fontId="17" fillId="23" borderId="0" applyNumberFormat="0" applyBorder="0" applyAlignment="0" applyProtection="0"/>
    <xf numFmtId="185" fontId="17" fillId="23" borderId="0" applyNumberFormat="0" applyBorder="0" applyAlignment="0" applyProtection="0"/>
    <xf numFmtId="0" fontId="75"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17" fillId="11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5" fillId="69" borderId="0" applyNumberFormat="0" applyBorder="0" applyAlignment="0" applyProtection="0"/>
    <xf numFmtId="0" fontId="3" fillId="69" borderId="0" applyNumberFormat="0" applyBorder="0" applyAlignment="0" applyProtection="0"/>
    <xf numFmtId="185" fontId="3" fillId="75"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5"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76" borderId="0" applyNumberFormat="0" applyBorder="0" applyAlignment="0" applyProtection="0"/>
    <xf numFmtId="185" fontId="18" fillId="76" borderId="0" applyNumberFormat="0" applyBorder="0" applyAlignment="0" applyProtection="0"/>
    <xf numFmtId="0" fontId="62" fillId="50" borderId="0" applyNumberFormat="0" applyBorder="0" applyAlignment="0" applyProtection="0"/>
    <xf numFmtId="185" fontId="18" fillId="120" borderId="0" applyNumberFormat="0" applyBorder="0" applyAlignment="0" applyProtection="0"/>
    <xf numFmtId="0" fontId="62" fillId="119" borderId="0" applyNumberFormat="0" applyBorder="0" applyAlignment="0" applyProtection="0"/>
    <xf numFmtId="0" fontId="109" fillId="5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110" fillId="50"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109" fillId="50" borderId="0" applyNumberFormat="0" applyBorder="0" applyAlignment="0" applyProtection="0"/>
    <xf numFmtId="0"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185" fontId="109" fillId="50"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18" fillId="110" borderId="0" applyNumberFormat="0" applyBorder="0" applyAlignment="0" applyProtection="0"/>
    <xf numFmtId="185" fontId="18" fillId="110" borderId="0" applyNumberFormat="0" applyBorder="0" applyAlignment="0" applyProtection="0"/>
    <xf numFmtId="0" fontId="18" fillId="110" borderId="0" applyNumberFormat="0" applyBorder="0" applyAlignment="0" applyProtection="0"/>
    <xf numFmtId="185" fontId="18" fillId="110" borderId="0" applyNumberFormat="0" applyBorder="0" applyAlignment="0" applyProtection="0"/>
    <xf numFmtId="0" fontId="18" fillId="21" borderId="0" applyNumberFormat="0" applyBorder="0" applyAlignment="0" applyProtection="0"/>
    <xf numFmtId="185" fontId="18" fillId="21" borderId="0" applyNumberFormat="0" applyBorder="0" applyAlignment="0" applyProtection="0"/>
    <xf numFmtId="0" fontId="62" fillId="54" borderId="0" applyNumberFormat="0" applyBorder="0" applyAlignment="0" applyProtection="0"/>
    <xf numFmtId="185" fontId="18" fillId="110" borderId="0" applyNumberFormat="0" applyBorder="0" applyAlignment="0" applyProtection="0"/>
    <xf numFmtId="0" fontId="62" fillId="19" borderId="0" applyNumberFormat="0" applyBorder="0" applyAlignment="0" applyProtection="0"/>
    <xf numFmtId="0" fontId="109" fillId="54"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110" fillId="54"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109" fillId="5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185" fontId="109" fillId="54"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28" borderId="0" applyNumberFormat="0" applyBorder="0" applyAlignment="0" applyProtection="0"/>
    <xf numFmtId="185" fontId="18" fillId="28" borderId="0" applyNumberFormat="0" applyBorder="0" applyAlignment="0" applyProtection="0"/>
    <xf numFmtId="0" fontId="62" fillId="58" borderId="0" applyNumberFormat="0" applyBorder="0" applyAlignment="0" applyProtection="0"/>
    <xf numFmtId="185" fontId="18" fillId="114" borderId="0" applyNumberFormat="0" applyBorder="0" applyAlignment="0" applyProtection="0"/>
    <xf numFmtId="0" fontId="62" fillId="26" borderId="0" applyNumberFormat="0" applyBorder="0" applyAlignment="0" applyProtection="0"/>
    <xf numFmtId="0" fontId="109" fillId="58"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110" fillId="58"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109" fillId="58"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185" fontId="109" fillId="58"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18" fillId="116" borderId="0" applyNumberFormat="0" applyBorder="0" applyAlignment="0" applyProtection="0"/>
    <xf numFmtId="185" fontId="18" fillId="116" borderId="0" applyNumberFormat="0" applyBorder="0" applyAlignment="0" applyProtection="0"/>
    <xf numFmtId="0" fontId="18" fillId="116" borderId="0" applyNumberFormat="0" applyBorder="0" applyAlignment="0" applyProtection="0"/>
    <xf numFmtId="185" fontId="18" fillId="116" borderId="0" applyNumberFormat="0" applyBorder="0" applyAlignment="0" applyProtection="0"/>
    <xf numFmtId="0" fontId="18" fillId="77" borderId="0" applyNumberFormat="0" applyBorder="0" applyAlignment="0" applyProtection="0"/>
    <xf numFmtId="185" fontId="18" fillId="77" borderId="0" applyNumberFormat="0" applyBorder="0" applyAlignment="0" applyProtection="0"/>
    <xf numFmtId="0" fontId="62" fillId="62" borderId="0" applyNumberFormat="0" applyBorder="0" applyAlignment="0" applyProtection="0"/>
    <xf numFmtId="185" fontId="18" fillId="116" borderId="0" applyNumberFormat="0" applyBorder="0" applyAlignment="0" applyProtection="0"/>
    <xf numFmtId="0" fontId="62" fillId="115" borderId="0" applyNumberFormat="0" applyBorder="0" applyAlignment="0" applyProtection="0"/>
    <xf numFmtId="0" fontId="109" fillId="62"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110" fillId="62"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109" fillId="62" borderId="0" applyNumberFormat="0" applyBorder="0" applyAlignment="0" applyProtection="0"/>
    <xf numFmtId="0"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185" fontId="109" fillId="62"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78" borderId="0" applyNumberFormat="0" applyBorder="0" applyAlignment="0" applyProtection="0"/>
    <xf numFmtId="185" fontId="18" fillId="78" borderId="0" applyNumberFormat="0" applyBorder="0" applyAlignment="0" applyProtection="0"/>
    <xf numFmtId="0" fontId="62" fillId="66" borderId="0" applyNumberFormat="0" applyBorder="0" applyAlignment="0" applyProtection="0"/>
    <xf numFmtId="185" fontId="18" fillId="120" borderId="0" applyNumberFormat="0" applyBorder="0" applyAlignment="0" applyProtection="0"/>
    <xf numFmtId="0" fontId="62" fillId="119" borderId="0" applyNumberFormat="0" applyBorder="0" applyAlignment="0" applyProtection="0"/>
    <xf numFmtId="0" fontId="109" fillId="66"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110" fillId="66"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109" fillId="66" borderId="0" applyNumberFormat="0" applyBorder="0" applyAlignment="0" applyProtection="0"/>
    <xf numFmtId="0"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185" fontId="109" fillId="66"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18" fillId="121" borderId="0" applyNumberFormat="0" applyBorder="0" applyAlignment="0" applyProtection="0"/>
    <xf numFmtId="185" fontId="18" fillId="121" borderId="0" applyNumberFormat="0" applyBorder="0" applyAlignment="0" applyProtection="0"/>
    <xf numFmtId="0" fontId="18" fillId="121" borderId="0" applyNumberFormat="0" applyBorder="0" applyAlignment="0" applyProtection="0"/>
    <xf numFmtId="185" fontId="18" fillId="121" borderId="0" applyNumberFormat="0" applyBorder="0" applyAlignment="0" applyProtection="0"/>
    <xf numFmtId="0" fontId="18" fillId="24" borderId="0" applyNumberFormat="0" applyBorder="0" applyAlignment="0" applyProtection="0"/>
    <xf numFmtId="185" fontId="18" fillId="24" borderId="0" applyNumberFormat="0" applyBorder="0" applyAlignment="0" applyProtection="0"/>
    <xf numFmtId="0" fontId="62" fillId="70" borderId="0" applyNumberFormat="0" applyBorder="0" applyAlignment="0" applyProtection="0"/>
    <xf numFmtId="185" fontId="18" fillId="121" borderId="0" applyNumberFormat="0" applyBorder="0" applyAlignment="0" applyProtection="0"/>
    <xf numFmtId="0" fontId="62" fillId="23" borderId="0" applyNumberFormat="0" applyBorder="0" applyAlignment="0" applyProtection="0"/>
    <xf numFmtId="0" fontId="109" fillId="70"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110" fillId="70"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109" fillId="70"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185" fontId="109" fillId="70"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0" fontId="17" fillId="79" borderId="0" applyNumberFormat="0" applyBorder="0" applyAlignment="0" applyProtection="0"/>
    <xf numFmtId="185" fontId="17" fillId="79" borderId="0" applyNumberFormat="0" applyBorder="0" applyAlignment="0" applyProtection="0"/>
    <xf numFmtId="185" fontId="17" fillId="122"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85" fontId="17" fillId="4" borderId="0" applyNumberFormat="0" applyBorder="0" applyAlignment="0" applyProtection="0"/>
    <xf numFmtId="185" fontId="17" fillId="4"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0" fontId="17" fillId="4"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0" fontId="17" fillId="12" borderId="0" applyNumberFormat="0" applyBorder="0" applyAlignment="0" applyProtection="0"/>
    <xf numFmtId="185" fontId="17" fillId="12" borderId="0" applyNumberFormat="0" applyBorder="0" applyAlignment="0" applyProtection="0"/>
    <xf numFmtId="185" fontId="17" fillId="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0" fontId="17" fillId="5"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8" fillId="12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85" fontId="18" fillId="6" borderId="0" applyNumberFormat="0" applyBorder="0" applyAlignment="0" applyProtection="0"/>
    <xf numFmtId="0" fontId="18" fillId="6" borderId="0" applyNumberFormat="0" applyBorder="0" applyAlignment="0" applyProtection="0"/>
    <xf numFmtId="185" fontId="18" fillId="6"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6"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0" fontId="18" fillId="81"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185" fontId="109" fillId="47" borderId="0" applyNumberFormat="0" applyBorder="0" applyAlignment="0" applyProtection="0"/>
    <xf numFmtId="0" fontId="18" fillId="81"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185" fontId="18" fillId="81"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0" fontId="110"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18" fillId="123" borderId="0" applyNumberFormat="0" applyBorder="0" applyAlignment="0" applyProtection="0"/>
    <xf numFmtId="185" fontId="18" fillId="123" borderId="0" applyNumberFormat="0" applyBorder="0" applyAlignment="0" applyProtection="0"/>
    <xf numFmtId="0" fontId="18" fillId="123" borderId="0" applyNumberFormat="0" applyBorder="0" applyAlignment="0" applyProtection="0"/>
    <xf numFmtId="185" fontId="18" fillId="123" borderId="0" applyNumberFormat="0" applyBorder="0" applyAlignment="0" applyProtection="0"/>
    <xf numFmtId="0" fontId="109" fillId="47" borderId="0" applyNumberFormat="0" applyBorder="0" applyAlignment="0" applyProtection="0"/>
    <xf numFmtId="185" fontId="18" fillId="123"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82" borderId="0" applyNumberFormat="0" applyBorder="0" applyAlignment="0" applyProtection="0"/>
    <xf numFmtId="185" fontId="17" fillId="82" borderId="0" applyNumberFormat="0" applyBorder="0" applyAlignment="0" applyProtection="0"/>
    <xf numFmtId="185" fontId="17" fillId="124"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85" fontId="17" fillId="7" borderId="0" applyNumberFormat="0" applyBorder="0" applyAlignment="0" applyProtection="0"/>
    <xf numFmtId="185" fontId="17" fillId="7"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7"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0" fontId="17" fillId="11" borderId="0" applyNumberFormat="0" applyBorder="0" applyAlignment="0" applyProtection="0"/>
    <xf numFmtId="185" fontId="17" fillId="11" borderId="0" applyNumberFormat="0" applyBorder="0" applyAlignment="0" applyProtection="0"/>
    <xf numFmtId="185" fontId="17" fillId="110"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85" fontId="17" fillId="8" borderId="0" applyNumberFormat="0" applyBorder="0" applyAlignment="0" applyProtection="0"/>
    <xf numFmtId="185" fontId="17" fillId="8"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0" fontId="17" fillId="8"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0" fontId="18" fillId="8" borderId="0" applyNumberFormat="0" applyBorder="0" applyAlignment="0" applyProtection="0"/>
    <xf numFmtId="185" fontId="18" fillId="8" borderId="0" applyNumberFormat="0" applyBorder="0" applyAlignment="0" applyProtection="0"/>
    <xf numFmtId="185" fontId="18" fillId="125"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0" fontId="18" fillId="9"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8" fillId="83" borderId="0" applyNumberFormat="0" applyBorder="0" applyAlignment="0" applyProtection="0"/>
    <xf numFmtId="0" fontId="109" fillId="51" borderId="0" applyNumberFormat="0" applyBorder="0" applyAlignment="0" applyProtection="0"/>
    <xf numFmtId="185" fontId="62" fillId="51" borderId="0" applyNumberFormat="0" applyBorder="0" applyAlignment="0" applyProtection="0"/>
    <xf numFmtId="185" fontId="109" fillId="51" borderId="0" applyNumberFormat="0" applyBorder="0" applyAlignment="0" applyProtection="0"/>
    <xf numFmtId="0" fontId="18" fillId="83"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185" fontId="18" fillId="83"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0" fontId="110" fillId="51"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18" fillId="36" borderId="0" applyNumberFormat="0" applyBorder="0" applyAlignment="0" applyProtection="0"/>
    <xf numFmtId="185" fontId="18" fillId="36" borderId="0" applyNumberFormat="0" applyBorder="0" applyAlignment="0" applyProtection="0"/>
    <xf numFmtId="0" fontId="18" fillId="36" borderId="0" applyNumberFormat="0" applyBorder="0" applyAlignment="0" applyProtection="0"/>
    <xf numFmtId="185" fontId="18" fillId="36" borderId="0" applyNumberFormat="0" applyBorder="0" applyAlignment="0" applyProtection="0"/>
    <xf numFmtId="0" fontId="109" fillId="51" borderId="0" applyNumberFormat="0" applyBorder="0" applyAlignment="0" applyProtection="0"/>
    <xf numFmtId="185" fontId="18" fillId="3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109" fillId="51"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0" fontId="17" fillId="84" borderId="0" applyNumberFormat="0" applyBorder="0" applyAlignment="0" applyProtection="0"/>
    <xf numFmtId="185" fontId="17" fillId="84" borderId="0" applyNumberFormat="0" applyBorder="0" applyAlignment="0" applyProtection="0"/>
    <xf numFmtId="185" fontId="17" fillId="127"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0" fontId="17" fillId="10"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7" fillId="128"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0" fontId="17" fillId="11"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18" fillId="86" borderId="0" applyNumberFormat="0" applyBorder="0" applyAlignment="0" applyProtection="0"/>
    <xf numFmtId="185" fontId="18" fillId="86" borderId="0" applyNumberFormat="0" applyBorder="0" applyAlignment="0" applyProtection="0"/>
    <xf numFmtId="185" fontId="18" fillId="111"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18" fillId="12"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185" fontId="18" fillId="87"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185" fontId="62" fillId="55"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185" fontId="62" fillId="55"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9" borderId="0" applyNumberFormat="0" applyBorder="0" applyAlignment="0" applyProtection="0"/>
    <xf numFmtId="185" fontId="18" fillId="9" borderId="0" applyNumberFormat="0" applyBorder="0" applyAlignment="0" applyProtection="0"/>
    <xf numFmtId="185" fontId="18" fillId="9" borderId="0" applyNumberFormat="0" applyBorder="0" applyAlignment="0" applyProtection="0"/>
    <xf numFmtId="0" fontId="109" fillId="55" borderId="0" applyNumberFormat="0" applyBorder="0" applyAlignment="0" applyProtection="0"/>
    <xf numFmtId="185"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0" fontId="110" fillId="55" borderId="0" applyNumberFormat="0" applyBorder="0" applyAlignment="0" applyProtection="0"/>
    <xf numFmtId="185"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87"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18" fillId="114"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82" borderId="0" applyNumberFormat="0" applyBorder="0" applyAlignment="0" applyProtection="0"/>
    <xf numFmtId="185" fontId="17" fillId="82" borderId="0" applyNumberFormat="0" applyBorder="0" applyAlignment="0" applyProtection="0"/>
    <xf numFmtId="185" fontId="17" fillId="124"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11"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0" fontId="17" fillId="9" borderId="0" applyNumberFormat="0" applyBorder="0" applyAlignment="0" applyProtection="0"/>
    <xf numFmtId="185" fontId="17" fillId="9" borderId="0" applyNumberFormat="0" applyBorder="0" applyAlignment="0" applyProtection="0"/>
    <xf numFmtId="185" fontId="17" fillId="12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0" fontId="17" fillId="12"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0" fontId="18" fillId="11" borderId="0" applyNumberFormat="0" applyBorder="0" applyAlignment="0" applyProtection="0"/>
    <xf numFmtId="185" fontId="18" fillId="11" borderId="0" applyNumberFormat="0" applyBorder="0" applyAlignment="0" applyProtection="0"/>
    <xf numFmtId="185" fontId="18" fillId="110"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0" fontId="18" fillId="12"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59"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185" fontId="18" fillId="88"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18" fillId="89" borderId="0" applyNumberFormat="0" applyBorder="0" applyAlignment="0" applyProtection="0"/>
    <xf numFmtId="185" fontId="18" fillId="89" borderId="0" applyNumberFormat="0" applyBorder="0" applyAlignment="0" applyProtection="0"/>
    <xf numFmtId="185" fontId="62" fillId="130" borderId="0" applyNumberFormat="0" applyBorder="0" applyAlignment="0" applyProtection="0"/>
    <xf numFmtId="0" fontId="18" fillId="89" borderId="0" applyNumberFormat="0" applyBorder="0" applyAlignment="0" applyProtection="0"/>
    <xf numFmtId="185" fontId="18" fillId="89" borderId="0" applyNumberFormat="0" applyBorder="0" applyAlignment="0" applyProtection="0"/>
    <xf numFmtId="0" fontId="62" fillId="59" borderId="0" applyNumberFormat="0" applyBorder="0" applyAlignment="0" applyProtection="0"/>
    <xf numFmtId="185" fontId="62" fillId="130"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9" borderId="0" applyNumberFormat="0" applyBorder="0" applyAlignment="0" applyProtection="0"/>
    <xf numFmtId="185" fontId="18" fillId="89" borderId="0" applyNumberFormat="0" applyBorder="0" applyAlignment="0" applyProtection="0"/>
    <xf numFmtId="185" fontId="18" fillId="89" borderId="0" applyNumberFormat="0" applyBorder="0" applyAlignment="0" applyProtection="0"/>
    <xf numFmtId="0" fontId="109" fillId="59" borderId="0" applyNumberFormat="0" applyBorder="0" applyAlignment="0" applyProtection="0"/>
    <xf numFmtId="185"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0" fontId="110" fillId="59" borderId="0" applyNumberFormat="0" applyBorder="0" applyAlignment="0" applyProtection="0"/>
    <xf numFmtId="185" fontId="62" fillId="130"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18" fillId="88"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8" fillId="131" borderId="0" applyNumberFormat="0" applyBorder="0" applyAlignment="0" applyProtection="0"/>
    <xf numFmtId="185" fontId="18" fillId="131" borderId="0" applyNumberFormat="0" applyBorder="0" applyAlignment="0" applyProtection="0"/>
    <xf numFmtId="0" fontId="18" fillId="131" borderId="0" applyNumberFormat="0" applyBorder="0" applyAlignment="0" applyProtection="0"/>
    <xf numFmtId="185" fontId="18" fillId="131"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18" fillId="131"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0" fontId="17" fillId="10" borderId="0" applyNumberFormat="0" applyBorder="0" applyAlignment="0" applyProtection="0"/>
    <xf numFmtId="185" fontId="17" fillId="10" borderId="0" applyNumberFormat="0" applyBorder="0" applyAlignment="0" applyProtection="0"/>
    <xf numFmtId="185" fontId="17" fillId="109"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85" fontId="17" fillId="4" borderId="0" applyNumberFormat="0" applyBorder="0" applyAlignment="0" applyProtection="0"/>
    <xf numFmtId="185" fontId="17" fillId="4"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0" fontId="17" fillId="4"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0" fontId="17" fillId="5" borderId="0" applyNumberFormat="0" applyBorder="0" applyAlignment="0" applyProtection="0"/>
    <xf numFmtId="185" fontId="17" fillId="5" borderId="0" applyNumberFormat="0" applyBorder="0" applyAlignment="0" applyProtection="0"/>
    <xf numFmtId="185" fontId="17" fillId="117"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0"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8" fillId="12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85" fontId="18" fillId="5" borderId="0" applyNumberFormat="0" applyBorder="0" applyAlignment="0" applyProtection="0"/>
    <xf numFmtId="0" fontId="18" fillId="5" borderId="0" applyNumberFormat="0" applyBorder="0" applyAlignment="0" applyProtection="0"/>
    <xf numFmtId="185" fontId="18" fillId="5"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5"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63"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18" fillId="90" borderId="0" applyNumberFormat="0" applyBorder="0" applyAlignment="0" applyProtection="0"/>
    <xf numFmtId="185" fontId="18" fillId="90" borderId="0" applyNumberFormat="0" applyBorder="0" applyAlignment="0" applyProtection="0"/>
    <xf numFmtId="185" fontId="62" fillId="119" borderId="0" applyNumberFormat="0" applyBorder="0" applyAlignment="0" applyProtection="0"/>
    <xf numFmtId="0" fontId="18" fillId="90" borderId="0" applyNumberFormat="0" applyBorder="0" applyAlignment="0" applyProtection="0"/>
    <xf numFmtId="185" fontId="18" fillId="90" borderId="0" applyNumberFormat="0" applyBorder="0" applyAlignment="0" applyProtection="0"/>
    <xf numFmtId="0" fontId="62" fillId="63" borderId="0" applyNumberFormat="0" applyBorder="0" applyAlignment="0" applyProtection="0"/>
    <xf numFmtId="185" fontId="62" fillId="119"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90" borderId="0" applyNumberFormat="0" applyBorder="0" applyAlignment="0" applyProtection="0"/>
    <xf numFmtId="185" fontId="18" fillId="90" borderId="0" applyNumberFormat="0" applyBorder="0" applyAlignment="0" applyProtection="0"/>
    <xf numFmtId="185" fontId="18" fillId="90" borderId="0" applyNumberFormat="0" applyBorder="0" applyAlignment="0" applyProtection="0"/>
    <xf numFmtId="0" fontId="109" fillId="63" borderId="0" applyNumberFormat="0" applyBorder="0" applyAlignment="0" applyProtection="0"/>
    <xf numFmtId="185"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0" fontId="110" fillId="63" borderId="0" applyNumberFormat="0" applyBorder="0" applyAlignment="0" applyProtection="0"/>
    <xf numFmtId="185" fontId="62" fillId="119"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8" fillId="80"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8" fillId="12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0" fontId="17" fillId="13" borderId="0" applyNumberFormat="0" applyBorder="0" applyAlignment="0" applyProtection="0"/>
    <xf numFmtId="185" fontId="17" fillId="13" borderId="0" applyNumberFormat="0" applyBorder="0" applyAlignment="0" applyProtection="0"/>
    <xf numFmtId="185" fontId="17" fillId="100"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0"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0" fontId="17" fillId="14" borderId="0" applyNumberFormat="0" applyBorder="0" applyAlignment="0" applyProtection="0"/>
    <xf numFmtId="185" fontId="17" fillId="14" borderId="0" applyNumberFormat="0" applyBorder="0" applyAlignment="0" applyProtection="0"/>
    <xf numFmtId="185" fontId="17" fillId="118"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85" fontId="17" fillId="8" borderId="0" applyNumberFormat="0" applyBorder="0" applyAlignment="0" applyProtection="0"/>
    <xf numFmtId="185" fontId="17" fillId="8"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0" fontId="17" fillId="8"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18" fillId="91" borderId="0" applyNumberFormat="0" applyBorder="0" applyAlignment="0" applyProtection="0"/>
    <xf numFmtId="185" fontId="18" fillId="91" borderId="0" applyNumberFormat="0" applyBorder="0" applyAlignment="0" applyProtection="0"/>
    <xf numFmtId="185" fontId="18" fillId="12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85" fontId="18" fillId="14" borderId="0" applyNumberFormat="0" applyBorder="0" applyAlignment="0" applyProtection="0"/>
    <xf numFmtId="0" fontId="18" fillId="14" borderId="0" applyNumberFormat="0" applyBorder="0" applyAlignment="0" applyProtection="0"/>
    <xf numFmtId="185" fontId="18" fillId="14"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18" fillId="14"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185" fontId="18" fillId="92"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18" fillId="93" borderId="0" applyNumberFormat="0" applyBorder="0" applyAlignment="0" applyProtection="0"/>
    <xf numFmtId="185" fontId="18" fillId="93" borderId="0" applyNumberFormat="0" applyBorder="0" applyAlignment="0" applyProtection="0"/>
    <xf numFmtId="185" fontId="62" fillId="67" borderId="0" applyNumberFormat="0" applyBorder="0" applyAlignment="0" applyProtection="0"/>
    <xf numFmtId="0" fontId="18" fillId="93" borderId="0" applyNumberFormat="0" applyBorder="0" applyAlignment="0" applyProtection="0"/>
    <xf numFmtId="185" fontId="18" fillId="93" borderId="0" applyNumberFormat="0" applyBorder="0" applyAlignment="0" applyProtection="0"/>
    <xf numFmtId="185" fontId="62" fillId="67"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3" borderId="0" applyNumberFormat="0" applyBorder="0" applyAlignment="0" applyProtection="0"/>
    <xf numFmtId="185" fontId="18" fillId="93" borderId="0" applyNumberFormat="0" applyBorder="0" applyAlignment="0" applyProtection="0"/>
    <xf numFmtId="185" fontId="18" fillId="93" borderId="0" applyNumberFormat="0" applyBorder="0" applyAlignment="0" applyProtection="0"/>
    <xf numFmtId="0" fontId="109" fillId="67" borderId="0" applyNumberFormat="0" applyBorder="0" applyAlignment="0" applyProtection="0"/>
    <xf numFmtId="185"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0" fontId="110" fillId="67" borderId="0" applyNumberFormat="0" applyBorder="0" applyAlignment="0" applyProtection="0"/>
    <xf numFmtId="185"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8" fillId="92"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8" fillId="132" borderId="0" applyNumberFormat="0" applyBorder="0" applyAlignment="0" applyProtection="0"/>
    <xf numFmtId="185" fontId="18" fillId="132" borderId="0" applyNumberFormat="0" applyBorder="0" applyAlignment="0" applyProtection="0"/>
    <xf numFmtId="0" fontId="18" fillId="132" borderId="0" applyNumberFormat="0" applyBorder="0" applyAlignment="0" applyProtection="0"/>
    <xf numFmtId="185" fontId="18" fillId="132"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18" fillId="132"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7" fillId="0" borderId="0" applyNumberFormat="0" applyFill="0" applyBorder="0" applyAlignment="0">
      <protection locked="0"/>
    </xf>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53" fillId="41"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185" fontId="68" fillId="1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69" fillId="8" borderId="0" applyNumberFormat="0" applyBorder="0" applyAlignment="0" applyProtection="0"/>
    <xf numFmtId="185" fontId="69" fillId="8" borderId="0" applyNumberFormat="0" applyBorder="0" applyAlignment="0" applyProtection="0"/>
    <xf numFmtId="185" fontId="111" fillId="133" borderId="0" applyNumberFormat="0" applyBorder="0" applyAlignment="0" applyProtection="0"/>
    <xf numFmtId="0" fontId="69" fillId="8" borderId="0" applyNumberFormat="0" applyBorder="0" applyAlignment="0" applyProtection="0"/>
    <xf numFmtId="185" fontId="69" fillId="8" borderId="0" applyNumberFormat="0" applyBorder="0" applyAlignment="0" applyProtection="0"/>
    <xf numFmtId="0" fontId="53" fillId="41" borderId="0" applyNumberFormat="0" applyBorder="0" applyAlignment="0" applyProtection="0"/>
    <xf numFmtId="185" fontId="111" fillId="13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9" fillId="8" borderId="0" applyNumberFormat="0" applyBorder="0" applyAlignment="0" applyProtection="0"/>
    <xf numFmtId="185" fontId="69" fillId="8" borderId="0" applyNumberFormat="0" applyBorder="0" applyAlignment="0" applyProtection="0"/>
    <xf numFmtId="185" fontId="69" fillId="8" borderId="0" applyNumberFormat="0" applyBorder="0" applyAlignment="0" applyProtection="0"/>
    <xf numFmtId="0" fontId="112" fillId="41" borderId="0" applyNumberFormat="0" applyBorder="0" applyAlignment="0" applyProtection="0"/>
    <xf numFmtId="185"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53" fillId="41" borderId="0" applyNumberFormat="0" applyBorder="0" applyAlignment="0" applyProtection="0"/>
    <xf numFmtId="0" fontId="69" fillId="8" borderId="0" applyNumberFormat="0" applyBorder="0" applyAlignment="0" applyProtection="0"/>
    <xf numFmtId="0" fontId="112" fillId="41"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0" fontId="113" fillId="41"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68" fillId="100" borderId="0" applyNumberFormat="0" applyBorder="0" applyAlignment="0" applyProtection="0"/>
    <xf numFmtId="185" fontId="68" fillId="100" borderId="0" applyNumberFormat="0" applyBorder="0" applyAlignment="0" applyProtection="0"/>
    <xf numFmtId="0" fontId="68" fillId="100" borderId="0" applyNumberFormat="0" applyBorder="0" applyAlignment="0" applyProtection="0"/>
    <xf numFmtId="185" fontId="68" fillId="100"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68" fillId="100"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0" fontId="114" fillId="134" borderId="0" applyNumberFormat="0" applyFont="0" applyFill="0" applyBorder="0" applyProtection="0">
      <alignment horizontal="center"/>
    </xf>
    <xf numFmtId="0" fontId="114" fillId="134" borderId="0" applyNumberFormat="0" applyFont="0" applyFill="0" applyBorder="0" applyProtection="0">
      <alignment horizontal="left"/>
    </xf>
    <xf numFmtId="0" fontId="114" fillId="134" borderId="0" applyNumberFormat="0" applyFont="0" applyFill="0" applyBorder="0" applyProtection="0">
      <alignment horizontal="right"/>
    </xf>
    <xf numFmtId="0" fontId="115" fillId="135" borderId="87" applyNumberFormat="0" applyAlignment="0" applyProtection="0">
      <alignment horizontal="center"/>
      <protection locked="0"/>
    </xf>
    <xf numFmtId="0" fontId="115" fillId="136" borderId="87" applyNumberFormat="0" applyAlignment="0" applyProtection="0">
      <alignment horizontal="center"/>
      <protection locked="0"/>
    </xf>
    <xf numFmtId="0" fontId="114" fillId="57" borderId="87" applyNumberFormat="0" applyAlignment="0" applyProtection="0">
      <alignment horizontal="center"/>
      <protection locked="0"/>
    </xf>
    <xf numFmtId="0" fontId="114" fillId="137" borderId="87" applyNumberFormat="0" applyAlignment="0" applyProtection="0">
      <alignment horizontal="center"/>
    </xf>
    <xf numFmtId="0" fontId="115" fillId="138" borderId="87" applyNumberFormat="0" applyAlignment="0" applyProtection="0">
      <alignment horizontal="center"/>
      <protection locked="0"/>
    </xf>
    <xf numFmtId="0" fontId="114" fillId="139" borderId="87" applyNumberFormat="0" applyAlignment="0" applyProtection="0">
      <alignment horizontal="center"/>
      <protection locked="0"/>
    </xf>
    <xf numFmtId="0" fontId="114" fillId="134" borderId="87" applyNumberFormat="0" applyAlignment="0" applyProtection="0"/>
    <xf numFmtId="0" fontId="116" fillId="134" borderId="0" applyNumberFormat="0" applyFill="0" applyBorder="0" applyAlignment="0" applyProtection="0"/>
    <xf numFmtId="0" fontId="117" fillId="134" borderId="0" applyFill="0" applyProtection="0"/>
    <xf numFmtId="0" fontId="118" fillId="134" borderId="0" applyFill="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70" fillId="95" borderId="69" applyNumberFormat="0" applyAlignment="0" applyProtection="0"/>
    <xf numFmtId="185" fontId="70" fillId="95" borderId="69" applyNumberFormat="0" applyAlignment="0" applyProtection="0"/>
    <xf numFmtId="0" fontId="70" fillId="95" borderId="69" applyNumberFormat="0" applyAlignment="0" applyProtection="0"/>
    <xf numFmtId="185" fontId="70" fillId="95" borderId="69" applyNumberFormat="0" applyAlignment="0" applyProtection="0"/>
    <xf numFmtId="185" fontId="57" fillId="44" borderId="60"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0" fontId="71" fillId="96" borderId="70" applyNumberFormat="0" applyAlignment="0" applyProtection="0"/>
    <xf numFmtId="185" fontId="71" fillId="96" borderId="70" applyNumberFormat="0" applyAlignment="0" applyProtection="0"/>
    <xf numFmtId="0" fontId="57" fillId="44" borderId="60"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185" fontId="70" fillId="95"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1" fillId="96" borderId="70" applyNumberFormat="0" applyAlignment="0" applyProtection="0"/>
    <xf numFmtId="185" fontId="71" fillId="96" borderId="70"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1" fillId="96" borderId="70" applyNumberFormat="0" applyAlignment="0" applyProtection="0"/>
    <xf numFmtId="185" fontId="71" fillId="96" borderId="70" applyNumberFormat="0" applyAlignment="0" applyProtection="0"/>
    <xf numFmtId="185" fontId="71" fillId="96" borderId="70" applyNumberFormat="0" applyAlignment="0" applyProtection="0"/>
    <xf numFmtId="0" fontId="119" fillId="44" borderId="60" applyNumberFormat="0" applyAlignment="0" applyProtection="0"/>
    <xf numFmtId="185" fontId="119" fillId="44" borderId="60" applyNumberFormat="0" applyAlignment="0" applyProtection="0"/>
    <xf numFmtId="0" fontId="119" fillId="44" borderId="60" applyNumberFormat="0" applyAlignment="0" applyProtection="0"/>
    <xf numFmtId="0" fontId="119" fillId="44" borderId="60" applyNumberFormat="0" applyAlignment="0" applyProtection="0"/>
    <xf numFmtId="0" fontId="57" fillId="44" borderId="60" applyNumberFormat="0" applyAlignment="0" applyProtection="0"/>
    <xf numFmtId="0" fontId="71" fillId="96" borderId="70" applyNumberFormat="0" applyAlignment="0" applyProtection="0"/>
    <xf numFmtId="0" fontId="119" fillId="44" borderId="60" applyNumberFormat="0" applyAlignment="0" applyProtection="0"/>
    <xf numFmtId="0" fontId="70" fillId="95" borderId="69" applyNumberFormat="0" applyAlignment="0" applyProtection="0"/>
    <xf numFmtId="185" fontId="70" fillId="95" borderId="69" applyNumberFormat="0" applyAlignment="0" applyProtection="0"/>
    <xf numFmtId="0" fontId="120" fillId="44" borderId="60"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3" borderId="69" applyNumberFormat="0" applyAlignment="0" applyProtection="0"/>
    <xf numFmtId="185" fontId="70" fillId="113" borderId="69" applyNumberFormat="0" applyAlignment="0" applyProtection="0"/>
    <xf numFmtId="0" fontId="70" fillId="113" borderId="69" applyNumberFormat="0" applyAlignment="0" applyProtection="0"/>
    <xf numFmtId="185" fontId="70" fillId="113"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3"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70" fillId="95" borderId="69" applyNumberFormat="0" applyAlignment="0" applyProtection="0"/>
    <xf numFmtId="185" fontId="70" fillId="95" borderId="69" applyNumberFormat="0" applyAlignment="0" applyProtection="0"/>
    <xf numFmtId="0" fontId="121" fillId="0" borderId="0" applyFill="0" applyBorder="0" applyProtection="0">
      <alignment horizontal="center"/>
      <protection locked="0"/>
    </xf>
    <xf numFmtId="198" fontId="8" fillId="0" borderId="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72" fillId="88" borderId="71" applyNumberFormat="0" applyAlignment="0" applyProtection="0"/>
    <xf numFmtId="185" fontId="72" fillId="88" borderId="71" applyNumberFormat="0" applyAlignment="0" applyProtection="0"/>
    <xf numFmtId="0" fontId="72" fillId="88" borderId="71" applyNumberFormat="0" applyAlignment="0" applyProtection="0"/>
    <xf numFmtId="185" fontId="72" fillId="88" borderId="71" applyNumberFormat="0" applyAlignment="0" applyProtection="0"/>
    <xf numFmtId="185" fontId="59" fillId="45" borderId="63"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0" fontId="59" fillId="19" borderId="63" applyNumberFormat="0" applyAlignment="0" applyProtection="0"/>
    <xf numFmtId="185" fontId="59" fillId="19" borderId="63" applyNumberFormat="0" applyAlignment="0" applyProtection="0"/>
    <xf numFmtId="185" fontId="72" fillId="88" borderId="71"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72" fillId="9" borderId="71" applyNumberFormat="0" applyAlignment="0" applyProtection="0"/>
    <xf numFmtId="185" fontId="72" fillId="9" borderId="71" applyNumberFormat="0" applyAlignment="0" applyProtection="0"/>
    <xf numFmtId="185" fontId="59" fillId="19" borderId="63" applyNumberFormat="0" applyAlignment="0" applyProtection="0"/>
    <xf numFmtId="0" fontId="72" fillId="9" borderId="71" applyNumberFormat="0" applyAlignment="0" applyProtection="0"/>
    <xf numFmtId="185" fontId="72" fillId="9" borderId="71" applyNumberFormat="0" applyAlignment="0" applyProtection="0"/>
    <xf numFmtId="0" fontId="59" fillId="45" borderId="63" applyNumberFormat="0" applyAlignment="0" applyProtection="0"/>
    <xf numFmtId="185" fontId="59" fillId="19" borderId="63"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9" borderId="71" applyNumberFormat="0" applyAlignment="0" applyProtection="0"/>
    <xf numFmtId="185" fontId="72" fillId="9" borderId="71" applyNumberFormat="0" applyAlignment="0" applyProtection="0"/>
    <xf numFmtId="185" fontId="72" fillId="9" borderId="71" applyNumberFormat="0" applyAlignment="0" applyProtection="0"/>
    <xf numFmtId="0" fontId="122" fillId="45" borderId="63" applyNumberFormat="0" applyAlignment="0" applyProtection="0"/>
    <xf numFmtId="185" fontId="122" fillId="45" borderId="63" applyNumberFormat="0" applyAlignment="0" applyProtection="0"/>
    <xf numFmtId="0" fontId="122" fillId="45" borderId="63" applyNumberFormat="0" applyAlignment="0" applyProtection="0"/>
    <xf numFmtId="0" fontId="122" fillId="45" borderId="63" applyNumberFormat="0" applyAlignment="0" applyProtection="0"/>
    <xf numFmtId="0" fontId="59" fillId="45" borderId="63" applyNumberFormat="0" applyAlignment="0" applyProtection="0"/>
    <xf numFmtId="0" fontId="72" fillId="9" borderId="71" applyNumberFormat="0" applyAlignment="0" applyProtection="0"/>
    <xf numFmtId="0" fontId="122" fillId="45"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0" fontId="123" fillId="45"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72" fillId="131" borderId="71" applyNumberFormat="0" applyAlignment="0" applyProtection="0"/>
    <xf numFmtId="185" fontId="72" fillId="131" borderId="71" applyNumberFormat="0" applyAlignment="0" applyProtection="0"/>
    <xf numFmtId="0" fontId="72" fillId="131" borderId="71" applyNumberFormat="0" applyAlignment="0" applyProtection="0"/>
    <xf numFmtId="185" fontId="72" fillId="131" borderId="71" applyNumberFormat="0" applyAlignment="0" applyProtection="0"/>
    <xf numFmtId="0" fontId="72" fillId="88" borderId="71" applyNumberFormat="0" applyAlignment="0" applyProtection="0"/>
    <xf numFmtId="185" fontId="72" fillId="88" borderId="71" applyNumberFormat="0" applyAlignment="0" applyProtection="0"/>
    <xf numFmtId="185" fontId="72" fillId="131"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72" fillId="88" borderId="71" applyNumberFormat="0" applyAlignment="0" applyProtection="0"/>
    <xf numFmtId="185" fontId="72" fillId="88" borderId="71" applyNumberFormat="0" applyAlignment="0" applyProtection="0"/>
    <xf numFmtId="0" fontId="95" fillId="0" borderId="2">
      <alignment horizontal="center"/>
    </xf>
    <xf numFmtId="199" fontId="8" fillId="0" borderId="0" applyFont="0" applyFill="0" applyBorder="0" applyAlignment="0" applyProtection="0"/>
    <xf numFmtId="200" fontId="124" fillId="0" borderId="0" applyFont="0" applyFill="0" applyBorder="0" applyAlignment="0" applyProtection="0"/>
    <xf numFmtId="201" fontId="108" fillId="0" borderId="0" applyFont="0" applyFill="0" applyBorder="0" applyAlignment="0" applyProtection="0"/>
    <xf numFmtId="202" fontId="125" fillId="0" borderId="0" applyFont="0" applyFill="0" applyBorder="0" applyAlignment="0" applyProtection="0"/>
    <xf numFmtId="203" fontId="108" fillId="0" borderId="0" applyFont="0" applyFill="0" applyBorder="0" applyAlignment="0" applyProtection="0"/>
    <xf numFmtId="204" fontId="125" fillId="0" borderId="0" applyFont="0" applyFill="0" applyBorder="0" applyAlignment="0" applyProtection="0"/>
    <xf numFmtId="205" fontId="108" fillId="0" borderId="0" applyFont="0" applyFill="0" applyBorder="0" applyAlignment="0" applyProtection="0"/>
    <xf numFmtId="43" fontId="1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8"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43" fontId="28"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27"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7"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206" fontId="8" fillId="0" borderId="0" applyFill="0" applyBorder="0" applyAlignment="0" applyProtection="0"/>
    <xf numFmtId="43" fontId="20"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75"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75"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75"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2" fillId="0" borderId="0" applyFill="0" applyBorder="0" applyAlignment="0" applyProtection="0"/>
    <xf numFmtId="0" fontId="8" fillId="0" borderId="0" applyFont="0" applyFill="0" applyBorder="0" applyAlignment="0" applyProtection="0">
      <alignment vertical="top"/>
    </xf>
    <xf numFmtId="177" fontId="8" fillId="0" borderId="0" applyFont="0" applyFill="0" applyBorder="0" applyAlignment="0" applyProtection="0">
      <alignment vertical="top"/>
    </xf>
    <xf numFmtId="0" fontId="128" fillId="0" borderId="0" applyNumberFormat="0" applyFill="0" applyBorder="0" applyAlignment="0" applyProtection="0"/>
    <xf numFmtId="207" fontId="129" fillId="0" borderId="0" applyFill="0" applyBorder="0" applyProtection="0"/>
    <xf numFmtId="208" fontId="124" fillId="0" borderId="0" applyFont="0" applyFill="0" applyBorder="0" applyAlignment="0" applyProtection="0"/>
    <xf numFmtId="209" fontId="6" fillId="0" borderId="0" applyFill="0" applyBorder="0" applyProtection="0"/>
    <xf numFmtId="209" fontId="6" fillId="0" borderId="9" applyFill="0" applyProtection="0"/>
    <xf numFmtId="209" fontId="6" fillId="0" borderId="66" applyFill="0" applyProtection="0"/>
    <xf numFmtId="210" fontId="8" fillId="0" borderId="0" applyFont="0" applyFill="0" applyBorder="0" applyAlignment="0" applyProtection="0"/>
    <xf numFmtId="211" fontId="67" fillId="0" borderId="0" applyFont="0" applyFill="0" applyBorder="0" applyAlignment="0" applyProtection="0">
      <alignment horizontal="left"/>
    </xf>
    <xf numFmtId="212" fontId="8" fillId="0" borderId="0" applyFont="0" applyFill="0" applyBorder="0" applyAlignment="0" applyProtection="0"/>
    <xf numFmtId="213" fontId="130" fillId="140" borderId="38" applyFont="0" applyFill="0" applyBorder="0" applyAlignment="0" applyProtection="0"/>
    <xf numFmtId="214" fontId="125" fillId="0" borderId="0" applyFont="0" applyFill="0" applyBorder="0" applyAlignment="0" applyProtection="0"/>
    <xf numFmtId="215" fontId="108" fillId="0" borderId="0" applyFont="0" applyFill="0" applyBorder="0" applyAlignment="0" applyProtection="0"/>
    <xf numFmtId="216" fontId="125" fillId="0" borderId="0" applyFont="0" applyFill="0" applyBorder="0" applyAlignment="0" applyProtection="0"/>
    <xf numFmtId="217" fontId="108" fillId="0" borderId="0" applyFont="0" applyFill="0" applyBorder="0" applyAlignment="0" applyProtection="0"/>
    <xf numFmtId="218" fontId="125" fillId="0" borderId="0" applyFont="0" applyFill="0" applyBorder="0" applyAlignment="0" applyProtection="0"/>
    <xf numFmtId="219" fontId="108"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7" fontId="75" fillId="0" borderId="0" applyFont="0" applyFill="0" applyBorder="0" applyAlignment="0" applyProtection="0">
      <alignment vertical="top"/>
    </xf>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8" fontId="8" fillId="0" borderId="0" applyFont="0" applyFill="0" applyBorder="0" applyAlignment="0" applyProtection="0"/>
    <xf numFmtId="44" fontId="74" fillId="0" borderId="0" applyFont="0" applyFill="0" applyBorder="0" applyAlignment="0" applyProtection="0"/>
    <xf numFmtId="178" fontId="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20" fontId="8" fillId="0" borderId="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75"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lignment vertical="top"/>
    </xf>
    <xf numFmtId="177" fontId="8" fillId="0" borderId="0">
      <alignment vertical="top"/>
    </xf>
    <xf numFmtId="0" fontId="8" fillId="94" borderId="0" applyNumberFormat="0" applyAlignment="0">
      <alignment horizontal="right"/>
    </xf>
    <xf numFmtId="0" fontId="8" fillId="118" borderId="0" applyNumberFormat="0" applyAlignment="0"/>
    <xf numFmtId="0" fontId="8" fillId="0" borderId="0" applyFont="0" applyFill="0" applyBorder="0" applyAlignment="0" applyProtection="0">
      <alignment vertical="top"/>
    </xf>
    <xf numFmtId="185" fontId="23" fillId="0" borderId="0">
      <protection locked="0"/>
    </xf>
    <xf numFmtId="185" fontId="8" fillId="0" borderId="0" applyFont="0" applyFill="0" applyBorder="0" applyAlignment="0" applyProtection="0">
      <alignment vertical="top"/>
    </xf>
    <xf numFmtId="185" fontId="23" fillId="0" borderId="0">
      <protection locked="0"/>
    </xf>
    <xf numFmtId="185" fontId="8" fillId="0" borderId="0" applyFont="0" applyFill="0" applyBorder="0" applyAlignment="0" applyProtection="0">
      <alignment vertical="top"/>
    </xf>
    <xf numFmtId="18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85" fontId="23" fillId="0" borderId="0">
      <protection locked="0"/>
    </xf>
    <xf numFmtId="185" fontId="23" fillId="0" borderId="0">
      <protection locked="0"/>
    </xf>
    <xf numFmtId="185" fontId="23" fillId="0" borderId="0">
      <protection locked="0"/>
    </xf>
    <xf numFmtId="185" fontId="23" fillId="0" borderId="0">
      <protection locked="0"/>
    </xf>
    <xf numFmtId="185" fontId="23" fillId="0" borderId="0">
      <protection locked="0"/>
    </xf>
    <xf numFmtId="185" fontId="23" fillId="0" borderId="0">
      <protection locked="0"/>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0" fontId="8" fillId="0" borderId="0" applyFont="0" applyFill="0" applyBorder="0" applyAlignment="0" applyProtection="0">
      <alignment vertical="top"/>
    </xf>
    <xf numFmtId="221" fontId="82" fillId="0" borderId="0" applyFill="0" applyBorder="0" applyAlignment="0" applyProtection="0"/>
    <xf numFmtId="0" fontId="8" fillId="0" borderId="0" applyFont="0" applyFill="0" applyBorder="0" applyAlignment="0" applyProtection="0">
      <alignment vertical="top"/>
    </xf>
    <xf numFmtId="222" fontId="6" fillId="0" borderId="0" applyFill="0" applyBorder="0" applyProtection="0"/>
    <xf numFmtId="222" fontId="6" fillId="0" borderId="9" applyFill="0" applyProtection="0"/>
    <xf numFmtId="222" fontId="6" fillId="0" borderId="66" applyFill="0" applyProtection="0"/>
    <xf numFmtId="223" fontId="8" fillId="0" borderId="0" applyFont="0" applyFill="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0" fontId="22" fillId="15"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85" fontId="22" fillId="15" borderId="0" applyNumberFormat="0" applyBorder="0" applyAlignment="0" applyProtection="0"/>
    <xf numFmtId="0" fontId="22" fillId="15" borderId="0" applyNumberFormat="0" applyBorder="0" applyAlignment="0" applyProtection="0"/>
    <xf numFmtId="185" fontId="22" fillId="15"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0" fontId="22" fillId="15"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0" fontId="22" fillId="16"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185" fontId="22" fillId="16" borderId="0" applyNumberFormat="0" applyBorder="0" applyAlignment="0" applyProtection="0"/>
    <xf numFmtId="0" fontId="22" fillId="16" borderId="0" applyNumberFormat="0" applyBorder="0" applyAlignment="0" applyProtection="0"/>
    <xf numFmtId="185" fontId="22" fillId="16"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0" fontId="22" fillId="16"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85" fontId="22" fillId="17" borderId="0" applyNumberFormat="0" applyBorder="0" applyAlignment="0" applyProtection="0"/>
    <xf numFmtId="0" fontId="22" fillId="17" borderId="0" applyNumberFormat="0" applyBorder="0" applyAlignment="0" applyProtection="0"/>
    <xf numFmtId="0" fontId="131" fillId="0" borderId="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185"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0" fontId="61"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2" fontId="8" fillId="0" borderId="0" applyFont="0" applyFill="0" applyBorder="0" applyAlignment="0" applyProtection="0"/>
    <xf numFmtId="2" fontId="82" fillId="0" borderId="0" applyFill="0" applyBorder="0" applyAlignment="0" applyProtection="0"/>
    <xf numFmtId="179" fontId="23" fillId="0" borderId="0">
      <protection locked="0"/>
    </xf>
    <xf numFmtId="179" fontId="23" fillId="0" borderId="0">
      <protection locked="0"/>
    </xf>
    <xf numFmtId="179" fontId="23" fillId="0" borderId="0">
      <protection locked="0"/>
    </xf>
    <xf numFmtId="2" fontId="8" fillId="0" borderId="0" applyFont="0" applyFill="0" applyBorder="0" applyAlignment="0" applyProtection="0">
      <alignment vertical="top"/>
    </xf>
    <xf numFmtId="2" fontId="8" fillId="0" borderId="0" applyFont="0" applyFill="0" applyBorder="0" applyAlignment="0" applyProtection="0">
      <alignment vertical="top"/>
    </xf>
    <xf numFmtId="2" fontId="8" fillId="0" borderId="0" applyFont="0" applyFill="0" applyBorder="0" applyAlignment="0" applyProtection="0">
      <alignment vertical="top"/>
    </xf>
    <xf numFmtId="224" fontId="135" fillId="0" borderId="0"/>
    <xf numFmtId="224" fontId="135" fillId="0" borderId="0"/>
    <xf numFmtId="224" fontId="135" fillId="0" borderId="0"/>
    <xf numFmtId="225" fontId="135" fillId="0" borderId="0"/>
    <xf numFmtId="224" fontId="135" fillId="0" borderId="0"/>
    <xf numFmtId="224" fontId="135" fillId="0" borderId="0"/>
    <xf numFmtId="225" fontId="135" fillId="0" borderId="0"/>
    <xf numFmtId="225" fontId="135" fillId="0" borderId="0"/>
    <xf numFmtId="224" fontId="135" fillId="0" borderId="0"/>
    <xf numFmtId="224" fontId="135" fillId="0" borderId="0"/>
    <xf numFmtId="225" fontId="135" fillId="0" borderId="0"/>
    <xf numFmtId="224" fontId="135" fillId="0" borderId="0"/>
    <xf numFmtId="224" fontId="135" fillId="0" borderId="0"/>
    <xf numFmtId="224" fontId="135" fillId="0" borderId="0"/>
    <xf numFmtId="225" fontId="135" fillId="0" borderId="0"/>
    <xf numFmtId="225" fontId="135" fillId="0" borderId="0"/>
    <xf numFmtId="225" fontId="135" fillId="0" borderId="0"/>
    <xf numFmtId="225" fontId="135" fillId="0" borderId="0"/>
    <xf numFmtId="225" fontId="135" fillId="0" borderId="0"/>
    <xf numFmtId="225" fontId="135" fillId="0" borderId="0"/>
    <xf numFmtId="225" fontId="135" fillId="0" borderId="0"/>
    <xf numFmtId="224" fontId="135" fillId="0" borderId="0"/>
    <xf numFmtId="224" fontId="135" fillId="0" borderId="0"/>
    <xf numFmtId="225" fontId="135" fillId="0" borderId="0"/>
    <xf numFmtId="224" fontId="135" fillId="0" borderId="0"/>
    <xf numFmtId="224" fontId="135" fillId="0" borderId="0"/>
    <xf numFmtId="224" fontId="135" fillId="0" borderId="0"/>
    <xf numFmtId="225" fontId="135" fillId="0" borderId="0"/>
    <xf numFmtId="224" fontId="135" fillId="0" borderId="0"/>
    <xf numFmtId="225" fontId="135" fillId="0" borderId="0"/>
    <xf numFmtId="224" fontId="135" fillId="0" borderId="0"/>
    <xf numFmtId="224" fontId="135" fillId="0" borderId="0"/>
    <xf numFmtId="225" fontId="135" fillId="0" borderId="0"/>
    <xf numFmtId="225" fontId="135" fillId="0" borderId="0"/>
    <xf numFmtId="225" fontId="135" fillId="0" borderId="0"/>
    <xf numFmtId="225" fontId="135" fillId="0" borderId="0"/>
    <xf numFmtId="224" fontId="135" fillId="0" borderId="0"/>
    <xf numFmtId="224" fontId="135" fillId="0" borderId="0"/>
    <xf numFmtId="225" fontId="135" fillId="0" borderId="0"/>
    <xf numFmtId="225" fontId="135" fillId="0" borderId="0"/>
    <xf numFmtId="225" fontId="135" fillId="0" borderId="0"/>
    <xf numFmtId="224" fontId="135" fillId="0" borderId="0"/>
    <xf numFmtId="224" fontId="135" fillId="0" borderId="0"/>
    <xf numFmtId="226" fontId="135" fillId="0" borderId="0"/>
    <xf numFmtId="227" fontId="135" fillId="0" borderId="0"/>
    <xf numFmtId="227" fontId="135" fillId="0" borderId="0"/>
    <xf numFmtId="227" fontId="135" fillId="0" borderId="0"/>
    <xf numFmtId="227" fontId="135" fillId="0" borderId="0"/>
    <xf numFmtId="227" fontId="135" fillId="0" borderId="0"/>
    <xf numFmtId="227" fontId="135" fillId="0" borderId="0"/>
    <xf numFmtId="227" fontId="135" fillId="0" borderId="0"/>
    <xf numFmtId="226" fontId="135" fillId="0" borderId="0"/>
    <xf numFmtId="227" fontId="135" fillId="0" borderId="0"/>
    <xf numFmtId="227" fontId="135" fillId="0" borderId="0"/>
    <xf numFmtId="227" fontId="135" fillId="0" borderId="0"/>
    <xf numFmtId="227"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52" fillId="40"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77" fillId="99" borderId="0" applyNumberFormat="0" applyBorder="0" applyAlignment="0" applyProtection="0"/>
    <xf numFmtId="0" fontId="77" fillId="99" borderId="0" applyNumberFormat="0" applyBorder="0" applyAlignment="0" applyProtection="0"/>
    <xf numFmtId="185" fontId="77" fillId="99" borderId="0" applyNumberFormat="0" applyBorder="0" applyAlignment="0" applyProtection="0"/>
    <xf numFmtId="0" fontId="52" fillId="40"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77" fillId="99" borderId="0" applyNumberFormat="0" applyBorder="0" applyAlignment="0" applyProtection="0"/>
    <xf numFmtId="185" fontId="77" fillId="99" borderId="0" applyNumberFormat="0" applyBorder="0" applyAlignment="0" applyProtection="0"/>
    <xf numFmtId="185" fontId="77" fillId="99" borderId="0" applyNumberFormat="0" applyBorder="0" applyAlignment="0" applyProtection="0"/>
    <xf numFmtId="0" fontId="137" fillId="40" borderId="0" applyNumberFormat="0" applyBorder="0" applyAlignment="0" applyProtection="0"/>
    <xf numFmtId="185"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52" fillId="40" borderId="0" applyNumberFormat="0" applyBorder="0" applyAlignment="0" applyProtection="0"/>
    <xf numFmtId="0" fontId="77" fillId="99" borderId="0" applyNumberFormat="0" applyBorder="0" applyAlignment="0" applyProtection="0"/>
    <xf numFmtId="0" fontId="137" fillId="40"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0" fontId="138" fillId="40"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7" fillId="128" borderId="0" applyNumberFormat="0" applyBorder="0" applyAlignment="0" applyProtection="0"/>
    <xf numFmtId="185" fontId="17" fillId="128" borderId="0" applyNumberFormat="0" applyBorder="0" applyAlignment="0" applyProtection="0"/>
    <xf numFmtId="0" fontId="17" fillId="128" borderId="0" applyNumberFormat="0" applyBorder="0" applyAlignment="0" applyProtection="0"/>
    <xf numFmtId="185" fontId="17" fillId="128"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7" fillId="128"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4" fontId="38" fillId="141" borderId="12">
      <alignment horizontal="center" vertical="center" wrapText="1"/>
    </xf>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140" fillId="0" borderId="0" applyNumberFormat="0" applyFill="0" applyBorder="0" applyAlignment="0" applyProtection="0">
      <alignment vertical="top"/>
    </xf>
    <xf numFmtId="185" fontId="141" fillId="0" borderId="57" applyNumberFormat="0" applyFill="0" applyAlignment="0" applyProtection="0"/>
    <xf numFmtId="0" fontId="140" fillId="0" borderId="0" applyNumberFormat="0" applyFill="0" applyBorder="0" applyAlignment="0" applyProtection="0">
      <alignment vertical="top"/>
    </xf>
    <xf numFmtId="185" fontId="140" fillId="0" borderId="0" applyNumberFormat="0" applyFill="0" applyBorder="0" applyAlignment="0" applyProtection="0">
      <alignment vertical="top"/>
    </xf>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142" fillId="0" borderId="88" applyNumberFormat="0" applyFill="0" applyAlignment="0" applyProtection="0"/>
    <xf numFmtId="0" fontId="142" fillId="0" borderId="88"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141" fillId="0" borderId="57" applyNumberFormat="0" applyFill="0" applyAlignment="0" applyProtection="0"/>
    <xf numFmtId="185" fontId="79" fillId="0" borderId="72" applyNumberFormat="0" applyFill="0" applyAlignment="0" applyProtection="0"/>
    <xf numFmtId="0" fontId="49" fillId="0" borderId="57" applyNumberFormat="0" applyFill="0" applyAlignment="0" applyProtection="0"/>
    <xf numFmtId="0" fontId="79" fillId="0" borderId="72" applyNumberFormat="0" applyFill="0" applyAlignment="0" applyProtection="0"/>
    <xf numFmtId="0" fontId="141" fillId="0" borderId="57"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0" fontId="143"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40" fillId="0" borderId="0" applyNumberFormat="0" applyFill="0" applyBorder="0" applyAlignment="0" applyProtection="0">
      <alignment vertical="top"/>
    </xf>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40" fillId="0" borderId="0" applyNumberFormat="0" applyFill="0" applyBorder="0" applyAlignment="0" applyProtection="0">
      <alignment vertical="top"/>
    </xf>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185" fontId="139" fillId="0" borderId="57"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50" fillId="0" borderId="58"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5" fillId="0" borderId="74" applyNumberFormat="0" applyFill="0" applyAlignment="0" applyProtection="0"/>
    <xf numFmtId="0" fontId="145" fillId="0" borderId="74"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80" fillId="0" borderId="74" applyNumberFormat="0" applyFill="0" applyAlignment="0" applyProtection="0"/>
    <xf numFmtId="185" fontId="80" fillId="0" borderId="74" applyNumberFormat="0" applyFill="0" applyAlignment="0" applyProtection="0"/>
    <xf numFmtId="185" fontId="144" fillId="0" borderId="58"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146" fillId="0" borderId="58" applyNumberFormat="0" applyFill="0" applyAlignment="0" applyProtection="0"/>
    <xf numFmtId="185" fontId="80" fillId="0" borderId="74" applyNumberFormat="0" applyFill="0" applyAlignment="0" applyProtection="0"/>
    <xf numFmtId="0" fontId="50" fillId="0" borderId="58" applyNumberFormat="0" applyFill="0" applyAlignment="0" applyProtection="0"/>
    <xf numFmtId="0" fontId="80" fillId="0" borderId="73" applyNumberFormat="0" applyFill="0" applyAlignment="0" applyProtection="0"/>
    <xf numFmtId="0" fontId="146" fillId="0" borderId="58" applyNumberFormat="0" applyFill="0" applyAlignment="0" applyProtection="0"/>
    <xf numFmtId="185" fontId="144" fillId="0" borderId="58"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4" applyNumberFormat="0" applyFill="0" applyAlignment="0" applyProtection="0"/>
    <xf numFmtId="185" fontId="80" fillId="0" borderId="74" applyNumberFormat="0" applyFill="0" applyAlignment="0" applyProtection="0"/>
    <xf numFmtId="185" fontId="80" fillId="0" borderId="74" applyNumberFormat="0" applyFill="0" applyAlignment="0" applyProtection="0"/>
    <xf numFmtId="0" fontId="50" fillId="0" borderId="58" applyNumberFormat="0" applyFill="0" applyAlignment="0" applyProtection="0"/>
    <xf numFmtId="185" fontId="146" fillId="0" borderId="58" applyNumberFormat="0" applyFill="0" applyAlignment="0" applyProtection="0"/>
    <xf numFmtId="0" fontId="82" fillId="0" borderId="0" applyNumberFormat="0" applyFill="0" applyBorder="0" applyAlignment="0" applyProtection="0">
      <alignment vertical="top"/>
    </xf>
    <xf numFmtId="0" fontId="82" fillId="0" borderId="0" applyNumberFormat="0" applyFill="0" applyBorder="0" applyAlignment="0" applyProtection="0">
      <alignment vertical="top"/>
    </xf>
    <xf numFmtId="0" fontId="82" fillId="0" borderId="0" applyNumberFormat="0" applyFill="0" applyBorder="0" applyAlignment="0" applyProtection="0">
      <alignment vertical="top"/>
    </xf>
    <xf numFmtId="0" fontId="82" fillId="0" borderId="0" applyNumberFormat="0" applyFill="0" applyBorder="0" applyAlignment="0" applyProtection="0">
      <alignment vertical="top"/>
    </xf>
    <xf numFmtId="0" fontId="80" fillId="0" borderId="74" applyNumberFormat="0" applyFill="0" applyAlignment="0" applyProtection="0"/>
    <xf numFmtId="0" fontId="82" fillId="0" borderId="0" applyNumberFormat="0" applyFill="0" applyBorder="0" applyAlignment="0" applyProtection="0">
      <alignment vertical="top"/>
    </xf>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0" fontId="147" fillId="0" borderId="58" applyNumberFormat="0" applyFill="0" applyAlignment="0" applyProtection="0"/>
    <xf numFmtId="185" fontId="144" fillId="0" borderId="58" applyNumberFormat="0" applyFill="0" applyAlignment="0" applyProtection="0"/>
    <xf numFmtId="185" fontId="82" fillId="0" borderId="0" applyNumberFormat="0" applyFill="0" applyBorder="0" applyAlignment="0" applyProtection="0">
      <alignment vertical="top"/>
    </xf>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6" applyNumberFormat="0" applyFill="0" applyAlignment="0" applyProtection="0"/>
    <xf numFmtId="185" fontId="81" fillId="0" borderId="76" applyNumberFormat="0" applyFill="0" applyAlignment="0" applyProtection="0"/>
    <xf numFmtId="0" fontId="51"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6" applyNumberFormat="0" applyFill="0" applyAlignment="0" applyProtection="0"/>
    <xf numFmtId="185" fontId="81" fillId="0" borderId="76"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6" applyNumberFormat="0" applyFill="0" applyAlignment="0" applyProtection="0"/>
    <xf numFmtId="185" fontId="81" fillId="0" borderId="76" applyNumberFormat="0" applyFill="0" applyAlignment="0" applyProtection="0"/>
    <xf numFmtId="185" fontId="81" fillId="0" borderId="76" applyNumberFormat="0" applyFill="0" applyAlignment="0" applyProtection="0"/>
    <xf numFmtId="0" fontId="148" fillId="0" borderId="59" applyNumberFormat="0" applyFill="0" applyAlignment="0" applyProtection="0"/>
    <xf numFmtId="185" fontId="148" fillId="0" borderId="59" applyNumberFormat="0" applyFill="0" applyAlignment="0" applyProtection="0"/>
    <xf numFmtId="0" fontId="148" fillId="0" borderId="59" applyNumberFormat="0" applyFill="0" applyAlignment="0" applyProtection="0"/>
    <xf numFmtId="0" fontId="148" fillId="0" borderId="59" applyNumberFormat="0" applyFill="0" applyAlignment="0" applyProtection="0"/>
    <xf numFmtId="0" fontId="51" fillId="0" borderId="59" applyNumberFormat="0" applyFill="0" applyAlignment="0" applyProtection="0"/>
    <xf numFmtId="0" fontId="81" fillId="0" borderId="76" applyNumberFormat="0" applyFill="0" applyAlignment="0" applyProtection="0"/>
    <xf numFmtId="0" fontId="148" fillId="0" borderId="59" applyNumberFormat="0" applyFill="0" applyAlignment="0" applyProtection="0"/>
    <xf numFmtId="0" fontId="149"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148" fillId="0" borderId="0" applyNumberFormat="0" applyFill="0" applyBorder="0" applyAlignment="0" applyProtection="0"/>
    <xf numFmtId="0" fontId="5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149"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148"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148"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81" fillId="0" borderId="0" applyNumberFormat="0" applyFill="0" applyBorder="0" applyAlignment="0" applyProtection="0"/>
    <xf numFmtId="0" fontId="121" fillId="0" borderId="0" applyFill="0" applyAlignment="0" applyProtection="0">
      <protection locked="0"/>
    </xf>
    <xf numFmtId="0" fontId="121" fillId="0" borderId="14" applyFill="0" applyAlignment="0" applyProtection="0">
      <protection locked="0"/>
    </xf>
    <xf numFmtId="185" fontId="24" fillId="0" borderId="0">
      <protection locked="0"/>
    </xf>
    <xf numFmtId="0" fontId="24" fillId="0" borderId="0">
      <protection locked="0"/>
    </xf>
    <xf numFmtId="185" fontId="24" fillId="0" borderId="0">
      <protection locked="0"/>
    </xf>
    <xf numFmtId="0" fontId="24" fillId="0" borderId="0">
      <protection locked="0"/>
    </xf>
    <xf numFmtId="185" fontId="24" fillId="0" borderId="0">
      <protection locked="0"/>
    </xf>
    <xf numFmtId="0" fontId="24" fillId="0" borderId="0">
      <protection locked="0"/>
    </xf>
    <xf numFmtId="185" fontId="24" fillId="0" borderId="0">
      <protection locked="0"/>
    </xf>
    <xf numFmtId="0" fontId="24" fillId="0" borderId="0">
      <protection locked="0"/>
    </xf>
    <xf numFmtId="185" fontId="150" fillId="0" borderId="0" applyNumberFormat="0" applyFill="0" applyBorder="0" applyAlignment="0" applyProtection="0"/>
    <xf numFmtId="0" fontId="151" fillId="0" borderId="0" applyNumberFormat="0" applyFill="0" applyBorder="0" applyAlignment="0" applyProtection="0">
      <alignment vertical="top"/>
      <protection locked="0"/>
    </xf>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83" fillId="14" borderId="69" applyNumberFormat="0" applyAlignment="0" applyProtection="0"/>
    <xf numFmtId="185" fontId="83" fillId="14"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0"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0" fontId="55" fillId="43" borderId="69" applyNumberFormat="0" applyAlignment="0" applyProtection="0"/>
    <xf numFmtId="185" fontId="55" fillId="43" borderId="69" applyNumberFormat="0" applyAlignment="0" applyProtection="0"/>
    <xf numFmtId="185" fontId="83" fillId="14"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83" fillId="14" borderId="70" applyNumberFormat="0" applyAlignment="0" applyProtection="0"/>
    <xf numFmtId="185" fontId="83" fillId="14" borderId="70" applyNumberFormat="0" applyAlignment="0" applyProtection="0"/>
    <xf numFmtId="185" fontId="55" fillId="43" borderId="69" applyNumberFormat="0" applyAlignment="0" applyProtection="0"/>
    <xf numFmtId="0" fontId="83" fillId="14" borderId="70" applyNumberFormat="0" applyAlignment="0" applyProtection="0"/>
    <xf numFmtId="185" fontId="83" fillId="14" borderId="70" applyNumberFormat="0" applyAlignment="0" applyProtection="0"/>
    <xf numFmtId="0" fontId="55" fillId="43" borderId="60" applyNumberFormat="0" applyAlignment="0" applyProtection="0"/>
    <xf numFmtId="185" fontId="55" fillId="43" borderId="69" applyNumberFormat="0" applyAlignment="0" applyProtection="0"/>
    <xf numFmtId="0" fontId="83" fillId="14" borderId="70"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70" applyNumberFormat="0" applyAlignment="0" applyProtection="0"/>
    <xf numFmtId="185" fontId="83" fillId="14" borderId="70" applyNumberFormat="0" applyAlignment="0" applyProtection="0"/>
    <xf numFmtId="185" fontId="83" fillId="14" borderId="70" applyNumberFormat="0" applyAlignment="0" applyProtection="0"/>
    <xf numFmtId="0" fontId="152" fillId="43" borderId="60" applyNumberFormat="0" applyAlignment="0" applyProtection="0"/>
    <xf numFmtId="185" fontId="152" fillId="43" borderId="60" applyNumberFormat="0" applyAlignment="0" applyProtection="0"/>
    <xf numFmtId="0" fontId="152" fillId="43" borderId="60" applyNumberFormat="0" applyAlignment="0" applyProtection="0"/>
    <xf numFmtId="0" fontId="152" fillId="43" borderId="60" applyNumberFormat="0" applyAlignment="0" applyProtection="0"/>
    <xf numFmtId="0" fontId="55" fillId="43" borderId="60" applyNumberFormat="0" applyAlignment="0" applyProtection="0"/>
    <xf numFmtId="0" fontId="83" fillId="14" borderId="70" applyNumberFormat="0" applyAlignment="0" applyProtection="0"/>
    <xf numFmtId="0" fontId="152" fillId="43" borderId="60"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0" fontId="153" fillId="43" borderId="60"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83" fillId="118" borderId="69" applyNumberFormat="0" applyAlignment="0" applyProtection="0"/>
    <xf numFmtId="185" fontId="83" fillId="118" borderId="69" applyNumberFormat="0" applyAlignment="0" applyProtection="0"/>
    <xf numFmtId="0" fontId="83" fillId="118" borderId="69" applyNumberFormat="0" applyAlignment="0" applyProtection="0"/>
    <xf numFmtId="185" fontId="83" fillId="118" borderId="69" applyNumberFormat="0" applyAlignment="0" applyProtection="0"/>
    <xf numFmtId="0" fontId="83" fillId="14" borderId="69" applyNumberFormat="0" applyAlignment="0" applyProtection="0"/>
    <xf numFmtId="185" fontId="83" fillId="14" borderId="69" applyNumberFormat="0" applyAlignment="0" applyProtection="0"/>
    <xf numFmtId="185" fontId="83" fillId="118"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83" fillId="14" borderId="69" applyNumberFormat="0" applyAlignment="0" applyProtection="0"/>
    <xf numFmtId="185" fontId="83" fillId="14" borderId="69" applyNumberFormat="0" applyAlignment="0" applyProtection="0"/>
    <xf numFmtId="37" fontId="8" fillId="0" borderId="0" applyFont="0" applyFill="0" applyBorder="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84" fillId="0" borderId="79" applyNumberFormat="0" applyFill="0" applyAlignment="0" applyProtection="0"/>
    <xf numFmtId="185" fontId="84" fillId="0" borderId="79" applyNumberFormat="0" applyFill="0" applyAlignment="0" applyProtection="0"/>
    <xf numFmtId="0" fontId="58"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84" fillId="0" borderId="79" applyNumberFormat="0" applyFill="0" applyAlignment="0" applyProtection="0"/>
    <xf numFmtId="185" fontId="84" fillId="0" borderId="79"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84" fillId="0" borderId="79" applyNumberFormat="0" applyFill="0" applyAlignment="0" applyProtection="0"/>
    <xf numFmtId="185" fontId="84" fillId="0" borderId="79" applyNumberFormat="0" applyFill="0" applyAlignment="0" applyProtection="0"/>
    <xf numFmtId="185" fontId="84" fillId="0" borderId="79" applyNumberFormat="0" applyFill="0" applyAlignment="0" applyProtection="0"/>
    <xf numFmtId="0" fontId="154" fillId="0" borderId="62" applyNumberFormat="0" applyFill="0" applyAlignment="0" applyProtection="0"/>
    <xf numFmtId="185" fontId="154" fillId="0" borderId="62" applyNumberFormat="0" applyFill="0" applyAlignment="0" applyProtection="0"/>
    <xf numFmtId="0" fontId="154" fillId="0" borderId="62" applyNumberFormat="0" applyFill="0" applyAlignment="0" applyProtection="0"/>
    <xf numFmtId="0" fontId="154" fillId="0" borderId="62" applyNumberFormat="0" applyFill="0" applyAlignment="0" applyProtection="0"/>
    <xf numFmtId="0" fontId="58" fillId="0" borderId="62" applyNumberFormat="0" applyFill="0" applyAlignment="0" applyProtection="0"/>
    <xf numFmtId="0" fontId="84" fillId="0" borderId="79" applyNumberFormat="0" applyFill="0" applyAlignment="0" applyProtection="0"/>
    <xf numFmtId="0" fontId="154" fillId="0" borderId="62" applyNumberFormat="0" applyFill="0" applyAlignment="0" applyProtection="0"/>
    <xf numFmtId="0" fontId="155"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229" fontId="8" fillId="0" borderId="0" applyFont="0" applyFill="0" applyBorder="0" applyAlignment="0" applyProtection="0"/>
    <xf numFmtId="230" fontId="8" fillId="0" borderId="14" applyFont="0" applyFill="0" applyBorder="0" applyAlignment="0" applyProtection="0">
      <alignment horizontal="centerContinuous"/>
    </xf>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107" fillId="42"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0" fontId="85" fillId="14" borderId="0" applyNumberFormat="0" applyBorder="0" applyAlignment="0" applyProtection="0"/>
    <xf numFmtId="185" fontId="85" fillId="14" borderId="0" applyNumberFormat="0" applyBorder="0" applyAlignment="0" applyProtection="0"/>
    <xf numFmtId="0" fontId="107" fillId="42"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185" fontId="77" fillId="14"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85" fillId="14" borderId="0" applyNumberFormat="0" applyBorder="0" applyAlignment="0" applyProtection="0"/>
    <xf numFmtId="185" fontId="85"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85" fillId="14" borderId="0" applyNumberFormat="0" applyBorder="0" applyAlignment="0" applyProtection="0"/>
    <xf numFmtId="185" fontId="85" fillId="14" borderId="0" applyNumberFormat="0" applyBorder="0" applyAlignment="0" applyProtection="0"/>
    <xf numFmtId="185" fontId="85" fillId="14" borderId="0" applyNumberFormat="0" applyBorder="0" applyAlignment="0" applyProtection="0"/>
    <xf numFmtId="0" fontId="156" fillId="42" borderId="0" applyNumberFormat="0" applyBorder="0" applyAlignment="0" applyProtection="0"/>
    <xf numFmtId="185"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07" fillId="42" borderId="0" applyNumberFormat="0" applyBorder="0" applyAlignment="0" applyProtection="0"/>
    <xf numFmtId="0" fontId="85" fillId="14" borderId="0" applyNumberFormat="0" applyBorder="0" applyAlignment="0" applyProtection="0"/>
    <xf numFmtId="0" fontId="156"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0" fontId="157" fillId="42"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18" borderId="0" applyNumberFormat="0" applyBorder="0" applyAlignment="0" applyProtection="0"/>
    <xf numFmtId="185" fontId="77" fillId="118" borderId="0" applyNumberFormat="0" applyBorder="0" applyAlignment="0" applyProtection="0"/>
    <xf numFmtId="0" fontId="77" fillId="118" borderId="0" applyNumberFormat="0" applyBorder="0" applyAlignment="0" applyProtection="0"/>
    <xf numFmtId="185" fontId="77" fillId="118"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77" fillId="118"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3" fillId="0" borderId="0"/>
    <xf numFmtId="185" fontId="3" fillId="0" borderId="0"/>
    <xf numFmtId="185" fontId="3" fillId="0" borderId="0"/>
    <xf numFmtId="0" fontId="8" fillId="0" borderId="0"/>
    <xf numFmtId="185" fontId="8" fillId="0" borderId="0"/>
    <xf numFmtId="0" fontId="8" fillId="0" borderId="0"/>
    <xf numFmtId="185" fontId="8" fillId="0" borderId="0"/>
    <xf numFmtId="185" fontId="8" fillId="0" borderId="0"/>
    <xf numFmtId="185" fontId="8" fillId="0" borderId="0"/>
    <xf numFmtId="0" fontId="8" fillId="0" borderId="0"/>
    <xf numFmtId="185" fontId="3" fillId="0" borderId="0"/>
    <xf numFmtId="0" fontId="8" fillId="0" borderId="0"/>
    <xf numFmtId="185" fontId="8" fillId="0" borderId="0"/>
    <xf numFmtId="0" fontId="8" fillId="0" borderId="0"/>
    <xf numFmtId="185" fontId="3" fillId="0" borderId="0"/>
    <xf numFmtId="0" fontId="8" fillId="0" borderId="0"/>
    <xf numFmtId="0" fontId="20" fillId="0" borderId="0"/>
    <xf numFmtId="0" fontId="20" fillId="0" borderId="0"/>
    <xf numFmtId="0" fontId="20" fillId="0" borderId="0"/>
    <xf numFmtId="0" fontId="8" fillId="0" borderId="0"/>
    <xf numFmtId="0" fontId="8" fillId="0" borderId="0"/>
    <xf numFmtId="0" fontId="11" fillId="101" borderId="0"/>
    <xf numFmtId="0" fontId="8" fillId="0" borderId="0"/>
    <xf numFmtId="0" fontId="11" fillId="101" borderId="0"/>
    <xf numFmtId="0" fontId="8" fillId="0" borderId="0"/>
    <xf numFmtId="185" fontId="11" fillId="101" borderId="0"/>
    <xf numFmtId="0" fontId="8" fillId="0" borderId="0"/>
    <xf numFmtId="0" fontId="8" fillId="0"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185"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185" fontId="6" fillId="0"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8" fillId="0" borderId="0"/>
    <xf numFmtId="185" fontId="8" fillId="0" borderId="0"/>
    <xf numFmtId="0" fontId="11" fillId="101"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8" fillId="0" borderId="0"/>
    <xf numFmtId="185" fontId="8"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8" fillId="0" borderId="0"/>
    <xf numFmtId="0" fontId="8" fillId="0" borderId="0"/>
    <xf numFmtId="185" fontId="8" fillId="0" borderId="0"/>
    <xf numFmtId="185" fontId="8"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0" fontId="8" fillId="0" borderId="0"/>
    <xf numFmtId="0" fontId="8" fillId="0" borderId="0"/>
    <xf numFmtId="0" fontId="11" fillId="101" borderId="0"/>
    <xf numFmtId="0" fontId="8" fillId="0" borderId="0"/>
    <xf numFmtId="185"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11" fillId="101"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11" fillId="101" borderId="0"/>
    <xf numFmtId="185" fontId="11" fillId="101" borderId="0"/>
    <xf numFmtId="185" fontId="8" fillId="0" borderId="0"/>
    <xf numFmtId="185" fontId="8" fillId="0" borderId="0"/>
    <xf numFmtId="0" fontId="11" fillId="101" borderId="0"/>
    <xf numFmtId="185" fontId="11" fillId="101" borderId="0"/>
    <xf numFmtId="0" fontId="11" fillId="101" borderId="0"/>
    <xf numFmtId="0" fontId="3" fillId="0" borderId="0"/>
    <xf numFmtId="185" fontId="8" fillId="0" borderId="0"/>
    <xf numFmtId="0" fontId="3" fillId="0" borderId="0"/>
    <xf numFmtId="0" fontId="8" fillId="0" borderId="0"/>
    <xf numFmtId="0" fontId="8" fillId="0" borderId="0"/>
    <xf numFmtId="0" fontId="6" fillId="0" borderId="0"/>
    <xf numFmtId="185" fontId="8" fillId="0" borderId="0"/>
    <xf numFmtId="185" fontId="20"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74" fillId="0" borderId="0"/>
    <xf numFmtId="185" fontId="8" fillId="0" borderId="0"/>
    <xf numFmtId="185" fontId="8" fillId="0" borderId="0"/>
    <xf numFmtId="0" fontId="20"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7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11" fillId="101" borderId="0"/>
    <xf numFmtId="185" fontId="8" fillId="0" borderId="0"/>
    <xf numFmtId="185" fontId="8" fillId="0" borderId="0"/>
    <xf numFmtId="185" fontId="11" fillId="101" borderId="0"/>
    <xf numFmtId="0" fontId="11" fillId="101" borderId="0"/>
    <xf numFmtId="0" fontId="3" fillId="0" borderId="0"/>
    <xf numFmtId="0" fontId="3" fillId="0" borderId="0"/>
    <xf numFmtId="0" fontId="3" fillId="0" borderId="0"/>
    <xf numFmtId="185" fontId="74" fillId="0" borderId="0"/>
    <xf numFmtId="185"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0" fontId="8" fillId="0" borderId="0"/>
    <xf numFmtId="0" fontId="11" fillId="101" borderId="0"/>
    <xf numFmtId="185" fontId="11" fillId="101"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8" fillId="0" borderId="0"/>
    <xf numFmtId="0" fontId="11" fillId="101" borderId="0"/>
    <xf numFmtId="185" fontId="11" fillId="101" borderId="0"/>
    <xf numFmtId="0" fontId="8" fillId="0" borderId="0"/>
    <xf numFmtId="185" fontId="11" fillId="101" borderId="0"/>
    <xf numFmtId="0" fontId="11" fillId="101" borderId="0"/>
    <xf numFmtId="0" fontId="8" fillId="0" borderId="0"/>
    <xf numFmtId="0" fontId="11" fillId="101" borderId="0"/>
    <xf numFmtId="185" fontId="11" fillId="101" borderId="0"/>
    <xf numFmtId="0" fontId="8" fillId="0" borderId="0"/>
    <xf numFmtId="185" fontId="11" fillId="101" borderId="0"/>
    <xf numFmtId="0" fontId="11" fillId="101" borderId="0"/>
    <xf numFmtId="0" fontId="3" fillId="0" borderId="0"/>
    <xf numFmtId="0" fontId="11" fillId="101" borderId="0"/>
    <xf numFmtId="185" fontId="11" fillId="101" borderId="0"/>
    <xf numFmtId="0" fontId="8" fillId="0" borderId="0"/>
    <xf numFmtId="185" fontId="11" fillId="101" borderId="0"/>
    <xf numFmtId="0" fontId="11" fillId="101" borderId="0"/>
    <xf numFmtId="0" fontId="126" fillId="0" borderId="0"/>
    <xf numFmtId="0" fontId="11" fillId="101" borderId="0"/>
    <xf numFmtId="185" fontId="11" fillId="101" borderId="0"/>
    <xf numFmtId="0" fontId="8" fillId="0" borderId="0"/>
    <xf numFmtId="185" fontId="11" fillId="101" borderId="0"/>
    <xf numFmtId="0" fontId="11" fillId="101" borderId="0"/>
    <xf numFmtId="0" fontId="3" fillId="0" borderId="0"/>
    <xf numFmtId="0" fontId="11" fillId="101" borderId="0"/>
    <xf numFmtId="185" fontId="11" fillId="101" borderId="0"/>
    <xf numFmtId="0" fontId="8" fillId="0" borderId="0"/>
    <xf numFmtId="185" fontId="11" fillId="101" borderId="0"/>
    <xf numFmtId="0" fontId="11" fillId="101" borderId="0"/>
    <xf numFmtId="0" fontId="3" fillId="0"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11" fillId="101" borderId="0"/>
    <xf numFmtId="185" fontId="6" fillId="0" borderId="0"/>
    <xf numFmtId="0" fontId="11" fillId="101" borderId="0"/>
    <xf numFmtId="185" fontId="11" fillId="101" borderId="0"/>
    <xf numFmtId="0" fontId="8" fillId="0" borderId="0"/>
    <xf numFmtId="185" fontId="11" fillId="101" borderId="0"/>
    <xf numFmtId="0" fontId="11" fillId="101" borderId="0"/>
    <xf numFmtId="185" fontId="6"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8" fillId="0" borderId="0"/>
    <xf numFmtId="0" fontId="11" fillId="101" borderId="0"/>
    <xf numFmtId="37" fontId="158" fillId="0" borderId="0"/>
    <xf numFmtId="0" fontId="6" fillId="0" borderId="0"/>
    <xf numFmtId="0" fontId="28" fillId="0" borderId="0">
      <alignment vertical="top"/>
    </xf>
    <xf numFmtId="185" fontId="20" fillId="0" borderId="0"/>
    <xf numFmtId="0" fontId="20" fillId="0" borderId="0"/>
    <xf numFmtId="0" fontId="8" fillId="0" borderId="0"/>
    <xf numFmtId="185" fontId="8" fillId="0" borderId="0"/>
    <xf numFmtId="185" fontId="8"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0" fontId="20" fillId="0" borderId="0"/>
    <xf numFmtId="0" fontId="3" fillId="0" borderId="0"/>
    <xf numFmtId="0" fontId="8" fillId="0" borderId="0"/>
    <xf numFmtId="185" fontId="8" fillId="0" borderId="0"/>
    <xf numFmtId="185"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185" fontId="11" fillId="101" borderId="0"/>
    <xf numFmtId="185" fontId="8" fillId="0" borderId="0"/>
    <xf numFmtId="0" fontId="3" fillId="0" borderId="0"/>
    <xf numFmtId="0" fontId="3" fillId="0" borderId="0"/>
    <xf numFmtId="185" fontId="74" fillId="0" borderId="0"/>
    <xf numFmtId="0" fontId="17" fillId="0" borderId="0"/>
    <xf numFmtId="0" fontId="3" fillId="0" borderId="0"/>
    <xf numFmtId="185" fontId="11" fillId="101" borderId="0"/>
    <xf numFmtId="185" fontId="20" fillId="0" borderId="0"/>
    <xf numFmtId="0" fontId="8" fillId="0" borderId="0"/>
    <xf numFmtId="185" fontId="11" fillId="101" borderId="0"/>
    <xf numFmtId="0" fontId="3" fillId="0" borderId="0"/>
    <xf numFmtId="0" fontId="3" fillId="0" borderId="0"/>
    <xf numFmtId="0" fontId="3" fillId="0" borderId="0"/>
    <xf numFmtId="0" fontId="126" fillId="0" borderId="0"/>
    <xf numFmtId="185" fontId="20" fillId="0" borderId="0"/>
    <xf numFmtId="0" fontId="8" fillId="0" borderId="0"/>
    <xf numFmtId="0" fontId="6"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8" fillId="0" borderId="0"/>
    <xf numFmtId="0" fontId="11" fillId="101" borderId="0"/>
    <xf numFmtId="0" fontId="11" fillId="101"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8" fillId="0" borderId="0"/>
    <xf numFmtId="0"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0" fontId="8" fillId="0" borderId="0"/>
    <xf numFmtId="0" fontId="8" fillId="0" borderId="0"/>
    <xf numFmtId="185" fontId="8" fillId="0" borderId="0"/>
    <xf numFmtId="185" fontId="8" fillId="0" borderId="0"/>
    <xf numFmtId="0" fontId="8" fillId="0" borderId="0"/>
    <xf numFmtId="185" fontId="8" fillId="0" borderId="0"/>
    <xf numFmtId="0" fontId="3" fillId="0" borderId="0"/>
    <xf numFmtId="0" fontId="3" fillId="0" borderId="0"/>
    <xf numFmtId="185" fontId="8" fillId="0" borderId="0"/>
    <xf numFmtId="0" fontId="3" fillId="0" borderId="0"/>
    <xf numFmtId="0" fontId="8" fillId="0" borderId="0"/>
    <xf numFmtId="0" fontId="11" fillId="101"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11" fillId="101"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8" fillId="0" borderId="0"/>
    <xf numFmtId="0" fontId="8" fillId="0" borderId="0"/>
    <xf numFmtId="185" fontId="8" fillId="0" borderId="0"/>
    <xf numFmtId="185" fontId="8" fillId="0" borderId="0"/>
    <xf numFmtId="0" fontId="8" fillId="0" borderId="0"/>
    <xf numFmtId="185" fontId="8" fillId="0" borderId="0"/>
    <xf numFmtId="0" fontId="3" fillId="0" borderId="0"/>
    <xf numFmtId="0" fontId="3" fillId="0" borderId="0"/>
    <xf numFmtId="185" fontId="8" fillId="0" borderId="0"/>
    <xf numFmtId="0" fontId="3" fillId="0" borderId="0"/>
    <xf numFmtId="0" fontId="8" fillId="0" borderId="0"/>
    <xf numFmtId="0" fontId="8" fillId="0" borderId="0"/>
    <xf numFmtId="0" fontId="8" fillId="0" borderId="0"/>
    <xf numFmtId="185" fontId="8" fillId="0" borderId="0"/>
    <xf numFmtId="185" fontId="8" fillId="0" borderId="0"/>
    <xf numFmtId="0" fontId="8" fillId="0" borderId="0"/>
    <xf numFmtId="185" fontId="8" fillId="0" borderId="0"/>
    <xf numFmtId="0" fontId="3" fillId="0" borderId="0"/>
    <xf numFmtId="0" fontId="3" fillId="0" borderId="0"/>
    <xf numFmtId="185" fontId="8" fillId="0" borderId="0"/>
    <xf numFmtId="0" fontId="3"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11" fillId="101" borderId="0"/>
    <xf numFmtId="0" fontId="8" fillId="0" borderId="0"/>
    <xf numFmtId="0" fontId="11" fillId="101" borderId="0"/>
    <xf numFmtId="0" fontId="8" fillId="0" borderId="0"/>
    <xf numFmtId="185" fontId="11" fillId="101" borderId="0"/>
    <xf numFmtId="0" fontId="8" fillId="0" borderId="0"/>
    <xf numFmtId="185" fontId="11" fillId="101"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6" fillId="0" borderId="0"/>
    <xf numFmtId="177" fontId="6" fillId="0" borderId="0"/>
    <xf numFmtId="0" fontId="8" fillId="0" borderId="0"/>
    <xf numFmtId="0" fontId="75" fillId="0" borderId="0"/>
    <xf numFmtId="185"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75" fillId="0" borderId="0"/>
    <xf numFmtId="185" fontId="74" fillId="0" borderId="0"/>
    <xf numFmtId="185" fontId="11" fillId="101" borderId="0"/>
    <xf numFmtId="0" fontId="11" fillId="101" borderId="0"/>
    <xf numFmtId="0" fontId="8" fillId="0" borderId="0"/>
    <xf numFmtId="0" fontId="11" fillId="101" borderId="0"/>
    <xf numFmtId="0" fontId="8" fillId="0" borderId="0"/>
    <xf numFmtId="185" fontId="11" fillId="101" borderId="0"/>
    <xf numFmtId="0" fontId="8" fillId="0" borderId="0"/>
    <xf numFmtId="0" fontId="8" fillId="0" borderId="0"/>
    <xf numFmtId="185" fontId="8" fillId="0" borderId="0"/>
    <xf numFmtId="185"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12" fillId="0" borderId="0"/>
    <xf numFmtId="0" fontId="12" fillId="0" borderId="0"/>
    <xf numFmtId="0" fontId="8" fillId="0" borderId="0"/>
    <xf numFmtId="185" fontId="12"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20" fillId="0" borderId="0"/>
    <xf numFmtId="185" fontId="8" fillId="0" borderId="0"/>
    <xf numFmtId="185"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4" fillId="134" borderId="0"/>
    <xf numFmtId="0" fontId="8"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12" fillId="0" borderId="0"/>
    <xf numFmtId="185" fontId="12" fillId="0" borderId="0"/>
    <xf numFmtId="0" fontId="8" fillId="0" borderId="0"/>
    <xf numFmtId="185" fontId="12" fillId="0" borderId="0"/>
    <xf numFmtId="0" fontId="8" fillId="0" borderId="0"/>
    <xf numFmtId="185" fontId="11" fillId="101" borderId="0"/>
    <xf numFmtId="0" fontId="8" fillId="0" borderId="0"/>
    <xf numFmtId="0" fontId="8" fillId="0" borderId="0"/>
    <xf numFmtId="0" fontId="8" fillId="0" borderId="0"/>
    <xf numFmtId="185" fontId="8" fillId="0" borderId="0"/>
    <xf numFmtId="185" fontId="8" fillId="0" borderId="0"/>
    <xf numFmtId="0" fontId="20" fillId="0" borderId="0"/>
    <xf numFmtId="185" fontId="8" fillId="0" borderId="0"/>
    <xf numFmtId="185" fontId="8" fillId="0" borderId="0"/>
    <xf numFmtId="0" fontId="8" fillId="0" borderId="0"/>
    <xf numFmtId="185" fontId="8" fillId="0" borderId="0"/>
    <xf numFmtId="185" fontId="8" fillId="0" borderId="0"/>
    <xf numFmtId="0" fontId="8" fillId="0" borderId="0"/>
    <xf numFmtId="0" fontId="8" fillId="0" borderId="0"/>
    <xf numFmtId="185" fontId="8" fillId="0" borderId="0"/>
    <xf numFmtId="0" fontId="20" fillId="0" borderId="0"/>
    <xf numFmtId="185" fontId="8" fillId="0" borderId="0"/>
    <xf numFmtId="0" fontId="8" fillId="0" borderId="0"/>
    <xf numFmtId="0" fontId="8" fillId="0" borderId="0"/>
    <xf numFmtId="185" fontId="8" fillId="0" borderId="0"/>
    <xf numFmtId="0" fontId="20"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8" fillId="0" borderId="0"/>
    <xf numFmtId="0"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75" fillId="0" borderId="0"/>
    <xf numFmtId="0" fontId="8" fillId="0" borderId="0"/>
    <xf numFmtId="0" fontId="3" fillId="0" borderId="0"/>
    <xf numFmtId="0" fontId="3" fillId="0" borderId="0"/>
    <xf numFmtId="0" fontId="3" fillId="0" borderId="0"/>
    <xf numFmtId="0" fontId="3" fillId="0" borderId="0"/>
    <xf numFmtId="185" fontId="11" fillId="101" borderId="0"/>
    <xf numFmtId="0" fontId="6" fillId="0" borderId="0"/>
    <xf numFmtId="0" fontId="6"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0" fontId="75" fillId="0" borderId="0"/>
    <xf numFmtId="185"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75" fillId="0" borderId="0"/>
    <xf numFmtId="185" fontId="8" fillId="0" borderId="0"/>
    <xf numFmtId="185" fontId="8" fillId="0" borderId="0"/>
    <xf numFmtId="185"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8" fillId="0" borderId="0"/>
    <xf numFmtId="0" fontId="8" fillId="0" borderId="0"/>
    <xf numFmtId="185" fontId="8" fillId="0" borderId="0"/>
    <xf numFmtId="185" fontId="8" fillId="0" borderId="0"/>
    <xf numFmtId="0" fontId="74" fillId="0" borderId="0"/>
    <xf numFmtId="185" fontId="8" fillId="0" borderId="0"/>
    <xf numFmtId="0" fontId="75" fillId="0" borderId="0">
      <alignment vertical="top"/>
    </xf>
    <xf numFmtId="185" fontId="8" fillId="0" borderId="0"/>
    <xf numFmtId="185" fontId="8" fillId="0" borderId="0"/>
    <xf numFmtId="0" fontId="8" fillId="0" borderId="0"/>
    <xf numFmtId="0" fontId="8" fillId="0" borderId="0"/>
    <xf numFmtId="185" fontId="8" fillId="0" borderId="0"/>
    <xf numFmtId="185" fontId="8" fillId="0" borderId="0"/>
    <xf numFmtId="0" fontId="74" fillId="0" borderId="0"/>
    <xf numFmtId="185" fontId="8" fillId="0" borderId="0"/>
    <xf numFmtId="185" fontId="8" fillId="0" borderId="0"/>
    <xf numFmtId="185" fontId="8" fillId="0" borderId="0"/>
    <xf numFmtId="185" fontId="8" fillId="0" borderId="0"/>
    <xf numFmtId="0" fontId="75" fillId="0" borderId="0">
      <alignment vertical="top"/>
    </xf>
    <xf numFmtId="185" fontId="74"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75" fillId="0" borderId="0">
      <alignment vertical="top"/>
    </xf>
    <xf numFmtId="185" fontId="74"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74" fillId="0" borderId="0"/>
    <xf numFmtId="0" fontId="8" fillId="0" borderId="0"/>
    <xf numFmtId="0" fontId="8" fillId="0" borderId="0"/>
    <xf numFmtId="0" fontId="3" fillId="0"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0" fontId="3" fillId="0" borderId="0"/>
    <xf numFmtId="0" fontId="3" fillId="0" borderId="0"/>
    <xf numFmtId="0" fontId="3" fillId="0" borderId="0"/>
    <xf numFmtId="0" fontId="3" fillId="0" borderId="0"/>
    <xf numFmtId="0" fontId="8"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185" fontId="74" fillId="0" borderId="0"/>
    <xf numFmtId="0" fontId="3" fillId="0" borderId="0"/>
    <xf numFmtId="0" fontId="3" fillId="0" borderId="0"/>
    <xf numFmtId="0" fontId="3"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74" fillId="0" borderId="0"/>
    <xf numFmtId="185" fontId="8" fillId="0" borderId="0"/>
    <xf numFmtId="0" fontId="75" fillId="0" borderId="0">
      <alignment vertical="top"/>
    </xf>
    <xf numFmtId="0" fontId="8" fillId="0" borderId="0"/>
    <xf numFmtId="0" fontId="8" fillId="0" borderId="0"/>
    <xf numFmtId="0" fontId="8" fillId="0" borderId="0"/>
    <xf numFmtId="0" fontId="74" fillId="0" borderId="0"/>
    <xf numFmtId="185" fontId="8" fillId="0" borderId="0"/>
    <xf numFmtId="0" fontId="75" fillId="0" borderId="0">
      <alignment vertical="top"/>
    </xf>
    <xf numFmtId="0" fontId="8" fillId="0" borderId="0"/>
    <xf numFmtId="0" fontId="8" fillId="0" borderId="0"/>
    <xf numFmtId="0" fontId="3" fillId="0" borderId="0"/>
    <xf numFmtId="185" fontId="8" fillId="0" borderId="0"/>
    <xf numFmtId="0" fontId="8" fillId="0" borderId="0"/>
    <xf numFmtId="0" fontId="8" fillId="0" borderId="0"/>
    <xf numFmtId="0" fontId="3" fillId="0" borderId="0"/>
    <xf numFmtId="0"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0" fontId="8" fillId="0" borderId="0"/>
    <xf numFmtId="0" fontId="8" fillId="0" borderId="0"/>
    <xf numFmtId="185" fontId="8" fillId="0" borderId="0"/>
    <xf numFmtId="0" fontId="8" fillId="0" borderId="0"/>
    <xf numFmtId="0" fontId="8" fillId="0" borderId="0"/>
    <xf numFmtId="185" fontId="8" fillId="0" borderId="0"/>
    <xf numFmtId="0" fontId="8" fillId="0" borderId="0"/>
    <xf numFmtId="0" fontId="3" fillId="0" borderId="0"/>
    <xf numFmtId="0" fontId="3" fillId="0" borderId="0"/>
    <xf numFmtId="0" fontId="8" fillId="0" borderId="0"/>
    <xf numFmtId="185" fontId="8" fillId="0" borderId="0"/>
    <xf numFmtId="0" fontId="8" fillId="0" borderId="0"/>
    <xf numFmtId="185" fontId="8" fillId="0" borderId="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00" borderId="69" applyNumberFormat="0" applyFont="0" applyAlignment="0" applyProtection="0"/>
    <xf numFmtId="185" fontId="11" fillId="100"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00" borderId="69" applyNumberFormat="0" applyFont="0" applyAlignment="0" applyProtection="0"/>
    <xf numFmtId="185" fontId="11" fillId="100"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00"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8" fillId="13" borderId="80" applyNumberFormat="0" applyFont="0" applyAlignment="0" applyProtection="0"/>
    <xf numFmtId="185" fontId="8" fillId="13" borderId="80" applyNumberFormat="0" applyFont="0" applyAlignment="0" applyProtection="0"/>
    <xf numFmtId="0" fontId="8" fillId="13" borderId="80"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0" fontId="74" fillId="46" borderId="64" applyNumberFormat="0" applyFont="0" applyAlignment="0" applyProtection="0"/>
    <xf numFmtId="0" fontId="74"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75" fillId="46" borderId="64" applyNumberFormat="0" applyFont="0" applyAlignment="0" applyProtection="0"/>
    <xf numFmtId="0" fontId="3" fillId="46" borderId="64" applyNumberFormat="0" applyFont="0" applyAlignment="0" applyProtection="0"/>
    <xf numFmtId="0" fontId="74"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185" fontId="8" fillId="13" borderId="80" applyNumberFormat="0" applyFont="0" applyAlignment="0" applyProtection="0"/>
    <xf numFmtId="185" fontId="11" fillId="13" borderId="69"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3" fillId="46" borderId="64" applyNumberFormat="0" applyFont="0" applyAlignment="0" applyProtection="0"/>
    <xf numFmtId="185" fontId="3" fillId="46" borderId="64"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3" fillId="46" borderId="64" applyNumberFormat="0" applyFont="0" applyAlignment="0" applyProtection="0"/>
    <xf numFmtId="185"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75"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7" fillId="46" borderId="64" applyNumberFormat="0" applyFont="0" applyAlignment="0" applyProtection="0"/>
    <xf numFmtId="0" fontId="17" fillId="46" borderId="64" applyNumberFormat="0" applyFont="0" applyAlignment="0" applyProtection="0"/>
    <xf numFmtId="185" fontId="74" fillId="46" borderId="64"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74"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75"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87" fillId="95" borderId="82" applyNumberFormat="0" applyAlignment="0" applyProtection="0"/>
    <xf numFmtId="185" fontId="87" fillId="95" borderId="82" applyNumberFormat="0" applyAlignment="0" applyProtection="0"/>
    <xf numFmtId="0" fontId="87" fillId="95" borderId="82" applyNumberFormat="0" applyAlignment="0" applyProtection="0"/>
    <xf numFmtId="185" fontId="87" fillId="95" borderId="82" applyNumberFormat="0" applyAlignment="0" applyProtection="0"/>
    <xf numFmtId="185" fontId="56" fillId="44" borderId="61"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0" fontId="56" fillId="112" borderId="61" applyNumberFormat="0" applyAlignment="0" applyProtection="0"/>
    <xf numFmtId="185" fontId="56" fillId="112" borderId="61" applyNumberFormat="0" applyAlignment="0" applyProtection="0"/>
    <xf numFmtId="185" fontId="87" fillId="95" borderId="82"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87" fillId="96" borderId="82" applyNumberFormat="0" applyAlignment="0" applyProtection="0"/>
    <xf numFmtId="185" fontId="87" fillId="96" borderId="82" applyNumberFormat="0" applyAlignment="0" applyProtection="0"/>
    <xf numFmtId="185" fontId="56" fillId="112" borderId="61" applyNumberFormat="0" applyAlignment="0" applyProtection="0"/>
    <xf numFmtId="0" fontId="87" fillId="96" borderId="82" applyNumberFormat="0" applyAlignment="0" applyProtection="0"/>
    <xf numFmtId="185" fontId="87" fillId="96" borderId="82" applyNumberFormat="0" applyAlignment="0" applyProtection="0"/>
    <xf numFmtId="0" fontId="56" fillId="44" borderId="61" applyNumberFormat="0" applyAlignment="0" applyProtection="0"/>
    <xf numFmtId="185" fontId="56" fillId="112" borderId="61"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6" borderId="82" applyNumberFormat="0" applyAlignment="0" applyProtection="0"/>
    <xf numFmtId="185" fontId="87" fillId="96" borderId="82" applyNumberFormat="0" applyAlignment="0" applyProtection="0"/>
    <xf numFmtId="185" fontId="87" fillId="96" borderId="82" applyNumberFormat="0" applyAlignment="0" applyProtection="0"/>
    <xf numFmtId="0" fontId="159" fillId="44" borderId="61" applyNumberFormat="0" applyAlignment="0" applyProtection="0"/>
    <xf numFmtId="185" fontId="159" fillId="44" borderId="61" applyNumberFormat="0" applyAlignment="0" applyProtection="0"/>
    <xf numFmtId="0" fontId="159" fillId="44" borderId="61" applyNumberFormat="0" applyAlignment="0" applyProtection="0"/>
    <xf numFmtId="0" fontId="159" fillId="44" borderId="61" applyNumberFormat="0" applyAlignment="0" applyProtection="0"/>
    <xf numFmtId="0" fontId="56" fillId="44" borderId="61" applyNumberFormat="0" applyAlignment="0" applyProtection="0"/>
    <xf numFmtId="0" fontId="87" fillId="96" borderId="82" applyNumberFormat="0" applyAlignment="0" applyProtection="0"/>
    <xf numFmtId="0" fontId="159" fillId="44"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0" fontId="160" fillId="44"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87" fillId="113" borderId="82" applyNumberFormat="0" applyAlignment="0" applyProtection="0"/>
    <xf numFmtId="185" fontId="87" fillId="113" borderId="82" applyNumberFormat="0" applyAlignment="0" applyProtection="0"/>
    <xf numFmtId="0" fontId="87" fillId="113" borderId="82" applyNumberFormat="0" applyAlignment="0" applyProtection="0"/>
    <xf numFmtId="185" fontId="87" fillId="113" borderId="82" applyNumberFormat="0" applyAlignment="0" applyProtection="0"/>
    <xf numFmtId="0" fontId="87" fillId="95" borderId="82" applyNumberFormat="0" applyAlignment="0" applyProtection="0"/>
    <xf numFmtId="185" fontId="87" fillId="95" borderId="82" applyNumberFormat="0" applyAlignment="0" applyProtection="0"/>
    <xf numFmtId="185" fontId="87" fillId="113"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87" fillId="95" borderId="82" applyNumberFormat="0" applyAlignment="0" applyProtection="0"/>
    <xf numFmtId="185" fontId="87" fillId="95" borderId="82" applyNumberFormat="0" applyAlignment="0" applyProtection="0"/>
    <xf numFmtId="231" fontId="121" fillId="0" borderId="0" applyFont="0" applyFill="0" applyBorder="0" applyAlignment="0" applyProtection="0"/>
    <xf numFmtId="232" fontId="124" fillId="0" borderId="0" applyFont="0" applyFill="0" applyBorder="0" applyAlignment="0" applyProtection="0"/>
    <xf numFmtId="233" fontId="125" fillId="0" borderId="0" applyFont="0" applyFill="0" applyBorder="0" applyAlignment="0" applyProtection="0"/>
    <xf numFmtId="234" fontId="8" fillId="0" borderId="0" applyFont="0" applyFill="0" applyBorder="0" applyAlignment="0" applyProtection="0"/>
    <xf numFmtId="169" fontId="8" fillId="0" borderId="0" applyFont="0" applyFill="0" applyBorder="0" applyAlignment="0" applyProtection="0"/>
    <xf numFmtId="235" fontId="125" fillId="0" borderId="0" applyFont="0" applyFill="0" applyBorder="0" applyAlignment="0" applyProtection="0"/>
    <xf numFmtId="236" fontId="124" fillId="0" borderId="0" applyFont="0" applyFill="0" applyBorder="0" applyAlignment="0" applyProtection="0"/>
    <xf numFmtId="237" fontId="125" fillId="0" borderId="0" applyFont="0" applyFill="0" applyBorder="0" applyAlignment="0" applyProtection="0"/>
    <xf numFmtId="238" fontId="124" fillId="0" borderId="0" applyFont="0" applyFill="0" applyBorder="0" applyAlignment="0" applyProtection="0"/>
    <xf numFmtId="239" fontId="125" fillId="0" borderId="0" applyFont="0" applyFill="0" applyBorder="0" applyAlignment="0" applyProtection="0"/>
    <xf numFmtId="240"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7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75" fillId="0" borderId="0" applyFont="0" applyFill="0" applyBorder="0" applyAlignment="0" applyProtection="0">
      <alignment vertical="top"/>
    </xf>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7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26" fillId="18" borderId="45" applyNumberFormat="0" applyProtection="0">
      <alignment vertical="center"/>
    </xf>
    <xf numFmtId="4" fontId="26" fillId="18" borderId="45" applyNumberFormat="0" applyProtection="0">
      <alignment vertical="center"/>
    </xf>
    <xf numFmtId="4" fontId="26" fillId="18" borderId="45"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3"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27" fillId="18" borderId="45" applyNumberFormat="0" applyProtection="0">
      <alignment vertical="center"/>
    </xf>
    <xf numFmtId="4" fontId="27" fillId="18" borderId="45" applyNumberFormat="0" applyProtection="0">
      <alignment vertical="center"/>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26" fillId="18" borderId="45" applyNumberFormat="0" applyProtection="0">
      <alignment horizontal="left" vertical="center" indent="1"/>
    </xf>
    <xf numFmtId="4" fontId="26" fillId="18" borderId="45" applyNumberFormat="0" applyProtection="0">
      <alignment horizontal="left" vertical="center" indent="1"/>
    </xf>
    <xf numFmtId="4" fontId="26" fillId="18" borderId="45"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0" fontId="94" fillId="18" borderId="45" applyNumberFormat="0" applyProtection="0">
      <alignment horizontal="left" vertical="top" indent="1"/>
    </xf>
    <xf numFmtId="185" fontId="94" fillId="18" borderId="45" applyNumberFormat="0" applyProtection="0">
      <alignment horizontal="left" vertical="top" indent="1"/>
    </xf>
    <xf numFmtId="185" fontId="94" fillId="3"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0" fontId="26" fillId="18" borderId="45" applyNumberFormat="0" applyProtection="0">
      <alignment horizontal="left" vertical="top" indent="1"/>
    </xf>
    <xf numFmtId="0" fontId="26" fillId="18" borderId="45" applyNumberFormat="0" applyProtection="0">
      <alignment horizontal="left" vertical="top" indent="1"/>
    </xf>
    <xf numFmtId="185" fontId="26" fillId="18" borderId="45" applyNumberFormat="0" applyProtection="0">
      <alignment horizontal="left" vertical="top" indent="1"/>
    </xf>
    <xf numFmtId="0" fontId="26" fillId="18" borderId="45" applyNumberFormat="0" applyProtection="0">
      <alignment horizontal="left" vertical="top" indent="1"/>
    </xf>
    <xf numFmtId="185" fontId="26"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0" fontId="26"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26" fillId="19" borderId="0" applyNumberFormat="0" applyProtection="0">
      <alignment horizontal="left" vertical="center" indent="1"/>
    </xf>
    <xf numFmtId="4" fontId="26" fillId="19" borderId="0" applyNumberFormat="0" applyProtection="0">
      <alignment horizontal="left" vertical="center" indent="1"/>
    </xf>
    <xf numFmtId="4" fontId="26" fillId="19" borderId="0"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142"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28" fillId="20" borderId="45" applyNumberFormat="0" applyProtection="0">
      <alignment horizontal="right" vertical="center"/>
    </xf>
    <xf numFmtId="4" fontId="28" fillId="20" borderId="45" applyNumberFormat="0" applyProtection="0">
      <alignment horizontal="right" vertical="center"/>
    </xf>
    <xf numFmtId="4" fontId="28" fillId="20" borderId="45"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125"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28" fillId="21" borderId="45" applyNumberFormat="0" applyProtection="0">
      <alignment horizontal="right" vertical="center"/>
    </xf>
    <xf numFmtId="4" fontId="28" fillId="21" borderId="45" applyNumberFormat="0" applyProtection="0">
      <alignment horizontal="right" vertical="center"/>
    </xf>
    <xf numFmtId="4" fontId="28" fillId="21" borderId="45"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43"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28" fillId="22" borderId="45" applyNumberFormat="0" applyProtection="0">
      <alignment horizontal="right" vertical="center"/>
    </xf>
    <xf numFmtId="4" fontId="28" fillId="22" borderId="45" applyNumberFormat="0" applyProtection="0">
      <alignment horizontal="right" vertical="center"/>
    </xf>
    <xf numFmtId="4" fontId="28" fillId="22" borderId="45"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144"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28" fillId="23" borderId="45" applyNumberFormat="0" applyProtection="0">
      <alignment horizontal="right" vertical="center"/>
    </xf>
    <xf numFmtId="4" fontId="28" fillId="23" borderId="45" applyNumberFormat="0" applyProtection="0">
      <alignment horizontal="right" vertical="center"/>
    </xf>
    <xf numFmtId="4" fontId="28" fillId="23" borderId="45"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121"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28" fillId="24" borderId="45" applyNumberFormat="0" applyProtection="0">
      <alignment horizontal="right" vertical="center"/>
    </xf>
    <xf numFmtId="4" fontId="28" fillId="24" borderId="45" applyNumberFormat="0" applyProtection="0">
      <alignment horizontal="right" vertical="center"/>
    </xf>
    <xf numFmtId="4" fontId="28" fillId="24" borderId="45"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145"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28" fillId="25" borderId="45" applyNumberFormat="0" applyProtection="0">
      <alignment horizontal="right" vertical="center"/>
    </xf>
    <xf numFmtId="4" fontId="28" fillId="25" borderId="45" applyNumberFormat="0" applyProtection="0">
      <alignment horizontal="right" vertical="center"/>
    </xf>
    <xf numFmtId="4" fontId="28" fillId="25" borderId="45"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132"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28" fillId="26" borderId="45" applyNumberFormat="0" applyProtection="0">
      <alignment horizontal="right" vertical="center"/>
    </xf>
    <xf numFmtId="4" fontId="28" fillId="26" borderId="45" applyNumberFormat="0" applyProtection="0">
      <alignment horizontal="right" vertical="center"/>
    </xf>
    <xf numFmtId="4" fontId="28" fillId="26" borderId="45"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114"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28" fillId="27" borderId="45" applyNumberFormat="0" applyProtection="0">
      <alignment horizontal="right" vertical="center"/>
    </xf>
    <xf numFmtId="4" fontId="28" fillId="27" borderId="45" applyNumberFormat="0" applyProtection="0">
      <alignment horizontal="right" vertical="center"/>
    </xf>
    <xf numFmtId="4" fontId="28" fillId="27" borderId="45"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111"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28" fillId="28" borderId="45" applyNumberFormat="0" applyProtection="0">
      <alignment horizontal="right" vertical="center"/>
    </xf>
    <xf numFmtId="4" fontId="28" fillId="28" borderId="45" applyNumberFormat="0" applyProtection="0">
      <alignment horizontal="right" vertical="center"/>
    </xf>
    <xf numFmtId="4" fontId="28" fillId="28" borderId="45"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1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26" fillId="29" borderId="46" applyNumberFormat="0" applyProtection="0">
      <alignment horizontal="left" vertical="center" indent="1"/>
    </xf>
    <xf numFmtId="4" fontId="26" fillId="29" borderId="46" applyNumberFormat="0" applyProtection="0">
      <alignment horizontal="left" vertical="center" indent="1"/>
    </xf>
    <xf numFmtId="4" fontId="26" fillId="29" borderId="46"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28" fillId="30" borderId="0"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29" fillId="31" borderId="0"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28" fillId="19" borderId="45" applyNumberFormat="0" applyProtection="0">
      <alignment horizontal="right" vertical="center"/>
    </xf>
    <xf numFmtId="4" fontId="28" fillId="19" borderId="45" applyNumberFormat="0" applyProtection="0">
      <alignment horizontal="right" vertical="center"/>
    </xf>
    <xf numFmtId="4" fontId="28" fillId="19" borderId="45"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10"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109"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10"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8" fillId="31" borderId="45" applyNumberFormat="0" applyProtection="0">
      <alignment horizontal="left" vertical="center" indent="1"/>
    </xf>
    <xf numFmtId="185" fontId="8" fillId="31" borderId="45" applyNumberFormat="0" applyProtection="0">
      <alignment horizontal="left" vertical="center" indent="1"/>
    </xf>
    <xf numFmtId="185" fontId="8" fillId="31" borderId="45" applyNumberFormat="0" applyProtection="0">
      <alignment horizontal="left" vertical="center" indent="1"/>
    </xf>
    <xf numFmtId="185" fontId="8" fillId="31" borderId="45" applyNumberFormat="0" applyProtection="0">
      <alignment horizontal="left" vertical="center" indent="1"/>
    </xf>
    <xf numFmtId="185" fontId="11" fillId="105" borderId="69" applyNumberFormat="0" applyProtection="0">
      <alignment horizontal="left" vertical="center" indent="1"/>
    </xf>
    <xf numFmtId="0" fontId="8" fillId="31" borderId="45"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185" fontId="8" fillId="31" borderId="45"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8" fillId="31" borderId="45"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2" borderId="69" applyNumberFormat="0" applyProtection="0">
      <alignment horizontal="left" vertical="center" indent="1"/>
    </xf>
    <xf numFmtId="185" fontId="11" fillId="2"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117"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8" fillId="31" borderId="45" applyNumberFormat="0" applyProtection="0">
      <alignment horizontal="left" vertical="top" indent="1"/>
    </xf>
    <xf numFmtId="0" fontId="8" fillId="31" borderId="45" applyNumberFormat="0" applyProtection="0">
      <alignment horizontal="left" vertical="top" indent="1"/>
    </xf>
    <xf numFmtId="185" fontId="8" fillId="31" borderId="45" applyNumberFormat="0" applyProtection="0">
      <alignment horizontal="left" vertical="top" indent="1"/>
    </xf>
    <xf numFmtId="185" fontId="8" fillId="31" borderId="45" applyNumberFormat="0" applyProtection="0">
      <alignment horizontal="left" vertical="top" indent="1"/>
    </xf>
    <xf numFmtId="0" fontId="8" fillId="31" borderId="45" applyNumberFormat="0" applyProtection="0">
      <alignment horizontal="left" vertical="top" indent="1"/>
    </xf>
    <xf numFmtId="185" fontId="8"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8"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8" fillId="19" borderId="45" applyNumberFormat="0" applyProtection="0">
      <alignment horizontal="left" vertical="center" indent="1"/>
    </xf>
    <xf numFmtId="185" fontId="8" fillId="19" borderId="45" applyNumberFormat="0" applyProtection="0">
      <alignment horizontal="left" vertical="center" indent="1"/>
    </xf>
    <xf numFmtId="185" fontId="8" fillId="19" borderId="45" applyNumberFormat="0" applyProtection="0">
      <alignment horizontal="left" vertical="center" indent="1"/>
    </xf>
    <xf numFmtId="185" fontId="8" fillId="19" borderId="45" applyNumberFormat="0" applyProtection="0">
      <alignment horizontal="left" vertical="center" indent="1"/>
    </xf>
    <xf numFmtId="185" fontId="11" fillId="106" borderId="69" applyNumberFormat="0" applyProtection="0">
      <alignment horizontal="left" vertical="center" indent="1"/>
    </xf>
    <xf numFmtId="0" fontId="8" fillId="19" borderId="45"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185" fontId="8" fillId="19" borderId="45"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8" fillId="19" borderId="45"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46" borderId="69" applyNumberFormat="0" applyProtection="0">
      <alignment horizontal="left" vertical="center" indent="1"/>
    </xf>
    <xf numFmtId="185" fontId="11" fillId="14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10"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8" fillId="19" borderId="45" applyNumberFormat="0" applyProtection="0">
      <alignment horizontal="left" vertical="top" indent="1"/>
    </xf>
    <xf numFmtId="0" fontId="8" fillId="19" borderId="45" applyNumberFormat="0" applyProtection="0">
      <alignment horizontal="left" vertical="top" indent="1"/>
    </xf>
    <xf numFmtId="185" fontId="8" fillId="19" borderId="45" applyNumberFormat="0" applyProtection="0">
      <alignment horizontal="left" vertical="top" indent="1"/>
    </xf>
    <xf numFmtId="185" fontId="8" fillId="19" borderId="45" applyNumberFormat="0" applyProtection="0">
      <alignment horizontal="left" vertical="top" indent="1"/>
    </xf>
    <xf numFmtId="0" fontId="8" fillId="19" borderId="45" applyNumberFormat="0" applyProtection="0">
      <alignment horizontal="left" vertical="top" indent="1"/>
    </xf>
    <xf numFmtId="185" fontId="8"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8"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8" fillId="32" borderId="45" applyNumberFormat="0" applyProtection="0">
      <alignment horizontal="left" vertical="center" indent="1"/>
    </xf>
    <xf numFmtId="185" fontId="8" fillId="32" borderId="45" applyNumberFormat="0" applyProtection="0">
      <alignment horizontal="left" vertical="center" indent="1"/>
    </xf>
    <xf numFmtId="185" fontId="8" fillId="32" borderId="45" applyNumberFormat="0" applyProtection="0">
      <alignment horizontal="left" vertical="center" indent="1"/>
    </xf>
    <xf numFmtId="185" fontId="8" fillId="32" borderId="45" applyNumberFormat="0" applyProtection="0">
      <alignment horizontal="left" vertical="center" indent="1"/>
    </xf>
    <xf numFmtId="185" fontId="11" fillId="32" borderId="69" applyNumberFormat="0" applyProtection="0">
      <alignment horizontal="left" vertical="center" indent="1"/>
    </xf>
    <xf numFmtId="0" fontId="8" fillId="32" borderId="45"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185" fontId="8" fillId="32" borderId="45"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8" fillId="32" borderId="45"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94" borderId="69" applyNumberFormat="0" applyProtection="0">
      <alignment horizontal="left" vertical="center" indent="1"/>
    </xf>
    <xf numFmtId="185" fontId="11" fillId="94"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94"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8" fillId="32" borderId="45" applyNumberFormat="0" applyProtection="0">
      <alignment horizontal="left" vertical="top" indent="1"/>
    </xf>
    <xf numFmtId="0" fontId="8" fillId="32" borderId="45" applyNumberFormat="0" applyProtection="0">
      <alignment horizontal="left" vertical="top" indent="1"/>
    </xf>
    <xf numFmtId="185" fontId="8" fillId="32" borderId="45" applyNumberFormat="0" applyProtection="0">
      <alignment horizontal="left" vertical="top" indent="1"/>
    </xf>
    <xf numFmtId="185" fontId="8" fillId="32" borderId="45" applyNumberFormat="0" applyProtection="0">
      <alignment horizontal="left" vertical="top" indent="1"/>
    </xf>
    <xf numFmtId="0" fontId="8" fillId="32" borderId="45" applyNumberFormat="0" applyProtection="0">
      <alignment horizontal="left" vertical="top" indent="1"/>
    </xf>
    <xf numFmtId="185" fontId="8"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8"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8" fillId="30" borderId="45" applyNumberFormat="0" applyProtection="0">
      <alignment horizontal="left" vertical="center" indent="1"/>
    </xf>
    <xf numFmtId="185" fontId="8" fillId="30" borderId="45" applyNumberFormat="0" applyProtection="0">
      <alignment horizontal="left" vertical="center" indent="1"/>
    </xf>
    <xf numFmtId="185" fontId="8" fillId="30" borderId="45" applyNumberFormat="0" applyProtection="0">
      <alignment horizontal="left" vertical="center" indent="1"/>
    </xf>
    <xf numFmtId="185" fontId="8" fillId="30" borderId="45" applyNumberFormat="0" applyProtection="0">
      <alignment horizontal="left" vertical="center" indent="1"/>
    </xf>
    <xf numFmtId="185" fontId="11" fillId="30" borderId="69" applyNumberFormat="0" applyProtection="0">
      <alignment horizontal="left" vertical="center" indent="1"/>
    </xf>
    <xf numFmtId="0" fontId="8" fillId="30" borderId="45"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185" fontId="8" fillId="30" borderId="45"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8" fillId="30" borderId="45"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109" borderId="69" applyNumberFormat="0" applyProtection="0">
      <alignment horizontal="left" vertical="center" indent="1"/>
    </xf>
    <xf numFmtId="185" fontId="11" fillId="109"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109"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8" fillId="30" borderId="45" applyNumberFormat="0" applyProtection="0">
      <alignment horizontal="left" vertical="top" indent="1"/>
    </xf>
    <xf numFmtId="0" fontId="8" fillId="30" borderId="45" applyNumberFormat="0" applyProtection="0">
      <alignment horizontal="left" vertical="top" indent="1"/>
    </xf>
    <xf numFmtId="185" fontId="8" fillId="30" borderId="45" applyNumberFormat="0" applyProtection="0">
      <alignment horizontal="left" vertical="top" indent="1"/>
    </xf>
    <xf numFmtId="185" fontId="8" fillId="30" borderId="45" applyNumberFormat="0" applyProtection="0">
      <alignment horizontal="left" vertical="top" indent="1"/>
    </xf>
    <xf numFmtId="0" fontId="8" fillId="30" borderId="45" applyNumberFormat="0" applyProtection="0">
      <alignment horizontal="left" vertical="top" indent="1"/>
    </xf>
    <xf numFmtId="185" fontId="8"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8"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102"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8" fillId="33" borderId="38" applyNumberFormat="0">
      <protection locked="0"/>
    </xf>
    <xf numFmtId="185" fontId="8" fillId="33" borderId="38" applyNumberFormat="0">
      <protection locked="0"/>
    </xf>
    <xf numFmtId="185" fontId="8" fillId="33" borderId="38"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0" fontId="8" fillId="33" borderId="38" applyNumberFormat="0">
      <protection locked="0"/>
    </xf>
    <xf numFmtId="0" fontId="8" fillId="33" borderId="38" applyNumberFormat="0">
      <protection locked="0"/>
    </xf>
    <xf numFmtId="185" fontId="8" fillId="33" borderId="38" applyNumberFormat="0">
      <protection locked="0"/>
    </xf>
    <xf numFmtId="185" fontId="8" fillId="33" borderId="38" applyNumberFormat="0">
      <protection locked="0"/>
    </xf>
    <xf numFmtId="185" fontId="8" fillId="33" borderId="38"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8" fillId="33" borderId="38"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0" fontId="95" fillId="117" borderId="85" applyBorder="0"/>
    <xf numFmtId="0" fontId="95" fillId="31" borderId="85" applyBorder="0"/>
    <xf numFmtId="185" fontId="95" fillId="31" borderId="85" applyBorder="0"/>
    <xf numFmtId="185" fontId="95" fillId="117" borderId="85" applyBorder="0"/>
    <xf numFmtId="185" fontId="95" fillId="31" borderId="85" applyBorder="0"/>
    <xf numFmtId="4" fontId="96" fillId="34" borderId="45" applyNumberFormat="0" applyProtection="0">
      <alignment vertical="center"/>
    </xf>
    <xf numFmtId="4" fontId="28" fillId="34" borderId="45" applyNumberFormat="0" applyProtection="0">
      <alignment vertical="center"/>
    </xf>
    <xf numFmtId="4" fontId="96" fillId="100" borderId="45" applyNumberFormat="0" applyProtection="0">
      <alignment vertical="center"/>
    </xf>
    <xf numFmtId="4" fontId="28" fillId="34" borderId="45" applyNumberFormat="0" applyProtection="0">
      <alignment vertical="center"/>
    </xf>
    <xf numFmtId="4" fontId="30" fillId="34" borderId="45" applyNumberFormat="0" applyProtection="0">
      <alignment vertical="center"/>
    </xf>
    <xf numFmtId="4" fontId="30" fillId="34" borderId="45" applyNumberFormat="0" applyProtection="0">
      <alignment vertical="center"/>
    </xf>
    <xf numFmtId="4" fontId="96" fillId="105" borderId="45" applyNumberFormat="0" applyProtection="0">
      <alignment horizontal="left" vertical="center" indent="1"/>
    </xf>
    <xf numFmtId="4" fontId="28" fillId="34" borderId="45" applyNumberFormat="0" applyProtection="0">
      <alignment horizontal="left" vertical="center" indent="1"/>
    </xf>
    <xf numFmtId="4" fontId="96" fillId="2" borderId="45" applyNumberFormat="0" applyProtection="0">
      <alignment horizontal="left" vertical="center" indent="1"/>
    </xf>
    <xf numFmtId="4" fontId="28" fillId="34" borderId="45" applyNumberFormat="0" applyProtection="0">
      <alignment horizontal="left" vertical="center"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0" fontId="96" fillId="34" borderId="45" applyNumberFormat="0" applyProtection="0">
      <alignment horizontal="left" vertical="top" indent="1"/>
    </xf>
    <xf numFmtId="185" fontId="96" fillId="34" borderId="45" applyNumberFormat="0" applyProtection="0">
      <alignment horizontal="left" vertical="top" indent="1"/>
    </xf>
    <xf numFmtId="185" fontId="96" fillId="100"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0" fontId="28" fillId="34" borderId="45" applyNumberFormat="0" applyProtection="0">
      <alignment horizontal="left" vertical="top" indent="1"/>
    </xf>
    <xf numFmtId="0" fontId="28" fillId="34" borderId="45" applyNumberFormat="0" applyProtection="0">
      <alignment horizontal="left" vertical="top" indent="1"/>
    </xf>
    <xf numFmtId="185" fontId="28" fillId="34" borderId="45" applyNumberFormat="0" applyProtection="0">
      <alignment horizontal="left" vertical="top" indent="1"/>
    </xf>
    <xf numFmtId="0" fontId="28" fillId="34" borderId="45" applyNumberFormat="0" applyProtection="0">
      <alignment horizontal="left" vertical="top" indent="1"/>
    </xf>
    <xf numFmtId="185" fontId="28"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0" fontId="28"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28" fillId="30" borderId="45" applyNumberFormat="0" applyProtection="0">
      <alignment horizontal="right" vertical="center"/>
    </xf>
    <xf numFmtId="4" fontId="28" fillId="30" borderId="45"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30" fillId="30" borderId="45" applyNumberFormat="0" applyProtection="0">
      <alignment horizontal="right" vertical="center"/>
    </xf>
    <xf numFmtId="4" fontId="30" fillId="30" borderId="45" applyNumberFormat="0" applyProtection="0">
      <alignment horizontal="right" vertical="center"/>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28" fillId="19" borderId="45" applyNumberFormat="0" applyProtection="0">
      <alignment horizontal="left" vertical="center" indent="1"/>
    </xf>
    <xf numFmtId="4" fontId="28" fillId="19" borderId="45" applyNumberFormat="0" applyProtection="0">
      <alignment horizontal="left" vertical="center" indent="1"/>
    </xf>
    <xf numFmtId="4" fontId="28" fillId="19" borderId="45"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142"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0" fontId="96" fillId="19" borderId="45" applyNumberFormat="0" applyProtection="0">
      <alignment horizontal="left" vertical="top" indent="1"/>
    </xf>
    <xf numFmtId="185" fontId="96" fillId="19" borderId="45" applyNumberFormat="0" applyProtection="0">
      <alignment horizontal="left" vertical="top" indent="1"/>
    </xf>
    <xf numFmtId="185" fontId="96" fillId="110"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0" fontId="28" fillId="19" borderId="45" applyNumberFormat="0" applyProtection="0">
      <alignment horizontal="left" vertical="top" indent="1"/>
    </xf>
    <xf numFmtId="0" fontId="28" fillId="19" borderId="45" applyNumberFormat="0" applyProtection="0">
      <alignment horizontal="left" vertical="top" indent="1"/>
    </xf>
    <xf numFmtId="185" fontId="28" fillId="19" borderId="45" applyNumberFormat="0" applyProtection="0">
      <alignment horizontal="left" vertical="top" indent="1"/>
    </xf>
    <xf numFmtId="0" fontId="28" fillId="19" borderId="45" applyNumberFormat="0" applyProtection="0">
      <alignment horizontal="left" vertical="top" indent="1"/>
    </xf>
    <xf numFmtId="185" fontId="28"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0" fontId="28"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4" fontId="97" fillId="35" borderId="83" applyNumberFormat="0" applyProtection="0">
      <alignment horizontal="left" vertical="center" indent="1"/>
    </xf>
    <xf numFmtId="4" fontId="31" fillId="35" borderId="0" applyNumberFormat="0" applyProtection="0">
      <alignment horizontal="left" vertical="center" indent="1"/>
    </xf>
    <xf numFmtId="4" fontId="97" fillId="147" borderId="83" applyNumberFormat="0" applyProtection="0">
      <alignment horizontal="left" vertical="center" indent="1"/>
    </xf>
    <xf numFmtId="4" fontId="31" fillId="35" borderId="0" applyNumberFormat="0" applyProtection="0">
      <alignment horizontal="left" vertical="center" indent="1"/>
    </xf>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48" borderId="38"/>
    <xf numFmtId="0" fontId="11" fillId="148" borderId="38"/>
    <xf numFmtId="185" fontId="11" fillId="148" borderId="38"/>
    <xf numFmtId="0" fontId="11" fillId="148" borderId="38"/>
    <xf numFmtId="185" fontId="11" fillId="148" borderId="38"/>
    <xf numFmtId="0" fontId="11" fillId="148" borderId="38"/>
    <xf numFmtId="185" fontId="11" fillId="148" borderId="38"/>
    <xf numFmtId="0" fontId="11" fillId="148" borderId="38"/>
    <xf numFmtId="185" fontId="11" fillId="148" borderId="38"/>
    <xf numFmtId="0" fontId="11" fillId="148" borderId="38"/>
    <xf numFmtId="185" fontId="11" fillId="148" borderId="38"/>
    <xf numFmtId="185" fontId="11" fillId="148"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4" fontId="98" fillId="33" borderId="69" applyNumberFormat="0" applyProtection="0">
      <alignment horizontal="right" vertical="center"/>
    </xf>
    <xf numFmtId="4" fontId="32" fillId="30" borderId="45" applyNumberFormat="0" applyProtection="0">
      <alignment horizontal="right" vertical="center"/>
    </xf>
    <xf numFmtId="4" fontId="98" fillId="102" borderId="69" applyNumberFormat="0" applyProtection="0">
      <alignment horizontal="right" vertical="center"/>
    </xf>
    <xf numFmtId="4" fontId="32" fillId="30" borderId="45" applyNumberFormat="0" applyProtection="0">
      <alignment horizontal="right" vertical="center"/>
    </xf>
    <xf numFmtId="0" fontId="8" fillId="149" borderId="0" applyNumberFormat="0" applyFont="0" applyBorder="0" applyAlignment="0" applyProtection="0"/>
    <xf numFmtId="0" fontId="73" fillId="150" borderId="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0" fontId="28" fillId="0" borderId="0" applyNumberFormat="0" applyBorder="0" applyAlignment="0"/>
    <xf numFmtId="0" fontId="135" fillId="0" borderId="0"/>
    <xf numFmtId="0" fontId="135" fillId="0" borderId="0"/>
    <xf numFmtId="0" fontId="135" fillId="0" borderId="0"/>
    <xf numFmtId="0" fontId="28" fillId="0" borderId="0" applyNumberFormat="0" applyBorder="0" applyAlignment="0"/>
    <xf numFmtId="0" fontId="135" fillId="0" borderId="0"/>
    <xf numFmtId="0" fontId="28" fillId="0" borderId="0" applyNumberFormat="0" applyBorder="0" applyAlignment="0"/>
    <xf numFmtId="0" fontId="135" fillId="0" borderId="0"/>
    <xf numFmtId="0" fontId="135" fillId="0" borderId="0"/>
    <xf numFmtId="0" fontId="135" fillId="0" borderId="0"/>
    <xf numFmtId="0" fontId="135" fillId="0" borderId="0"/>
    <xf numFmtId="0" fontId="135" fillId="0" borderId="0"/>
    <xf numFmtId="0" fontId="135" fillId="0" borderId="0"/>
    <xf numFmtId="0" fontId="28" fillId="0" borderId="0" applyNumberFormat="0" applyBorder="0" applyAlignment="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8" fillId="0" borderId="0" applyNumberFormat="0" applyBorder="0" applyAlignment="0"/>
    <xf numFmtId="0" fontId="135" fillId="0" borderId="0"/>
    <xf numFmtId="0" fontId="135" fillId="0" borderId="0"/>
    <xf numFmtId="0" fontId="135" fillId="0" borderId="0"/>
    <xf numFmtId="0" fontId="135" fillId="0" borderId="0"/>
    <xf numFmtId="0" fontId="161" fillId="0" borderId="0" applyNumberFormat="0" applyBorder="0" applyAlignment="0"/>
    <xf numFmtId="0" fontId="162" fillId="0" borderId="0" applyNumberFormat="0" applyBorder="0" applyAlignment="0"/>
    <xf numFmtId="0" fontId="163" fillId="0" borderId="0"/>
    <xf numFmtId="0" fontId="163" fillId="0" borderId="0"/>
    <xf numFmtId="0" fontId="163" fillId="0" borderId="0"/>
    <xf numFmtId="0" fontId="162" fillId="0" borderId="0" applyNumberFormat="0" applyBorder="0" applyAlignment="0"/>
    <xf numFmtId="0" fontId="164" fillId="0" borderId="0"/>
    <xf numFmtId="0" fontId="162" fillId="0" borderId="0" applyNumberFormat="0" applyBorder="0" applyAlignment="0"/>
    <xf numFmtId="0" fontId="163" fillId="0" borderId="0"/>
    <xf numFmtId="0" fontId="163" fillId="0" borderId="0"/>
    <xf numFmtId="0" fontId="163" fillId="0" borderId="0"/>
    <xf numFmtId="0" fontId="163" fillId="0" borderId="0"/>
    <xf numFmtId="0" fontId="163" fillId="0" borderId="0"/>
    <xf numFmtId="0" fontId="163" fillId="0" borderId="0"/>
    <xf numFmtId="0" fontId="162" fillId="0" borderId="0" applyNumberFormat="0" applyBorder="0" applyAlignment="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2" fillId="0" borderId="0" applyNumberFormat="0" applyBorder="0" applyAlignment="0"/>
    <xf numFmtId="0" fontId="163" fillId="0" borderId="0"/>
    <xf numFmtId="0" fontId="163" fillId="0" borderId="0"/>
    <xf numFmtId="0" fontId="163" fillId="0" borderId="0"/>
    <xf numFmtId="0" fontId="163" fillId="0" borderId="0"/>
    <xf numFmtId="0" fontId="165" fillId="0" borderId="0" applyNumberFormat="0" applyBorder="0" applyAlignment="0"/>
    <xf numFmtId="0" fontId="166" fillId="0" borderId="0"/>
    <xf numFmtId="0" fontId="166" fillId="0" borderId="0"/>
    <xf numFmtId="0" fontId="166" fillId="0" borderId="0"/>
    <xf numFmtId="0" fontId="165" fillId="0" borderId="0" applyNumberFormat="0" applyBorder="0" applyAlignment="0"/>
    <xf numFmtId="0" fontId="163" fillId="0" borderId="0"/>
    <xf numFmtId="0" fontId="165" fillId="0" borderId="0" applyNumberFormat="0" applyBorder="0" applyAlignment="0"/>
    <xf numFmtId="0" fontId="166" fillId="0" borderId="0"/>
    <xf numFmtId="0" fontId="166" fillId="0" borderId="0"/>
    <xf numFmtId="0" fontId="166" fillId="0" borderId="0"/>
    <xf numFmtId="0" fontId="166" fillId="0" borderId="0"/>
    <xf numFmtId="0" fontId="166" fillId="0" borderId="0"/>
    <xf numFmtId="0" fontId="166" fillId="0" borderId="0"/>
    <xf numFmtId="0" fontId="165" fillId="0" borderId="0" applyNumberFormat="0" applyBorder="0" applyAlignment="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5" fillId="0" borderId="0" applyNumberFormat="0" applyBorder="0" applyAlignment="0"/>
    <xf numFmtId="0" fontId="166" fillId="0" borderId="0"/>
    <xf numFmtId="0" fontId="166" fillId="0" borderId="0"/>
    <xf numFmtId="0" fontId="166" fillId="0" borderId="0"/>
    <xf numFmtId="0" fontId="166" fillId="0" borderId="0"/>
    <xf numFmtId="0" fontId="167" fillId="0" borderId="0" applyNumberFormat="0" applyBorder="0" applyAlignment="0"/>
    <xf numFmtId="0" fontId="164" fillId="0" borderId="0"/>
    <xf numFmtId="0" fontId="164" fillId="0" borderId="0"/>
    <xf numFmtId="0" fontId="168" fillId="105" borderId="0" applyNumberFormat="0" applyBorder="0" applyAlignment="0"/>
    <xf numFmtId="0" fontId="168" fillId="105" borderId="0" applyNumberFormat="0" applyBorder="0" applyAlignment="0"/>
    <xf numFmtId="0" fontId="168" fillId="105" borderId="0" applyNumberFormat="0" applyBorder="0" applyAlignment="0"/>
    <xf numFmtId="0" fontId="166" fillId="0" borderId="0"/>
    <xf numFmtId="0" fontId="168" fillId="105" borderId="0" applyNumberFormat="0" applyBorder="0" applyAlignment="0"/>
    <xf numFmtId="0" fontId="169" fillId="0" borderId="0" applyNumberFormat="0" applyBorder="0" applyAlignment="0"/>
    <xf numFmtId="0" fontId="168" fillId="0" borderId="0" applyNumberFormat="0" applyBorder="0" applyAlignment="0"/>
    <xf numFmtId="0" fontId="168" fillId="0" borderId="0" applyNumberFormat="0" applyBorder="0" applyAlignment="0"/>
    <xf numFmtId="0" fontId="168" fillId="0" borderId="0" applyNumberFormat="0" applyBorder="0" applyAlignment="0"/>
    <xf numFmtId="0" fontId="168" fillId="0" borderId="0" applyNumberFormat="0" applyBorder="0" applyAlignment="0"/>
    <xf numFmtId="0" fontId="168"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29" fillId="0" borderId="0" applyNumberFormat="0" applyBorder="0" applyAlignment="0"/>
    <xf numFmtId="0" fontId="166" fillId="0" borderId="0"/>
    <xf numFmtId="0" fontId="168" fillId="105" borderId="0" applyNumberFormat="0" applyBorder="0" applyAlignment="0"/>
    <xf numFmtId="0" fontId="168" fillId="105" borderId="0" applyNumberFormat="0" applyBorder="0" applyAlignment="0"/>
    <xf numFmtId="0" fontId="168" fillId="105" borderId="0" applyNumberFormat="0" applyBorder="0" applyAlignment="0"/>
    <xf numFmtId="0" fontId="168" fillId="105" borderId="0" applyNumberFormat="0" applyBorder="0" applyAlignment="0"/>
    <xf numFmtId="0" fontId="163" fillId="0"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64" fillId="0" borderId="0"/>
    <xf numFmtId="0" fontId="171" fillId="0" borderId="0" applyFill="0" applyBorder="0" applyProtection="0">
      <alignment horizontal="left" vertical="top"/>
    </xf>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7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174" fontId="102" fillId="0" borderId="0"/>
    <xf numFmtId="18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8" fillId="0" borderId="90" applyNumberFormat="0" applyFont="0" applyFill="0" applyAlignment="0" applyProtection="0">
      <alignment vertical="top"/>
    </xf>
    <xf numFmtId="185" fontId="173" fillId="0" borderId="65" applyNumberFormat="0" applyFill="0" applyAlignment="0" applyProtection="0"/>
    <xf numFmtId="185" fontId="8" fillId="0" borderId="90" applyNumberFormat="0" applyFont="0" applyFill="0" applyAlignment="0" applyProtection="0">
      <alignment vertical="top"/>
    </xf>
    <xf numFmtId="185" fontId="8" fillId="0" borderId="90" applyNumberFormat="0" applyFont="0" applyFill="0" applyAlignment="0" applyProtection="0">
      <alignment vertical="top"/>
    </xf>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173" fillId="0" borderId="65" applyNumberFormat="0" applyFill="0" applyAlignment="0" applyProtection="0"/>
    <xf numFmtId="185" fontId="22" fillId="0" borderId="86" applyNumberFormat="0" applyFill="0" applyAlignment="0" applyProtection="0"/>
    <xf numFmtId="0" fontId="45" fillId="0" borderId="65" applyNumberFormat="0" applyFill="0" applyAlignment="0" applyProtection="0"/>
    <xf numFmtId="0" fontId="173" fillId="0" borderId="65"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0" fontId="174"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8" fillId="0" borderId="90" applyNumberFormat="0" applyFont="0" applyFill="0" applyAlignment="0" applyProtection="0">
      <alignment vertical="top"/>
    </xf>
    <xf numFmtId="185" fontId="45" fillId="0" borderId="65" applyNumberFormat="0" applyFill="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8" fillId="0" borderId="90" applyNumberFormat="0" applyFont="0" applyFill="0" applyAlignment="0" applyProtection="0">
      <alignment vertical="top"/>
    </xf>
    <xf numFmtId="185" fontId="45" fillId="0" borderId="65" applyNumberFormat="0" applyFill="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5" fillId="0" borderId="0" applyNumberFormat="0" applyFill="0" applyBorder="0" applyAlignment="0" applyProtection="0"/>
    <xf numFmtId="185" fontId="105" fillId="0" borderId="0" applyNumberFormat="0" applyFill="0" applyBorder="0" applyAlignment="0" applyProtection="0"/>
    <xf numFmtId="0" fontId="60"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5" fillId="0" borderId="0" applyNumberFormat="0" applyFill="0" applyBorder="0" applyAlignment="0" applyProtection="0"/>
    <xf numFmtId="185" fontId="105"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5" fillId="0" borderId="0" applyNumberFormat="0" applyFill="0" applyBorder="0" applyAlignment="0" applyProtection="0"/>
    <xf numFmtId="185" fontId="105" fillId="0" borderId="0" applyNumberFormat="0" applyFill="0" applyBorder="0" applyAlignment="0" applyProtection="0"/>
    <xf numFmtId="185" fontId="105" fillId="0" borderId="0" applyNumberFormat="0" applyFill="0" applyBorder="0" applyAlignment="0" applyProtection="0"/>
    <xf numFmtId="0" fontId="44" fillId="0" borderId="0" applyNumberFormat="0" applyFill="0" applyBorder="0" applyAlignment="0" applyProtection="0"/>
    <xf numFmtId="185"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0" fillId="0" borderId="0" applyNumberFormat="0" applyFill="0" applyBorder="0" applyAlignment="0" applyProtection="0"/>
    <xf numFmtId="0" fontId="105" fillId="0" borderId="0" applyNumberFormat="0" applyFill="0" applyBorder="0" applyAlignment="0" applyProtection="0"/>
    <xf numFmtId="0" fontId="44" fillId="0" borderId="0" applyNumberFormat="0" applyFill="0" applyBorder="0" applyAlignment="0" applyProtection="0"/>
    <xf numFmtId="0" fontId="37"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185" fontId="9" fillId="0" borderId="34" applyFont="0" applyFill="0" applyBorder="0" applyAlignment="0" applyProtection="0"/>
    <xf numFmtId="0" fontId="9" fillId="0" borderId="34" applyFont="0" applyFill="0" applyBorder="0" applyAlignment="0" applyProtection="0"/>
    <xf numFmtId="185" fontId="9" fillId="0" borderId="34" applyFont="0" applyFill="0" applyBorder="0" applyAlignment="0" applyProtection="0"/>
    <xf numFmtId="0" fontId="9" fillId="0" borderId="34" applyFont="0" applyFill="0" applyBorder="0" applyAlignment="0" applyProtection="0"/>
    <xf numFmtId="0" fontId="8"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cellStyleXfs>
  <cellXfs count="1734">
    <xf numFmtId="0" fontId="0" fillId="0" borderId="0" xfId="0"/>
    <xf numFmtId="0" fontId="8" fillId="0" borderId="0" xfId="5" applyFont="1" applyAlignment="1"/>
    <xf numFmtId="0" fontId="38" fillId="0" borderId="0" xfId="5" applyFont="1" applyAlignment="1">
      <alignment horizontal="centerContinuous"/>
    </xf>
    <xf numFmtId="0" fontId="39" fillId="0" borderId="0" xfId="5" applyFont="1" applyAlignment="1">
      <alignment horizontal="center"/>
    </xf>
    <xf numFmtId="0" fontId="40" fillId="0" borderId="0" xfId="0" applyFont="1" applyAlignment="1">
      <alignment horizontal="right"/>
    </xf>
    <xf numFmtId="0" fontId="39" fillId="0" borderId="0" xfId="0" applyFont="1" applyAlignment="1">
      <alignment horizontal="right"/>
    </xf>
    <xf numFmtId="0" fontId="39" fillId="0" borderId="53" xfId="5" applyFont="1" applyBorder="1" applyAlignment="1">
      <alignment horizontal="center"/>
    </xf>
    <xf numFmtId="0" fontId="40" fillId="0" borderId="53" xfId="0" applyFont="1" applyBorder="1" applyAlignment="1">
      <alignment horizontal="right"/>
    </xf>
    <xf numFmtId="0" fontId="39" fillId="0" borderId="0" xfId="5" applyFont="1"/>
    <xf numFmtId="0" fontId="39" fillId="0" borderId="0" xfId="5" applyFont="1" applyBorder="1" applyAlignment="1">
      <alignment horizontal="center"/>
    </xf>
    <xf numFmtId="0" fontId="39" fillId="0" borderId="0" xfId="5" applyFont="1" applyBorder="1"/>
    <xf numFmtId="184" fontId="39" fillId="0" borderId="0" xfId="4" applyNumberFormat="1" applyFont="1"/>
    <xf numFmtId="0" fontId="39" fillId="0" borderId="0" xfId="5" applyFont="1" applyAlignment="1">
      <alignment horizontal="center" vertical="center"/>
    </xf>
    <xf numFmtId="0" fontId="39" fillId="0" borderId="0" xfId="5" applyFont="1" applyFill="1" applyAlignment="1">
      <alignment vertical="center"/>
    </xf>
    <xf numFmtId="9" fontId="39" fillId="0" borderId="0" xfId="4" applyFont="1"/>
    <xf numFmtId="0" fontId="39" fillId="0" borderId="0" xfId="5" applyFont="1" applyFill="1" applyBorder="1"/>
    <xf numFmtId="10" fontId="43" fillId="0" borderId="0" xfId="4" applyNumberFormat="1" applyFont="1"/>
    <xf numFmtId="0" fontId="40" fillId="38" borderId="26" xfId="5" applyFont="1" applyFill="1" applyBorder="1" applyAlignment="1">
      <alignment horizontal="left"/>
    </xf>
    <xf numFmtId="0" fontId="39" fillId="0" borderId="0" xfId="5" applyFont="1" applyFill="1" applyBorder="1" applyAlignment="1">
      <alignment horizontal="center"/>
    </xf>
    <xf numFmtId="184" fontId="43" fillId="0" borderId="0" xfId="2" applyNumberFormat="1" applyFont="1"/>
    <xf numFmtId="184" fontId="43" fillId="0" borderId="0" xfId="4" applyNumberFormat="1" applyFont="1"/>
    <xf numFmtId="184" fontId="43" fillId="0" borderId="0" xfId="2" applyNumberFormat="1" applyFont="1" applyFill="1"/>
    <xf numFmtId="0" fontId="8" fillId="0" borderId="0" xfId="5" applyFont="1" applyFill="1" applyAlignment="1"/>
    <xf numFmtId="184" fontId="40" fillId="39" borderId="14" xfId="2" applyNumberFormat="1" applyFont="1" applyFill="1" applyBorder="1"/>
    <xf numFmtId="0" fontId="39" fillId="0" borderId="0" xfId="5" applyFont="1" applyFill="1"/>
    <xf numFmtId="10" fontId="43" fillId="0" borderId="0" xfId="4" applyNumberFormat="1" applyFont="1" applyFill="1" applyBorder="1"/>
    <xf numFmtId="0" fontId="39" fillId="0" borderId="0" xfId="5" applyFont="1" applyFill="1" applyAlignment="1">
      <alignment horizontal="center"/>
    </xf>
    <xf numFmtId="0" fontId="40" fillId="0" borderId="0" xfId="0" applyFont="1" applyBorder="1" applyAlignment="1">
      <alignment horizontal="right"/>
    </xf>
    <xf numFmtId="0" fontId="40" fillId="0" borderId="0" xfId="0" applyFont="1" applyBorder="1" applyAlignment="1">
      <alignment horizontal="center"/>
    </xf>
    <xf numFmtId="0" fontId="40" fillId="38" borderId="38" xfId="5" applyFont="1" applyFill="1" applyBorder="1" applyAlignment="1">
      <alignment horizontal="left"/>
    </xf>
    <xf numFmtId="184" fontId="40" fillId="0" borderId="0" xfId="2" applyNumberFormat="1" applyFont="1" applyFill="1" applyBorder="1"/>
    <xf numFmtId="184" fontId="40" fillId="0" borderId="38" xfId="2" applyNumberFormat="1" applyFont="1" applyFill="1" applyBorder="1"/>
    <xf numFmtId="184" fontId="40" fillId="0" borderId="14" xfId="2" applyNumberFormat="1" applyFont="1" applyFill="1" applyBorder="1"/>
    <xf numFmtId="0" fontId="15" fillId="0" borderId="38" xfId="0" applyFont="1" applyBorder="1" applyAlignment="1">
      <alignment horizontal="center" vertical="center"/>
    </xf>
    <xf numFmtId="0" fontId="40" fillId="0" borderId="0" xfId="5" applyFont="1" applyFill="1" applyBorder="1" applyAlignment="1">
      <alignment horizontal="left"/>
    </xf>
    <xf numFmtId="0" fontId="40" fillId="0" borderId="0" xfId="5" applyFont="1" applyFill="1" applyBorder="1" applyAlignment="1">
      <alignment vertical="center" wrapText="1"/>
    </xf>
    <xf numFmtId="184" fontId="39" fillId="0" borderId="0" xfId="4" applyNumberFormat="1" applyFont="1" applyFill="1" applyBorder="1" applyAlignment="1">
      <alignment vertical="center"/>
    </xf>
    <xf numFmtId="167" fontId="39" fillId="0" borderId="0" xfId="1" applyNumberFormat="1" applyFont="1" applyFill="1" applyBorder="1"/>
    <xf numFmtId="9" fontId="39" fillId="0" borderId="0" xfId="4" applyFont="1" applyFill="1" applyBorder="1"/>
    <xf numFmtId="184" fontId="39" fillId="0" borderId="14" xfId="2" applyNumberFormat="1" applyFont="1" applyFill="1" applyBorder="1"/>
    <xf numFmtId="184" fontId="39" fillId="0" borderId="0" xfId="2" applyNumberFormat="1" applyFont="1" applyFill="1" applyBorder="1"/>
    <xf numFmtId="184" fontId="39"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39" fillId="134" borderId="0" xfId="0" applyFont="1" applyFill="1" applyBorder="1"/>
    <xf numFmtId="0" fontId="39" fillId="134" borderId="0" xfId="0" applyFont="1" applyFill="1"/>
    <xf numFmtId="0" fontId="40" fillId="134" borderId="0" xfId="0" applyFont="1" applyFill="1" applyBorder="1" applyAlignment="1">
      <alignment horizontal="right"/>
    </xf>
    <xf numFmtId="0" fontId="40" fillId="134" borderId="0" xfId="0" applyFont="1" applyFill="1" applyBorder="1" applyAlignment="1">
      <alignment horizontal="center"/>
    </xf>
    <xf numFmtId="0" fontId="40" fillId="134" borderId="0" xfId="0" applyFont="1" applyFill="1" applyAlignment="1">
      <alignment horizontal="center"/>
    </xf>
    <xf numFmtId="0" fontId="40" fillId="134" borderId="0" xfId="0" applyFont="1" applyFill="1"/>
    <xf numFmtId="0" fontId="39" fillId="134" borderId="0" xfId="0" applyFont="1" applyFill="1" applyAlignment="1">
      <alignment horizontal="center"/>
    </xf>
    <xf numFmtId="0" fontId="13" fillId="134" borderId="0" xfId="0" applyFont="1" applyFill="1"/>
    <xf numFmtId="0" fontId="8" fillId="134" borderId="0" xfId="5" applyFont="1" applyFill="1" applyAlignment="1"/>
    <xf numFmtId="0" fontId="176" fillId="134" borderId="0" xfId="0" applyFont="1" applyFill="1"/>
    <xf numFmtId="0" fontId="179" fillId="134" borderId="0" xfId="0" applyFont="1" applyFill="1"/>
    <xf numFmtId="0" fontId="46" fillId="134" borderId="9" xfId="0" applyFont="1" applyFill="1" applyBorder="1" applyAlignment="1">
      <alignment horizontal="center" vertical="center" wrapText="1"/>
    </xf>
    <xf numFmtId="0" fontId="46" fillId="134" borderId="40" xfId="0" applyFont="1" applyFill="1" applyBorder="1" applyAlignment="1">
      <alignment horizontal="center" vertical="center" wrapText="1"/>
    </xf>
    <xf numFmtId="0" fontId="46" fillId="134" borderId="7" xfId="0" applyFont="1" applyFill="1" applyBorder="1" applyAlignment="1">
      <alignment horizontal="center" vertical="center" wrapText="1"/>
    </xf>
    <xf numFmtId="0" fontId="46" fillId="134" borderId="0" xfId="0" applyFont="1" applyFill="1" applyBorder="1" applyAlignment="1">
      <alignment horizontal="center" vertical="center" wrapText="1"/>
    </xf>
    <xf numFmtId="0" fontId="46" fillId="134" borderId="1" xfId="0" applyFont="1" applyFill="1" applyBorder="1" applyAlignment="1">
      <alignment horizontal="center" vertical="center" wrapText="1"/>
    </xf>
    <xf numFmtId="0" fontId="39" fillId="134" borderId="5" xfId="5" applyFont="1" applyFill="1" applyBorder="1" applyAlignment="1">
      <alignment horizontal="center" vertical="center" wrapText="1"/>
    </xf>
    <xf numFmtId="0" fontId="46" fillId="134" borderId="14" xfId="0" applyFont="1" applyFill="1" applyBorder="1" applyAlignment="1">
      <alignment horizontal="center" vertical="center" wrapText="1"/>
    </xf>
    <xf numFmtId="0" fontId="46" fillId="134" borderId="48" xfId="0" applyFont="1" applyFill="1" applyBorder="1" applyAlignment="1">
      <alignment horizontal="center" vertical="center" wrapText="1"/>
    </xf>
    <xf numFmtId="0" fontId="46" fillId="134" borderId="22" xfId="0" applyFont="1" applyFill="1" applyBorder="1" applyAlignment="1">
      <alignment horizontal="center" vertical="center" wrapText="1"/>
    </xf>
    <xf numFmtId="0" fontId="39" fillId="134" borderId="54" xfId="5" applyFont="1" applyFill="1" applyBorder="1" applyAlignment="1">
      <alignment horizontal="center"/>
    </xf>
    <xf numFmtId="0" fontId="46" fillId="134" borderId="53" xfId="0" applyFont="1" applyFill="1" applyBorder="1" applyAlignment="1">
      <alignment horizontal="center" vertical="center" wrapText="1"/>
    </xf>
    <xf numFmtId="0" fontId="39" fillId="134" borderId="4" xfId="5" applyFont="1" applyFill="1" applyBorder="1" applyAlignment="1">
      <alignment horizontal="center"/>
    </xf>
    <xf numFmtId="0" fontId="47" fillId="134" borderId="0" xfId="0" applyFont="1" applyFill="1" applyBorder="1" applyAlignment="1">
      <alignment horizontal="center" vertical="center" wrapText="1"/>
    </xf>
    <xf numFmtId="0" fontId="39" fillId="134" borderId="0" xfId="0" quotePrefix="1" applyFont="1" applyFill="1" applyBorder="1" applyAlignment="1">
      <alignment horizontal="center"/>
    </xf>
    <xf numFmtId="184" fontId="46" fillId="134" borderId="0" xfId="2" applyNumberFormat="1" applyFont="1" applyFill="1" applyBorder="1"/>
    <xf numFmtId="184" fontId="46" fillId="134" borderId="0" xfId="0" applyNumberFormat="1" applyFont="1" applyFill="1" applyBorder="1"/>
    <xf numFmtId="184" fontId="46" fillId="134" borderId="40" xfId="0" applyNumberFormat="1" applyFont="1" applyFill="1" applyBorder="1"/>
    <xf numFmtId="10" fontId="46" fillId="134" borderId="7" xfId="4" applyNumberFormat="1" applyFont="1" applyFill="1" applyBorder="1" applyAlignment="1">
      <alignment horizontal="center"/>
    </xf>
    <xf numFmtId="10" fontId="46" fillId="134" borderId="0" xfId="4" applyNumberFormat="1" applyFont="1" applyFill="1" applyBorder="1" applyAlignment="1">
      <alignment horizontal="center"/>
    </xf>
    <xf numFmtId="10" fontId="46" fillId="134" borderId="1" xfId="4" applyNumberFormat="1" applyFont="1" applyFill="1" applyBorder="1" applyAlignment="1">
      <alignment horizontal="center"/>
    </xf>
    <xf numFmtId="0" fontId="39"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8" xfId="0" applyFill="1" applyBorder="1"/>
    <xf numFmtId="0" fontId="0" fillId="134" borderId="100" xfId="0" applyFill="1" applyBorder="1"/>
    <xf numFmtId="3" fontId="14" fillId="134" borderId="0" xfId="100" applyNumberFormat="1" applyFont="1" applyFill="1"/>
    <xf numFmtId="0" fontId="178" fillId="134" borderId="0" xfId="0" applyFont="1" applyFill="1"/>
    <xf numFmtId="0" fontId="177" fillId="134" borderId="22" xfId="0" quotePrefix="1" applyFont="1" applyFill="1" applyBorder="1" applyAlignment="1">
      <alignment horizontal="center" vertical="center" wrapText="1"/>
    </xf>
    <xf numFmtId="0" fontId="47" fillId="134" borderId="7" xfId="0" applyFont="1" applyFill="1" applyBorder="1" applyAlignment="1">
      <alignment horizontal="center" vertical="center" wrapText="1"/>
    </xf>
    <xf numFmtId="184" fontId="46" fillId="134" borderId="7" xfId="0" applyNumberFormat="1" applyFont="1" applyFill="1" applyBorder="1"/>
    <xf numFmtId="243" fontId="46" fillId="134" borderId="7" xfId="2" applyNumberFormat="1" applyFont="1" applyFill="1" applyBorder="1"/>
    <xf numFmtId="0" fontId="13" fillId="134" borderId="0" xfId="0" applyFont="1" applyFill="1" applyAlignment="1">
      <alignment vertical="center"/>
    </xf>
    <xf numFmtId="3" fontId="16" fillId="134" borderId="0" xfId="100" applyNumberFormat="1" applyFont="1" applyFill="1" applyAlignment="1">
      <alignment vertical="center"/>
    </xf>
    <xf numFmtId="3" fontId="16" fillId="134" borderId="0" xfId="100" applyNumberFormat="1" applyFont="1" applyFill="1"/>
    <xf numFmtId="184" fontId="13" fillId="134" borderId="0" xfId="0" applyNumberFormat="1" applyFont="1" applyFill="1"/>
    <xf numFmtId="168" fontId="0" fillId="134" borderId="0" xfId="0" applyNumberFormat="1" applyFill="1"/>
    <xf numFmtId="0" fontId="186" fillId="134" borderId="0" xfId="0" applyFont="1" applyFill="1" applyBorder="1" applyAlignment="1">
      <alignment horizontal="center"/>
    </xf>
    <xf numFmtId="0" fontId="46" fillId="134" borderId="0" xfId="0" applyFont="1" applyFill="1"/>
    <xf numFmtId="0" fontId="175" fillId="134" borderId="38" xfId="0" applyFont="1" applyFill="1" applyBorder="1" applyAlignment="1">
      <alignment horizontal="center"/>
    </xf>
    <xf numFmtId="0" fontId="39" fillId="134" borderId="2" xfId="5" applyFont="1" applyFill="1" applyBorder="1" applyAlignment="1">
      <alignment horizontal="center" vertical="center"/>
    </xf>
    <xf numFmtId="0" fontId="46" fillId="134" borderId="10" xfId="0" applyFont="1" applyFill="1" applyBorder="1" applyAlignment="1">
      <alignment horizontal="center" vertical="center" wrapText="1"/>
    </xf>
    <xf numFmtId="0" fontId="46" fillId="134" borderId="15" xfId="0" applyFont="1" applyFill="1" applyBorder="1" applyAlignment="1">
      <alignment horizontal="center" vertical="center" wrapText="1"/>
    </xf>
    <xf numFmtId="0" fontId="181" fillId="134" borderId="0" xfId="0" applyFont="1" applyFill="1" applyAlignment="1">
      <alignment horizontal="center"/>
    </xf>
    <xf numFmtId="0" fontId="177" fillId="134" borderId="53" xfId="0" applyFont="1" applyFill="1" applyBorder="1" applyAlignment="1">
      <alignment horizontal="center" vertical="center" wrapText="1"/>
    </xf>
    <xf numFmtId="0" fontId="46" fillId="134" borderId="3" xfId="0" applyFont="1" applyFill="1" applyBorder="1" applyAlignment="1">
      <alignment horizontal="center"/>
    </xf>
    <xf numFmtId="185" fontId="39" fillId="134" borderId="14" xfId="101" applyFont="1" applyFill="1" applyBorder="1" applyAlignment="1">
      <alignment horizontal="center"/>
    </xf>
    <xf numFmtId="37" fontId="39" fillId="134" borderId="14" xfId="101" applyNumberFormat="1" applyFont="1" applyFill="1" applyBorder="1" applyAlignment="1">
      <alignment horizontal="center"/>
    </xf>
    <xf numFmtId="167" fontId="39" fillId="134" borderId="14" xfId="143" applyNumberFormat="1" applyFont="1" applyFill="1" applyBorder="1" applyAlignment="1">
      <alignment horizontal="center"/>
    </xf>
    <xf numFmtId="168" fontId="39" fillId="134" borderId="16" xfId="143" applyNumberFormat="1" applyFont="1" applyFill="1" applyBorder="1" applyAlignment="1">
      <alignment horizontal="center"/>
    </xf>
    <xf numFmtId="37" fontId="39" fillId="134" borderId="0" xfId="101" applyNumberFormat="1" applyFont="1" applyFill="1" applyBorder="1" applyAlignment="1">
      <alignment horizontal="center"/>
    </xf>
    <xf numFmtId="167" fontId="39" fillId="134" borderId="0" xfId="143" applyNumberFormat="1" applyFont="1" applyFill="1" applyBorder="1" applyAlignment="1">
      <alignment horizontal="center"/>
    </xf>
    <xf numFmtId="168" fontId="39" fillId="134" borderId="3" xfId="143" applyNumberFormat="1" applyFont="1" applyFill="1" applyBorder="1" applyAlignment="1">
      <alignment horizontal="center"/>
    </xf>
    <xf numFmtId="168" fontId="39" fillId="134" borderId="26" xfId="143" applyNumberFormat="1" applyFont="1" applyFill="1" applyBorder="1" applyAlignment="1">
      <alignment horizontal="center"/>
    </xf>
    <xf numFmtId="168" fontId="39" fillId="134" borderId="38" xfId="143" applyNumberFormat="1" applyFont="1" applyFill="1" applyBorder="1" applyAlignment="1">
      <alignment horizontal="center"/>
    </xf>
    <xf numFmtId="0" fontId="46" fillId="152" borderId="10" xfId="0" applyFont="1" applyFill="1" applyBorder="1" applyAlignment="1">
      <alignment horizontal="center" vertical="center" wrapText="1"/>
    </xf>
    <xf numFmtId="0" fontId="46" fillId="152" borderId="9" xfId="0" applyFont="1" applyFill="1" applyBorder="1" applyAlignment="1">
      <alignment horizontal="center" vertical="center" wrapText="1"/>
    </xf>
    <xf numFmtId="168" fontId="39" fillId="134" borderId="0" xfId="0" applyNumberFormat="1" applyFont="1" applyFill="1" applyBorder="1"/>
    <xf numFmtId="168" fontId="39" fillId="134" borderId="14" xfId="0" applyNumberFormat="1" applyFont="1" applyFill="1" applyBorder="1"/>
    <xf numFmtId="0" fontId="40" fillId="134" borderId="14" xfId="0" applyFont="1" applyFill="1" applyBorder="1" applyAlignment="1">
      <alignment horizontal="center"/>
    </xf>
    <xf numFmtId="0" fontId="177" fillId="134" borderId="55" xfId="0" applyFont="1" applyFill="1" applyBorder="1" applyAlignment="1">
      <alignment horizontal="center" vertical="center" wrapText="1"/>
    </xf>
    <xf numFmtId="0" fontId="177" fillId="134" borderId="56" xfId="0" applyFont="1" applyFill="1" applyBorder="1" applyAlignment="1">
      <alignment horizontal="center" vertical="center" wrapText="1"/>
    </xf>
    <xf numFmtId="0" fontId="177" fillId="134" borderId="101" xfId="0" applyFont="1" applyFill="1" applyBorder="1" applyAlignment="1">
      <alignment horizontal="center" vertical="center" wrapText="1"/>
    </xf>
    <xf numFmtId="0" fontId="177" fillId="134" borderId="102" xfId="0" applyFont="1" applyFill="1" applyBorder="1" applyAlignment="1">
      <alignment horizontal="center" vertical="center" wrapText="1"/>
    </xf>
    <xf numFmtId="0" fontId="177" fillId="134" borderId="97" xfId="0" applyFont="1" applyFill="1" applyBorder="1" applyAlignment="1">
      <alignment horizontal="center" vertical="center" wrapText="1"/>
    </xf>
    <xf numFmtId="0" fontId="181" fillId="134" borderId="0" xfId="0" applyFont="1" applyFill="1"/>
    <xf numFmtId="168" fontId="181" fillId="134" borderId="0" xfId="0" applyNumberFormat="1" applyFont="1" applyFill="1"/>
    <xf numFmtId="0" fontId="182" fillId="134" borderId="0" xfId="0" applyFont="1" applyFill="1" applyBorder="1"/>
    <xf numFmtId="0" fontId="182" fillId="134" borderId="0" xfId="0" applyFont="1" applyFill="1" applyBorder="1" applyAlignment="1">
      <alignment horizontal="center"/>
    </xf>
    <xf numFmtId="0" fontId="188" fillId="134" borderId="0" xfId="0" applyFont="1" applyFill="1" applyBorder="1" applyAlignment="1">
      <alignment horizontal="right"/>
    </xf>
    <xf numFmtId="241" fontId="39" fillId="134" borderId="14" xfId="2" applyNumberFormat="1" applyFont="1" applyFill="1" applyBorder="1" applyAlignment="1">
      <alignment horizontal="center"/>
    </xf>
    <xf numFmtId="241" fontId="39" fillId="0" borderId="14" xfId="2" applyNumberFormat="1" applyFont="1" applyFill="1" applyBorder="1" applyAlignment="1">
      <alignment horizontal="center"/>
    </xf>
    <xf numFmtId="241" fontId="39" fillId="134" borderId="0" xfId="2" applyNumberFormat="1" applyFont="1" applyFill="1" applyBorder="1" applyAlignment="1">
      <alignment horizontal="center"/>
    </xf>
    <xf numFmtId="168" fontId="178" fillId="134" borderId="0" xfId="0" applyNumberFormat="1" applyFont="1" applyFill="1"/>
    <xf numFmtId="0" fontId="40" fillId="134" borderId="0" xfId="0" applyFont="1" applyFill="1" applyBorder="1"/>
    <xf numFmtId="171" fontId="39" fillId="134" borderId="0" xfId="0" applyNumberFormat="1" applyFont="1" applyFill="1"/>
    <xf numFmtId="0" fontId="39" fillId="134" borderId="17" xfId="0" applyFont="1" applyFill="1" applyBorder="1"/>
    <xf numFmtId="166" fontId="40" fillId="134" borderId="0" xfId="5" applyNumberFormat="1" applyFont="1" applyFill="1" applyBorder="1" applyAlignment="1">
      <alignment horizontal="center"/>
    </xf>
    <xf numFmtId="14" fontId="39" fillId="134" borderId="0" xfId="5" applyNumberFormat="1" applyFont="1" applyFill="1" applyBorder="1" applyAlignment="1">
      <alignment horizontal="center"/>
    </xf>
    <xf numFmtId="0" fontId="40" fillId="134" borderId="0" xfId="1" applyNumberFormat="1" applyFont="1" applyFill="1" applyAlignment="1">
      <alignment horizontal="center"/>
    </xf>
    <xf numFmtId="166" fontId="39" fillId="134" borderId="0" xfId="5" applyNumberFormat="1" applyFont="1" applyFill="1" applyBorder="1" applyAlignment="1">
      <alignment horizontal="center"/>
    </xf>
    <xf numFmtId="0" fontId="189" fillId="134" borderId="0" xfId="0" applyFont="1" applyFill="1" applyBorder="1" applyAlignment="1">
      <alignment horizontal="center"/>
    </xf>
    <xf numFmtId="0" fontId="39" fillId="134" borderId="0" xfId="0" applyFont="1" applyFill="1" applyAlignment="1"/>
    <xf numFmtId="0" fontId="40" fillId="134" borderId="7" xfId="0" applyFont="1" applyFill="1" applyBorder="1" applyAlignment="1">
      <alignment horizontal="center"/>
    </xf>
    <xf numFmtId="0" fontId="40" fillId="134" borderId="1" xfId="0" applyFont="1" applyFill="1" applyBorder="1" applyAlignment="1">
      <alignment horizontal="right"/>
    </xf>
    <xf numFmtId="0" fontId="40" fillId="134" borderId="0" xfId="0" applyFont="1" applyFill="1" applyAlignment="1">
      <alignment horizontal="right"/>
    </xf>
    <xf numFmtId="0" fontId="40" fillId="134" borderId="7" xfId="0" applyFont="1" applyFill="1" applyBorder="1" applyAlignment="1">
      <alignment horizontal="right"/>
    </xf>
    <xf numFmtId="0" fontId="40" fillId="134" borderId="48" xfId="0" applyFont="1" applyFill="1" applyBorder="1" applyAlignment="1">
      <alignment horizontal="center"/>
    </xf>
    <xf numFmtId="171" fontId="39" fillId="134" borderId="14" xfId="0" applyNumberFormat="1" applyFont="1" applyFill="1" applyBorder="1"/>
    <xf numFmtId="44" fontId="39" fillId="134" borderId="0" xfId="2" applyFont="1" applyFill="1" applyBorder="1"/>
    <xf numFmtId="7" fontId="39" fillId="134" borderId="7" xfId="2" applyNumberFormat="1" applyFont="1" applyFill="1" applyBorder="1"/>
    <xf numFmtId="7" fontId="39" fillId="134" borderId="0" xfId="2" applyNumberFormat="1" applyFont="1" applyFill="1" applyBorder="1"/>
    <xf numFmtId="171" fontId="39" fillId="134" borderId="0" xfId="0" applyNumberFormat="1" applyFont="1" applyFill="1" applyBorder="1"/>
    <xf numFmtId="171" fontId="39" fillId="134" borderId="1" xfId="0" applyNumberFormat="1" applyFont="1" applyFill="1" applyBorder="1"/>
    <xf numFmtId="171" fontId="39" fillId="134" borderId="27" xfId="0" applyNumberFormat="1" applyFont="1" applyFill="1" applyBorder="1"/>
    <xf numFmtId="171" fontId="41" fillId="134" borderId="0" xfId="0" applyNumberFormat="1" applyFont="1" applyFill="1" applyBorder="1"/>
    <xf numFmtId="0" fontId="39" fillId="134" borderId="14" xfId="0" applyFont="1" applyFill="1" applyBorder="1" applyAlignment="1">
      <alignment horizontal="center"/>
    </xf>
    <xf numFmtId="171" fontId="39" fillId="134" borderId="0" xfId="0" applyNumberFormat="1" applyFont="1" applyFill="1" applyBorder="1" applyAlignment="1"/>
    <xf numFmtId="171" fontId="39" fillId="134" borderId="14" xfId="0" applyNumberFormat="1" applyFont="1" applyFill="1" applyBorder="1" applyAlignment="1"/>
    <xf numFmtId="171" fontId="39" fillId="134" borderId="27" xfId="0" applyNumberFormat="1" applyFont="1" applyFill="1" applyBorder="1" applyAlignment="1"/>
    <xf numFmtId="171" fontId="39" fillId="134" borderId="12" xfId="0" applyNumberFormat="1" applyFont="1" applyFill="1" applyBorder="1" applyAlignment="1"/>
    <xf numFmtId="171" fontId="39" fillId="134" borderId="98" xfId="0" applyNumberFormat="1" applyFont="1" applyFill="1" applyBorder="1" applyAlignment="1"/>
    <xf numFmtId="171" fontId="41" fillId="134" borderId="12" xfId="0" applyNumberFormat="1" applyFont="1" applyFill="1" applyBorder="1" applyAlignment="1"/>
    <xf numFmtId="0" fontId="65" fillId="134" borderId="0" xfId="0" applyFont="1" applyFill="1"/>
    <xf numFmtId="37" fontId="40" fillId="134" borderId="0" xfId="0" applyNumberFormat="1" applyFont="1" applyFill="1" applyAlignment="1" applyProtection="1">
      <alignment horizontal="left"/>
    </xf>
    <xf numFmtId="37" fontId="192" fillId="134" borderId="0" xfId="0" applyNumberFormat="1" applyFont="1" applyFill="1" applyAlignment="1" applyProtection="1">
      <alignment horizontal="left"/>
    </xf>
    <xf numFmtId="168" fontId="39" fillId="134" borderId="0" xfId="0" applyNumberFormat="1" applyFont="1" applyFill="1"/>
    <xf numFmtId="0" fontId="40" fillId="134" borderId="12" xfId="0" applyFont="1" applyFill="1" applyBorder="1" applyAlignment="1">
      <alignment horizontal="center"/>
    </xf>
    <xf numFmtId="0" fontId="188" fillId="134" borderId="0" xfId="0" applyFont="1" applyFill="1" applyBorder="1"/>
    <xf numFmtId="0" fontId="182" fillId="134" borderId="0" xfId="0" applyFont="1" applyFill="1"/>
    <xf numFmtId="171" fontId="193" fillId="134" borderId="0" xfId="0" applyNumberFormat="1" applyFont="1" applyFill="1" applyBorder="1" applyAlignment="1">
      <alignment horizontal="center" vertical="center"/>
    </xf>
    <xf numFmtId="171" fontId="182" fillId="134" borderId="0" xfId="0" applyNumberFormat="1" applyFont="1" applyFill="1"/>
    <xf numFmtId="0" fontId="193" fillId="134" borderId="0" xfId="0" applyFont="1" applyFill="1" applyBorder="1" applyAlignment="1">
      <alignment horizontal="center" vertical="center"/>
    </xf>
    <xf numFmtId="0" fontId="182" fillId="134" borderId="0" xfId="0" applyFont="1" applyFill="1" applyAlignment="1">
      <alignment horizontal="center"/>
    </xf>
    <xf numFmtId="168" fontId="182" fillId="134" borderId="0" xfId="0" applyNumberFormat="1" applyFont="1" applyFill="1"/>
    <xf numFmtId="183" fontId="182" fillId="134" borderId="0" xfId="0" applyNumberFormat="1" applyFont="1" applyFill="1"/>
    <xf numFmtId="171" fontId="194" fillId="134" borderId="0" xfId="0" applyNumberFormat="1" applyFont="1" applyFill="1" applyAlignment="1">
      <alignment horizontal="center"/>
    </xf>
    <xf numFmtId="0" fontId="182" fillId="134" borderId="17" xfId="0" applyFont="1" applyFill="1" applyBorder="1"/>
    <xf numFmtId="0" fontId="182" fillId="152" borderId="92" xfId="0" applyFont="1" applyFill="1" applyBorder="1"/>
    <xf numFmtId="0" fontId="196" fillId="134" borderId="0" xfId="0" applyFont="1" applyFill="1" applyBorder="1" applyAlignment="1">
      <alignment horizontal="center"/>
    </xf>
    <xf numFmtId="166" fontId="188" fillId="134" borderId="0" xfId="5" applyNumberFormat="1" applyFont="1" applyFill="1" applyBorder="1" applyAlignment="1">
      <alignment horizontal="center"/>
    </xf>
    <xf numFmtId="0" fontId="188" fillId="134" borderId="7" xfId="0" applyFont="1" applyFill="1" applyBorder="1" applyAlignment="1">
      <alignment horizontal="center" vertical="center"/>
    </xf>
    <xf numFmtId="0" fontId="188" fillId="134" borderId="0" xfId="0" applyFont="1" applyFill="1" applyBorder="1" applyAlignment="1">
      <alignment horizontal="center" vertical="center"/>
    </xf>
    <xf numFmtId="14" fontId="197" fillId="152" borderId="92" xfId="0" applyNumberFormat="1" applyFont="1" applyFill="1" applyBorder="1" applyAlignment="1">
      <alignment horizontal="center" vertical="center"/>
    </xf>
    <xf numFmtId="166" fontId="188" fillId="134" borderId="0" xfId="5" applyNumberFormat="1" applyFont="1" applyFill="1" applyBorder="1" applyAlignment="1">
      <alignment horizontal="center" vertical="center"/>
    </xf>
    <xf numFmtId="14" fontId="188" fillId="134" borderId="7" xfId="0" applyNumberFormat="1" applyFont="1" applyFill="1" applyBorder="1" applyAlignment="1">
      <alignment horizontal="center" vertical="center"/>
    </xf>
    <xf numFmtId="14" fontId="188" fillId="134" borderId="0" xfId="0" applyNumberFormat="1" applyFont="1" applyFill="1" applyBorder="1" applyAlignment="1">
      <alignment horizontal="center" vertical="center"/>
    </xf>
    <xf numFmtId="14" fontId="188" fillId="134" borderId="1" xfId="0" applyNumberFormat="1" applyFont="1" applyFill="1" applyBorder="1" applyAlignment="1">
      <alignment horizontal="center" vertical="center"/>
    </xf>
    <xf numFmtId="0" fontId="182" fillId="134" borderId="0" xfId="0" applyFont="1" applyFill="1" applyBorder="1" applyAlignment="1">
      <alignment vertical="center"/>
    </xf>
    <xf numFmtId="14" fontId="182" fillId="134" borderId="0" xfId="5" applyNumberFormat="1" applyFont="1" applyFill="1" applyBorder="1" applyAlignment="1">
      <alignment horizontal="center"/>
    </xf>
    <xf numFmtId="0" fontId="188" fillId="134" borderId="0" xfId="1" applyNumberFormat="1" applyFont="1" applyFill="1" applyAlignment="1">
      <alignment horizontal="center"/>
    </xf>
    <xf numFmtId="0" fontId="188" fillId="152" borderId="92" xfId="0" applyFont="1" applyFill="1" applyBorder="1" applyAlignment="1">
      <alignment horizontal="center" vertical="center"/>
    </xf>
    <xf numFmtId="14" fontId="182" fillId="134" borderId="0" xfId="5" applyNumberFormat="1" applyFont="1" applyFill="1" applyBorder="1" applyAlignment="1">
      <alignment horizontal="center" vertical="center"/>
    </xf>
    <xf numFmtId="14" fontId="182" fillId="134" borderId="7" xfId="5" applyNumberFormat="1" applyFont="1" applyFill="1" applyBorder="1" applyAlignment="1">
      <alignment horizontal="center" vertical="center"/>
    </xf>
    <xf numFmtId="14" fontId="188" fillId="134" borderId="0" xfId="0" applyNumberFormat="1" applyFont="1" applyFill="1" applyAlignment="1">
      <alignment horizontal="center"/>
    </xf>
    <xf numFmtId="0" fontId="188" fillId="134" borderId="1" xfId="0" applyFont="1" applyFill="1" applyBorder="1" applyAlignment="1">
      <alignment horizontal="center" vertical="center"/>
    </xf>
    <xf numFmtId="166" fontId="182" fillId="134" borderId="0" xfId="5" applyNumberFormat="1" applyFont="1" applyFill="1" applyBorder="1" applyAlignment="1">
      <alignment horizontal="center"/>
    </xf>
    <xf numFmtId="0" fontId="188" fillId="134" borderId="0" xfId="0" applyFont="1" applyFill="1" applyAlignment="1">
      <alignment horizontal="center"/>
    </xf>
    <xf numFmtId="166" fontId="182" fillId="134" borderId="0" xfId="5" applyNumberFormat="1" applyFont="1" applyFill="1" applyBorder="1" applyAlignment="1">
      <alignment horizontal="center" vertical="center"/>
    </xf>
    <xf numFmtId="166" fontId="182" fillId="134" borderId="7" xfId="5" applyNumberFormat="1" applyFont="1" applyFill="1" applyBorder="1" applyAlignment="1">
      <alignment horizontal="center" vertical="center"/>
    </xf>
    <xf numFmtId="0" fontId="193" fillId="134" borderId="0" xfId="0" applyFont="1" applyFill="1" applyBorder="1" applyAlignment="1">
      <alignment horizontal="center"/>
    </xf>
    <xf numFmtId="0" fontId="182" fillId="134" borderId="0" xfId="0" applyFont="1" applyFill="1" applyAlignment="1"/>
    <xf numFmtId="0" fontId="188" fillId="134" borderId="12" xfId="0" applyFont="1" applyFill="1" applyBorder="1" applyAlignment="1">
      <alignment horizontal="center"/>
    </xf>
    <xf numFmtId="0" fontId="188" fillId="152" borderId="93" xfId="0" applyFont="1" applyFill="1" applyBorder="1" applyAlignment="1">
      <alignment horizontal="center" vertical="center"/>
    </xf>
    <xf numFmtId="0" fontId="188" fillId="134" borderId="7" xfId="0" applyFont="1" applyFill="1" applyBorder="1" applyAlignment="1">
      <alignment horizontal="center"/>
    </xf>
    <xf numFmtId="0" fontId="188" fillId="134" borderId="0" xfId="0" applyFont="1" applyFill="1" applyBorder="1" applyAlignment="1">
      <alignment horizontal="center"/>
    </xf>
    <xf numFmtId="0" fontId="188" fillId="134" borderId="1" xfId="0" applyFont="1" applyFill="1" applyBorder="1" applyAlignment="1">
      <alignment horizontal="right"/>
    </xf>
    <xf numFmtId="0" fontId="188" fillId="134" borderId="7" xfId="0" applyFont="1" applyFill="1" applyBorder="1" applyAlignment="1">
      <alignment horizontal="right"/>
    </xf>
    <xf numFmtId="0" fontId="199" fillId="134" borderId="0" xfId="0" applyFont="1" applyFill="1" applyBorder="1" applyAlignment="1">
      <alignment horizontal="center" vertical="center"/>
    </xf>
    <xf numFmtId="0" fontId="188" fillId="134" borderId="48" xfId="0" applyFont="1" applyFill="1" applyBorder="1" applyAlignment="1">
      <alignment horizontal="center"/>
    </xf>
    <xf numFmtId="0" fontId="188" fillId="134" borderId="14" xfId="0" applyFont="1" applyFill="1" applyBorder="1" applyAlignment="1">
      <alignment horizontal="center"/>
    </xf>
    <xf numFmtId="0" fontId="188" fillId="134" borderId="22" xfId="0" applyFont="1" applyFill="1" applyBorder="1" applyAlignment="1">
      <alignment horizontal="center"/>
    </xf>
    <xf numFmtId="0" fontId="188" fillId="152" borderId="94" xfId="0" applyFont="1" applyFill="1" applyBorder="1" applyAlignment="1">
      <alignment horizontal="center"/>
    </xf>
    <xf numFmtId="171" fontId="198" fillId="134" borderId="48" xfId="0" applyNumberFormat="1" applyFont="1" applyFill="1" applyBorder="1"/>
    <xf numFmtId="171" fontId="198" fillId="134" borderId="14" xfId="0" applyNumberFormat="1" applyFont="1" applyFill="1" applyBorder="1"/>
    <xf numFmtId="171" fontId="182" fillId="134" borderId="14" xfId="0" applyNumberFormat="1" applyFont="1" applyFill="1" applyBorder="1"/>
    <xf numFmtId="171" fontId="182" fillId="134" borderId="22" xfId="0" applyNumberFormat="1" applyFont="1" applyFill="1" applyBorder="1"/>
    <xf numFmtId="44" fontId="182" fillId="134" borderId="0" xfId="2" applyFont="1" applyFill="1" applyBorder="1"/>
    <xf numFmtId="171" fontId="182" fillId="134" borderId="48" xfId="0" applyNumberFormat="1" applyFont="1" applyFill="1" applyBorder="1"/>
    <xf numFmtId="7" fontId="182" fillId="134" borderId="7" xfId="2" applyNumberFormat="1" applyFont="1" applyFill="1" applyBorder="1"/>
    <xf numFmtId="7" fontId="182" fillId="134" borderId="0" xfId="2" applyNumberFormat="1" applyFont="1" applyFill="1" applyBorder="1"/>
    <xf numFmtId="171" fontId="182" fillId="134" borderId="0" xfId="0" applyNumberFormat="1" applyFont="1" applyFill="1" applyBorder="1"/>
    <xf numFmtId="171" fontId="182" fillId="134" borderId="1" xfId="0" applyNumberFormat="1" applyFont="1" applyFill="1" applyBorder="1"/>
    <xf numFmtId="171" fontId="198" fillId="134" borderId="0" xfId="0" applyNumberFormat="1" applyFont="1" applyFill="1" applyBorder="1"/>
    <xf numFmtId="171" fontId="198" fillId="134" borderId="7" xfId="0" applyNumberFormat="1" applyFont="1" applyFill="1" applyBorder="1"/>
    <xf numFmtId="171" fontId="182" fillId="134" borderId="7" xfId="0" applyNumberFormat="1" applyFont="1" applyFill="1" applyBorder="1"/>
    <xf numFmtId="171" fontId="200" fillId="134" borderId="0" xfId="0" applyNumberFormat="1" applyFont="1" applyFill="1" applyBorder="1"/>
    <xf numFmtId="171" fontId="198" fillId="134" borderId="7" xfId="0" applyNumberFormat="1" applyFont="1" applyFill="1" applyBorder="1" applyAlignment="1"/>
    <xf numFmtId="171" fontId="182" fillId="134" borderId="0" xfId="0" applyNumberFormat="1" applyFont="1" applyFill="1" applyBorder="1" applyAlignment="1"/>
    <xf numFmtId="171" fontId="198" fillId="134" borderId="0" xfId="0" applyNumberFormat="1" applyFont="1" applyFill="1" applyBorder="1" applyAlignment="1"/>
    <xf numFmtId="171" fontId="182" fillId="134" borderId="1" xfId="0" applyNumberFormat="1" applyFont="1" applyFill="1" applyBorder="1" applyAlignment="1"/>
    <xf numFmtId="171" fontId="182" fillId="134" borderId="7" xfId="0" applyNumberFormat="1" applyFont="1" applyFill="1" applyBorder="1" applyAlignment="1"/>
    <xf numFmtId="171" fontId="198" fillId="134" borderId="48" xfId="0" applyNumberFormat="1" applyFont="1" applyFill="1" applyBorder="1" applyAlignment="1"/>
    <xf numFmtId="171" fontId="182" fillId="134" borderId="14" xfId="0" applyNumberFormat="1" applyFont="1" applyFill="1" applyBorder="1" applyAlignment="1"/>
    <xf numFmtId="171" fontId="198" fillId="134" borderId="14" xfId="0" applyNumberFormat="1" applyFont="1" applyFill="1" applyBorder="1" applyAlignment="1"/>
    <xf numFmtId="171" fontId="182" fillId="134" borderId="22" xfId="0" applyNumberFormat="1" applyFont="1" applyFill="1" applyBorder="1" applyAlignment="1"/>
    <xf numFmtId="171" fontId="182" fillId="134" borderId="48" xfId="0" applyNumberFormat="1" applyFont="1" applyFill="1" applyBorder="1" applyAlignment="1"/>
    <xf numFmtId="171" fontId="198" fillId="134" borderId="44" xfId="0" applyNumberFormat="1" applyFont="1" applyFill="1" applyBorder="1" applyAlignment="1"/>
    <xf numFmtId="171" fontId="182" fillId="134" borderId="27" xfId="0" applyNumberFormat="1" applyFont="1" applyFill="1" applyBorder="1" applyAlignment="1"/>
    <xf numFmtId="171" fontId="198" fillId="134" borderId="27" xfId="0" applyNumberFormat="1" applyFont="1" applyFill="1" applyBorder="1" applyAlignment="1"/>
    <xf numFmtId="171" fontId="182" fillId="134" borderId="49" xfId="0" applyNumberFormat="1" applyFont="1" applyFill="1" applyBorder="1" applyAlignment="1"/>
    <xf numFmtId="171" fontId="182" fillId="134" borderId="44" xfId="0" applyNumberFormat="1" applyFont="1" applyFill="1" applyBorder="1" applyAlignment="1"/>
    <xf numFmtId="171" fontId="182" fillId="134" borderId="6" xfId="0" applyNumberFormat="1" applyFont="1" applyFill="1" applyBorder="1" applyAlignment="1"/>
    <xf numFmtId="171" fontId="182" fillId="134" borderId="98" xfId="0" applyNumberFormat="1" applyFont="1" applyFill="1" applyBorder="1" applyAlignment="1"/>
    <xf numFmtId="37" fontId="188" fillId="134" borderId="0" xfId="0" applyNumberFormat="1" applyFont="1" applyFill="1" applyAlignment="1" applyProtection="1">
      <alignment horizontal="left"/>
    </xf>
    <xf numFmtId="37" fontId="201" fillId="134" borderId="0" xfId="0" applyNumberFormat="1" applyFont="1" applyFill="1" applyAlignment="1" applyProtection="1">
      <alignment horizontal="left"/>
    </xf>
    <xf numFmtId="244" fontId="182" fillId="134" borderId="0" xfId="2" applyNumberFormat="1" applyFont="1" applyFill="1"/>
    <xf numFmtId="0" fontId="177" fillId="155" borderId="105" xfId="0" applyFont="1" applyFill="1" applyBorder="1" applyAlignment="1">
      <alignment horizontal="center" vertical="center" wrapText="1"/>
    </xf>
    <xf numFmtId="168" fontId="40" fillId="155" borderId="42" xfId="143" applyNumberFormat="1" applyFont="1" applyFill="1" applyBorder="1" applyAlignment="1">
      <alignment horizontal="center"/>
    </xf>
    <xf numFmtId="168" fontId="40" fillId="155" borderId="40" xfId="143" applyNumberFormat="1" applyFont="1" applyFill="1" applyBorder="1" applyAlignment="1">
      <alignment horizontal="center"/>
    </xf>
    <xf numFmtId="168" fontId="40" fillId="155" borderId="67" xfId="143" applyNumberFormat="1" applyFont="1" applyFill="1" applyBorder="1" applyAlignment="1">
      <alignment horizontal="center"/>
    </xf>
    <xf numFmtId="0" fontId="40" fillId="155" borderId="104" xfId="0" applyFont="1" applyFill="1" applyBorder="1" applyAlignment="1">
      <alignment horizontal="center"/>
    </xf>
    <xf numFmtId="0" fontId="187" fillId="156" borderId="104" xfId="0" applyFont="1" applyFill="1" applyBorder="1" applyAlignment="1">
      <alignment horizontal="center"/>
    </xf>
    <xf numFmtId="0" fontId="177" fillId="156" borderId="105" xfId="0" applyFont="1" applyFill="1" applyBorder="1" applyAlignment="1">
      <alignment horizontal="center" vertical="center" wrapText="1"/>
    </xf>
    <xf numFmtId="168" fontId="40" fillId="156" borderId="42" xfId="143" applyNumberFormat="1" applyFont="1" applyFill="1" applyBorder="1" applyAlignment="1">
      <alignment horizontal="center"/>
    </xf>
    <xf numFmtId="168" fontId="40" fillId="156" borderId="40" xfId="143" applyNumberFormat="1" applyFont="1" applyFill="1" applyBorder="1" applyAlignment="1">
      <alignment horizontal="center"/>
    </xf>
    <xf numFmtId="168" fontId="40" fillId="156" borderId="67" xfId="143" applyNumberFormat="1" applyFont="1" applyFill="1" applyBorder="1" applyAlignment="1">
      <alignment horizontal="center"/>
    </xf>
    <xf numFmtId="0" fontId="191" fillId="134" borderId="0" xfId="1" applyNumberFormat="1" applyFont="1" applyFill="1" applyAlignment="1">
      <alignment horizontal="center"/>
    </xf>
    <xf numFmtId="5" fontId="39" fillId="134" borderId="0" xfId="0" applyNumberFormat="1" applyFont="1" applyFill="1"/>
    <xf numFmtId="166" fontId="39" fillId="134" borderId="0" xfId="4" applyNumberFormat="1" applyFont="1" applyFill="1"/>
    <xf numFmtId="166" fontId="39" fillId="134" borderId="17" xfId="5" applyNumberFormat="1" applyFont="1" applyFill="1" applyBorder="1" applyAlignment="1">
      <alignment horizontal="center"/>
    </xf>
    <xf numFmtId="166" fontId="39" fillId="134" borderId="18" xfId="5" applyNumberFormat="1" applyFont="1" applyFill="1" applyBorder="1" applyAlignment="1">
      <alignment horizontal="center"/>
    </xf>
    <xf numFmtId="166" fontId="39" fillId="134" borderId="21" xfId="5" applyNumberFormat="1" applyFont="1" applyFill="1" applyBorder="1" applyAlignment="1">
      <alignment horizontal="center"/>
    </xf>
    <xf numFmtId="5" fontId="39" fillId="134" borderId="7" xfId="0" applyNumberFormat="1" applyFont="1" applyFill="1" applyBorder="1"/>
    <xf numFmtId="5" fontId="39" fillId="134" borderId="0" xfId="0" applyNumberFormat="1" applyFont="1" applyFill="1" applyBorder="1"/>
    <xf numFmtId="5" fontId="39" fillId="134" borderId="1" xfId="0" applyNumberFormat="1" applyFont="1" applyFill="1" applyBorder="1"/>
    <xf numFmtId="184" fontId="39" fillId="134" borderId="0" xfId="2" applyNumberFormat="1" applyFont="1" applyFill="1"/>
    <xf numFmtId="0" fontId="39" fillId="134" borderId="7" xfId="0" applyFont="1" applyFill="1" applyBorder="1"/>
    <xf numFmtId="166" fontId="39" fillId="134" borderId="1" xfId="5" applyNumberFormat="1" applyFont="1" applyFill="1" applyBorder="1" applyAlignment="1">
      <alignment horizontal="center"/>
    </xf>
    <xf numFmtId="0" fontId="39" fillId="134" borderId="6" xfId="0" applyFont="1" applyFill="1" applyBorder="1"/>
    <xf numFmtId="0" fontId="39" fillId="134" borderId="12" xfId="0" applyFont="1" applyFill="1" applyBorder="1"/>
    <xf numFmtId="5" fontId="39" fillId="134" borderId="13" xfId="0" applyNumberFormat="1" applyFont="1" applyFill="1" applyBorder="1"/>
    <xf numFmtId="0" fontId="39" fillId="134" borderId="0" xfId="5" applyFont="1" applyFill="1" applyBorder="1" applyAlignment="1">
      <alignment horizontal="center"/>
    </xf>
    <xf numFmtId="0" fontId="41" fillId="134" borderId="0" xfId="5" applyFont="1" applyFill="1" applyBorder="1" applyAlignment="1">
      <alignment horizontal="center" vertical="center"/>
    </xf>
    <xf numFmtId="176" fontId="39" fillId="134" borderId="0" xfId="0" applyNumberFormat="1" applyFont="1" applyFill="1"/>
    <xf numFmtId="184" fontId="39" fillId="134" borderId="9" xfId="2" applyNumberFormat="1" applyFont="1" applyFill="1" applyBorder="1"/>
    <xf numFmtId="0" fontId="39" fillId="134" borderId="18" xfId="0" applyFont="1" applyFill="1" applyBorder="1"/>
    <xf numFmtId="0" fontId="39" fillId="134" borderId="21" xfId="0" applyFont="1" applyFill="1" applyBorder="1"/>
    <xf numFmtId="0" fontId="39" fillId="134" borderId="7" xfId="5" applyFont="1" applyFill="1" applyBorder="1" applyAlignment="1">
      <alignment horizontal="center"/>
    </xf>
    <xf numFmtId="0" fontId="39" fillId="134" borderId="1" xfId="5" applyFont="1" applyFill="1" applyBorder="1" applyAlignment="1">
      <alignment horizontal="center"/>
    </xf>
    <xf numFmtId="0" fontId="39" fillId="134" borderId="6" xfId="5" applyFont="1" applyFill="1" applyBorder="1" applyAlignment="1">
      <alignment horizontal="center"/>
    </xf>
    <xf numFmtId="0" fontId="39" fillId="134" borderId="12" xfId="5" applyFont="1" applyFill="1" applyBorder="1" applyAlignment="1">
      <alignment horizontal="center"/>
    </xf>
    <xf numFmtId="0" fontId="39" fillId="134" borderId="13" xfId="5" applyFont="1" applyFill="1" applyBorder="1" applyAlignment="1">
      <alignment horizontal="center"/>
    </xf>
    <xf numFmtId="166" fontId="39" fillId="134" borderId="7" xfId="5" applyNumberFormat="1" applyFont="1" applyFill="1" applyBorder="1" applyAlignment="1">
      <alignment horizontal="center"/>
    </xf>
    <xf numFmtId="0" fontId="189" fillId="134" borderId="7" xfId="0" applyFont="1" applyFill="1" applyBorder="1" applyAlignment="1">
      <alignment horizontal="center"/>
    </xf>
    <xf numFmtId="0" fontId="189" fillId="134" borderId="1" xfId="0" applyFont="1" applyFill="1" applyBorder="1" applyAlignment="1">
      <alignment horizontal="center"/>
    </xf>
    <xf numFmtId="184" fontId="39" fillId="134" borderId="2" xfId="2" applyNumberFormat="1" applyFont="1" applyFill="1" applyBorder="1" applyAlignment="1">
      <alignment horizontal="center"/>
    </xf>
    <xf numFmtId="0" fontId="39" fillId="134" borderId="0" xfId="0" applyFont="1" applyFill="1" applyBorder="1" applyAlignment="1">
      <alignment horizontal="left"/>
    </xf>
    <xf numFmtId="0" fontId="40" fillId="134" borderId="98" xfId="0" applyFont="1" applyFill="1" applyBorder="1" applyAlignment="1">
      <alignment horizontal="center"/>
    </xf>
    <xf numFmtId="0" fontId="40" fillId="134" borderId="99" xfId="0" applyFont="1" applyFill="1" applyBorder="1" applyAlignment="1">
      <alignment horizontal="center"/>
    </xf>
    <xf numFmtId="0" fontId="40" fillId="134" borderId="100" xfId="0" applyFont="1" applyFill="1" applyBorder="1" applyAlignment="1">
      <alignment horizontal="center"/>
    </xf>
    <xf numFmtId="0" fontId="40" fillId="134" borderId="1" xfId="0" applyFont="1" applyFill="1" applyBorder="1" applyAlignment="1">
      <alignment horizontal="center"/>
    </xf>
    <xf numFmtId="37" fontId="39" fillId="134" borderId="7" xfId="0" applyNumberFormat="1" applyFont="1" applyFill="1" applyBorder="1"/>
    <xf numFmtId="37" fontId="39" fillId="134" borderId="0" xfId="0" applyNumberFormat="1" applyFont="1" applyFill="1" applyBorder="1"/>
    <xf numFmtId="170" fontId="39" fillId="134" borderId="0" xfId="0" applyNumberFormat="1" applyFont="1" applyFill="1" applyBorder="1"/>
    <xf numFmtId="170" fontId="39" fillId="134" borderId="1" xfId="0" applyNumberFormat="1" applyFont="1" applyFill="1" applyBorder="1"/>
    <xf numFmtId="176" fontId="39" fillId="134" borderId="51" xfId="0" applyNumberFormat="1" applyFont="1" applyFill="1" applyBorder="1"/>
    <xf numFmtId="176" fontId="39" fillId="134" borderId="24" xfId="0" applyNumberFormat="1" applyFont="1" applyFill="1" applyBorder="1"/>
    <xf numFmtId="176" fontId="39" fillId="134" borderId="52" xfId="0" applyNumberFormat="1" applyFont="1" applyFill="1" applyBorder="1"/>
    <xf numFmtId="176" fontId="39" fillId="134" borderId="0" xfId="2" applyNumberFormat="1" applyFont="1" applyFill="1" applyBorder="1"/>
    <xf numFmtId="176" fontId="39" fillId="134" borderId="48" xfId="0" applyNumberFormat="1" applyFont="1" applyFill="1" applyBorder="1"/>
    <xf numFmtId="176" fontId="39" fillId="134" borderId="14" xfId="0" applyNumberFormat="1" applyFont="1" applyFill="1" applyBorder="1"/>
    <xf numFmtId="176" fontId="39" fillId="134" borderId="22" xfId="0" applyNumberFormat="1" applyFont="1" applyFill="1" applyBorder="1"/>
    <xf numFmtId="176" fontId="39" fillId="134" borderId="0" xfId="0" applyNumberFormat="1" applyFont="1" applyFill="1" applyBorder="1"/>
    <xf numFmtId="5" fontId="39" fillId="134" borderId="0" xfId="2" applyNumberFormat="1" applyFont="1" applyFill="1" applyBorder="1"/>
    <xf numFmtId="37" fontId="41" fillId="134" borderId="0" xfId="0" applyNumberFormat="1" applyFont="1" applyFill="1" applyBorder="1"/>
    <xf numFmtId="171" fontId="39" fillId="134" borderId="9" xfId="0" applyNumberFormat="1" applyFont="1" applyFill="1" applyBorder="1"/>
    <xf numFmtId="176" fontId="39" fillId="134" borderId="7" xfId="0" applyNumberFormat="1" applyFont="1" applyFill="1" applyBorder="1"/>
    <xf numFmtId="176" fontId="39" fillId="134" borderId="1" xfId="0" applyNumberFormat="1" applyFont="1" applyFill="1" applyBorder="1"/>
    <xf numFmtId="176" fontId="40" fillId="134" borderId="48" xfId="0" applyNumberFormat="1" applyFont="1" applyFill="1" applyBorder="1"/>
    <xf numFmtId="176" fontId="40" fillId="134" borderId="14" xfId="0" applyNumberFormat="1" applyFont="1" applyFill="1" applyBorder="1"/>
    <xf numFmtId="176" fontId="40" fillId="134" borderId="22" xfId="0" applyNumberFormat="1" applyFont="1" applyFill="1" applyBorder="1"/>
    <xf numFmtId="186" fontId="39" fillId="134" borderId="0" xfId="2" applyNumberFormat="1" applyFont="1" applyFill="1" applyBorder="1"/>
    <xf numFmtId="166" fontId="39" fillId="134" borderId="0" xfId="4" applyNumberFormat="1" applyFont="1" applyFill="1" applyBorder="1"/>
    <xf numFmtId="176" fontId="39" fillId="134" borderId="0" xfId="0" applyNumberFormat="1" applyFont="1" applyFill="1" applyBorder="1" applyAlignment="1"/>
    <xf numFmtId="176" fontId="39" fillId="134" borderId="14" xfId="0" applyNumberFormat="1" applyFont="1" applyFill="1" applyBorder="1" applyAlignment="1"/>
    <xf numFmtId="176" fontId="39" fillId="134" borderId="48" xfId="0" applyNumberFormat="1" applyFont="1" applyFill="1" applyBorder="1" applyAlignment="1"/>
    <xf numFmtId="176" fontId="39" fillId="134" borderId="22" xfId="0" applyNumberFormat="1" applyFont="1" applyFill="1" applyBorder="1" applyAlignment="1"/>
    <xf numFmtId="176" fontId="39" fillId="134" borderId="6" xfId="0" applyNumberFormat="1" applyFont="1" applyFill="1" applyBorder="1" applyAlignment="1"/>
    <xf numFmtId="176" fontId="39" fillId="134" borderId="12" xfId="0" applyNumberFormat="1" applyFont="1" applyFill="1" applyBorder="1" applyAlignment="1"/>
    <xf numFmtId="176" fontId="39" fillId="134" borderId="13" xfId="0" applyNumberFormat="1" applyFont="1" applyFill="1" applyBorder="1" applyAlignment="1"/>
    <xf numFmtId="37" fontId="39" fillId="134" borderId="0" xfId="0" applyNumberFormat="1" applyFont="1" applyFill="1"/>
    <xf numFmtId="176" fontId="40" fillId="134" borderId="0" xfId="0" applyNumberFormat="1" applyFont="1" applyFill="1" applyBorder="1"/>
    <xf numFmtId="14" fontId="40" fillId="134" borderId="7" xfId="0" applyNumberFormat="1" applyFont="1" applyFill="1" applyBorder="1" applyAlignment="1">
      <alignment horizontal="center"/>
    </xf>
    <xf numFmtId="14" fontId="40" fillId="134" borderId="0" xfId="0" applyNumberFormat="1" applyFont="1" applyFill="1" applyBorder="1" applyAlignment="1">
      <alignment horizontal="center"/>
    </xf>
    <xf numFmtId="14" fontId="40" fillId="134" borderId="1" xfId="0" applyNumberFormat="1" applyFont="1" applyFill="1" applyBorder="1" applyAlignment="1">
      <alignment horizontal="center"/>
    </xf>
    <xf numFmtId="14" fontId="39" fillId="134" borderId="7" xfId="5" applyNumberFormat="1" applyFont="1" applyFill="1" applyBorder="1" applyAlignment="1">
      <alignment horizontal="center"/>
    </xf>
    <xf numFmtId="166" fontId="39" fillId="134" borderId="6" xfId="5" applyNumberFormat="1" applyFont="1" applyFill="1" applyBorder="1" applyAlignment="1">
      <alignment horizontal="center"/>
    </xf>
    <xf numFmtId="166" fontId="39" fillId="134" borderId="12" xfId="5" applyNumberFormat="1" applyFont="1" applyFill="1" applyBorder="1" applyAlignment="1">
      <alignment horizontal="center"/>
    </xf>
    <xf numFmtId="0" fontId="40" fillId="134" borderId="17" xfId="0" applyFont="1" applyFill="1" applyBorder="1" applyAlignment="1">
      <alignment horizontal="right"/>
    </xf>
    <xf numFmtId="0" fontId="40" fillId="134" borderId="18" xfId="0" applyFont="1" applyFill="1" applyBorder="1" applyAlignment="1">
      <alignment horizontal="right"/>
    </xf>
    <xf numFmtId="0" fontId="40" fillId="134" borderId="21" xfId="0" applyFont="1" applyFill="1" applyBorder="1" applyAlignment="1">
      <alignment horizontal="right"/>
    </xf>
    <xf numFmtId="10" fontId="39" fillId="134" borderId="0" xfId="4" applyNumberFormat="1" applyFont="1" applyFill="1" applyBorder="1"/>
    <xf numFmtId="166" fontId="40" fillId="134" borderId="0" xfId="4" applyNumberFormat="1" applyFont="1" applyFill="1" applyBorder="1" applyAlignment="1">
      <alignment horizontal="center"/>
    </xf>
    <xf numFmtId="166" fontId="39" fillId="134" borderId="0" xfId="4" applyNumberFormat="1" applyFont="1" applyFill="1" applyBorder="1" applyAlignment="1">
      <alignment horizontal="center"/>
    </xf>
    <xf numFmtId="0" fontId="46" fillId="151" borderId="38" xfId="0" applyFont="1" applyFill="1" applyBorder="1" applyAlignment="1">
      <alignment horizontal="center" vertical="center" wrapText="1"/>
    </xf>
    <xf numFmtId="0" fontId="177" fillId="151" borderId="38" xfId="0" applyFont="1" applyFill="1" applyBorder="1" applyAlignment="1">
      <alignment horizontal="center" vertical="center" wrapText="1"/>
    </xf>
    <xf numFmtId="168" fontId="39" fillId="151" borderId="16" xfId="143" applyNumberFormat="1" applyFont="1" applyFill="1" applyBorder="1" applyAlignment="1">
      <alignment horizontal="center"/>
    </xf>
    <xf numFmtId="168" fontId="39" fillId="151" borderId="3" xfId="143" applyNumberFormat="1" applyFont="1" applyFill="1" applyBorder="1" applyAlignment="1">
      <alignment horizontal="center"/>
    </xf>
    <xf numFmtId="168" fontId="39" fillId="151" borderId="38" xfId="143" applyNumberFormat="1" applyFont="1" applyFill="1" applyBorder="1" applyAlignment="1">
      <alignment horizontal="center"/>
    </xf>
    <xf numFmtId="0" fontId="46" fillId="154" borderId="38" xfId="0" applyFont="1" applyFill="1" applyBorder="1" applyAlignment="1">
      <alignment horizontal="center" vertical="center" wrapText="1"/>
    </xf>
    <xf numFmtId="0" fontId="177" fillId="154" borderId="38" xfId="0" applyFont="1" applyFill="1" applyBorder="1" applyAlignment="1">
      <alignment horizontal="center" vertical="center" wrapText="1"/>
    </xf>
    <xf numFmtId="168" fontId="39" fillId="154" borderId="16" xfId="143" applyNumberFormat="1" applyFont="1" applyFill="1" applyBorder="1" applyAlignment="1">
      <alignment horizontal="center"/>
    </xf>
    <xf numFmtId="168" fontId="39" fillId="154" borderId="3" xfId="143" applyNumberFormat="1" applyFont="1" applyFill="1" applyBorder="1" applyAlignment="1">
      <alignment horizontal="center"/>
    </xf>
    <xf numFmtId="168" fontId="39" fillId="154" borderId="38" xfId="143" applyNumberFormat="1" applyFont="1" applyFill="1" applyBorder="1" applyAlignment="1">
      <alignment horizontal="center"/>
    </xf>
    <xf numFmtId="39" fontId="39" fillId="134" borderId="0" xfId="0" applyNumberFormat="1" applyFont="1" applyFill="1"/>
    <xf numFmtId="7" fontId="39" fillId="134" borderId="0" xfId="0" applyNumberFormat="1" applyFont="1" applyFill="1"/>
    <xf numFmtId="14" fontId="39" fillId="134" borderId="0" xfId="0" applyNumberFormat="1" applyFont="1" applyFill="1" applyAlignment="1">
      <alignment horizontal="center"/>
    </xf>
    <xf numFmtId="14" fontId="41" fillId="134" borderId="0" xfId="0" applyNumberFormat="1" applyFont="1" applyFill="1" applyAlignment="1">
      <alignment horizontal="center"/>
    </xf>
    <xf numFmtId="14" fontId="41" fillId="134" borderId="7" xfId="0" applyNumberFormat="1" applyFont="1" applyFill="1" applyBorder="1" applyAlignment="1">
      <alignment horizontal="center"/>
    </xf>
    <xf numFmtId="14" fontId="39" fillId="134" borderId="0" xfId="0" applyNumberFormat="1" applyFont="1" applyFill="1" applyBorder="1" applyAlignment="1">
      <alignment horizontal="center"/>
    </xf>
    <xf numFmtId="14" fontId="39" fillId="134" borderId="40" xfId="0" applyNumberFormat="1" applyFont="1" applyFill="1" applyBorder="1" applyAlignment="1">
      <alignment horizontal="center"/>
    </xf>
    <xf numFmtId="0" fontId="39" fillId="134" borderId="12" xfId="0" applyFont="1" applyFill="1" applyBorder="1" applyAlignment="1">
      <alignment horizontal="center"/>
    </xf>
    <xf numFmtId="0" fontId="39" fillId="134" borderId="98" xfId="0" applyFont="1" applyFill="1" applyBorder="1" applyAlignment="1">
      <alignment horizontal="center"/>
    </xf>
    <xf numFmtId="0" fontId="40" fillId="134" borderId="41" xfId="0" applyFont="1" applyFill="1" applyBorder="1" applyAlignment="1">
      <alignment horizontal="center"/>
    </xf>
    <xf numFmtId="0" fontId="40" fillId="134" borderId="18" xfId="0" applyFont="1" applyFill="1" applyBorder="1" applyAlignment="1">
      <alignment horizontal="center"/>
    </xf>
    <xf numFmtId="0" fontId="40" fillId="134" borderId="39" xfId="0" applyFont="1" applyFill="1" applyBorder="1" applyAlignment="1">
      <alignment horizontal="right"/>
    </xf>
    <xf numFmtId="0" fontId="40" fillId="134" borderId="42" xfId="0" applyFont="1" applyFill="1" applyBorder="1" applyAlignment="1">
      <alignment horizontal="center"/>
    </xf>
    <xf numFmtId="37" fontId="39" fillId="134" borderId="14" xfId="0" applyNumberFormat="1" applyFont="1" applyFill="1" applyBorder="1"/>
    <xf numFmtId="171" fontId="39" fillId="134" borderId="14" xfId="0" applyNumberFormat="1" applyFont="1" applyFill="1" applyBorder="1" applyAlignment="1">
      <alignment horizontal="center"/>
    </xf>
    <xf numFmtId="170" fontId="39" fillId="134" borderId="14" xfId="0" applyNumberFormat="1" applyFont="1" applyFill="1" applyBorder="1"/>
    <xf numFmtId="7" fontId="39" fillId="134" borderId="14" xfId="0" applyNumberFormat="1" applyFont="1" applyFill="1" applyBorder="1"/>
    <xf numFmtId="168" fontId="39" fillId="134" borderId="48" xfId="0" applyNumberFormat="1" applyFont="1" applyFill="1" applyBorder="1"/>
    <xf numFmtId="166" fontId="39" fillId="134" borderId="42" xfId="4" applyNumberFormat="1" applyFont="1" applyFill="1" applyBorder="1"/>
    <xf numFmtId="166" fontId="39" fillId="134" borderId="0" xfId="0" applyNumberFormat="1" applyFont="1" applyFill="1" applyBorder="1"/>
    <xf numFmtId="37" fontId="39" fillId="134" borderId="0" xfId="0" applyNumberFormat="1" applyFont="1" applyFill="1" applyBorder="1" applyAlignment="1">
      <alignment horizontal="center"/>
    </xf>
    <xf numFmtId="7" fontId="39" fillId="134" borderId="0" xfId="0" applyNumberFormat="1" applyFont="1" applyFill="1" applyBorder="1"/>
    <xf numFmtId="168" fontId="39" fillId="134" borderId="7" xfId="0" applyNumberFormat="1" applyFont="1" applyFill="1" applyBorder="1"/>
    <xf numFmtId="166" fontId="39" fillId="134" borderId="40" xfId="4" applyNumberFormat="1" applyFont="1" applyFill="1" applyBorder="1"/>
    <xf numFmtId="37" fontId="40" fillId="134" borderId="14" xfId="0" applyNumberFormat="1" applyFont="1" applyFill="1" applyBorder="1"/>
    <xf numFmtId="37" fontId="40" fillId="134" borderId="14" xfId="0" applyNumberFormat="1" applyFont="1" applyFill="1" applyBorder="1" applyAlignment="1">
      <alignment horizontal="center"/>
    </xf>
    <xf numFmtId="170" fontId="40" fillId="134" borderId="14" xfId="0" applyNumberFormat="1" applyFont="1" applyFill="1" applyBorder="1"/>
    <xf numFmtId="168" fontId="40" fillId="134" borderId="14" xfId="0" applyNumberFormat="1" applyFont="1" applyFill="1" applyBorder="1"/>
    <xf numFmtId="7" fontId="40" fillId="134" borderId="14" xfId="0" applyNumberFormat="1" applyFont="1" applyFill="1" applyBorder="1"/>
    <xf numFmtId="7" fontId="40" fillId="134" borderId="48" xfId="0" applyNumberFormat="1" applyFont="1" applyFill="1" applyBorder="1"/>
    <xf numFmtId="168" fontId="40" fillId="134" borderId="48" xfId="0" applyNumberFormat="1" applyFont="1" applyFill="1" applyBorder="1"/>
    <xf numFmtId="166" fontId="40" fillId="134" borderId="42" xfId="4" applyNumberFormat="1" applyFont="1" applyFill="1" applyBorder="1"/>
    <xf numFmtId="170" fontId="40" fillId="134" borderId="0" xfId="0" applyNumberFormat="1" applyFont="1" applyFill="1" applyBorder="1"/>
    <xf numFmtId="37" fontId="39" fillId="134" borderId="0" xfId="0" applyNumberFormat="1" applyFont="1" applyFill="1" applyBorder="1" applyAlignment="1"/>
    <xf numFmtId="170" fontId="39" fillId="134" borderId="0" xfId="0" applyNumberFormat="1" applyFont="1" applyFill="1" applyBorder="1" applyAlignment="1"/>
    <xf numFmtId="168" fontId="39" fillId="134" borderId="0" xfId="0" applyNumberFormat="1" applyFont="1" applyFill="1" applyBorder="1" applyAlignment="1"/>
    <xf numFmtId="168" fontId="39" fillId="134" borderId="7" xfId="0" applyNumberFormat="1" applyFont="1" applyFill="1" applyBorder="1" applyAlignment="1"/>
    <xf numFmtId="168" fontId="40" fillId="134" borderId="7" xfId="0" applyNumberFormat="1" applyFont="1" applyFill="1" applyBorder="1"/>
    <xf numFmtId="37" fontId="39" fillId="134" borderId="27" xfId="0" applyNumberFormat="1" applyFont="1" applyFill="1" applyBorder="1" applyAlignment="1"/>
    <xf numFmtId="171" fontId="39" fillId="134" borderId="27" xfId="0" applyNumberFormat="1" applyFont="1" applyFill="1" applyBorder="1" applyAlignment="1">
      <alignment horizontal="center"/>
    </xf>
    <xf numFmtId="170" fontId="39" fillId="134" borderId="27" xfId="0" applyNumberFormat="1" applyFont="1" applyFill="1" applyBorder="1" applyAlignment="1"/>
    <xf numFmtId="168" fontId="39" fillId="134" borderId="27" xfId="0" applyNumberFormat="1" applyFont="1" applyFill="1" applyBorder="1" applyAlignment="1"/>
    <xf numFmtId="168" fontId="39" fillId="134" borderId="44" xfId="0" applyNumberFormat="1" applyFont="1" applyFill="1" applyBorder="1" applyAlignment="1"/>
    <xf numFmtId="166" fontId="39" fillId="134" borderId="43" xfId="4" applyNumberFormat="1" applyFont="1" applyFill="1" applyBorder="1"/>
    <xf numFmtId="168" fontId="39" fillId="134" borderId="44" xfId="0" applyNumberFormat="1" applyFont="1" applyFill="1" applyBorder="1"/>
    <xf numFmtId="168" fontId="39" fillId="134" borderId="48" xfId="0" applyNumberFormat="1" applyFont="1" applyFill="1" applyBorder="1" applyAlignment="1"/>
    <xf numFmtId="39" fontId="39" fillId="134" borderId="99" xfId="0" applyNumberFormat="1" applyFont="1" applyFill="1" applyBorder="1"/>
    <xf numFmtId="39" fontId="39" fillId="134" borderId="98" xfId="0" applyNumberFormat="1" applyFont="1" applyFill="1" applyBorder="1"/>
    <xf numFmtId="171" fontId="39" fillId="134" borderId="99" xfId="0" applyNumberFormat="1" applyFont="1" applyFill="1" applyBorder="1" applyAlignment="1"/>
    <xf numFmtId="39" fontId="39" fillId="134" borderId="41" xfId="0" applyNumberFormat="1" applyFont="1" applyFill="1" applyBorder="1"/>
    <xf numFmtId="39" fontId="39" fillId="134" borderId="0" xfId="0" applyNumberFormat="1" applyFont="1" applyFill="1" applyBorder="1"/>
    <xf numFmtId="0" fontId="65" fillId="134" borderId="0" xfId="0" applyFont="1" applyFill="1" applyAlignment="1"/>
    <xf numFmtId="0" fontId="40" fillId="134" borderId="0" xfId="0" applyFont="1" applyFill="1" applyBorder="1" applyAlignment="1">
      <alignment horizontal="centerContinuous"/>
    </xf>
    <xf numFmtId="7" fontId="40" fillId="134" borderId="0" xfId="0" applyNumberFormat="1" applyFont="1" applyFill="1" applyBorder="1" applyAlignment="1">
      <alignment horizontal="center"/>
    </xf>
    <xf numFmtId="7" fontId="40" fillId="134" borderId="7" xfId="0" applyNumberFormat="1" applyFont="1" applyFill="1" applyBorder="1" applyAlignment="1">
      <alignment horizontal="center"/>
    </xf>
    <xf numFmtId="7" fontId="40" fillId="134" borderId="1" xfId="0" applyNumberFormat="1" applyFont="1" applyFill="1" applyBorder="1" applyAlignment="1">
      <alignment horizontal="center"/>
    </xf>
    <xf numFmtId="0" fontId="40" fillId="134" borderId="4" xfId="0" applyFont="1" applyFill="1" applyBorder="1" applyAlignment="1">
      <alignment horizontal="right"/>
    </xf>
    <xf numFmtId="0" fontId="40" fillId="134" borderId="14" xfId="0" applyFont="1" applyFill="1" applyBorder="1" applyAlignment="1">
      <alignment horizontal="right"/>
    </xf>
    <xf numFmtId="0" fontId="39" fillId="134" borderId="4" xfId="0" applyFont="1" applyFill="1" applyBorder="1"/>
    <xf numFmtId="0" fontId="39" fillId="134" borderId="8" xfId="0" applyFont="1" applyFill="1" applyBorder="1"/>
    <xf numFmtId="37" fontId="40" fillId="134" borderId="0" xfId="0" applyNumberFormat="1" applyFont="1" applyFill="1" applyBorder="1" applyAlignment="1" applyProtection="1">
      <alignment wrapText="1"/>
    </xf>
    <xf numFmtId="37" fontId="40" fillId="134" borderId="0" xfId="0" applyNumberFormat="1" applyFont="1" applyFill="1" applyAlignment="1" applyProtection="1">
      <alignment wrapText="1"/>
    </xf>
    <xf numFmtId="0" fontId="40" fillId="134" borderId="0" xfId="0" applyFont="1" applyFill="1" applyBorder="1" applyAlignment="1">
      <alignment wrapText="1"/>
    </xf>
    <xf numFmtId="0" fontId="188" fillId="134" borderId="0" xfId="0" applyFont="1" applyFill="1" applyBorder="1" applyAlignment="1">
      <alignment horizontal="left"/>
    </xf>
    <xf numFmtId="171" fontId="198" fillId="134" borderId="7" xfId="0" applyNumberFormat="1" applyFont="1" applyFill="1" applyBorder="1" applyAlignment="1">
      <alignment horizontal="center" vertical="center"/>
    </xf>
    <xf numFmtId="171" fontId="198" fillId="134" borderId="0" xfId="0" applyNumberFormat="1" applyFont="1" applyFill="1" applyBorder="1" applyAlignment="1">
      <alignment horizontal="center" vertical="center"/>
    </xf>
    <xf numFmtId="0" fontId="198" fillId="134" borderId="7" xfId="0" applyFont="1" applyFill="1" applyBorder="1" applyAlignment="1">
      <alignment horizontal="center" vertical="center"/>
    </xf>
    <xf numFmtId="0" fontId="198" fillId="134" borderId="6" xfId="0" applyFont="1" applyFill="1" applyBorder="1" applyAlignment="1">
      <alignment horizontal="center" vertical="center"/>
    </xf>
    <xf numFmtId="0" fontId="198" fillId="134" borderId="12" xfId="0" applyFont="1" applyFill="1" applyBorder="1" applyAlignment="1">
      <alignment horizontal="center" vertical="center"/>
    </xf>
    <xf numFmtId="0" fontId="198" fillId="134" borderId="98" xfId="0" applyFont="1" applyFill="1" applyBorder="1" applyAlignment="1">
      <alignment horizontal="center" vertical="center"/>
    </xf>
    <xf numFmtId="43" fontId="40" fillId="134" borderId="0" xfId="1" applyFont="1" applyFill="1" applyBorder="1" applyAlignment="1">
      <alignment horizontal="center"/>
    </xf>
    <xf numFmtId="0" fontId="39" fillId="134" borderId="7" xfId="0" applyFont="1" applyFill="1" applyBorder="1" applyAlignment="1">
      <alignment horizontal="center"/>
    </xf>
    <xf numFmtId="0" fontId="41" fillId="134" borderId="1" xfId="0" applyFont="1" applyFill="1" applyBorder="1" applyAlignment="1">
      <alignment horizontal="center"/>
    </xf>
    <xf numFmtId="0" fontId="41" fillId="134" borderId="0" xfId="0" applyFont="1" applyFill="1" applyBorder="1" applyAlignment="1">
      <alignment horizontal="center"/>
    </xf>
    <xf numFmtId="0" fontId="39" fillId="134" borderId="6" xfId="0" applyFont="1" applyFill="1" applyBorder="1" applyAlignment="1">
      <alignment horizontal="center"/>
    </xf>
    <xf numFmtId="0" fontId="41" fillId="134" borderId="13" xfId="0" applyFont="1" applyFill="1" applyBorder="1" applyAlignment="1">
      <alignment horizontal="center"/>
    </xf>
    <xf numFmtId="0" fontId="41" fillId="134" borderId="12" xfId="0" applyFont="1" applyFill="1" applyBorder="1" applyAlignment="1">
      <alignment horizontal="center"/>
    </xf>
    <xf numFmtId="0" fontId="42" fillId="134" borderId="0" xfId="0" applyFont="1" applyFill="1"/>
    <xf numFmtId="0" fontId="42" fillId="134" borderId="0" xfId="0" applyFont="1" applyFill="1" applyAlignment="1">
      <alignment horizontal="center"/>
    </xf>
    <xf numFmtId="184" fontId="42" fillId="134" borderId="0" xfId="0" applyNumberFormat="1" applyFont="1" applyFill="1"/>
    <xf numFmtId="37" fontId="42" fillId="134" borderId="0" xfId="0" applyNumberFormat="1" applyFont="1" applyFill="1"/>
    <xf numFmtId="10" fontId="39" fillId="134" borderId="0" xfId="4" applyNumberFormat="1" applyFont="1" applyFill="1"/>
    <xf numFmtId="184" fontId="39" fillId="134" borderId="0" xfId="0" applyNumberFormat="1" applyFont="1" applyFill="1"/>
    <xf numFmtId="0" fontId="206" fillId="134" borderId="0" xfId="0" applyFont="1" applyFill="1" applyBorder="1"/>
    <xf numFmtId="172" fontId="39" fillId="134" borderId="0" xfId="0" applyNumberFormat="1" applyFont="1" applyFill="1"/>
    <xf numFmtId="10" fontId="42" fillId="134" borderId="0" xfId="4" applyNumberFormat="1" applyFont="1" applyFill="1" applyAlignment="1">
      <alignment horizontal="center"/>
    </xf>
    <xf numFmtId="0" fontId="207" fillId="134" borderId="0" xfId="0" applyFont="1" applyFill="1" applyBorder="1"/>
    <xf numFmtId="0" fontId="207" fillId="134" borderId="0" xfId="0" applyFont="1" applyFill="1"/>
    <xf numFmtId="0" fontId="40" fillId="134" borderId="0" xfId="0" quotePrefix="1" applyFont="1" applyFill="1" applyAlignment="1">
      <alignment horizontal="center"/>
    </xf>
    <xf numFmtId="14" fontId="39" fillId="134" borderId="0" xfId="0" quotePrefix="1" applyNumberFormat="1" applyFont="1" applyFill="1" applyAlignment="1">
      <alignment horizontal="center"/>
    </xf>
    <xf numFmtId="0" fontId="41" fillId="134" borderId="0" xfId="0" applyFont="1" applyFill="1" applyAlignment="1">
      <alignment horizontal="center"/>
    </xf>
    <xf numFmtId="37" fontId="41" fillId="134" borderId="33" xfId="0" applyNumberFormat="1" applyFont="1" applyFill="1" applyBorder="1"/>
    <xf numFmtId="0" fontId="39" fillId="134" borderId="34" xfId="0" applyFont="1" applyFill="1" applyBorder="1"/>
    <xf numFmtId="171" fontId="39" fillId="134" borderId="35" xfId="0" applyNumberFormat="1" applyFont="1" applyFill="1" applyBorder="1"/>
    <xf numFmtId="0" fontId="39" fillId="134" borderId="0" xfId="1" applyNumberFormat="1" applyFont="1" applyFill="1" applyAlignment="1">
      <alignment horizontal="center"/>
    </xf>
    <xf numFmtId="169" fontId="39" fillId="134" borderId="36" xfId="51236" applyNumberFormat="1" applyFont="1" applyFill="1" applyBorder="1" applyAlignment="1">
      <alignment horizontal="center"/>
    </xf>
    <xf numFmtId="0" fontId="39" fillId="134" borderId="29" xfId="0" applyFont="1" applyFill="1" applyBorder="1" applyAlignment="1">
      <alignment horizontal="left"/>
    </xf>
    <xf numFmtId="171" fontId="39" fillId="134" borderId="37" xfId="0" applyNumberFormat="1" applyFont="1" applyFill="1" applyBorder="1" applyAlignment="1">
      <alignment horizontal="left"/>
    </xf>
    <xf numFmtId="0" fontId="39" fillId="134" borderId="12" xfId="1" applyNumberFormat="1" applyFont="1" applyFill="1" applyBorder="1" applyAlignment="1">
      <alignment horizontal="center"/>
    </xf>
    <xf numFmtId="0" fontId="40" fillId="134" borderId="12" xfId="1" applyNumberFormat="1" applyFont="1" applyFill="1" applyBorder="1" applyAlignment="1">
      <alignment horizontal="center"/>
    </xf>
    <xf numFmtId="37" fontId="40" fillId="134" borderId="23" xfId="0" applyNumberFormat="1" applyFont="1" applyFill="1" applyBorder="1"/>
    <xf numFmtId="171" fontId="39" fillId="134" borderId="25" xfId="0" applyNumberFormat="1" applyFont="1" applyFill="1" applyBorder="1"/>
    <xf numFmtId="0" fontId="40" fillId="134" borderId="19" xfId="0" applyFont="1" applyFill="1" applyBorder="1" applyAlignment="1">
      <alignment wrapText="1"/>
    </xf>
    <xf numFmtId="0" fontId="40" fillId="153" borderId="2" xfId="0" applyFont="1" applyFill="1" applyBorder="1" applyAlignment="1">
      <alignment horizontal="right"/>
    </xf>
    <xf numFmtId="185" fontId="40" fillId="134" borderId="0" xfId="101" applyFont="1" applyFill="1" applyBorder="1" applyAlignment="1">
      <alignment horizontal="center"/>
    </xf>
    <xf numFmtId="185" fontId="40" fillId="134" borderId="8" xfId="101" applyFont="1" applyFill="1" applyBorder="1" applyAlignment="1">
      <alignment horizontal="center"/>
    </xf>
    <xf numFmtId="0" fontId="40" fillId="153" borderId="16" xfId="0" applyFont="1" applyFill="1" applyBorder="1" applyAlignment="1">
      <alignment horizontal="center"/>
    </xf>
    <xf numFmtId="0" fontId="40" fillId="134" borderId="5" xfId="0" applyFont="1" applyFill="1" applyBorder="1" applyAlignment="1">
      <alignment horizontal="center"/>
    </xf>
    <xf numFmtId="185" fontId="40" fillId="134" borderId="14" xfId="101" applyFont="1" applyFill="1" applyBorder="1" applyAlignment="1">
      <alignment horizontal="center"/>
    </xf>
    <xf numFmtId="185" fontId="40" fillId="134" borderId="11" xfId="101" applyFont="1" applyFill="1" applyBorder="1" applyAlignment="1">
      <alignment horizontal="center"/>
    </xf>
    <xf numFmtId="171" fontId="39" fillId="153" borderId="16" xfId="0" applyNumberFormat="1" applyFont="1" applyFill="1" applyBorder="1"/>
    <xf numFmtId="172" fontId="39" fillId="134" borderId="14" xfId="0" applyNumberFormat="1" applyFont="1" applyFill="1" applyBorder="1"/>
    <xf numFmtId="170" fontId="42" fillId="134" borderId="5" xfId="0" applyNumberFormat="1" applyFont="1" applyFill="1" applyBorder="1" applyAlignment="1">
      <alignment horizontal="center"/>
    </xf>
    <xf numFmtId="5" fontId="39" fillId="134" borderId="14" xfId="0" applyNumberFormat="1" applyFont="1" applyFill="1" applyBorder="1"/>
    <xf numFmtId="167" fontId="39" fillId="134" borderId="14" xfId="1" applyNumberFormat="1" applyFont="1" applyFill="1" applyBorder="1"/>
    <xf numFmtId="184" fontId="39" fillId="134" borderId="14" xfId="2" applyNumberFormat="1" applyFont="1" applyFill="1" applyBorder="1"/>
    <xf numFmtId="44" fontId="39" fillId="134" borderId="14" xfId="2" applyFont="1" applyFill="1" applyBorder="1"/>
    <xf numFmtId="168" fontId="39" fillId="134" borderId="14" xfId="56362" applyNumberFormat="1" applyFont="1" applyFill="1" applyBorder="1"/>
    <xf numFmtId="168" fontId="39" fillId="134" borderId="11" xfId="56362" applyNumberFormat="1" applyFont="1" applyFill="1" applyBorder="1"/>
    <xf numFmtId="168" fontId="39" fillId="134" borderId="0" xfId="56362" applyNumberFormat="1" applyFont="1" applyFill="1" applyBorder="1"/>
    <xf numFmtId="167" fontId="39" fillId="134" borderId="9" xfId="1" applyNumberFormat="1" applyFont="1" applyFill="1" applyBorder="1"/>
    <xf numFmtId="172" fontId="39" fillId="134" borderId="0" xfId="0" applyNumberFormat="1" applyFont="1" applyFill="1" applyBorder="1"/>
    <xf numFmtId="184" fontId="39" fillId="134" borderId="0" xfId="2" applyNumberFormat="1" applyFont="1" applyFill="1" applyBorder="1"/>
    <xf numFmtId="171" fontId="39" fillId="153" borderId="3" xfId="0" applyNumberFormat="1" applyFont="1" applyFill="1" applyBorder="1"/>
    <xf numFmtId="170" fontId="42" fillId="134" borderId="4" xfId="0" applyNumberFormat="1" applyFont="1" applyFill="1" applyBorder="1" applyAlignment="1">
      <alignment horizontal="center"/>
    </xf>
    <xf numFmtId="5" fontId="39" fillId="134" borderId="0" xfId="3" applyNumberFormat="1" applyFont="1" applyFill="1" applyBorder="1"/>
    <xf numFmtId="168" fontId="39" fillId="134" borderId="8" xfId="56362" applyNumberFormat="1" applyFont="1" applyFill="1" applyBorder="1"/>
    <xf numFmtId="167" fontId="39" fillId="134" borderId="0" xfId="1" applyNumberFormat="1" applyFont="1" applyFill="1" applyBorder="1"/>
    <xf numFmtId="5" fontId="39" fillId="134" borderId="0" xfId="3" quotePrefix="1" applyNumberFormat="1" applyFont="1" applyFill="1" applyBorder="1"/>
    <xf numFmtId="172" fontId="39" fillId="134" borderId="0" xfId="0" applyNumberFormat="1" applyFont="1" applyFill="1" applyBorder="1" applyAlignment="1"/>
    <xf numFmtId="171" fontId="39" fillId="153" borderId="3" xfId="0" applyNumberFormat="1" applyFont="1" applyFill="1" applyBorder="1" applyAlignment="1"/>
    <xf numFmtId="172" fontId="39" fillId="134" borderId="14" xfId="0" applyNumberFormat="1" applyFont="1" applyFill="1" applyBorder="1" applyAlignment="1"/>
    <xf numFmtId="171" fontId="39" fillId="153" borderId="16" xfId="0" applyNumberFormat="1" applyFont="1" applyFill="1" applyBorder="1" applyAlignment="1"/>
    <xf numFmtId="172" fontId="39" fillId="134" borderId="27" xfId="0" applyNumberFormat="1" applyFont="1" applyFill="1" applyBorder="1" applyAlignment="1"/>
    <xf numFmtId="171" fontId="39" fillId="153" borderId="38" xfId="0" applyNumberFormat="1" applyFont="1" applyFill="1" applyBorder="1" applyAlignment="1"/>
    <xf numFmtId="170" fontId="42" fillId="134" borderId="26" xfId="0" applyNumberFormat="1" applyFont="1" applyFill="1" applyBorder="1" applyAlignment="1">
      <alignment horizontal="center"/>
    </xf>
    <xf numFmtId="172" fontId="42" fillId="134" borderId="0" xfId="0" applyNumberFormat="1" applyFont="1" applyFill="1"/>
    <xf numFmtId="173" fontId="42" fillId="134" borderId="0" xfId="0" applyNumberFormat="1" applyFont="1" applyFill="1"/>
    <xf numFmtId="170" fontId="42" fillId="134" borderId="0" xfId="0" applyNumberFormat="1" applyFont="1" applyFill="1" applyAlignment="1">
      <alignment horizontal="center"/>
    </xf>
    <xf numFmtId="37" fontId="39" fillId="134" borderId="0" xfId="101" applyNumberFormat="1" applyFont="1" applyFill="1"/>
    <xf numFmtId="176" fontId="42" fillId="134" borderId="0" xfId="0" applyNumberFormat="1" applyFont="1" applyFill="1"/>
    <xf numFmtId="170" fontId="39" fillId="134" borderId="0" xfId="0" applyNumberFormat="1" applyFont="1" applyFill="1"/>
    <xf numFmtId="170" fontId="39" fillId="134" borderId="0" xfId="0" quotePrefix="1" applyNumberFormat="1" applyFont="1" applyFill="1"/>
    <xf numFmtId="0" fontId="181" fillId="134" borderId="0" xfId="0" applyFont="1" applyFill="1" applyAlignment="1">
      <alignment horizontal="center" vertical="center"/>
    </xf>
    <xf numFmtId="0" fontId="181" fillId="134" borderId="0" xfId="0" applyFont="1" applyFill="1" applyBorder="1" applyAlignment="1">
      <alignment horizontal="center" vertical="center"/>
    </xf>
    <xf numFmtId="171" fontId="39" fillId="134" borderId="0" xfId="0" applyNumberFormat="1" applyFont="1" applyFill="1" applyBorder="1" applyAlignment="1">
      <alignment horizontal="center"/>
    </xf>
    <xf numFmtId="0" fontId="40" fillId="134" borderId="4" xfId="0" applyFont="1" applyFill="1" applyBorder="1" applyAlignment="1">
      <alignment horizontal="center"/>
    </xf>
    <xf numFmtId="171" fontId="39" fillId="134" borderId="8" xfId="0" applyNumberFormat="1" applyFont="1" applyFill="1" applyBorder="1" applyAlignment="1">
      <alignment horizontal="center"/>
    </xf>
    <xf numFmtId="171" fontId="40" fillId="134" borderId="11" xfId="0" applyNumberFormat="1" applyFont="1" applyFill="1" applyBorder="1" applyAlignment="1">
      <alignment horizontal="center"/>
    </xf>
    <xf numFmtId="0" fontId="40" fillId="134" borderId="27" xfId="0" applyFont="1" applyFill="1" applyBorder="1" applyAlignment="1">
      <alignment horizontal="center"/>
    </xf>
    <xf numFmtId="185" fontId="39" fillId="134" borderId="0" xfId="101" applyFont="1" applyFill="1"/>
    <xf numFmtId="185" fontId="42" fillId="134" borderId="0" xfId="101" applyFont="1" applyFill="1"/>
    <xf numFmtId="185" fontId="183" fillId="134" borderId="0" xfId="101" applyFont="1" applyFill="1" applyBorder="1"/>
    <xf numFmtId="4" fontId="42" fillId="134" borderId="0" xfId="101" applyNumberFormat="1" applyFont="1" applyFill="1" applyBorder="1"/>
    <xf numFmtId="185" fontId="39" fillId="134" borderId="0" xfId="101" applyFont="1" applyFill="1" applyBorder="1"/>
    <xf numFmtId="4" fontId="39" fillId="134" borderId="0" xfId="101" applyNumberFormat="1" applyFont="1" applyFill="1" applyBorder="1"/>
    <xf numFmtId="167" fontId="39" fillId="134" borderId="0" xfId="56361" applyNumberFormat="1" applyFont="1" applyFill="1" applyBorder="1"/>
    <xf numFmtId="0" fontId="39" fillId="134" borderId="0" xfId="39305" applyNumberFormat="1" applyFont="1" applyFill="1" applyBorder="1"/>
    <xf numFmtId="185" fontId="42" fillId="134" borderId="0" xfId="101" applyFont="1" applyFill="1" applyBorder="1"/>
    <xf numFmtId="242" fontId="39" fillId="134" borderId="0" xfId="101" applyNumberFormat="1" applyFont="1" applyFill="1" applyBorder="1"/>
    <xf numFmtId="185" fontId="39" fillId="134" borderId="0" xfId="101" quotePrefix="1" applyFont="1" applyFill="1" applyBorder="1"/>
    <xf numFmtId="3" fontId="39" fillId="134" borderId="0" xfId="101" applyNumberFormat="1" applyFont="1" applyFill="1" applyBorder="1"/>
    <xf numFmtId="185" fontId="42" fillId="134" borderId="0" xfId="101" applyFont="1" applyFill="1" applyBorder="1" applyAlignment="1">
      <alignment horizontal="center"/>
    </xf>
    <xf numFmtId="37" fontId="208" fillId="134" borderId="0" xfId="101" applyNumberFormat="1" applyFont="1" applyFill="1" applyBorder="1"/>
    <xf numFmtId="185" fontId="40" fillId="134" borderId="0" xfId="101" applyFont="1" applyFill="1" applyAlignment="1">
      <alignment horizontal="center"/>
    </xf>
    <xf numFmtId="185" fontId="184" fillId="134" borderId="0" xfId="101" applyFont="1" applyFill="1" applyBorder="1"/>
    <xf numFmtId="171" fontId="39" fillId="134" borderId="0" xfId="0" applyNumberFormat="1" applyFont="1" applyFill="1" applyAlignment="1">
      <alignment horizontal="center"/>
    </xf>
    <xf numFmtId="185" fontId="40" fillId="134" borderId="0" xfId="101" applyFont="1" applyFill="1" applyBorder="1" applyAlignment="1">
      <alignment horizontal="left"/>
    </xf>
    <xf numFmtId="37" fontId="39" fillId="134" borderId="36" xfId="101" applyNumberFormat="1" applyFont="1" applyFill="1" applyBorder="1"/>
    <xf numFmtId="185" fontId="39" fillId="134" borderId="29" xfId="101" applyFont="1" applyFill="1" applyBorder="1"/>
    <xf numFmtId="185" fontId="39" fillId="134" borderId="37" xfId="101" applyFont="1" applyFill="1" applyBorder="1"/>
    <xf numFmtId="37" fontId="39" fillId="134" borderId="29" xfId="101" applyNumberFormat="1" applyFont="1" applyFill="1" applyBorder="1"/>
    <xf numFmtId="169" fontId="39" fillId="134" borderId="29" xfId="51236" applyNumberFormat="1" applyFont="1" applyFill="1" applyBorder="1" applyAlignment="1">
      <alignment horizontal="center"/>
    </xf>
    <xf numFmtId="37" fontId="40" fillId="134" borderId="36" xfId="101" applyNumberFormat="1" applyFont="1" applyFill="1" applyBorder="1"/>
    <xf numFmtId="37" fontId="39" fillId="134" borderId="37" xfId="101" applyNumberFormat="1" applyFont="1" applyFill="1" applyBorder="1"/>
    <xf numFmtId="37" fontId="40" fillId="134" borderId="29" xfId="101" applyNumberFormat="1" applyFont="1" applyFill="1" applyBorder="1"/>
    <xf numFmtId="185" fontId="40" fillId="134" borderId="0" xfId="101" applyFont="1" applyFill="1" applyBorder="1" applyAlignment="1">
      <alignment horizontal="right"/>
    </xf>
    <xf numFmtId="37" fontId="39" fillId="134" borderId="0" xfId="101" applyNumberFormat="1" applyFont="1" applyFill="1" applyBorder="1"/>
    <xf numFmtId="185" fontId="40" fillId="134" borderId="4" xfId="101" applyFont="1" applyFill="1" applyBorder="1" applyAlignment="1">
      <alignment horizontal="center"/>
    </xf>
    <xf numFmtId="185" fontId="40" fillId="134" borderId="5" xfId="101" applyFont="1" applyFill="1" applyBorder="1" applyAlignment="1">
      <alignment horizontal="center"/>
    </xf>
    <xf numFmtId="170" fontId="42" fillId="134" borderId="26" xfId="101" applyNumberFormat="1" applyFont="1" applyFill="1" applyBorder="1" applyAlignment="1">
      <alignment horizontal="center"/>
    </xf>
    <xf numFmtId="37" fontId="39" fillId="134" borderId="14" xfId="101" applyNumberFormat="1" applyFont="1" applyFill="1" applyBorder="1"/>
    <xf numFmtId="170" fontId="42" fillId="134" borderId="27" xfId="101" applyNumberFormat="1" applyFont="1" applyFill="1" applyBorder="1" applyAlignment="1">
      <alignment horizontal="center"/>
    </xf>
    <xf numFmtId="170" fontId="42" fillId="134" borderId="5" xfId="101" applyNumberFormat="1" applyFont="1" applyFill="1" applyBorder="1" applyAlignment="1">
      <alignment horizontal="center"/>
    </xf>
    <xf numFmtId="170" fontId="42" fillId="134" borderId="14" xfId="101" applyNumberFormat="1" applyFont="1" applyFill="1" applyBorder="1" applyAlignment="1">
      <alignment horizontal="center"/>
    </xf>
    <xf numFmtId="170" fontId="42" fillId="134" borderId="4" xfId="101" applyNumberFormat="1" applyFont="1" applyFill="1" applyBorder="1" applyAlignment="1">
      <alignment horizontal="center"/>
    </xf>
    <xf numFmtId="170" fontId="42" fillId="134" borderId="0" xfId="101" applyNumberFormat="1" applyFont="1" applyFill="1" applyBorder="1" applyAlignment="1">
      <alignment horizontal="center"/>
    </xf>
    <xf numFmtId="37" fontId="39" fillId="134" borderId="27" xfId="0" applyNumberFormat="1" applyFont="1" applyFill="1" applyBorder="1"/>
    <xf numFmtId="37" fontId="42" fillId="134" borderId="0" xfId="101" applyNumberFormat="1" applyFont="1" applyFill="1"/>
    <xf numFmtId="0" fontId="181" fillId="134" borderId="14" xfId="0" applyFont="1" applyFill="1" applyBorder="1" applyAlignment="1">
      <alignment horizontal="center" vertical="center"/>
    </xf>
    <xf numFmtId="172" fontId="209" fillId="134" borderId="18" xfId="0" applyNumberFormat="1" applyFont="1" applyFill="1" applyBorder="1" applyAlignment="1">
      <alignment horizontal="center"/>
    </xf>
    <xf numFmtId="170" fontId="39" fillId="0" borderId="0" xfId="0" applyNumberFormat="1" applyFont="1" applyFill="1" applyBorder="1" applyAlignment="1"/>
    <xf numFmtId="171" fontId="40" fillId="134" borderId="0" xfId="0" applyNumberFormat="1" applyFont="1" applyFill="1"/>
    <xf numFmtId="0" fontId="191" fillId="134" borderId="0" xfId="0" applyFont="1" applyFill="1" applyBorder="1" applyAlignment="1">
      <alignment horizontal="center"/>
    </xf>
    <xf numFmtId="37" fontId="190" fillId="134" borderId="18" xfId="0" applyNumberFormat="1" applyFont="1" applyFill="1" applyBorder="1" applyAlignment="1">
      <alignment horizontal="center"/>
    </xf>
    <xf numFmtId="0" fontId="40" fillId="134" borderId="40" xfId="0" applyFont="1" applyFill="1" applyBorder="1" applyAlignment="1">
      <alignment horizontal="center"/>
    </xf>
    <xf numFmtId="0" fontId="39" fillId="134" borderId="0" xfId="1" applyNumberFormat="1" applyFont="1" applyFill="1" applyBorder="1" applyAlignment="1">
      <alignment horizontal="center"/>
    </xf>
    <xf numFmtId="0" fontId="40" fillId="134" borderId="103" xfId="0" applyFont="1" applyFill="1" applyBorder="1" applyAlignment="1">
      <alignment horizontal="center"/>
    </xf>
    <xf numFmtId="0" fontId="39" fillId="134" borderId="0" xfId="0" applyFont="1" applyFill="1" applyAlignment="1">
      <alignment vertical="top"/>
    </xf>
    <xf numFmtId="0" fontId="40" fillId="134" borderId="0" xfId="0" applyFont="1" applyFill="1" applyAlignment="1">
      <alignment vertical="top"/>
    </xf>
    <xf numFmtId="0" fontId="191" fillId="134" borderId="91" xfId="0" applyFont="1" applyFill="1" applyBorder="1" applyAlignment="1">
      <alignment horizontal="center"/>
    </xf>
    <xf numFmtId="7" fontId="66" fillId="134" borderId="7" xfId="0" applyNumberFormat="1" applyFont="1" applyFill="1" applyBorder="1" applyAlignment="1">
      <alignment horizontal="center"/>
    </xf>
    <xf numFmtId="0" fontId="39" fillId="134" borderId="99" xfId="0" applyFont="1" applyFill="1" applyBorder="1"/>
    <xf numFmtId="0" fontId="39" fillId="134" borderId="98" xfId="0" applyFont="1" applyFill="1" applyBorder="1"/>
    <xf numFmtId="5" fontId="39" fillId="134" borderId="100" xfId="0" applyNumberFormat="1" applyFont="1" applyFill="1" applyBorder="1"/>
    <xf numFmtId="243" fontId="39" fillId="134" borderId="7" xfId="2" applyNumberFormat="1" applyFont="1" applyFill="1" applyBorder="1"/>
    <xf numFmtId="0" fontId="39" fillId="134" borderId="39" xfId="0" applyFont="1" applyFill="1" applyBorder="1"/>
    <xf numFmtId="166" fontId="40" fillId="134" borderId="40" xfId="5" applyNumberFormat="1" applyFont="1" applyFill="1" applyBorder="1" applyAlignment="1">
      <alignment horizontal="center"/>
    </xf>
    <xf numFmtId="0" fontId="39" fillId="134" borderId="40" xfId="5" applyFont="1" applyFill="1" applyBorder="1" applyAlignment="1">
      <alignment horizontal="center"/>
    </xf>
    <xf numFmtId="0" fontId="39" fillId="134" borderId="103" xfId="5" applyFont="1" applyFill="1" applyBorder="1" applyAlignment="1">
      <alignment horizontal="center"/>
    </xf>
    <xf numFmtId="171" fontId="39" fillId="134" borderId="40" xfId="0" applyNumberFormat="1" applyFont="1" applyFill="1" applyBorder="1" applyAlignment="1"/>
    <xf numFmtId="167" fontId="39" fillId="134" borderId="40" xfId="1" applyNumberFormat="1" applyFont="1" applyFill="1" applyBorder="1" applyAlignment="1"/>
    <xf numFmtId="0" fontId="40" fillId="151" borderId="40" xfId="0" applyFont="1" applyFill="1" applyBorder="1" applyAlignment="1">
      <alignment horizontal="center"/>
    </xf>
    <xf numFmtId="14" fontId="40" fillId="151" borderId="40" xfId="0" applyNumberFormat="1" applyFont="1" applyFill="1" applyBorder="1" applyAlignment="1">
      <alignment horizontal="center"/>
    </xf>
    <xf numFmtId="0" fontId="40" fillId="151" borderId="103" xfId="0" applyFont="1" applyFill="1" applyBorder="1" applyAlignment="1">
      <alignment horizontal="center"/>
    </xf>
    <xf numFmtId="0" fontId="40" fillId="151" borderId="42" xfId="0" applyFont="1" applyFill="1" applyBorder="1" applyAlignment="1">
      <alignment horizontal="center"/>
    </xf>
    <xf numFmtId="171" fontId="40" fillId="151" borderId="43" xfId="0" applyNumberFormat="1" applyFont="1" applyFill="1" applyBorder="1" applyAlignment="1">
      <alignment horizontal="center"/>
    </xf>
    <xf numFmtId="171" fontId="40" fillId="151" borderId="42" xfId="0" applyNumberFormat="1" applyFont="1" applyFill="1" applyBorder="1" applyAlignment="1">
      <alignment horizontal="center"/>
    </xf>
    <xf numFmtId="171" fontId="40" fillId="151" borderId="40" xfId="0" applyNumberFormat="1" applyFont="1" applyFill="1" applyBorder="1" applyAlignment="1">
      <alignment horizontal="center"/>
    </xf>
    <xf numFmtId="37" fontId="40" fillId="134" borderId="40" xfId="0" applyNumberFormat="1" applyFont="1" applyFill="1" applyBorder="1" applyAlignment="1">
      <alignment horizontal="center"/>
    </xf>
    <xf numFmtId="14" fontId="39" fillId="134" borderId="7" xfId="0" applyNumberFormat="1" applyFont="1" applyFill="1" applyBorder="1" applyAlignment="1">
      <alignment horizontal="center"/>
    </xf>
    <xf numFmtId="0" fontId="39" fillId="134" borderId="1" xfId="0" applyFont="1" applyFill="1" applyBorder="1"/>
    <xf numFmtId="0" fontId="39" fillId="134" borderId="40" xfId="0" applyFont="1" applyFill="1" applyBorder="1" applyAlignment="1">
      <alignment horizontal="center"/>
    </xf>
    <xf numFmtId="166" fontId="39" fillId="134" borderId="42" xfId="0" applyNumberFormat="1" applyFont="1" applyFill="1" applyBorder="1"/>
    <xf numFmtId="7" fontId="39" fillId="134" borderId="40" xfId="0" applyNumberFormat="1" applyFont="1" applyFill="1" applyBorder="1"/>
    <xf numFmtId="166" fontId="40" fillId="134" borderId="42" xfId="0" applyNumberFormat="1" applyFont="1" applyFill="1" applyBorder="1"/>
    <xf numFmtId="39" fontId="39" fillId="134" borderId="103" xfId="0" applyNumberFormat="1" applyFont="1" applyFill="1" applyBorder="1"/>
    <xf numFmtId="10" fontId="13" fillId="134" borderId="0" xfId="4" applyNumberFormat="1" applyFont="1" applyFill="1"/>
    <xf numFmtId="0" fontId="46" fillId="154" borderId="7" xfId="0" applyFont="1" applyFill="1" applyBorder="1" applyAlignment="1">
      <alignment horizontal="center" vertical="center" wrapText="1"/>
    </xf>
    <xf numFmtId="0" fontId="46" fillId="154" borderId="1" xfId="0" applyFont="1" applyFill="1" applyBorder="1" applyAlignment="1">
      <alignment horizontal="center" vertical="center" wrapText="1"/>
    </xf>
    <xf numFmtId="0" fontId="177" fillId="154" borderId="48" xfId="0" quotePrefix="1" applyFont="1" applyFill="1" applyBorder="1" applyAlignment="1">
      <alignment horizontal="center" vertical="center" wrapText="1"/>
    </xf>
    <xf numFmtId="0" fontId="46" fillId="154" borderId="22" xfId="0" applyFont="1" applyFill="1" applyBorder="1" applyAlignment="1">
      <alignment horizontal="center" vertical="center" wrapText="1"/>
    </xf>
    <xf numFmtId="0" fontId="177" fillId="154" borderId="55" xfId="0" applyFont="1" applyFill="1" applyBorder="1" applyAlignment="1">
      <alignment horizontal="center" vertical="center" wrapText="1"/>
    </xf>
    <xf numFmtId="0" fontId="177" fillId="154" borderId="56" xfId="0" applyFont="1" applyFill="1" applyBorder="1" applyAlignment="1">
      <alignment horizontal="center" vertical="center" wrapText="1"/>
    </xf>
    <xf numFmtId="0" fontId="0" fillId="154" borderId="7" xfId="0" applyFill="1" applyBorder="1"/>
    <xf numFmtId="184" fontId="46" fillId="154" borderId="7" xfId="0" applyNumberFormat="1" applyFont="1" applyFill="1" applyBorder="1"/>
    <xf numFmtId="166" fontId="46" fillId="134" borderId="1" xfId="4" applyNumberFormat="1" applyFont="1" applyFill="1" applyBorder="1" applyAlignment="1">
      <alignment horizontal="left" indent="1"/>
    </xf>
    <xf numFmtId="7" fontId="39" fillId="0" borderId="0" xfId="2" applyNumberFormat="1" applyFont="1" applyFill="1" applyBorder="1"/>
    <xf numFmtId="10" fontId="46" fillId="154" borderId="1" xfId="4" applyNumberFormat="1" applyFont="1" applyFill="1" applyBorder="1" applyAlignment="1">
      <alignment horizontal="center"/>
    </xf>
    <xf numFmtId="0" fontId="177" fillId="134" borderId="14" xfId="0" applyFont="1" applyFill="1" applyBorder="1" applyAlignment="1">
      <alignment horizontal="center" vertical="center" wrapText="1"/>
    </xf>
    <xf numFmtId="0" fontId="177" fillId="134" borderId="48" xfId="0" applyFont="1" applyFill="1" applyBorder="1" applyAlignment="1">
      <alignment horizontal="center" vertical="center" wrapText="1"/>
    </xf>
    <xf numFmtId="184" fontId="39" fillId="134" borderId="0" xfId="2" applyNumberFormat="1" applyFont="1" applyFill="1" applyBorder="1" applyAlignment="1">
      <alignment horizontal="right"/>
    </xf>
    <xf numFmtId="176" fontId="39" fillId="134" borderId="99" xfId="0" applyNumberFormat="1" applyFont="1" applyFill="1" applyBorder="1" applyAlignment="1"/>
    <xf numFmtId="176" fontId="39" fillId="134" borderId="98" xfId="0" applyNumberFormat="1" applyFont="1" applyFill="1" applyBorder="1" applyAlignment="1"/>
    <xf numFmtId="176" fontId="39" fillId="134" borderId="100" xfId="0" applyNumberFormat="1" applyFont="1" applyFill="1" applyBorder="1" applyAlignment="1"/>
    <xf numFmtId="0" fontId="40" fillId="134" borderId="39" xfId="0" applyFont="1" applyFill="1" applyBorder="1" applyAlignment="1">
      <alignment horizontal="center"/>
    </xf>
    <xf numFmtId="0" fontId="210" fillId="134" borderId="0" xfId="0" applyFont="1" applyFill="1"/>
    <xf numFmtId="171" fontId="182" fillId="134" borderId="44" xfId="0" applyNumberFormat="1" applyFont="1" applyFill="1" applyBorder="1"/>
    <xf numFmtId="0" fontId="66" fillId="134" borderId="1" xfId="0" applyFont="1" applyFill="1" applyBorder="1" applyAlignment="1">
      <alignment horizontal="center"/>
    </xf>
    <xf numFmtId="0" fontId="39" fillId="134" borderId="0" xfId="0" applyFont="1" applyFill="1" applyAlignment="1">
      <alignment horizontal="left" indent="2"/>
    </xf>
    <xf numFmtId="5" fontId="39" fillId="0" borderId="0" xfId="2" applyNumberFormat="1" applyFont="1" applyFill="1" applyBorder="1"/>
    <xf numFmtId="0" fontId="6" fillId="134" borderId="0" xfId="0" applyFont="1" applyFill="1"/>
    <xf numFmtId="0" fontId="39" fillId="134" borderId="31" xfId="0" applyFont="1" applyFill="1" applyBorder="1" applyAlignment="1">
      <alignment horizontal="left"/>
    </xf>
    <xf numFmtId="0" fontId="39" fillId="134" borderId="20" xfId="0" applyFont="1" applyFill="1" applyBorder="1" applyAlignment="1">
      <alignment horizontal="left"/>
    </xf>
    <xf numFmtId="0" fontId="40" fillId="134" borderId="26" xfId="0" applyFont="1" applyFill="1" applyBorder="1" applyAlignment="1">
      <alignment horizontal="center"/>
    </xf>
    <xf numFmtId="0" fontId="40" fillId="134" borderId="0" xfId="0" applyFont="1" applyFill="1" applyBorder="1" applyAlignment="1">
      <alignment horizontal="left"/>
    </xf>
    <xf numFmtId="184" fontId="40" fillId="134" borderId="0" xfId="2" applyNumberFormat="1" applyFont="1" applyFill="1"/>
    <xf numFmtId="10" fontId="40" fillId="0" borderId="0" xfId="4" applyNumberFormat="1" applyFont="1" applyFill="1" applyBorder="1"/>
    <xf numFmtId="0" fontId="203" fillId="134" borderId="0" xfId="0" applyFont="1" applyFill="1" applyBorder="1"/>
    <xf numFmtId="0" fontId="65" fillId="134" borderId="0" xfId="0" applyFont="1" applyFill="1" applyBorder="1" applyAlignment="1">
      <alignment horizontal="right"/>
    </xf>
    <xf numFmtId="184" fontId="39" fillId="0" borderId="38" xfId="2" applyNumberFormat="1" applyFont="1" applyFill="1" applyBorder="1" applyAlignment="1">
      <alignment vertical="center"/>
    </xf>
    <xf numFmtId="0" fontId="177" fillId="134" borderId="0" xfId="0" applyFont="1" applyFill="1" applyBorder="1" applyAlignment="1">
      <alignment horizontal="center" vertical="center" wrapText="1"/>
    </xf>
    <xf numFmtId="168" fontId="180" fillId="134" borderId="0" xfId="0" applyNumberFormat="1" applyFont="1" applyFill="1"/>
    <xf numFmtId="44" fontId="39" fillId="134" borderId="14" xfId="2" applyFont="1" applyFill="1" applyBorder="1" applyAlignment="1">
      <alignment horizontal="center"/>
    </xf>
    <xf numFmtId="0" fontId="211" fillId="134" borderId="0" xfId="0" applyFont="1" applyFill="1"/>
    <xf numFmtId="0" fontId="212" fillId="134" borderId="10" xfId="0" applyFont="1" applyFill="1" applyBorder="1" applyAlignment="1">
      <alignment horizontal="center" vertical="center" wrapText="1"/>
    </xf>
    <xf numFmtId="0" fontId="212" fillId="134" borderId="9" xfId="0" applyFont="1" applyFill="1" applyBorder="1" applyAlignment="1">
      <alignment horizontal="center" vertical="center" wrapText="1"/>
    </xf>
    <xf numFmtId="168" fontId="212" fillId="134" borderId="26" xfId="143" applyNumberFormat="1" applyFont="1" applyFill="1" applyBorder="1" applyAlignment="1">
      <alignment horizontal="center"/>
    </xf>
    <xf numFmtId="168" fontId="212" fillId="134" borderId="27" xfId="143" applyNumberFormat="1" applyFont="1" applyFill="1" applyBorder="1" applyAlignment="1">
      <alignment horizontal="center"/>
    </xf>
    <xf numFmtId="168" fontId="212" fillId="134" borderId="5" xfId="143" applyNumberFormat="1" applyFont="1" applyFill="1" applyBorder="1" applyAlignment="1">
      <alignment horizontal="center"/>
    </xf>
    <xf numFmtId="168" fontId="212" fillId="134" borderId="4" xfId="143" applyNumberFormat="1" applyFont="1" applyFill="1" applyBorder="1" applyAlignment="1">
      <alignment horizontal="center"/>
    </xf>
    <xf numFmtId="241" fontId="39" fillId="134" borderId="11" xfId="2" applyNumberFormat="1" applyFont="1" applyFill="1" applyBorder="1" applyAlignment="1">
      <alignment horizontal="center"/>
    </xf>
    <xf numFmtId="168" fontId="212" fillId="134" borderId="0" xfId="143" applyNumberFormat="1" applyFont="1" applyFill="1" applyBorder="1" applyAlignment="1">
      <alignment horizontal="center"/>
    </xf>
    <xf numFmtId="168" fontId="212" fillId="134" borderId="14" xfId="143" applyNumberFormat="1" applyFont="1" applyFill="1" applyBorder="1" applyAlignment="1">
      <alignment horizontal="center"/>
    </xf>
    <xf numFmtId="0" fontId="64" fillId="134" borderId="38" xfId="0" applyFont="1" applyFill="1" applyBorder="1" applyAlignment="1">
      <alignment horizontal="center" wrapText="1"/>
    </xf>
    <xf numFmtId="0" fontId="213" fillId="134" borderId="0" xfId="0" applyFont="1" applyFill="1" applyAlignment="1">
      <alignment horizontal="center"/>
    </xf>
    <xf numFmtId="0" fontId="213" fillId="154" borderId="33" xfId="0" applyFont="1" applyFill="1" applyBorder="1" applyAlignment="1">
      <alignment horizontal="center"/>
    </xf>
    <xf numFmtId="0" fontId="213" fillId="154" borderId="34" xfId="0" applyFont="1" applyFill="1" applyBorder="1" applyAlignment="1">
      <alignment horizontal="center"/>
    </xf>
    <xf numFmtId="0" fontId="213" fillId="154" borderId="35" xfId="0" applyFont="1" applyFill="1" applyBorder="1" applyAlignment="1">
      <alignment horizontal="center"/>
    </xf>
    <xf numFmtId="0" fontId="213" fillId="151" borderId="33" xfId="0" applyFont="1" applyFill="1" applyBorder="1" applyAlignment="1">
      <alignment horizontal="center"/>
    </xf>
    <xf numFmtId="0" fontId="213" fillId="151" borderId="34" xfId="0" applyFont="1" applyFill="1" applyBorder="1" applyAlignment="1">
      <alignment horizontal="center"/>
    </xf>
    <xf numFmtId="0" fontId="213" fillId="151" borderId="35" xfId="0" applyFont="1" applyFill="1" applyBorder="1" applyAlignment="1">
      <alignment horizontal="center"/>
    </xf>
    <xf numFmtId="0" fontId="212" fillId="134" borderId="110" xfId="5" applyFont="1" applyFill="1" applyBorder="1" applyAlignment="1">
      <alignment horizontal="center" vertical="center"/>
    </xf>
    <xf numFmtId="0" fontId="213" fillId="134" borderId="34" xfId="0" applyFont="1" applyFill="1" applyBorder="1" applyAlignment="1">
      <alignment horizontal="center" vertical="center" wrapText="1"/>
    </xf>
    <xf numFmtId="0" fontId="213" fillId="134" borderId="33" xfId="0" applyFont="1" applyFill="1" applyBorder="1" applyAlignment="1">
      <alignment horizontal="center" vertical="center" wrapText="1"/>
    </xf>
    <xf numFmtId="0" fontId="213" fillId="134" borderId="35" xfId="0" applyFont="1" applyFill="1" applyBorder="1" applyAlignment="1">
      <alignment horizontal="center" vertical="center" wrapText="1"/>
    </xf>
    <xf numFmtId="0" fontId="213" fillId="152" borderId="33" xfId="0" applyFont="1" applyFill="1" applyBorder="1" applyAlignment="1">
      <alignment horizontal="center" vertical="center" wrapText="1"/>
    </xf>
    <xf numFmtId="0" fontId="213" fillId="152" borderId="34" xfId="0" applyFont="1" applyFill="1" applyBorder="1" applyAlignment="1">
      <alignment horizontal="center" vertical="center" wrapText="1"/>
    </xf>
    <xf numFmtId="0" fontId="213" fillId="155" borderId="67" xfId="0" applyFont="1" applyFill="1" applyBorder="1" applyAlignment="1">
      <alignment horizontal="center" vertical="center" wrapText="1"/>
    </xf>
    <xf numFmtId="0" fontId="213" fillId="156" borderId="67" xfId="0" applyFont="1" applyFill="1" applyBorder="1" applyAlignment="1">
      <alignment horizontal="center"/>
    </xf>
    <xf numFmtId="10" fontId="46" fillId="154" borderId="1" xfId="4" applyNumberFormat="1" applyFont="1" applyFill="1" applyBorder="1" applyAlignment="1">
      <alignment horizontal="center" vertical="center" wrapText="1"/>
    </xf>
    <xf numFmtId="184" fontId="39" fillId="154" borderId="7" xfId="0" applyNumberFormat="1" applyFont="1" applyFill="1" applyBorder="1"/>
    <xf numFmtId="184" fontId="40" fillId="134" borderId="0" xfId="0" applyNumberFormat="1" applyFont="1" applyFill="1" applyBorder="1" applyAlignment="1">
      <alignment horizontal="right"/>
    </xf>
    <xf numFmtId="184" fontId="40" fillId="134" borderId="0" xfId="0" applyNumberFormat="1" applyFont="1" applyFill="1" applyBorder="1"/>
    <xf numFmtId="0" fontId="39" fillId="134" borderId="0" xfId="0" applyFont="1" applyFill="1" applyBorder="1" applyAlignment="1">
      <alignment horizontal="right"/>
    </xf>
    <xf numFmtId="245" fontId="0" fillId="134" borderId="0" xfId="0" applyNumberFormat="1" applyFill="1"/>
    <xf numFmtId="14" fontId="41" fillId="134" borderId="0" xfId="0" applyNumberFormat="1" applyFont="1" applyFill="1" applyBorder="1" applyAlignment="1">
      <alignment horizontal="left"/>
    </xf>
    <xf numFmtId="7" fontId="40" fillId="134" borderId="0" xfId="0" applyNumberFormat="1" applyFont="1" applyFill="1" applyBorder="1"/>
    <xf numFmtId="7" fontId="39" fillId="134" borderId="0" xfId="0" applyNumberFormat="1" applyFont="1" applyFill="1" applyBorder="1" applyAlignment="1"/>
    <xf numFmtId="7" fontId="39" fillId="134" borderId="27" xfId="0" applyNumberFormat="1" applyFont="1" applyFill="1" applyBorder="1" applyAlignment="1"/>
    <xf numFmtId="0" fontId="182" fillId="134" borderId="0" xfId="0" applyFont="1" applyFill="1" applyBorder="1" applyAlignment="1">
      <alignment horizontal="left"/>
    </xf>
    <xf numFmtId="0" fontId="40" fillId="134" borderId="14" xfId="0" applyFont="1" applyFill="1" applyBorder="1" applyAlignment="1">
      <alignment horizontal="center"/>
    </xf>
    <xf numFmtId="184" fontId="40" fillId="134" borderId="0" xfId="2" applyNumberFormat="1" applyFont="1" applyFill="1" applyBorder="1"/>
    <xf numFmtId="166" fontId="182" fillId="134" borderId="99" xfId="5" applyNumberFormat="1" applyFont="1" applyFill="1" applyBorder="1" applyAlignment="1">
      <alignment horizontal="center" vertical="center"/>
    </xf>
    <xf numFmtId="166" fontId="182" fillId="134" borderId="98" xfId="5" applyNumberFormat="1" applyFont="1" applyFill="1" applyBorder="1" applyAlignment="1">
      <alignment horizontal="center" vertical="center"/>
    </xf>
    <xf numFmtId="171" fontId="198" fillId="134" borderId="98" xfId="0" applyNumberFormat="1" applyFont="1" applyFill="1" applyBorder="1" applyAlignment="1"/>
    <xf numFmtId="171" fontId="182" fillId="134" borderId="100" xfId="0" applyNumberFormat="1" applyFont="1" applyFill="1" applyBorder="1" applyAlignment="1"/>
    <xf numFmtId="0" fontId="182" fillId="156" borderId="39" xfId="0" applyFont="1" applyFill="1" applyBorder="1"/>
    <xf numFmtId="0" fontId="188" fillId="156" borderId="40" xfId="0" applyFont="1" applyFill="1" applyBorder="1" applyAlignment="1">
      <alignment horizontal="center" vertical="center"/>
    </xf>
    <xf numFmtId="0" fontId="188" fillId="156" borderId="103" xfId="0" applyFont="1" applyFill="1" applyBorder="1" applyAlignment="1">
      <alignment horizontal="center" vertical="center"/>
    </xf>
    <xf numFmtId="0" fontId="188" fillId="156" borderId="40" xfId="0" applyFont="1" applyFill="1" applyBorder="1" applyAlignment="1">
      <alignment horizontal="center"/>
    </xf>
    <xf numFmtId="0" fontId="188" fillId="156" borderId="42" xfId="0" applyFont="1" applyFill="1" applyBorder="1" applyAlignment="1">
      <alignment horizontal="center"/>
    </xf>
    <xf numFmtId="170" fontId="39" fillId="134" borderId="9" xfId="0" applyNumberFormat="1" applyFont="1" applyFill="1" applyBorder="1" applyAlignment="1"/>
    <xf numFmtId="37" fontId="40" fillId="134" borderId="0" xfId="101" applyNumberFormat="1" applyFont="1" applyFill="1" applyBorder="1" applyAlignment="1">
      <alignment horizontal="center"/>
    </xf>
    <xf numFmtId="37" fontId="40" fillId="134" borderId="0" xfId="101" applyNumberFormat="1" applyFont="1" applyFill="1"/>
    <xf numFmtId="185" fontId="40" fillId="134" borderId="0" xfId="101" applyFont="1" applyFill="1"/>
    <xf numFmtId="173" fontId="204" fillId="134" borderId="0" xfId="0" applyNumberFormat="1" applyFont="1" applyFill="1"/>
    <xf numFmtId="185" fontId="204" fillId="134" borderId="0" xfId="101" applyFont="1" applyFill="1"/>
    <xf numFmtId="185" fontId="204" fillId="134" borderId="0" xfId="101" applyFont="1" applyFill="1" applyBorder="1" applyAlignment="1">
      <alignment horizontal="center"/>
    </xf>
    <xf numFmtId="167" fontId="40" fillId="134" borderId="0" xfId="56361" applyNumberFormat="1" applyFont="1" applyFill="1" applyBorder="1"/>
    <xf numFmtId="185" fontId="40" fillId="134" borderId="0" xfId="101" applyFont="1" applyFill="1" applyBorder="1"/>
    <xf numFmtId="241" fontId="40" fillId="134" borderId="0" xfId="56362" applyNumberFormat="1" applyFont="1" applyFill="1" applyBorder="1"/>
    <xf numFmtId="0" fontId="188" fillId="134" borderId="9" xfId="0" applyFont="1" applyFill="1" applyBorder="1" applyAlignment="1">
      <alignment horizontal="center"/>
    </xf>
    <xf numFmtId="0" fontId="188" fillId="134" borderId="99" xfId="0" applyFont="1" applyFill="1" applyBorder="1" applyAlignment="1">
      <alignment horizontal="center" vertical="center"/>
    </xf>
    <xf numFmtId="0" fontId="188" fillId="134" borderId="98" xfId="0" applyFont="1" applyFill="1" applyBorder="1" applyAlignment="1">
      <alignment horizontal="center" vertical="center"/>
    </xf>
    <xf numFmtId="0" fontId="188" fillId="134" borderId="100" xfId="0" applyFont="1" applyFill="1" applyBorder="1" applyAlignment="1">
      <alignment horizontal="center" vertical="center"/>
    </xf>
    <xf numFmtId="172" fontId="182" fillId="134" borderId="98" xfId="0" applyNumberFormat="1" applyFont="1" applyFill="1" applyBorder="1" applyAlignment="1"/>
    <xf numFmtId="0" fontId="40" fillId="134" borderId="14" xfId="0" applyFont="1" applyFill="1" applyBorder="1" applyAlignment="1">
      <alignment horizontal="center"/>
    </xf>
    <xf numFmtId="0" fontId="39" fillId="158" borderId="14" xfId="0" applyFont="1" applyFill="1" applyBorder="1" applyAlignment="1">
      <alignment horizontal="center"/>
    </xf>
    <xf numFmtId="0" fontId="39" fillId="158" borderId="27" xfId="0" applyFont="1" applyFill="1" applyBorder="1" applyAlignment="1">
      <alignment horizontal="center"/>
    </xf>
    <xf numFmtId="0" fontId="39" fillId="158" borderId="0" xfId="0" applyFont="1" applyFill="1" applyBorder="1" applyAlignment="1">
      <alignment horizontal="center"/>
    </xf>
    <xf numFmtId="164" fontId="39" fillId="158" borderId="0" xfId="0" applyNumberFormat="1" applyFont="1" applyFill="1" applyBorder="1" applyAlignment="1">
      <alignment horizontal="center"/>
    </xf>
    <xf numFmtId="164" fontId="39" fillId="158" borderId="14" xfId="0" applyNumberFormat="1" applyFont="1" applyFill="1" applyBorder="1" applyAlignment="1">
      <alignment horizontal="center"/>
    </xf>
    <xf numFmtId="0" fontId="215" fillId="0" borderId="0" xfId="0" applyFont="1"/>
    <xf numFmtId="3" fontId="188" fillId="0" borderId="0" xfId="100" applyNumberFormat="1" applyFont="1"/>
    <xf numFmtId="0" fontId="182" fillId="0" borderId="0" xfId="0" applyFont="1"/>
    <xf numFmtId="171" fontId="182" fillId="0" borderId="100" xfId="0" applyNumberFormat="1" applyFont="1" applyFill="1" applyBorder="1" applyAlignment="1"/>
    <xf numFmtId="0" fontId="39" fillId="158" borderId="9" xfId="0" applyFont="1" applyFill="1" applyBorder="1" applyAlignment="1">
      <alignment horizontal="center"/>
    </xf>
    <xf numFmtId="0" fontId="40" fillId="134" borderId="27" xfId="0" applyFont="1" applyFill="1" applyBorder="1" applyAlignment="1">
      <alignment horizontal="right"/>
    </xf>
    <xf numFmtId="37" fontId="40" fillId="134" borderId="0" xfId="0" applyNumberFormat="1" applyFont="1" applyFill="1"/>
    <xf numFmtId="172" fontId="204" fillId="134" borderId="0" xfId="0" applyNumberFormat="1" applyFont="1" applyFill="1"/>
    <xf numFmtId="0" fontId="204" fillId="134" borderId="0" xfId="0" applyFont="1" applyFill="1"/>
    <xf numFmtId="167" fontId="204" fillId="134" borderId="0" xfId="1" applyNumberFormat="1" applyFont="1" applyFill="1" applyAlignment="1">
      <alignment horizontal="center"/>
    </xf>
    <xf numFmtId="5" fontId="40" fillId="134" borderId="0" xfId="0" applyNumberFormat="1" applyFont="1" applyFill="1"/>
    <xf numFmtId="37" fontId="39" fillId="134" borderId="14" xfId="0" applyNumberFormat="1" applyFont="1" applyFill="1" applyBorder="1" applyAlignment="1">
      <alignment horizontal="center"/>
    </xf>
    <xf numFmtId="0" fontId="40" fillId="134" borderId="9" xfId="0" applyFont="1" applyFill="1" applyBorder="1" applyAlignment="1">
      <alignment horizontal="center"/>
    </xf>
    <xf numFmtId="164" fontId="40" fillId="158" borderId="14" xfId="0" applyNumberFormat="1" applyFont="1" applyFill="1" applyBorder="1" applyAlignment="1">
      <alignment horizontal="center"/>
    </xf>
    <xf numFmtId="7" fontId="39" fillId="134" borderId="7" xfId="0" applyNumberFormat="1" applyFont="1" applyFill="1" applyBorder="1"/>
    <xf numFmtId="37" fontId="40" fillId="134" borderId="0" xfId="0" applyNumberFormat="1" applyFont="1" applyFill="1" applyBorder="1" applyAlignment="1" applyProtection="1">
      <alignment vertical="top"/>
    </xf>
    <xf numFmtId="171" fontId="40" fillId="134" borderId="27" xfId="0" applyNumberFormat="1" applyFont="1" applyFill="1" applyBorder="1" applyAlignment="1">
      <alignment horizontal="center"/>
    </xf>
    <xf numFmtId="167" fontId="40" fillId="134" borderId="0" xfId="1" applyNumberFormat="1" applyFont="1" applyFill="1"/>
    <xf numFmtId="10" fontId="40" fillId="134" borderId="0" xfId="4" applyNumberFormat="1" applyFont="1" applyFill="1" applyBorder="1"/>
    <xf numFmtId="185" fontId="66" fillId="134" borderId="0" xfId="101" applyFont="1" applyFill="1" applyBorder="1" applyAlignment="1">
      <alignment horizontal="center"/>
    </xf>
    <xf numFmtId="184" fontId="39" fillId="134" borderId="27" xfId="2" applyNumberFormat="1" applyFont="1" applyFill="1" applyBorder="1"/>
    <xf numFmtId="185" fontId="184" fillId="153" borderId="2" xfId="101" applyFont="1" applyFill="1" applyBorder="1" applyAlignment="1">
      <alignment horizontal="right"/>
    </xf>
    <xf numFmtId="185" fontId="184" fillId="153" borderId="3" xfId="101" applyFont="1" applyFill="1" applyBorder="1" applyAlignment="1">
      <alignment horizontal="right"/>
    </xf>
    <xf numFmtId="185" fontId="184" fillId="153" borderId="3" xfId="101" applyFont="1" applyFill="1" applyBorder="1" applyAlignment="1">
      <alignment horizontal="center"/>
    </xf>
    <xf numFmtId="171" fontId="183" fillId="153" borderId="3" xfId="101" applyNumberFormat="1" applyFont="1" applyFill="1" applyBorder="1"/>
    <xf numFmtId="39" fontId="183" fillId="153" borderId="3" xfId="101" applyNumberFormat="1" applyFont="1" applyFill="1" applyBorder="1"/>
    <xf numFmtId="37" fontId="39" fillId="153" borderId="3" xfId="0" applyNumberFormat="1" applyFont="1" applyFill="1" applyBorder="1"/>
    <xf numFmtId="37" fontId="39" fillId="153" borderId="16" xfId="0" applyNumberFormat="1" applyFont="1" applyFill="1" applyBorder="1"/>
    <xf numFmtId="0" fontId="40" fillId="158" borderId="26" xfId="0" applyFont="1" applyFill="1" applyBorder="1"/>
    <xf numFmtId="0" fontId="39" fillId="158" borderId="27" xfId="0" applyFont="1" applyFill="1" applyBorder="1"/>
    <xf numFmtId="171" fontId="39" fillId="158" borderId="27" xfId="0" applyNumberFormat="1" applyFont="1" applyFill="1" applyBorder="1"/>
    <xf numFmtId="171" fontId="39" fillId="158" borderId="28" xfId="0" applyNumberFormat="1" applyFont="1" applyFill="1" applyBorder="1"/>
    <xf numFmtId="44" fontId="39" fillId="134" borderId="14" xfId="0" applyNumberFormat="1" applyFont="1" applyFill="1" applyBorder="1"/>
    <xf numFmtId="0" fontId="199" fillId="134" borderId="0" xfId="0" applyFont="1" applyFill="1" applyBorder="1" applyAlignment="1">
      <alignment horizontal="center"/>
    </xf>
    <xf numFmtId="172" fontId="39" fillId="0" borderId="14" xfId="0" applyNumberFormat="1" applyFont="1" applyFill="1" applyBorder="1"/>
    <xf numFmtId="0" fontId="40" fillId="134" borderId="34" xfId="0" applyFont="1" applyFill="1" applyBorder="1" applyAlignment="1">
      <alignment horizontal="center"/>
    </xf>
    <xf numFmtId="168" fontId="39" fillId="134" borderId="27" xfId="0" applyNumberFormat="1" applyFont="1" applyFill="1" applyBorder="1"/>
    <xf numFmtId="168" fontId="39" fillId="134" borderId="22" xfId="0" applyNumberFormat="1" applyFont="1" applyFill="1" applyBorder="1"/>
    <xf numFmtId="168" fontId="39" fillId="134" borderId="1" xfId="0" applyNumberFormat="1" applyFont="1" applyFill="1" applyBorder="1"/>
    <xf numFmtId="168" fontId="39" fillId="134" borderId="49" xfId="0" applyNumberFormat="1" applyFont="1" applyFill="1" applyBorder="1" applyAlignment="1"/>
    <xf numFmtId="168" fontId="39" fillId="134" borderId="22" xfId="0" applyNumberFormat="1" applyFont="1" applyFill="1" applyBorder="1" applyAlignment="1"/>
    <xf numFmtId="168" fontId="39" fillId="134" borderId="6" xfId="0" applyNumberFormat="1" applyFont="1" applyFill="1" applyBorder="1" applyAlignment="1"/>
    <xf numFmtId="168" fontId="39" fillId="134" borderId="13" xfId="0" applyNumberFormat="1" applyFont="1" applyFill="1" applyBorder="1" applyAlignment="1"/>
    <xf numFmtId="0" fontId="39" fillId="158" borderId="98" xfId="0" applyFont="1" applyFill="1" applyBorder="1" applyAlignment="1">
      <alignment horizontal="center"/>
    </xf>
    <xf numFmtId="0" fontId="39" fillId="158" borderId="34" xfId="0" applyFont="1" applyFill="1" applyBorder="1" applyAlignment="1">
      <alignment horizontal="center"/>
    </xf>
    <xf numFmtId="168" fontId="39" fillId="134" borderId="34" xfId="0" applyNumberFormat="1" applyFont="1" applyFill="1" applyBorder="1" applyAlignment="1"/>
    <xf numFmtId="171" fontId="39" fillId="134" borderId="100" xfId="0" applyNumberFormat="1" applyFont="1" applyFill="1" applyBorder="1" applyAlignment="1"/>
    <xf numFmtId="0" fontId="39" fillId="134" borderId="1" xfId="0" applyFont="1" applyFill="1" applyBorder="1" applyAlignment="1">
      <alignment horizontal="center"/>
    </xf>
    <xf numFmtId="0" fontId="39" fillId="134" borderId="13" xfId="0" applyFont="1" applyFill="1" applyBorder="1" applyAlignment="1">
      <alignment horizontal="center"/>
    </xf>
    <xf numFmtId="7" fontId="39" fillId="134" borderId="99" xfId="2" applyNumberFormat="1" applyFont="1" applyFill="1" applyBorder="1"/>
    <xf numFmtId="7" fontId="39" fillId="134" borderId="98" xfId="2" applyNumberFormat="1" applyFont="1" applyFill="1" applyBorder="1"/>
    <xf numFmtId="0" fontId="182" fillId="134" borderId="7" xfId="0" applyFont="1" applyFill="1" applyBorder="1"/>
    <xf numFmtId="7" fontId="182" fillId="134" borderId="99" xfId="2" applyNumberFormat="1" applyFont="1" applyFill="1" applyBorder="1"/>
    <xf numFmtId="7" fontId="182" fillId="134" borderId="98" xfId="2" applyNumberFormat="1" applyFont="1" applyFill="1" applyBorder="1"/>
    <xf numFmtId="171" fontId="198" fillId="134" borderId="1" xfId="0" applyNumberFormat="1" applyFont="1" applyFill="1" applyBorder="1"/>
    <xf numFmtId="0" fontId="182" fillId="134" borderId="0" xfId="0" applyFont="1" applyFill="1" applyBorder="1" applyAlignment="1">
      <alignment horizontal="center" vertical="center"/>
    </xf>
    <xf numFmtId="0" fontId="182" fillId="134" borderId="1" xfId="0" applyFont="1" applyFill="1" applyBorder="1" applyAlignment="1">
      <alignment horizontal="center" vertical="center"/>
    </xf>
    <xf numFmtId="0" fontId="182" fillId="134" borderId="98" xfId="0" applyFont="1" applyFill="1" applyBorder="1" applyAlignment="1">
      <alignment horizontal="center" vertical="center"/>
    </xf>
    <xf numFmtId="0" fontId="182" fillId="134" borderId="100" xfId="0" applyFont="1" applyFill="1" applyBorder="1" applyAlignment="1">
      <alignment horizontal="center" vertical="center"/>
    </xf>
    <xf numFmtId="168" fontId="39" fillId="134" borderId="12" xfId="0" applyNumberFormat="1" applyFont="1" applyFill="1" applyBorder="1" applyAlignment="1"/>
    <xf numFmtId="37" fontId="39" fillId="134" borderId="99" xfId="0" applyNumberFormat="1" applyFont="1" applyFill="1" applyBorder="1"/>
    <xf numFmtId="0" fontId="39" fillId="158" borderId="26" xfId="0" applyFont="1" applyFill="1" applyBorder="1"/>
    <xf numFmtId="0" fontId="42" fillId="158" borderId="27" xfId="0" applyFont="1" applyFill="1" applyBorder="1" applyAlignment="1">
      <alignment horizontal="center"/>
    </xf>
    <xf numFmtId="0" fontId="42" fillId="158" borderId="28" xfId="0" applyFont="1" applyFill="1" applyBorder="1" applyAlignment="1">
      <alignment horizontal="center"/>
    </xf>
    <xf numFmtId="0" fontId="39" fillId="158" borderId="28" xfId="0" applyFont="1" applyFill="1" applyBorder="1"/>
    <xf numFmtId="170" fontId="39" fillId="134" borderId="98" xfId="0" applyNumberFormat="1" applyFont="1" applyFill="1" applyBorder="1"/>
    <xf numFmtId="170" fontId="39" fillId="134" borderId="100" xfId="0" applyNumberFormat="1" applyFont="1" applyFill="1" applyBorder="1"/>
    <xf numFmtId="0" fontId="41" fillId="134" borderId="0" xfId="5" applyFont="1" applyFill="1" applyBorder="1" applyAlignment="1">
      <alignment horizontal="center"/>
    </xf>
    <xf numFmtId="0" fontId="197" fillId="134" borderId="0" xfId="0" applyFont="1" applyFill="1" applyBorder="1"/>
    <xf numFmtId="37" fontId="39" fillId="134" borderId="98" xfId="0" applyNumberFormat="1" applyFont="1" applyFill="1" applyBorder="1"/>
    <xf numFmtId="167" fontId="39" fillId="134" borderId="99" xfId="1" applyNumberFormat="1" applyFont="1" applyFill="1" applyBorder="1" applyAlignment="1"/>
    <xf numFmtId="0" fontId="41" fillId="0" borderId="0" xfId="5" applyFont="1" applyFill="1" applyBorder="1" applyAlignment="1">
      <alignment horizontal="center" vertical="center"/>
    </xf>
    <xf numFmtId="167" fontId="39" fillId="134" borderId="40" xfId="1" applyNumberFormat="1" applyFont="1" applyFill="1" applyBorder="1"/>
    <xf numFmtId="167" fontId="39" fillId="134" borderId="103" xfId="1" applyNumberFormat="1" applyFont="1" applyFill="1" applyBorder="1" applyAlignment="1"/>
    <xf numFmtId="171" fontId="185" fillId="134" borderId="14" xfId="0" applyNumberFormat="1" applyFont="1" applyFill="1" applyBorder="1"/>
    <xf numFmtId="165" fontId="39" fillId="134" borderId="99" xfId="1" applyNumberFormat="1" applyFont="1" applyFill="1" applyBorder="1" applyAlignment="1"/>
    <xf numFmtId="168" fontId="182" fillId="152" borderId="94" xfId="0" applyNumberFormat="1" applyFont="1" applyFill="1" applyBorder="1"/>
    <xf numFmtId="168" fontId="182" fillId="152" borderId="92" xfId="0" applyNumberFormat="1" applyFont="1" applyFill="1" applyBorder="1"/>
    <xf numFmtId="168" fontId="182" fillId="152" borderId="92" xfId="0" applyNumberFormat="1" applyFont="1" applyFill="1" applyBorder="1" applyAlignment="1"/>
    <xf numFmtId="168" fontId="182" fillId="152" borderId="94" xfId="0" applyNumberFormat="1" applyFont="1" applyFill="1" applyBorder="1" applyAlignment="1"/>
    <xf numFmtId="168" fontId="182" fillId="152" borderId="95" xfId="0" applyNumberFormat="1" applyFont="1" applyFill="1" applyBorder="1" applyAlignment="1"/>
    <xf numFmtId="168" fontId="182" fillId="152" borderId="111" xfId="0" applyNumberFormat="1" applyFont="1" applyFill="1" applyBorder="1" applyAlignment="1"/>
    <xf numFmtId="0" fontId="188" fillId="152" borderId="40" xfId="0" applyFont="1" applyFill="1" applyBorder="1" applyAlignment="1">
      <alignment horizontal="center" vertical="center"/>
    </xf>
    <xf numFmtId="0" fontId="188" fillId="152" borderId="103" xfId="0" applyFont="1" applyFill="1" applyBorder="1" applyAlignment="1">
      <alignment horizontal="center" vertical="center"/>
    </xf>
    <xf numFmtId="0" fontId="188" fillId="152" borderId="40" xfId="0" applyFont="1" applyFill="1" applyBorder="1" applyAlignment="1">
      <alignment horizontal="center"/>
    </xf>
    <xf numFmtId="0" fontId="188" fillId="152" borderId="42" xfId="0" applyFont="1" applyFill="1" applyBorder="1" applyAlignment="1">
      <alignment horizontal="center"/>
    </xf>
    <xf numFmtId="168" fontId="182" fillId="152" borderId="43" xfId="0" applyNumberFormat="1" applyFont="1" applyFill="1" applyBorder="1"/>
    <xf numFmtId="0" fontId="196" fillId="152" borderId="39" xfId="0" applyFont="1" applyFill="1" applyBorder="1" applyAlignment="1">
      <alignment horizontal="center"/>
    </xf>
    <xf numFmtId="168" fontId="188" fillId="156" borderId="42" xfId="0" applyNumberFormat="1" applyFont="1" applyFill="1" applyBorder="1"/>
    <xf numFmtId="168" fontId="182" fillId="152" borderId="42" xfId="0" applyNumberFormat="1" applyFont="1" applyFill="1" applyBorder="1"/>
    <xf numFmtId="168" fontId="182" fillId="152" borderId="40" xfId="0" applyNumberFormat="1" applyFont="1" applyFill="1" applyBorder="1"/>
    <xf numFmtId="168" fontId="188" fillId="156" borderId="40" xfId="0" applyNumberFormat="1" applyFont="1" applyFill="1" applyBorder="1"/>
    <xf numFmtId="168" fontId="182" fillId="152" borderId="40" xfId="0" applyNumberFormat="1" applyFont="1" applyFill="1" applyBorder="1" applyAlignment="1"/>
    <xf numFmtId="168" fontId="188" fillId="156" borderId="40" xfId="0" applyNumberFormat="1" applyFont="1" applyFill="1" applyBorder="1" applyAlignment="1"/>
    <xf numFmtId="168" fontId="182" fillId="152" borderId="42" xfId="0" applyNumberFormat="1" applyFont="1" applyFill="1" applyBorder="1" applyAlignment="1"/>
    <xf numFmtId="168" fontId="188" fillId="156" borderId="42" xfId="0" applyNumberFormat="1" applyFont="1" applyFill="1" applyBorder="1" applyAlignment="1"/>
    <xf numFmtId="168" fontId="182" fillId="152" borderId="43" xfId="0" applyNumberFormat="1" applyFont="1" applyFill="1" applyBorder="1" applyAlignment="1"/>
    <xf numFmtId="168" fontId="188" fillId="156" borderId="43" xfId="0" applyNumberFormat="1" applyFont="1" applyFill="1" applyBorder="1" applyAlignment="1"/>
    <xf numFmtId="168" fontId="182" fillId="152" borderId="67" xfId="0" applyNumberFormat="1" applyFont="1" applyFill="1" applyBorder="1" applyAlignment="1"/>
    <xf numFmtId="168" fontId="188" fillId="156" borderId="67" xfId="0" applyNumberFormat="1" applyFont="1" applyFill="1" applyBorder="1" applyAlignment="1"/>
    <xf numFmtId="168" fontId="39" fillId="134" borderId="98" xfId="0" applyNumberFormat="1" applyFont="1" applyFill="1" applyBorder="1" applyAlignment="1"/>
    <xf numFmtId="0" fontId="42" fillId="134" borderId="0" xfId="0" applyFont="1" applyFill="1" applyBorder="1" applyAlignment="1">
      <alignment horizontal="center"/>
    </xf>
    <xf numFmtId="0" fontId="191" fillId="134" borderId="0" xfId="5" applyFont="1" applyFill="1" applyBorder="1" applyAlignment="1">
      <alignment horizontal="center"/>
    </xf>
    <xf numFmtId="0" fontId="188" fillId="152" borderId="92" xfId="0" applyFont="1" applyFill="1" applyBorder="1" applyAlignment="1">
      <alignment horizontal="center"/>
    </xf>
    <xf numFmtId="171" fontId="191" fillId="134" borderId="0" xfId="5" applyNumberFormat="1" applyFont="1" applyFill="1" applyBorder="1" applyAlignment="1">
      <alignment horizontal="center" vertical="center"/>
    </xf>
    <xf numFmtId="0" fontId="191" fillId="134" borderId="0" xfId="5" applyFont="1" applyFill="1" applyBorder="1" applyAlignment="1">
      <alignment horizontal="center" vertical="center"/>
    </xf>
    <xf numFmtId="171" fontId="191" fillId="134" borderId="0" xfId="0" applyNumberFormat="1" applyFont="1" applyFill="1" applyAlignment="1">
      <alignment horizontal="center"/>
    </xf>
    <xf numFmtId="0" fontId="202" fillId="134" borderId="0" xfId="0" applyFont="1" applyFill="1" applyBorder="1" applyAlignment="1">
      <alignment horizontal="left"/>
    </xf>
    <xf numFmtId="173" fontId="39" fillId="134" borderId="0" xfId="0" applyNumberFormat="1" applyFont="1" applyFill="1"/>
    <xf numFmtId="246" fontId="182" fillId="134" borderId="0" xfId="0" applyNumberFormat="1" applyFont="1" applyFill="1"/>
    <xf numFmtId="0" fontId="39" fillId="158" borderId="28" xfId="0" applyFont="1" applyFill="1" applyBorder="1" applyAlignment="1">
      <alignment horizontal="center"/>
    </xf>
    <xf numFmtId="171" fontId="39" fillId="134" borderId="12" xfId="0" applyNumberFormat="1" applyFont="1" applyFill="1" applyBorder="1" applyAlignment="1">
      <alignment horizontal="center"/>
    </xf>
    <xf numFmtId="0" fontId="40" fillId="152" borderId="40" xfId="1" applyNumberFormat="1" applyFont="1" applyFill="1" applyBorder="1" applyAlignment="1">
      <alignment horizontal="center"/>
    </xf>
    <xf numFmtId="0" fontId="40" fillId="152" borderId="40" xfId="0" applyFont="1" applyFill="1" applyBorder="1" applyAlignment="1">
      <alignment horizontal="center"/>
    </xf>
    <xf numFmtId="0" fontId="40" fillId="152" borderId="103" xfId="0" applyFont="1" applyFill="1" applyBorder="1" applyAlignment="1">
      <alignment horizontal="center"/>
    </xf>
    <xf numFmtId="0" fontId="40" fillId="152" borderId="42" xfId="0" applyFont="1" applyFill="1" applyBorder="1" applyAlignment="1">
      <alignment horizontal="center"/>
    </xf>
    <xf numFmtId="171" fontId="40" fillId="152" borderId="42" xfId="0" applyNumberFormat="1" applyFont="1" applyFill="1" applyBorder="1" applyAlignment="1">
      <alignment horizontal="center"/>
    </xf>
    <xf numFmtId="171" fontId="40" fillId="152" borderId="43" xfId="0" applyNumberFormat="1" applyFont="1" applyFill="1" applyBorder="1" applyAlignment="1">
      <alignment horizontal="center"/>
    </xf>
    <xf numFmtId="171" fontId="40" fillId="152" borderId="40" xfId="0" applyNumberFormat="1" applyFont="1" applyFill="1" applyBorder="1" applyAlignment="1">
      <alignment horizontal="center"/>
    </xf>
    <xf numFmtId="171" fontId="40" fillId="152" borderId="105" xfId="0" applyNumberFormat="1" applyFont="1" applyFill="1" applyBorder="1" applyAlignment="1">
      <alignment horizontal="center"/>
    </xf>
    <xf numFmtId="171" fontId="40" fillId="152" borderId="103" xfId="0" applyNumberFormat="1" applyFont="1" applyFill="1" applyBorder="1" applyAlignment="1">
      <alignment horizontal="center"/>
    </xf>
    <xf numFmtId="171" fontId="40" fillId="151" borderId="67" xfId="0" applyNumberFormat="1" applyFont="1" applyFill="1" applyBorder="1" applyAlignment="1">
      <alignment horizontal="center"/>
    </xf>
    <xf numFmtId="171" fontId="39" fillId="134" borderId="98" xfId="0" applyNumberFormat="1" applyFont="1" applyFill="1" applyBorder="1" applyAlignment="1">
      <alignment horizontal="center"/>
    </xf>
    <xf numFmtId="0" fontId="39" fillId="134" borderId="40" xfId="0" applyFont="1" applyFill="1" applyBorder="1"/>
    <xf numFmtId="0" fontId="39" fillId="134" borderId="103" xfId="0" applyFont="1" applyFill="1" applyBorder="1" applyAlignment="1">
      <alignment horizontal="center"/>
    </xf>
    <xf numFmtId="0" fontId="40" fillId="134" borderId="40" xfId="0" applyFont="1" applyFill="1" applyBorder="1" applyAlignment="1">
      <alignment horizontal="right"/>
    </xf>
    <xf numFmtId="171" fontId="39" fillId="134" borderId="42" xfId="0" applyNumberFormat="1" applyFont="1" applyFill="1" applyBorder="1" applyAlignment="1">
      <alignment horizontal="center"/>
    </xf>
    <xf numFmtId="171" fontId="39" fillId="134" borderId="43" xfId="0" applyNumberFormat="1" applyFont="1" applyFill="1" applyBorder="1" applyAlignment="1">
      <alignment horizontal="center"/>
    </xf>
    <xf numFmtId="171" fontId="39" fillId="134" borderId="40" xfId="0" applyNumberFormat="1" applyFont="1" applyFill="1" applyBorder="1" applyAlignment="1">
      <alignment horizontal="center"/>
    </xf>
    <xf numFmtId="171" fontId="39" fillId="134" borderId="42" xfId="0" applyNumberFormat="1" applyFont="1" applyFill="1" applyBorder="1" applyAlignment="1">
      <alignment horizontal="center" vertical="center"/>
    </xf>
    <xf numFmtId="171" fontId="39" fillId="134" borderId="67" xfId="0" applyNumberFormat="1" applyFont="1" applyFill="1" applyBorder="1" applyAlignment="1">
      <alignment horizontal="center" vertical="center"/>
    </xf>
    <xf numFmtId="0" fontId="39" fillId="158" borderId="32" xfId="0" applyFont="1" applyFill="1" applyBorder="1"/>
    <xf numFmtId="0" fontId="39" fillId="158" borderId="29" xfId="0" applyFont="1" applyFill="1" applyBorder="1"/>
    <xf numFmtId="0" fontId="42" fillId="158" borderId="29" xfId="0" applyFont="1" applyFill="1" applyBorder="1" applyAlignment="1">
      <alignment horizontal="center"/>
    </xf>
    <xf numFmtId="0" fontId="204" fillId="158" borderId="29" xfId="0" applyFont="1" applyFill="1" applyBorder="1" applyAlignment="1">
      <alignment horizontal="center"/>
    </xf>
    <xf numFmtId="0" fontId="42" fillId="158" borderId="30" xfId="0" applyFont="1" applyFill="1" applyBorder="1" applyAlignment="1">
      <alignment horizontal="center"/>
    </xf>
    <xf numFmtId="0" fontId="40" fillId="158" borderId="29" xfId="0" applyFont="1" applyFill="1" applyBorder="1"/>
    <xf numFmtId="0" fontId="39" fillId="158" borderId="30" xfId="0" applyFont="1" applyFill="1" applyBorder="1"/>
    <xf numFmtId="0" fontId="40" fillId="134" borderId="15" xfId="0" applyFont="1" applyFill="1" applyBorder="1" applyAlignment="1">
      <alignment horizontal="center"/>
    </xf>
    <xf numFmtId="164" fontId="39" fillId="158" borderId="8" xfId="0" applyNumberFormat="1" applyFont="1" applyFill="1" applyBorder="1" applyAlignment="1">
      <alignment horizontal="center"/>
    </xf>
    <xf numFmtId="164" fontId="40" fillId="158" borderId="11" xfId="0" applyNumberFormat="1" applyFont="1" applyFill="1" applyBorder="1" applyAlignment="1">
      <alignment horizontal="center"/>
    </xf>
    <xf numFmtId="0" fontId="39" fillId="158" borderId="11" xfId="0" applyFont="1" applyFill="1" applyBorder="1" applyAlignment="1">
      <alignment horizontal="center"/>
    </xf>
    <xf numFmtId="173" fontId="39" fillId="134" borderId="14" xfId="0" applyNumberFormat="1" applyFont="1" applyFill="1" applyBorder="1"/>
    <xf numFmtId="173" fontId="39" fillId="134" borderId="0" xfId="0" applyNumberFormat="1" applyFont="1" applyFill="1" applyBorder="1"/>
    <xf numFmtId="173" fontId="40" fillId="134" borderId="14" xfId="0" applyNumberFormat="1" applyFont="1" applyFill="1" applyBorder="1"/>
    <xf numFmtId="173" fontId="40" fillId="134" borderId="0" xfId="0" applyNumberFormat="1" applyFont="1" applyFill="1" applyBorder="1"/>
    <xf numFmtId="173" fontId="39" fillId="134" borderId="0" xfId="0" applyNumberFormat="1" applyFont="1" applyFill="1" applyBorder="1" applyAlignment="1"/>
    <xf numFmtId="173" fontId="39" fillId="134" borderId="27" xfId="0" applyNumberFormat="1" applyFont="1" applyFill="1" applyBorder="1" applyAlignment="1"/>
    <xf numFmtId="0" fontId="39" fillId="157" borderId="26" xfId="0" applyFont="1" applyFill="1" applyBorder="1"/>
    <xf numFmtId="0" fontId="39" fillId="157" borderId="27" xfId="0" applyFont="1" applyFill="1" applyBorder="1"/>
    <xf numFmtId="0" fontId="42" fillId="157" borderId="27" xfId="0" applyFont="1" applyFill="1" applyBorder="1" applyAlignment="1">
      <alignment horizontal="center"/>
    </xf>
    <xf numFmtId="0" fontId="39" fillId="157" borderId="27" xfId="0" applyFont="1" applyFill="1" applyBorder="1" applyAlignment="1">
      <alignment horizontal="center"/>
    </xf>
    <xf numFmtId="0" fontId="42" fillId="157" borderId="28" xfId="0" applyFont="1" applyFill="1" applyBorder="1" applyAlignment="1">
      <alignment horizontal="center"/>
    </xf>
    <xf numFmtId="0" fontId="39" fillId="157" borderId="28" xfId="0" applyFont="1" applyFill="1" applyBorder="1"/>
    <xf numFmtId="3" fontId="40" fillId="134" borderId="0" xfId="100" applyNumberFormat="1" applyFont="1" applyFill="1"/>
    <xf numFmtId="0" fontId="39" fillId="134" borderId="0" xfId="5" applyFont="1" applyFill="1" applyAlignment="1"/>
    <xf numFmtId="0" fontId="210" fillId="134" borderId="0" xfId="0" quotePrefix="1" applyFont="1" applyFill="1"/>
    <xf numFmtId="0" fontId="39" fillId="134" borderId="0" xfId="0" applyFont="1" applyFill="1" applyAlignment="1">
      <alignment vertical="center"/>
    </xf>
    <xf numFmtId="44" fontId="39" fillId="134" borderId="0" xfId="2" applyFont="1" applyFill="1"/>
    <xf numFmtId="43" fontId="39" fillId="134" borderId="0" xfId="1" applyFont="1" applyFill="1"/>
    <xf numFmtId="44" fontId="39" fillId="134" borderId="0" xfId="0" applyNumberFormat="1" applyFont="1" applyFill="1"/>
    <xf numFmtId="3" fontId="39" fillId="134" borderId="0" xfId="100" applyNumberFormat="1" applyFont="1" applyFill="1" applyAlignment="1">
      <alignment vertical="center"/>
    </xf>
    <xf numFmtId="3" fontId="40" fillId="134" borderId="0" xfId="100" applyNumberFormat="1" applyFont="1" applyFill="1" applyAlignment="1">
      <alignment vertical="center"/>
    </xf>
    <xf numFmtId="185" fontId="39" fillId="158" borderId="14" xfId="101" applyFont="1" applyFill="1" applyBorder="1" applyAlignment="1">
      <alignment horizontal="center"/>
    </xf>
    <xf numFmtId="0" fontId="39" fillId="158" borderId="14" xfId="101" applyNumberFormat="1" applyFont="1" applyFill="1" applyBorder="1" applyAlignment="1">
      <alignment horizontal="center"/>
    </xf>
    <xf numFmtId="185" fontId="39" fillId="158" borderId="0" xfId="101" applyFont="1" applyFill="1" applyBorder="1" applyAlignment="1">
      <alignment horizontal="center"/>
    </xf>
    <xf numFmtId="7" fontId="39" fillId="134" borderId="5" xfId="2" applyNumberFormat="1" applyFont="1" applyFill="1" applyBorder="1" applyAlignment="1">
      <alignment horizontal="center"/>
    </xf>
    <xf numFmtId="7" fontId="39" fillId="134" borderId="14" xfId="2" applyNumberFormat="1" applyFont="1" applyFill="1" applyBorder="1" applyAlignment="1">
      <alignment horizontal="center"/>
    </xf>
    <xf numFmtId="7" fontId="39" fillId="134" borderId="11" xfId="2" applyNumberFormat="1" applyFont="1" applyFill="1" applyBorder="1" applyAlignment="1">
      <alignment horizontal="center"/>
    </xf>
    <xf numFmtId="7" fontId="39" fillId="134" borderId="26" xfId="2" applyNumberFormat="1" applyFont="1" applyFill="1" applyBorder="1" applyAlignment="1">
      <alignment horizontal="center"/>
    </xf>
    <xf numFmtId="7" fontId="39" fillId="134" borderId="28" xfId="2" applyNumberFormat="1" applyFont="1" applyFill="1" applyBorder="1" applyAlignment="1">
      <alignment horizontal="center"/>
    </xf>
    <xf numFmtId="7" fontId="39" fillId="134" borderId="4" xfId="2" applyNumberFormat="1" applyFont="1" applyFill="1" applyBorder="1" applyAlignment="1">
      <alignment horizontal="center"/>
    </xf>
    <xf numFmtId="7" fontId="39" fillId="134" borderId="8" xfId="2" applyNumberFormat="1" applyFont="1" applyFill="1" applyBorder="1" applyAlignment="1">
      <alignment horizontal="center"/>
    </xf>
    <xf numFmtId="168" fontId="40" fillId="155" borderId="43" xfId="143" applyNumberFormat="1" applyFont="1" applyFill="1" applyBorder="1" applyAlignment="1">
      <alignment horizontal="center"/>
    </xf>
    <xf numFmtId="168" fontId="40" fillId="156" borderId="43" xfId="143" applyNumberFormat="1" applyFont="1" applyFill="1" applyBorder="1" applyAlignment="1">
      <alignment horizontal="center"/>
    </xf>
    <xf numFmtId="0" fontId="40" fillId="134" borderId="28" xfId="0" applyFont="1" applyFill="1" applyBorder="1" applyAlignment="1">
      <alignment horizontal="center"/>
    </xf>
    <xf numFmtId="37" fontId="41" fillId="134" borderId="36" xfId="101" applyNumberFormat="1" applyFont="1" applyFill="1" applyBorder="1"/>
    <xf numFmtId="167" fontId="39" fillId="0" borderId="0" xfId="1" applyNumberFormat="1" applyFont="1"/>
    <xf numFmtId="184" fontId="40" fillId="0" borderId="2" xfId="2" applyNumberFormat="1" applyFont="1" applyFill="1" applyBorder="1"/>
    <xf numFmtId="184" fontId="40" fillId="0" borderId="16" xfId="2" applyNumberFormat="1" applyFont="1" applyFill="1" applyBorder="1"/>
    <xf numFmtId="184" fontId="40" fillId="37" borderId="38" xfId="2" applyNumberFormat="1" applyFont="1" applyFill="1" applyBorder="1" applyAlignment="1">
      <alignment vertical="center"/>
    </xf>
    <xf numFmtId="185" fontId="39" fillId="0" borderId="29" xfId="101" applyFont="1" applyBorder="1"/>
    <xf numFmtId="37" fontId="39" fillId="0" borderId="24" xfId="0" applyNumberFormat="1" applyFont="1" applyBorder="1"/>
    <xf numFmtId="37" fontId="39" fillId="0" borderId="24" xfId="101" applyNumberFormat="1" applyFont="1" applyBorder="1"/>
    <xf numFmtId="184" fontId="181" fillId="134" borderId="16" xfId="2" applyNumberFormat="1" applyFont="1" applyFill="1" applyBorder="1" applyAlignment="1">
      <alignment horizontal="right"/>
    </xf>
    <xf numFmtId="0" fontId="66" fillId="134" borderId="0" xfId="0" applyFont="1" applyFill="1" applyBorder="1" applyAlignment="1">
      <alignment horizontal="right"/>
    </xf>
    <xf numFmtId="0" fontId="198" fillId="134" borderId="0" xfId="0" applyFont="1" applyFill="1" applyBorder="1" applyAlignment="1">
      <alignment horizontal="center" vertical="center"/>
    </xf>
    <xf numFmtId="171" fontId="216" fillId="134" borderId="27" xfId="0" applyNumberFormat="1" applyFont="1" applyFill="1" applyBorder="1"/>
    <xf numFmtId="171" fontId="216" fillId="134" borderId="106" xfId="0" applyNumberFormat="1" applyFont="1" applyFill="1" applyBorder="1"/>
    <xf numFmtId="171" fontId="216" fillId="134" borderId="14" xfId="0" applyNumberFormat="1" applyFont="1" applyFill="1" applyBorder="1"/>
    <xf numFmtId="171" fontId="216" fillId="134" borderId="107" xfId="0" applyNumberFormat="1" applyFont="1" applyFill="1" applyBorder="1"/>
    <xf numFmtId="171" fontId="216" fillId="134" borderId="0" xfId="0" applyNumberFormat="1" applyFont="1" applyFill="1" applyBorder="1"/>
    <xf numFmtId="171" fontId="216" fillId="134" borderId="108" xfId="0" applyNumberFormat="1" applyFont="1" applyFill="1" applyBorder="1"/>
    <xf numFmtId="171" fontId="216" fillId="134" borderId="0" xfId="0" applyNumberFormat="1" applyFont="1" applyFill="1" applyBorder="1" applyAlignment="1"/>
    <xf numFmtId="171" fontId="216" fillId="134" borderId="108" xfId="0" applyNumberFormat="1" applyFont="1" applyFill="1" applyBorder="1" applyAlignment="1"/>
    <xf numFmtId="171" fontId="216" fillId="134" borderId="14" xfId="0" applyNumberFormat="1" applyFont="1" applyFill="1" applyBorder="1" applyAlignment="1"/>
    <xf numFmtId="171" fontId="216" fillId="134" borderId="107" xfId="0" applyNumberFormat="1" applyFont="1" applyFill="1" applyBorder="1" applyAlignment="1"/>
    <xf numFmtId="171" fontId="216" fillId="134" borderId="27" xfId="0" applyNumberFormat="1" applyFont="1" applyFill="1" applyBorder="1" applyAlignment="1"/>
    <xf numFmtId="171" fontId="216" fillId="134" borderId="106" xfId="0" applyNumberFormat="1" applyFont="1" applyFill="1" applyBorder="1" applyAlignment="1"/>
    <xf numFmtId="171" fontId="216" fillId="134" borderId="12" xfId="0" applyNumberFormat="1" applyFont="1" applyFill="1" applyBorder="1" applyAlignment="1"/>
    <xf numFmtId="171" fontId="216" fillId="134" borderId="98" xfId="0" applyNumberFormat="1" applyFont="1" applyFill="1" applyBorder="1" applyAlignment="1"/>
    <xf numFmtId="184" fontId="202" fillId="134" borderId="14" xfId="2" applyNumberFormat="1" applyFont="1" applyFill="1" applyBorder="1" applyAlignment="1">
      <alignment horizontal="right"/>
    </xf>
    <xf numFmtId="0" fontId="198" fillId="134" borderId="99" xfId="0" applyFont="1" applyFill="1" applyBorder="1" applyAlignment="1">
      <alignment horizontal="center" vertical="center"/>
    </xf>
    <xf numFmtId="171" fontId="182" fillId="134" borderId="1" xfId="0" applyNumberFormat="1" applyFont="1" applyFill="1" applyBorder="1" applyAlignment="1">
      <alignment horizontal="center" vertical="center"/>
    </xf>
    <xf numFmtId="171" fontId="197" fillId="134" borderId="0" xfId="0" applyNumberFormat="1" applyFont="1" applyFill="1" applyAlignment="1">
      <alignment horizontal="center"/>
    </xf>
    <xf numFmtId="171" fontId="216" fillId="134" borderId="7" xfId="0" applyNumberFormat="1" applyFont="1" applyFill="1" applyBorder="1"/>
    <xf numFmtId="171" fontId="216" fillId="134" borderId="7" xfId="0" applyNumberFormat="1" applyFont="1" applyFill="1" applyBorder="1" applyAlignment="1"/>
    <xf numFmtId="171" fontId="216" fillId="134" borderId="99" xfId="0" applyNumberFormat="1" applyFont="1" applyFill="1" applyBorder="1" applyAlignment="1"/>
    <xf numFmtId="0" fontId="42" fillId="134" borderId="27" xfId="0" applyFont="1" applyFill="1" applyBorder="1" applyAlignment="1">
      <alignment horizontal="center"/>
    </xf>
    <xf numFmtId="0" fontId="39" fillId="134" borderId="27" xfId="0" applyFont="1" applyFill="1" applyBorder="1"/>
    <xf numFmtId="171" fontId="182" fillId="134" borderId="0" xfId="0" applyNumberFormat="1" applyFont="1" applyFill="1" applyBorder="1" applyAlignment="1">
      <alignment horizontal="center" vertical="center"/>
    </xf>
    <xf numFmtId="0" fontId="182" fillId="134" borderId="18" xfId="0" applyFont="1" applyFill="1" applyBorder="1"/>
    <xf numFmtId="171" fontId="216" fillId="134" borderId="44" xfId="0" applyNumberFormat="1" applyFont="1" applyFill="1" applyBorder="1"/>
    <xf numFmtId="171" fontId="216" fillId="134" borderId="113" xfId="0" applyNumberFormat="1" applyFont="1" applyFill="1" applyBorder="1"/>
    <xf numFmtId="171" fontId="216" fillId="134" borderId="48" xfId="0" applyNumberFormat="1" applyFont="1" applyFill="1" applyBorder="1"/>
    <xf numFmtId="171" fontId="216" fillId="134" borderId="113" xfId="0" applyNumberFormat="1" applyFont="1" applyFill="1" applyBorder="1" applyAlignment="1"/>
    <xf numFmtId="171" fontId="216" fillId="134" borderId="44" xfId="0" applyNumberFormat="1" applyFont="1" applyFill="1" applyBorder="1" applyAlignment="1"/>
    <xf numFmtId="0" fontId="40" fillId="134" borderId="91" xfId="0" applyFont="1" applyFill="1" applyBorder="1" applyAlignment="1">
      <alignment horizontal="center"/>
    </xf>
    <xf numFmtId="37" fontId="191" fillId="134" borderId="18" xfId="0" applyNumberFormat="1" applyFont="1" applyFill="1" applyBorder="1" applyAlignment="1">
      <alignment horizontal="center"/>
    </xf>
    <xf numFmtId="7" fontId="185" fillId="134" borderId="0" xfId="0" applyNumberFormat="1" applyFont="1" applyFill="1" applyBorder="1"/>
    <xf numFmtId="184" fontId="0" fillId="134" borderId="0" xfId="0" applyNumberFormat="1" applyFill="1"/>
    <xf numFmtId="0" fontId="39" fillId="152" borderId="0" xfId="0" applyFont="1" applyFill="1" applyBorder="1" applyAlignment="1">
      <alignment horizontal="center" vertical="center" wrapText="1"/>
    </xf>
    <xf numFmtId="0" fontId="0" fillId="152" borderId="0" xfId="0" applyFill="1" applyBorder="1"/>
    <xf numFmtId="10" fontId="46" fillId="152" borderId="0" xfId="4" applyNumberFormat="1" applyFont="1" applyFill="1" applyBorder="1" applyAlignment="1">
      <alignment horizontal="center" vertical="center"/>
    </xf>
    <xf numFmtId="184" fontId="177" fillId="152" borderId="17" xfId="2" applyNumberFormat="1" applyFont="1" applyFill="1" applyBorder="1" applyAlignment="1">
      <alignment horizontal="center"/>
    </xf>
    <xf numFmtId="10" fontId="177" fillId="152" borderId="21" xfId="4" applyNumberFormat="1" applyFont="1" applyFill="1" applyBorder="1" applyAlignment="1">
      <alignment horizontal="center"/>
    </xf>
    <xf numFmtId="168" fontId="212" fillId="0" borderId="5" xfId="143" applyNumberFormat="1" applyFont="1" applyFill="1" applyBorder="1" applyAlignment="1">
      <alignment horizontal="center"/>
    </xf>
    <xf numFmtId="7" fontId="186" fillId="134" borderId="0" xfId="2" applyNumberFormat="1" applyFont="1" applyFill="1" applyBorder="1" applyAlignment="1">
      <alignment horizontal="center"/>
    </xf>
    <xf numFmtId="7" fontId="186" fillId="134" borderId="0" xfId="0" applyNumberFormat="1" applyFont="1" applyFill="1" applyBorder="1" applyAlignment="1">
      <alignment horizontal="center"/>
    </xf>
    <xf numFmtId="168" fontId="213" fillId="134" borderId="26" xfId="0" applyNumberFormat="1" applyFont="1" applyFill="1" applyBorder="1" applyAlignment="1">
      <alignment horizontal="center"/>
    </xf>
    <xf numFmtId="168" fontId="213" fillId="134" borderId="9" xfId="0" applyNumberFormat="1" applyFont="1" applyFill="1" applyBorder="1" applyAlignment="1">
      <alignment horizontal="center"/>
    </xf>
    <xf numFmtId="0" fontId="191" fillId="134" borderId="0" xfId="0" applyFont="1" applyFill="1" applyBorder="1" applyAlignment="1"/>
    <xf numFmtId="0" fontId="186" fillId="159" borderId="114" xfId="0" applyFont="1" applyFill="1" applyBorder="1" applyAlignment="1">
      <alignment horizontal="center"/>
    </xf>
    <xf numFmtId="0" fontId="186" fillId="159" borderId="31" xfId="0" applyFont="1" applyFill="1" applyBorder="1" applyAlignment="1">
      <alignment horizontal="center"/>
    </xf>
    <xf numFmtId="0" fontId="46" fillId="159" borderId="16" xfId="0" applyFont="1" applyFill="1" applyBorder="1" applyAlignment="1">
      <alignment horizontal="center" vertical="center" wrapText="1"/>
    </xf>
    <xf numFmtId="0" fontId="177" fillId="159" borderId="16" xfId="0" applyFont="1" applyFill="1" applyBorder="1" applyAlignment="1">
      <alignment horizontal="center" vertical="center" wrapText="1"/>
    </xf>
    <xf numFmtId="168" fontId="213" fillId="159" borderId="33" xfId="0" applyNumberFormat="1" applyFont="1" applyFill="1" applyBorder="1" applyAlignment="1">
      <alignment horizontal="center"/>
    </xf>
    <xf numFmtId="168" fontId="213" fillId="159" borderId="34" xfId="0" applyNumberFormat="1" applyFont="1" applyFill="1" applyBorder="1" applyAlignment="1">
      <alignment horizontal="center"/>
    </xf>
    <xf numFmtId="168" fontId="213" fillId="159" borderId="110" xfId="0" applyNumberFormat="1" applyFont="1" applyFill="1" applyBorder="1" applyAlignment="1">
      <alignment horizontal="center"/>
    </xf>
    <xf numFmtId="168" fontId="39" fillId="159" borderId="16" xfId="143" applyNumberFormat="1" applyFont="1" applyFill="1" applyBorder="1" applyAlignment="1">
      <alignment horizontal="center"/>
    </xf>
    <xf numFmtId="168" fontId="39" fillId="159" borderId="3" xfId="143" applyNumberFormat="1" applyFont="1" applyFill="1" applyBorder="1" applyAlignment="1">
      <alignment horizontal="center"/>
    </xf>
    <xf numFmtId="168" fontId="39" fillId="159" borderId="38" xfId="143" applyNumberFormat="1" applyFont="1" applyFill="1" applyBorder="1" applyAlignment="1">
      <alignment horizontal="center"/>
    </xf>
    <xf numFmtId="14" fontId="188" fillId="156" borderId="40" xfId="0" applyNumberFormat="1" applyFont="1" applyFill="1" applyBorder="1" applyAlignment="1">
      <alignment horizontal="center" vertical="center"/>
    </xf>
    <xf numFmtId="0" fontId="182" fillId="159" borderId="39" xfId="0" applyFont="1" applyFill="1" applyBorder="1"/>
    <xf numFmtId="171" fontId="188" fillId="159" borderId="40" xfId="0" applyNumberFormat="1" applyFont="1" applyFill="1" applyBorder="1" applyAlignment="1">
      <alignment horizontal="center" vertical="center"/>
    </xf>
    <xf numFmtId="171" fontId="182" fillId="159" borderId="40" xfId="0" applyNumberFormat="1" applyFont="1" applyFill="1" applyBorder="1" applyAlignment="1">
      <alignment horizontal="center" vertical="center"/>
    </xf>
    <xf numFmtId="0" fontId="182" fillId="159" borderId="103" xfId="0" applyFont="1" applyFill="1" applyBorder="1" applyAlignment="1">
      <alignment horizontal="center" vertical="center"/>
    </xf>
    <xf numFmtId="0" fontId="188" fillId="159" borderId="40" xfId="0" applyFont="1" applyFill="1" applyBorder="1" applyAlignment="1">
      <alignment horizontal="center"/>
    </xf>
    <xf numFmtId="0" fontId="188" fillId="159" borderId="42" xfId="0" applyFont="1" applyFill="1" applyBorder="1" applyAlignment="1">
      <alignment horizontal="center"/>
    </xf>
    <xf numFmtId="168" fontId="188" fillId="159" borderId="42" xfId="0" applyNumberFormat="1" applyFont="1" applyFill="1" applyBorder="1"/>
    <xf numFmtId="168" fontId="188" fillId="159" borderId="67" xfId="0" applyNumberFormat="1" applyFont="1" applyFill="1" applyBorder="1" applyAlignment="1"/>
    <xf numFmtId="37" fontId="40" fillId="152" borderId="39" xfId="0" applyNumberFormat="1" applyFont="1" applyFill="1" applyBorder="1" applyAlignment="1">
      <alignment horizontal="center"/>
    </xf>
    <xf numFmtId="0" fontId="39" fillId="134" borderId="27" xfId="0" applyFont="1" applyFill="1" applyBorder="1" applyAlignment="1">
      <alignment horizontal="center"/>
    </xf>
    <xf numFmtId="0" fontId="39" fillId="158" borderId="15" xfId="0" applyFont="1" applyFill="1" applyBorder="1" applyAlignment="1">
      <alignment horizontal="center"/>
    </xf>
    <xf numFmtId="37" fontId="39" fillId="134" borderId="9" xfId="0" applyNumberFormat="1" applyFont="1" applyFill="1" applyBorder="1" applyAlignment="1"/>
    <xf numFmtId="171" fontId="39" fillId="134" borderId="9" xfId="0" applyNumberFormat="1" applyFont="1" applyFill="1" applyBorder="1" applyAlignment="1">
      <alignment horizontal="center"/>
    </xf>
    <xf numFmtId="168" fontId="39" fillId="134" borderId="9" xfId="0" applyNumberFormat="1" applyFont="1" applyFill="1" applyBorder="1" applyAlignment="1"/>
    <xf numFmtId="37" fontId="40" fillId="134" borderId="27" xfId="0" applyNumberFormat="1" applyFont="1" applyFill="1" applyBorder="1" applyAlignment="1"/>
    <xf numFmtId="39" fontId="204" fillId="134" borderId="27" xfId="0" applyNumberFormat="1" applyFont="1" applyFill="1" applyBorder="1" applyAlignment="1"/>
    <xf numFmtId="171" fontId="40" fillId="134" borderId="27" xfId="0" applyNumberFormat="1" applyFont="1" applyFill="1" applyBorder="1" applyAlignment="1"/>
    <xf numFmtId="39" fontId="40" fillId="134" borderId="27" xfId="0" applyNumberFormat="1" applyFont="1" applyFill="1" applyBorder="1"/>
    <xf numFmtId="39" fontId="40" fillId="134" borderId="28" xfId="0" applyNumberFormat="1" applyFont="1" applyFill="1" applyBorder="1"/>
    <xf numFmtId="0" fontId="39" fillId="134" borderId="32" xfId="0" applyFont="1" applyFill="1" applyBorder="1"/>
    <xf numFmtId="0" fontId="39" fillId="134" borderId="29" xfId="0" applyFont="1" applyFill="1" applyBorder="1"/>
    <xf numFmtId="168" fontId="40" fillId="134" borderId="0" xfId="2" applyNumberFormat="1" applyFont="1" applyFill="1" applyBorder="1"/>
    <xf numFmtId="171" fontId="39" fillId="134" borderId="1" xfId="0" applyNumberFormat="1" applyFont="1" applyFill="1" applyBorder="1" applyAlignment="1">
      <alignment horizontal="center"/>
    </xf>
    <xf numFmtId="171" fontId="39" fillId="134" borderId="7" xfId="5" applyNumberFormat="1" applyFont="1" applyFill="1" applyBorder="1" applyAlignment="1">
      <alignment horizontal="center"/>
    </xf>
    <xf numFmtId="171" fontId="39" fillId="134" borderId="0" xfId="5" applyNumberFormat="1" applyFont="1" applyFill="1" applyBorder="1" applyAlignment="1">
      <alignment horizontal="center"/>
    </xf>
    <xf numFmtId="171" fontId="39" fillId="134" borderId="1" xfId="5" applyNumberFormat="1" applyFont="1" applyFill="1" applyBorder="1" applyAlignment="1">
      <alignment horizontal="center"/>
    </xf>
    <xf numFmtId="0" fontId="40" fillId="0" borderId="0" xfId="0" applyFont="1" applyFill="1" applyAlignment="1">
      <alignment horizontal="center"/>
    </xf>
    <xf numFmtId="171" fontId="182" fillId="134" borderId="7" xfId="0" applyNumberFormat="1" applyFont="1" applyFill="1" applyBorder="1" applyAlignment="1">
      <alignment horizontal="center" vertical="center"/>
    </xf>
    <xf numFmtId="14" fontId="188" fillId="152" borderId="40" xfId="0" applyNumberFormat="1" applyFont="1" applyFill="1" applyBorder="1" applyAlignment="1">
      <alignment horizontal="center" vertical="center"/>
    </xf>
    <xf numFmtId="14" fontId="39" fillId="134" borderId="39" xfId="0" applyNumberFormat="1" applyFont="1" applyFill="1" applyBorder="1" applyAlignment="1">
      <alignment horizontal="center"/>
    </xf>
    <xf numFmtId="0" fontId="46" fillId="134" borderId="5" xfId="0" applyFont="1" applyFill="1" applyBorder="1" applyAlignment="1">
      <alignment horizontal="center" vertical="center" wrapText="1"/>
    </xf>
    <xf numFmtId="0" fontId="177" fillId="134" borderId="54" xfId="0" applyFont="1" applyFill="1" applyBorder="1" applyAlignment="1">
      <alignment horizontal="center" vertical="center" wrapText="1"/>
    </xf>
    <xf numFmtId="0" fontId="46" fillId="134" borderId="4" xfId="0" applyFont="1" applyFill="1" applyBorder="1" applyAlignment="1">
      <alignment horizontal="center" vertical="center" wrapText="1"/>
    </xf>
    <xf numFmtId="184" fontId="177" fillId="134" borderId="18" xfId="0" applyNumberFormat="1" applyFont="1" applyFill="1" applyBorder="1"/>
    <xf numFmtId="184" fontId="177" fillId="134" borderId="18" xfId="2" applyNumberFormat="1" applyFont="1" applyFill="1" applyBorder="1"/>
    <xf numFmtId="184" fontId="177" fillId="134" borderId="39" xfId="2" applyNumberFormat="1" applyFont="1" applyFill="1" applyBorder="1"/>
    <xf numFmtId="10" fontId="177" fillId="134" borderId="17" xfId="4" applyNumberFormat="1" applyFont="1" applyFill="1" applyBorder="1" applyAlignment="1">
      <alignment horizontal="center"/>
    </xf>
    <xf numFmtId="10" fontId="177" fillId="134" borderId="18" xfId="4" applyNumberFormat="1" applyFont="1" applyFill="1" applyBorder="1" applyAlignment="1">
      <alignment horizontal="center"/>
    </xf>
    <xf numFmtId="10" fontId="177" fillId="134" borderId="21" xfId="4" applyNumberFormat="1" applyFont="1" applyFill="1" applyBorder="1" applyAlignment="1">
      <alignment horizontal="center"/>
    </xf>
    <xf numFmtId="184" fontId="177" fillId="134" borderId="17" xfId="0" applyNumberFormat="1" applyFont="1" applyFill="1" applyBorder="1"/>
    <xf numFmtId="0" fontId="40" fillId="134" borderId="17" xfId="5" applyFont="1" applyFill="1" applyBorder="1" applyAlignment="1">
      <alignment horizontal="center"/>
    </xf>
    <xf numFmtId="0" fontId="177" fillId="134" borderId="99" xfId="0" applyFont="1" applyFill="1" applyBorder="1"/>
    <xf numFmtId="0" fontId="39" fillId="134" borderId="4" xfId="5" applyFont="1" applyFill="1" applyBorder="1" applyAlignment="1">
      <alignment horizontal="center" vertical="center" wrapText="1"/>
    </xf>
    <xf numFmtId="0" fontId="39" fillId="160" borderId="0" xfId="0" applyFont="1" applyFill="1"/>
    <xf numFmtId="0" fontId="40"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77" fillId="134" borderId="17" xfId="2" applyNumberFormat="1" applyFont="1" applyFill="1" applyBorder="1"/>
    <xf numFmtId="0" fontId="45" fillId="134" borderId="98" xfId="0" applyFont="1" applyFill="1" applyBorder="1" applyAlignment="1">
      <alignment horizontal="center"/>
    </xf>
    <xf numFmtId="0" fontId="45" fillId="134" borderId="99" xfId="0" applyFont="1" applyFill="1" applyBorder="1" applyAlignment="1">
      <alignment horizontal="center"/>
    </xf>
    <xf numFmtId="0" fontId="45" fillId="134" borderId="100" xfId="0" applyFont="1" applyFill="1" applyBorder="1" applyAlignment="1">
      <alignment horizontal="center"/>
    </xf>
    <xf numFmtId="0" fontId="0" fillId="152" borderId="100" xfId="0" applyFill="1" applyBorder="1"/>
    <xf numFmtId="0" fontId="0" fillId="154" borderId="99" xfId="0" applyFill="1" applyBorder="1"/>
    <xf numFmtId="0" fontId="45" fillId="154" borderId="100"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77" fillId="134" borderId="9" xfId="0" applyNumberFormat="1" applyFont="1" applyFill="1" applyBorder="1"/>
    <xf numFmtId="184" fontId="177" fillId="134" borderId="9" xfId="2" applyNumberFormat="1" applyFont="1" applyFill="1" applyBorder="1"/>
    <xf numFmtId="10" fontId="177" fillId="134" borderId="115" xfId="4" applyNumberFormat="1" applyFont="1" applyFill="1" applyBorder="1" applyAlignment="1">
      <alignment horizontal="center"/>
    </xf>
    <xf numFmtId="10" fontId="177" fillId="134" borderId="9" xfId="4" applyNumberFormat="1" applyFont="1" applyFill="1" applyBorder="1" applyAlignment="1">
      <alignment horizontal="center"/>
    </xf>
    <xf numFmtId="184" fontId="177" fillId="152" borderId="113" xfId="2" applyNumberFormat="1" applyFont="1" applyFill="1" applyBorder="1" applyAlignment="1">
      <alignment horizontal="center"/>
    </xf>
    <xf numFmtId="10" fontId="177" fillId="152" borderId="115" xfId="4" applyNumberFormat="1" applyFont="1" applyFill="1" applyBorder="1" applyAlignment="1">
      <alignment horizontal="center"/>
    </xf>
    <xf numFmtId="184" fontId="177" fillId="154" borderId="113" xfId="2" applyNumberFormat="1" applyFont="1" applyFill="1" applyBorder="1"/>
    <xf numFmtId="10" fontId="177" fillId="154" borderId="115" xfId="4" applyNumberFormat="1" applyFont="1" applyFill="1" applyBorder="1" applyAlignment="1">
      <alignment horizontal="center"/>
    </xf>
    <xf numFmtId="10" fontId="177" fillId="134" borderId="113" xfId="4" applyNumberFormat="1" applyFont="1" applyFill="1" applyBorder="1" applyAlignment="1">
      <alignment horizontal="center"/>
    </xf>
    <xf numFmtId="0" fontId="0" fillId="160" borderId="0" xfId="0" applyFill="1"/>
    <xf numFmtId="0" fontId="178" fillId="160" borderId="0" xfId="0" applyFont="1" applyFill="1"/>
    <xf numFmtId="0" fontId="46" fillId="161" borderId="11" xfId="0" applyFont="1" applyFill="1" applyBorder="1" applyAlignment="1">
      <alignment horizontal="center" vertical="center" wrapText="1"/>
    </xf>
    <xf numFmtId="0" fontId="46" fillId="161" borderId="116" xfId="0" applyFont="1" applyFill="1" applyBorder="1" applyAlignment="1">
      <alignment horizontal="center" vertical="center" wrapText="1"/>
    </xf>
    <xf numFmtId="0" fontId="46" fillId="161" borderId="8" xfId="0" applyFont="1" applyFill="1" applyBorder="1" applyAlignment="1">
      <alignment horizontal="center" vertical="center" wrapText="1"/>
    </xf>
    <xf numFmtId="0" fontId="39" fillId="161" borderId="8" xfId="0" quotePrefix="1" applyFont="1" applyFill="1" applyBorder="1" applyAlignment="1">
      <alignment horizontal="center"/>
    </xf>
    <xf numFmtId="0" fontId="39" fillId="161" borderId="8" xfId="0" applyFont="1" applyFill="1" applyBorder="1" applyAlignment="1">
      <alignment horizontal="center"/>
    </xf>
    <xf numFmtId="0" fontId="0" fillId="161" borderId="8" xfId="0" applyFill="1" applyBorder="1"/>
    <xf numFmtId="0" fontId="39" fillId="161" borderId="17" xfId="5" applyFont="1" applyFill="1" applyBorder="1" applyAlignment="1">
      <alignment horizontal="center" vertical="center" wrapText="1"/>
    </xf>
    <xf numFmtId="0" fontId="46" fillId="161" borderId="19" xfId="0" applyFont="1" applyFill="1" applyBorder="1" applyAlignment="1">
      <alignment horizontal="center" vertical="center" wrapText="1"/>
    </xf>
    <xf numFmtId="0" fontId="39" fillId="161" borderId="48" xfId="5" applyFont="1" applyFill="1" applyBorder="1" applyAlignment="1">
      <alignment horizontal="center" vertical="center" wrapText="1"/>
    </xf>
    <xf numFmtId="0" fontId="39" fillId="161" borderId="55" xfId="5" applyFont="1" applyFill="1" applyBorder="1" applyAlignment="1">
      <alignment horizontal="center"/>
    </xf>
    <xf numFmtId="0" fontId="39" fillId="161" borderId="7" xfId="5" applyFont="1" applyFill="1" applyBorder="1" applyAlignment="1">
      <alignment horizontal="center"/>
    </xf>
    <xf numFmtId="0" fontId="39"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0" fillId="161" borderId="17" xfId="5" applyFont="1" applyFill="1" applyBorder="1" applyAlignment="1">
      <alignment horizontal="center"/>
    </xf>
    <xf numFmtId="184" fontId="177" fillId="154" borderId="18" xfId="2" applyNumberFormat="1" applyFont="1" applyFill="1" applyBorder="1"/>
    <xf numFmtId="0" fontId="0" fillId="161" borderId="99" xfId="0" applyFill="1" applyBorder="1" applyAlignment="1">
      <alignment wrapText="1"/>
    </xf>
    <xf numFmtId="0" fontId="45" fillId="161" borderId="109" xfId="0" applyFont="1" applyFill="1" applyBorder="1" applyAlignment="1">
      <alignment horizontal="center"/>
    </xf>
    <xf numFmtId="0" fontId="0" fillId="154" borderId="98" xfId="0" applyFill="1" applyBorder="1"/>
    <xf numFmtId="10" fontId="177" fillId="154" borderId="18" xfId="4" applyNumberFormat="1" applyFont="1" applyFill="1" applyBorder="1" applyAlignment="1">
      <alignment horizontal="center"/>
    </xf>
    <xf numFmtId="0" fontId="45" fillId="154" borderId="98" xfId="0" applyFont="1" applyFill="1" applyBorder="1" applyAlignment="1">
      <alignment horizontal="center"/>
    </xf>
    <xf numFmtId="0" fontId="0" fillId="134" borderId="98" xfId="0" applyFill="1" applyBorder="1" applyAlignment="1"/>
    <xf numFmtId="184" fontId="177" fillId="134" borderId="21" xfId="2" applyNumberFormat="1" applyFont="1" applyFill="1" applyBorder="1"/>
    <xf numFmtId="0" fontId="0" fillId="134" borderId="100" xfId="0" applyFill="1" applyBorder="1" applyAlignment="1"/>
    <xf numFmtId="0" fontId="46" fillId="134" borderId="113" xfId="0" applyFont="1" applyFill="1" applyBorder="1" applyAlignment="1">
      <alignment horizontal="center" vertical="center" wrapText="1"/>
    </xf>
    <xf numFmtId="184" fontId="46" fillId="134" borderId="7" xfId="2" applyNumberFormat="1" applyFont="1" applyFill="1" applyBorder="1"/>
    <xf numFmtId="184" fontId="177" fillId="134" borderId="113" xfId="0" applyNumberFormat="1" applyFont="1" applyFill="1" applyBorder="1"/>
    <xf numFmtId="0" fontId="191" fillId="37" borderId="0" xfId="1" applyNumberFormat="1" applyFont="1" applyFill="1" applyAlignment="1">
      <alignment horizontal="center"/>
    </xf>
    <xf numFmtId="0" fontId="41" fillId="37" borderId="0" xfId="5" applyFont="1" applyFill="1" applyBorder="1" applyAlignment="1">
      <alignment horizontal="center" vertical="center"/>
    </xf>
    <xf numFmtId="0" fontId="198" fillId="37" borderId="0" xfId="0" applyFont="1" applyFill="1" applyBorder="1" applyAlignment="1">
      <alignment horizontal="center" vertical="center"/>
    </xf>
    <xf numFmtId="0" fontId="186" fillId="37" borderId="38" xfId="0" applyFont="1" applyFill="1" applyBorder="1" applyAlignment="1">
      <alignment horizontal="center"/>
    </xf>
    <xf numFmtId="0" fontId="217" fillId="37" borderId="38" xfId="0" applyFont="1" applyFill="1" applyBorder="1" applyAlignment="1">
      <alignment horizontal="center"/>
    </xf>
    <xf numFmtId="0" fontId="11" fillId="0" borderId="0" xfId="5" applyFont="1" applyAlignment="1">
      <alignment horizontal="center" vertical="center"/>
    </xf>
    <xf numFmtId="0" fontId="108" fillId="0" borderId="0" xfId="5" applyFont="1" applyFill="1" applyAlignment="1">
      <alignment horizontal="center"/>
    </xf>
    <xf numFmtId="0" fontId="8" fillId="0" borderId="0" xfId="5" applyFont="1" applyBorder="1" applyAlignment="1"/>
    <xf numFmtId="171" fontId="182" fillId="0" borderId="50" xfId="0" applyNumberFormat="1" applyFont="1" applyFill="1" applyBorder="1" applyAlignment="1"/>
    <xf numFmtId="49" fontId="39" fillId="0" borderId="0" xfId="4" applyNumberFormat="1" applyFont="1" applyFill="1"/>
    <xf numFmtId="0" fontId="192" fillId="0" borderId="0" xfId="5" applyFont="1" applyFill="1" applyBorder="1" applyAlignment="1">
      <alignment horizontal="left"/>
    </xf>
    <xf numFmtId="0" fontId="15" fillId="0" borderId="2" xfId="0" applyFont="1" applyBorder="1" applyAlignment="1">
      <alignment horizontal="center" vertical="center"/>
    </xf>
    <xf numFmtId="0" fontId="40" fillId="38" borderId="28" xfId="5" applyFont="1" applyFill="1" applyBorder="1" applyAlignment="1">
      <alignment horizontal="left"/>
    </xf>
    <xf numFmtId="0" fontId="218" fillId="0" borderId="0" xfId="5" applyFont="1" applyAlignment="1">
      <alignment horizontal="left" indent="1"/>
    </xf>
    <xf numFmtId="184" fontId="39" fillId="0" borderId="2" xfId="33" applyNumberFormat="1" applyFont="1" applyBorder="1"/>
    <xf numFmtId="10" fontId="43" fillId="0" borderId="3" xfId="4" applyNumberFormat="1" applyFont="1" applyFill="1" applyBorder="1" applyAlignment="1">
      <alignment vertical="center"/>
    </xf>
    <xf numFmtId="184" fontId="39" fillId="0" borderId="3" xfId="33" applyNumberFormat="1" applyFont="1" applyBorder="1"/>
    <xf numFmtId="10" fontId="43" fillId="0" borderId="3" xfId="4" applyNumberFormat="1" applyFont="1" applyBorder="1"/>
    <xf numFmtId="10" fontId="43" fillId="0" borderId="16" xfId="4" applyNumberFormat="1" applyFont="1" applyFill="1" applyBorder="1"/>
    <xf numFmtId="0" fontId="65" fillId="0" borderId="0" xfId="5" applyFont="1"/>
    <xf numFmtId="184" fontId="40" fillId="0" borderId="0" xfId="2" applyNumberFormat="1" applyFont="1" applyFill="1" applyBorder="1" applyAlignment="1">
      <alignment vertical="center"/>
    </xf>
    <xf numFmtId="5" fontId="39" fillId="0" borderId="14" xfId="0" applyNumberFormat="1" applyFont="1" applyFill="1" applyBorder="1"/>
    <xf numFmtId="184" fontId="39" fillId="0" borderId="0" xfId="4" applyNumberFormat="1" applyFont="1" applyFill="1" applyAlignment="1">
      <alignment vertical="center"/>
    </xf>
    <xf numFmtId="9" fontId="39" fillId="134" borderId="0" xfId="4" applyFont="1" applyFill="1"/>
    <xf numFmtId="0" fontId="39" fillId="0" borderId="0" xfId="0" applyFont="1" applyFill="1"/>
    <xf numFmtId="169" fontId="40" fillId="0" borderId="0" xfId="4" applyNumberFormat="1" applyFont="1" applyAlignment="1">
      <alignment horizontal="center"/>
    </xf>
    <xf numFmtId="10" fontId="218" fillId="0" borderId="0" xfId="4" quotePrefix="1" applyNumberFormat="1" applyFont="1" applyFill="1" applyBorder="1"/>
    <xf numFmtId="5" fontId="219" fillId="134" borderId="0" xfId="0" applyNumberFormat="1" applyFont="1" applyFill="1" applyBorder="1" applyAlignment="1">
      <alignment horizontal="center"/>
    </xf>
    <xf numFmtId="0" fontId="40" fillId="134" borderId="19" xfId="0" applyFont="1" applyFill="1" applyBorder="1" applyAlignment="1">
      <alignment horizontal="center" wrapText="1"/>
    </xf>
    <xf numFmtId="0" fontId="191" fillId="134" borderId="12" xfId="0" applyFont="1" applyFill="1" applyBorder="1" applyAlignment="1">
      <alignment horizontal="center"/>
    </xf>
    <xf numFmtId="0" fontId="39" fillId="134" borderId="21" xfId="0" applyFont="1" applyFill="1" applyBorder="1" applyAlignment="1">
      <alignment horizontal="center"/>
    </xf>
    <xf numFmtId="166" fontId="40" fillId="134" borderId="1" xfId="5" applyNumberFormat="1" applyFont="1" applyFill="1" applyBorder="1" applyAlignment="1">
      <alignment horizontal="center"/>
    </xf>
    <xf numFmtId="5" fontId="40" fillId="134" borderId="100" xfId="0" applyNumberFormat="1" applyFont="1" applyFill="1" applyBorder="1"/>
    <xf numFmtId="0" fontId="192" fillId="0" borderId="0" xfId="5" applyFont="1" applyAlignment="1">
      <alignment horizontal="left" indent="1"/>
    </xf>
    <xf numFmtId="0" fontId="220" fillId="134" borderId="0" xfId="5" applyFont="1" applyFill="1" applyBorder="1" applyAlignment="1">
      <alignment horizontal="center" vertical="center"/>
    </xf>
    <xf numFmtId="0" fontId="181" fillId="134" borderId="0" xfId="0" applyFont="1" applyFill="1" applyBorder="1"/>
    <xf numFmtId="171" fontId="41" fillId="134" borderId="0" xfId="0" applyNumberFormat="1" applyFont="1" applyFill="1" applyAlignment="1">
      <alignment horizontal="center"/>
    </xf>
    <xf numFmtId="0" fontId="221" fillId="134" borderId="0" xfId="5" applyFont="1" applyFill="1" applyBorder="1" applyAlignment="1">
      <alignment horizontal="center" vertical="center"/>
    </xf>
    <xf numFmtId="0" fontId="39" fillId="134" borderId="14" xfId="0" applyFont="1" applyFill="1" applyBorder="1"/>
    <xf numFmtId="0" fontId="39" fillId="134" borderId="66" xfId="0" applyFont="1" applyFill="1" applyBorder="1"/>
    <xf numFmtId="184" fontId="39" fillId="134" borderId="66" xfId="2" applyNumberFormat="1" applyFont="1" applyFill="1" applyBorder="1"/>
    <xf numFmtId="184" fontId="39" fillId="134" borderId="53" xfId="2" applyNumberFormat="1" applyFont="1" applyFill="1" applyBorder="1"/>
    <xf numFmtId="0" fontId="39" fillId="134" borderId="53" xfId="0" applyFont="1" applyFill="1" applyBorder="1"/>
    <xf numFmtId="0" fontId="40" fillId="134" borderId="53" xfId="0" applyFont="1" applyFill="1" applyBorder="1" applyAlignment="1">
      <alignment horizontal="right"/>
    </xf>
    <xf numFmtId="0" fontId="60" fillId="134" borderId="0" xfId="0" applyFont="1" applyFill="1" applyAlignment="1">
      <alignment horizontal="center"/>
    </xf>
    <xf numFmtId="171" fontId="182" fillId="134" borderId="27" xfId="0" applyNumberFormat="1" applyFont="1" applyFill="1" applyBorder="1"/>
    <xf numFmtId="171" fontId="182" fillId="134" borderId="118" xfId="0" applyNumberFormat="1" applyFont="1" applyFill="1" applyBorder="1"/>
    <xf numFmtId="171" fontId="182" fillId="134" borderId="119" xfId="0" applyNumberFormat="1" applyFont="1" applyFill="1" applyBorder="1"/>
    <xf numFmtId="171" fontId="182" fillId="134" borderId="119" xfId="0" applyNumberFormat="1" applyFont="1" applyFill="1" applyBorder="1" applyAlignment="1"/>
    <xf numFmtId="171" fontId="182" fillId="134" borderId="118" xfId="0" applyNumberFormat="1" applyFont="1" applyFill="1" applyBorder="1" applyAlignment="1"/>
    <xf numFmtId="171" fontId="182" fillId="134" borderId="117" xfId="0" applyNumberFormat="1" applyFont="1" applyFill="1" applyBorder="1" applyAlignment="1"/>
    <xf numFmtId="171" fontId="182" fillId="134" borderId="120" xfId="0" applyNumberFormat="1" applyFont="1" applyFill="1" applyBorder="1" applyAlignment="1"/>
    <xf numFmtId="171" fontId="182" fillId="134" borderId="99" xfId="0" applyNumberFormat="1" applyFont="1" applyFill="1" applyBorder="1" applyAlignment="1"/>
    <xf numFmtId="44" fontId="39" fillId="0" borderId="0" xfId="2" applyFont="1" applyFill="1" applyBorder="1"/>
    <xf numFmtId="0" fontId="15" fillId="0" borderId="0" xfId="0" applyFont="1" applyFill="1" applyBorder="1"/>
    <xf numFmtId="0" fontId="15" fillId="0" borderId="0" xfId="0" applyFont="1" applyFill="1" applyBorder="1" applyAlignment="1">
      <alignment horizontal="center"/>
    </xf>
    <xf numFmtId="0" fontId="6" fillId="0" borderId="0" xfId="0" applyFont="1" applyFill="1" applyBorder="1" applyAlignment="1">
      <alignment horizontal="center"/>
    </xf>
    <xf numFmtId="184" fontId="39" fillId="0" borderId="0" xfId="0" applyNumberFormat="1" applyFont="1" applyFill="1" applyBorder="1"/>
    <xf numFmtId="184" fontId="202" fillId="134" borderId="0" xfId="2" applyNumberFormat="1" applyFont="1" applyFill="1" applyBorder="1" applyAlignment="1">
      <alignment horizontal="right"/>
    </xf>
    <xf numFmtId="0" fontId="203" fillId="134" borderId="0" xfId="0" applyFont="1" applyFill="1" applyBorder="1" applyAlignment="1">
      <alignment horizontal="left"/>
    </xf>
    <xf numFmtId="184" fontId="40" fillId="134" borderId="0" xfId="2" applyNumberFormat="1" applyFont="1" applyFill="1" applyBorder="1" applyAlignment="1">
      <alignment horizontal="right"/>
    </xf>
    <xf numFmtId="184" fontId="181" fillId="134" borderId="3" xfId="2" applyNumberFormat="1" applyFont="1" applyFill="1" applyBorder="1" applyAlignment="1">
      <alignment horizontal="center"/>
    </xf>
    <xf numFmtId="0" fontId="41" fillId="0" borderId="0" xfId="1" applyNumberFormat="1" applyFont="1" applyFill="1" applyBorder="1" applyAlignment="1">
      <alignment horizontal="center"/>
    </xf>
    <xf numFmtId="0" fontId="191" fillId="134" borderId="0" xfId="1" applyNumberFormat="1" applyFont="1" applyFill="1" applyBorder="1" applyAlignment="1">
      <alignment horizontal="center"/>
    </xf>
    <xf numFmtId="168" fontId="182" fillId="134" borderId="0" xfId="0" applyNumberFormat="1" applyFont="1" applyFill="1" applyBorder="1"/>
    <xf numFmtId="10" fontId="182" fillId="134" borderId="0" xfId="0" applyNumberFormat="1" applyFont="1" applyFill="1" applyBorder="1"/>
    <xf numFmtId="248" fontId="182" fillId="134" borderId="0" xfId="0" applyNumberFormat="1" applyFont="1" applyFill="1"/>
    <xf numFmtId="0" fontId="46" fillId="134" borderId="39" xfId="0" applyFont="1" applyFill="1" applyBorder="1" applyAlignment="1">
      <alignment horizontal="center" vertical="center" wrapText="1"/>
    </xf>
    <xf numFmtId="0" fontId="39" fillId="134" borderId="41" xfId="0" applyFont="1" applyFill="1" applyBorder="1"/>
    <xf numFmtId="0" fontId="177" fillId="134" borderId="103" xfId="0" quotePrefix="1" applyFont="1" applyFill="1" applyBorder="1" applyAlignment="1">
      <alignment horizontal="center" vertical="center" wrapText="1"/>
    </xf>
    <xf numFmtId="184" fontId="46" fillId="134" borderId="4" xfId="2" applyNumberFormat="1" applyFont="1" applyFill="1" applyBorder="1"/>
    <xf numFmtId="184" fontId="177" fillId="134" borderId="17" xfId="2" applyNumberFormat="1" applyFont="1" applyFill="1" applyBorder="1"/>
    <xf numFmtId="243" fontId="177" fillId="134" borderId="18" xfId="2" applyNumberFormat="1" applyFont="1" applyFill="1" applyBorder="1"/>
    <xf numFmtId="184" fontId="177" fillId="134" borderId="113" xfId="2" applyNumberFormat="1" applyFont="1" applyFill="1" applyBorder="1"/>
    <xf numFmtId="247" fontId="197" fillId="0" borderId="91" xfId="2" applyNumberFormat="1" applyFont="1" applyFill="1" applyBorder="1" applyAlignment="1">
      <alignment horizontal="center"/>
    </xf>
    <xf numFmtId="0" fontId="198" fillId="37" borderId="12" xfId="0" applyFont="1" applyFill="1" applyBorder="1" applyAlignment="1">
      <alignment horizontal="center" vertical="center"/>
    </xf>
    <xf numFmtId="0" fontId="39" fillId="152" borderId="7" xfId="0" applyFont="1" applyFill="1" applyBorder="1" applyAlignment="1">
      <alignment horizontal="center" vertical="center" wrapText="1"/>
    </xf>
    <xf numFmtId="0" fontId="39"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46" fillId="152" borderId="7" xfId="2" applyNumberFormat="1" applyFont="1" applyFill="1" applyBorder="1" applyAlignment="1">
      <alignment horizontal="center"/>
    </xf>
    <xf numFmtId="10" fontId="46" fillId="152" borderId="1" xfId="4" applyNumberFormat="1" applyFont="1" applyFill="1" applyBorder="1" applyAlignment="1">
      <alignment horizontal="center" vertical="center"/>
    </xf>
    <xf numFmtId="0" fontId="177" fillId="134" borderId="14" xfId="0" quotePrefix="1" applyFont="1" applyFill="1" applyBorder="1" applyAlignment="1">
      <alignment horizontal="center" vertical="center" wrapText="1"/>
    </xf>
    <xf numFmtId="0" fontId="177" fillId="134" borderId="66" xfId="0" applyFont="1" applyFill="1" applyBorder="1" applyAlignment="1">
      <alignment horizontal="center" vertical="center" wrapText="1"/>
    </xf>
    <xf numFmtId="243" fontId="46" fillId="134" borderId="0" xfId="2" applyNumberFormat="1" applyFont="1" applyFill="1" applyBorder="1"/>
    <xf numFmtId="243" fontId="0" fillId="134" borderId="0" xfId="2" applyNumberFormat="1" applyFont="1" applyFill="1" applyBorder="1"/>
    <xf numFmtId="243" fontId="177" fillId="134" borderId="9" xfId="2" applyNumberFormat="1" applyFont="1" applyFill="1" applyBorder="1"/>
    <xf numFmtId="0" fontId="0" fillId="134" borderId="12" xfId="0" applyFill="1" applyBorder="1"/>
    <xf numFmtId="0" fontId="45" fillId="134" borderId="13" xfId="0" applyFont="1" applyFill="1" applyBorder="1" applyAlignment="1">
      <alignment horizontal="center"/>
    </xf>
    <xf numFmtId="37" fontId="40" fillId="134" borderId="0" xfId="0" applyNumberFormat="1" applyFont="1" applyFill="1" applyBorder="1" applyAlignment="1">
      <alignment horizontal="center"/>
    </xf>
    <xf numFmtId="0" fontId="222" fillId="134" borderId="0" xfId="0" applyFont="1" applyFill="1" applyAlignment="1">
      <alignment horizontal="center"/>
    </xf>
    <xf numFmtId="0" fontId="39" fillId="134" borderId="9" xfId="0" applyFont="1" applyFill="1" applyBorder="1"/>
    <xf numFmtId="0" fontId="191" fillId="37" borderId="0" xfId="0" applyFont="1" applyFill="1" applyAlignment="1">
      <alignment horizontal="center"/>
    </xf>
    <xf numFmtId="0" fontId="191" fillId="37" borderId="12" xfId="0" applyFont="1" applyFill="1" applyBorder="1" applyAlignment="1">
      <alignment horizontal="center"/>
    </xf>
    <xf numFmtId="0" fontId="41" fillId="37" borderId="0" xfId="1" applyNumberFormat="1" applyFont="1" applyFill="1" applyBorder="1" applyAlignment="1">
      <alignment horizontal="center"/>
    </xf>
    <xf numFmtId="0" fontId="41" fillId="37" borderId="0" xfId="0" applyFont="1" applyFill="1" applyBorder="1" applyAlignment="1">
      <alignment horizontal="center"/>
    </xf>
    <xf numFmtId="0" fontId="41" fillId="37" borderId="98" xfId="0" applyFont="1" applyFill="1" applyBorder="1" applyAlignment="1">
      <alignment horizontal="center"/>
    </xf>
    <xf numFmtId="10" fontId="177" fillId="152" borderId="18" xfId="4" applyNumberFormat="1" applyFont="1" applyFill="1" applyBorder="1" applyAlignment="1">
      <alignment horizontal="center"/>
    </xf>
    <xf numFmtId="0" fontId="0" fillId="152" borderId="98" xfId="0" applyFill="1" applyBorder="1"/>
    <xf numFmtId="10" fontId="0" fillId="134" borderId="0" xfId="2" applyNumberFormat="1" applyFont="1" applyFill="1" applyBorder="1" applyAlignment="1">
      <alignment horizontal="center"/>
    </xf>
    <xf numFmtId="0" fontId="177" fillId="152" borderId="0" xfId="0" quotePrefix="1" applyFont="1" applyFill="1" applyBorder="1" applyAlignment="1">
      <alignment horizontal="center" vertical="center" wrapText="1"/>
    </xf>
    <xf numFmtId="184" fontId="46" fillId="152" borderId="0" xfId="4" applyNumberFormat="1" applyFont="1" applyFill="1" applyBorder="1" applyAlignment="1">
      <alignment horizontal="center" vertical="center"/>
    </xf>
    <xf numFmtId="0" fontId="177" fillId="152" borderId="7" xfId="0" quotePrefix="1" applyFont="1" applyFill="1" applyBorder="1" applyAlignment="1">
      <alignment horizontal="center" vertical="center" wrapText="1"/>
    </xf>
    <xf numFmtId="0" fontId="177" fillId="152" borderId="1" xfId="0" quotePrefix="1" applyFont="1" applyFill="1" applyBorder="1" applyAlignment="1">
      <alignment horizontal="center" vertical="center" wrapText="1"/>
    </xf>
    <xf numFmtId="166" fontId="0" fillId="152" borderId="99" xfId="2" applyNumberFormat="1" applyFont="1" applyFill="1" applyBorder="1" applyAlignment="1">
      <alignment horizontal="center"/>
    </xf>
    <xf numFmtId="166" fontId="0" fillId="152" borderId="98" xfId="2" applyNumberFormat="1" applyFont="1" applyFill="1" applyBorder="1" applyAlignment="1">
      <alignment horizontal="center"/>
    </xf>
    <xf numFmtId="166" fontId="0" fillId="152" borderId="100" xfId="2" applyNumberFormat="1" applyFont="1" applyFill="1" applyBorder="1" applyAlignment="1">
      <alignment horizontal="center"/>
    </xf>
    <xf numFmtId="184" fontId="177" fillId="152" borderId="0" xfId="4" applyNumberFormat="1" applyFont="1" applyFill="1" applyBorder="1" applyAlignment="1">
      <alignment horizontal="center" vertical="center"/>
    </xf>
    <xf numFmtId="0" fontId="46" fillId="134" borderId="102" xfId="0" applyFont="1" applyFill="1" applyBorder="1" applyAlignment="1">
      <alignment horizontal="center" vertical="center" wrapText="1"/>
    </xf>
    <xf numFmtId="10" fontId="39" fillId="134" borderId="0" xfId="4" applyNumberFormat="1" applyFont="1" applyFill="1" applyAlignment="1">
      <alignment horizontal="center"/>
    </xf>
    <xf numFmtId="44" fontId="39" fillId="134" borderId="0" xfId="0" applyNumberFormat="1" applyFont="1" applyFill="1" applyAlignment="1">
      <alignment horizontal="center"/>
    </xf>
    <xf numFmtId="184" fontId="39" fillId="134" borderId="9" xfId="0" applyNumberFormat="1" applyFont="1" applyFill="1" applyBorder="1" applyAlignment="1">
      <alignment horizontal="center"/>
    </xf>
    <xf numFmtId="10" fontId="39" fillId="134" borderId="9" xfId="4" applyNumberFormat="1" applyFont="1" applyFill="1" applyBorder="1" applyAlignment="1">
      <alignment horizontal="center"/>
    </xf>
    <xf numFmtId="44" fontId="39" fillId="134" borderId="9" xfId="0" applyNumberFormat="1" applyFont="1" applyFill="1" applyBorder="1" applyAlignment="1">
      <alignment horizontal="center"/>
    </xf>
    <xf numFmtId="7" fontId="39" fillId="134" borderId="0" xfId="0" applyNumberFormat="1" applyFont="1" applyFill="1" applyAlignment="1">
      <alignment horizontal="right"/>
    </xf>
    <xf numFmtId="7" fontId="39" fillId="134" borderId="9" xfId="0" applyNumberFormat="1" applyFont="1" applyFill="1" applyBorder="1" applyAlignment="1">
      <alignment horizontal="right"/>
    </xf>
    <xf numFmtId="44" fontId="40" fillId="134" borderId="0" xfId="2" applyFont="1" applyFill="1" applyBorder="1" applyAlignment="1">
      <alignment horizontal="right"/>
    </xf>
    <xf numFmtId="44" fontId="39" fillId="134" borderId="0" xfId="0" applyNumberFormat="1" applyFont="1" applyFill="1" applyBorder="1"/>
    <xf numFmtId="184" fontId="177" fillId="134" borderId="103" xfId="2" quotePrefix="1" applyNumberFormat="1" applyFont="1" applyFill="1" applyBorder="1" applyAlignment="1">
      <alignment horizontal="center" vertical="center" wrapText="1"/>
    </xf>
    <xf numFmtId="7" fontId="191" fillId="134" borderId="18" xfId="0" applyNumberFormat="1" applyFont="1" applyFill="1" applyBorder="1" applyAlignment="1">
      <alignment horizontal="center"/>
    </xf>
    <xf numFmtId="0" fontId="191" fillId="37" borderId="0" xfId="5" applyFont="1" applyFill="1" applyBorder="1" applyAlignment="1">
      <alignment horizontal="center" vertical="center"/>
    </xf>
    <xf numFmtId="43" fontId="182" fillId="134" borderId="0" xfId="1" applyFont="1" applyFill="1" applyBorder="1"/>
    <xf numFmtId="249" fontId="39" fillId="134" borderId="0" xfId="0" applyNumberFormat="1" applyFont="1" applyFill="1"/>
    <xf numFmtId="37" fontId="40" fillId="134" borderId="7" xfId="0" applyNumberFormat="1" applyFont="1" applyFill="1" applyBorder="1" applyAlignment="1">
      <alignment horizontal="center"/>
    </xf>
    <xf numFmtId="44" fontId="39" fillId="134" borderId="7" xfId="2" applyFont="1" applyFill="1" applyBorder="1"/>
    <xf numFmtId="7" fontId="191" fillId="134" borderId="39" xfId="0" applyNumberFormat="1" applyFont="1" applyFill="1" applyBorder="1" applyAlignment="1">
      <alignment horizontal="center"/>
    </xf>
    <xf numFmtId="7" fontId="40" fillId="134" borderId="40" xfId="0" applyNumberFormat="1" applyFont="1" applyFill="1" applyBorder="1" applyAlignment="1">
      <alignment horizontal="center"/>
    </xf>
    <xf numFmtId="7" fontId="39" fillId="134" borderId="42" xfId="0" applyNumberFormat="1" applyFont="1" applyFill="1" applyBorder="1"/>
    <xf numFmtId="250" fontId="39" fillId="134" borderId="0" xfId="0" applyNumberFormat="1" applyFont="1" applyFill="1"/>
    <xf numFmtId="0" fontId="6"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0" fillId="134" borderId="18" xfId="0" applyFont="1" applyFill="1" applyBorder="1" applyAlignment="1">
      <alignment horizontal="center"/>
    </xf>
    <xf numFmtId="10" fontId="39" fillId="134" borderId="0" xfId="4" applyNumberFormat="1" applyFont="1" applyFill="1" applyBorder="1" applyAlignment="1">
      <alignment horizontal="center"/>
    </xf>
    <xf numFmtId="0" fontId="177" fillId="152" borderId="48" xfId="0" quotePrefix="1" applyFont="1" applyFill="1" applyBorder="1" applyAlignment="1">
      <alignment horizontal="center" vertical="center" wrapText="1"/>
    </xf>
    <xf numFmtId="0" fontId="177" fillId="152" borderId="22" xfId="0" quotePrefix="1" applyFont="1" applyFill="1" applyBorder="1" applyAlignment="1">
      <alignment horizontal="center" vertical="center" wrapText="1"/>
    </xf>
    <xf numFmtId="0" fontId="177" fillId="152" borderId="55" xfId="0" applyFont="1" applyFill="1" applyBorder="1" applyAlignment="1">
      <alignment horizontal="center" vertical="center" wrapText="1"/>
    </xf>
    <xf numFmtId="0" fontId="177" fillId="152" borderId="56" xfId="0" applyFont="1" applyFill="1" applyBorder="1" applyAlignment="1">
      <alignment horizontal="center" vertical="center" wrapText="1"/>
    </xf>
    <xf numFmtId="43" fontId="13" fillId="134" borderId="0" xfId="1" applyFont="1" applyFill="1"/>
    <xf numFmtId="184" fontId="45" fillId="134" borderId="99" xfId="0" applyNumberFormat="1" applyFont="1" applyFill="1" applyBorder="1" applyAlignment="1">
      <alignment horizontal="center"/>
    </xf>
    <xf numFmtId="184" fontId="45" fillId="134" borderId="98" xfId="0" applyNumberFormat="1" applyFont="1" applyFill="1" applyBorder="1" applyAlignment="1">
      <alignment horizontal="center"/>
    </xf>
    <xf numFmtId="0" fontId="64" fillId="134" borderId="99" xfId="0" applyFont="1" applyFill="1" applyBorder="1" applyAlignment="1">
      <alignment horizontal="left"/>
    </xf>
    <xf numFmtId="184" fontId="0" fillId="134" borderId="0" xfId="2" quotePrefix="1" applyNumberFormat="1" applyFont="1" applyFill="1" applyBorder="1"/>
    <xf numFmtId="0" fontId="16" fillId="134" borderId="0" xfId="0" applyFont="1" applyFill="1"/>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6" fillId="134" borderId="0" xfId="0" applyFont="1" applyFill="1" applyBorder="1" applyAlignment="1">
      <alignment horizontal="center"/>
    </xf>
    <xf numFmtId="0" fontId="6"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166" fontId="46" fillId="134" borderId="1" xfId="4" applyNumberFormat="1" applyFont="1" applyFill="1" applyBorder="1" applyAlignment="1">
      <alignment horizontal="center"/>
    </xf>
    <xf numFmtId="166" fontId="46" fillId="134" borderId="0" xfId="4" applyNumberFormat="1" applyFont="1" applyFill="1" applyBorder="1" applyAlignment="1">
      <alignment horizontal="center"/>
    </xf>
    <xf numFmtId="10" fontId="177" fillId="134" borderId="0" xfId="4" applyNumberFormat="1" applyFont="1" applyFill="1" applyBorder="1" applyAlignment="1">
      <alignment horizontal="center"/>
    </xf>
    <xf numFmtId="0" fontId="40" fillId="0" borderId="0" xfId="5" applyFont="1" applyFill="1" applyBorder="1" applyAlignment="1">
      <alignment horizontal="center"/>
    </xf>
    <xf numFmtId="0" fontId="212" fillId="134" borderId="0" xfId="0" applyFont="1" applyFill="1" applyAlignment="1">
      <alignment vertical="center"/>
    </xf>
    <xf numFmtId="3" fontId="213" fillId="134" borderId="0" xfId="100" applyNumberFormat="1" applyFont="1" applyFill="1" applyAlignment="1">
      <alignment vertical="center"/>
    </xf>
    <xf numFmtId="0" fontId="47" fillId="0" borderId="42" xfId="0" quotePrefix="1" applyFont="1" applyFill="1" applyBorder="1" applyAlignment="1">
      <alignment horizontal="center" vertical="center" wrapText="1"/>
    </xf>
    <xf numFmtId="0" fontId="47" fillId="0" borderId="41" xfId="0" quotePrefix="1" applyFont="1" applyFill="1" applyBorder="1" applyAlignment="1">
      <alignment horizontal="center" vertical="center" wrapText="1"/>
    </xf>
    <xf numFmtId="0" fontId="46" fillId="134" borderId="17" xfId="0" applyFont="1" applyFill="1" applyBorder="1" applyAlignment="1">
      <alignment horizontal="center" vertical="center" wrapText="1"/>
    </xf>
    <xf numFmtId="0" fontId="46" fillId="134" borderId="18" xfId="0" applyFont="1" applyFill="1" applyBorder="1" applyAlignment="1">
      <alignment horizontal="center" vertical="center" wrapText="1"/>
    </xf>
    <xf numFmtId="0" fontId="46" fillId="134" borderId="21" xfId="0" applyFont="1" applyFill="1" applyBorder="1" applyAlignment="1">
      <alignment horizontal="center" vertical="center" wrapText="1"/>
    </xf>
    <xf numFmtId="0" fontId="47" fillId="0" borderId="13" xfId="0" quotePrefix="1" applyFont="1" applyFill="1" applyBorder="1" applyAlignment="1">
      <alignment horizontal="center" vertical="center" wrapText="1"/>
    </xf>
    <xf numFmtId="0" fontId="8" fillId="134" borderId="0" xfId="5" applyFont="1" applyFill="1" applyBorder="1" applyAlignment="1"/>
    <xf numFmtId="7" fontId="39" fillId="134" borderId="0" xfId="0" applyNumberFormat="1" applyFont="1" applyFill="1" applyBorder="1" applyAlignment="1">
      <alignment horizontal="right"/>
    </xf>
    <xf numFmtId="0" fontId="39" fillId="134" borderId="17" xfId="5" applyFont="1" applyFill="1" applyBorder="1" applyAlignment="1">
      <alignment horizontal="center" vertical="center" wrapText="1"/>
    </xf>
    <xf numFmtId="0" fontId="46" fillId="134" borderId="19" xfId="0" applyFont="1" applyFill="1" applyBorder="1" applyAlignment="1">
      <alignment horizontal="center" vertical="center" wrapText="1"/>
    </xf>
    <xf numFmtId="0" fontId="39" fillId="134" borderId="48" xfId="5" applyFont="1" applyFill="1" applyBorder="1" applyAlignment="1">
      <alignment horizontal="center" vertical="center" wrapText="1"/>
    </xf>
    <xf numFmtId="0" fontId="46" fillId="134" borderId="11" xfId="0" applyFont="1" applyFill="1" applyBorder="1" applyAlignment="1">
      <alignment horizontal="center" vertical="center" wrapText="1"/>
    </xf>
    <xf numFmtId="0" fontId="39" fillId="134" borderId="55" xfId="5" applyFont="1" applyFill="1" applyBorder="1" applyAlignment="1">
      <alignment horizontal="center"/>
    </xf>
    <xf numFmtId="0" fontId="46" fillId="134" borderId="116" xfId="0" applyFont="1" applyFill="1" applyBorder="1" applyAlignment="1">
      <alignment horizontal="center" vertical="center" wrapText="1"/>
    </xf>
    <xf numFmtId="0" fontId="46" fillId="134" borderId="8" xfId="0" applyFont="1" applyFill="1" applyBorder="1" applyAlignment="1">
      <alignment horizontal="center" vertical="center" wrapText="1"/>
    </xf>
    <xf numFmtId="0" fontId="39" fillId="134" borderId="8" xfId="0" quotePrefix="1" applyFont="1" applyFill="1" applyBorder="1" applyAlignment="1">
      <alignment horizontal="center"/>
    </xf>
    <xf numFmtId="0" fontId="39" fillId="134" borderId="8" xfId="0" applyFont="1" applyFill="1" applyBorder="1" applyAlignment="1">
      <alignment horizontal="center"/>
    </xf>
    <xf numFmtId="0" fontId="39" fillId="134" borderId="7" xfId="5" applyFont="1" applyFill="1" applyBorder="1" applyAlignment="1">
      <alignment horizontal="center" vertical="center"/>
    </xf>
    <xf numFmtId="0" fontId="0" fillId="134" borderId="8" xfId="0" applyFill="1" applyBorder="1"/>
    <xf numFmtId="0" fontId="0" fillId="134" borderId="99" xfId="0" applyFill="1" applyBorder="1" applyAlignment="1">
      <alignment wrapText="1"/>
    </xf>
    <xf numFmtId="0" fontId="45" fillId="134" borderId="109" xfId="0" applyFont="1" applyFill="1" applyBorder="1" applyAlignment="1">
      <alignment horizontal="center"/>
    </xf>
    <xf numFmtId="0" fontId="13" fillId="134" borderId="0" xfId="0" applyFont="1" applyFill="1" applyBorder="1"/>
    <xf numFmtId="0" fontId="16"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6"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39" fillId="134" borderId="0" xfId="0" applyNumberFormat="1" applyFont="1" applyFill="1" applyBorder="1" applyAlignment="1">
      <alignment horizontal="center"/>
    </xf>
    <xf numFmtId="184" fontId="39" fillId="134" borderId="0" xfId="0" applyNumberFormat="1" applyFont="1" applyFill="1" applyBorder="1" applyAlignment="1">
      <alignment horizontal="center"/>
    </xf>
    <xf numFmtId="0" fontId="40" fillId="134" borderId="0" xfId="0" applyFont="1" applyFill="1" applyBorder="1" applyAlignment="1">
      <alignment horizontal="center" wrapText="1"/>
    </xf>
    <xf numFmtId="0" fontId="0" fillId="134" borderId="0" xfId="0" applyFill="1" applyBorder="1" applyAlignment="1">
      <alignment horizontal="center"/>
    </xf>
    <xf numFmtId="0" fontId="45" fillId="134" borderId="0" xfId="0" applyFont="1" applyFill="1" applyBorder="1" applyAlignment="1">
      <alignment horizontal="center"/>
    </xf>
    <xf numFmtId="0" fontId="16" fillId="134" borderId="0" xfId="0" applyFont="1" applyFill="1" applyBorder="1" applyAlignment="1">
      <alignment horizontal="center"/>
    </xf>
    <xf numFmtId="0" fontId="38" fillId="0" borderId="0" xfId="5" applyFont="1" applyFill="1" applyBorder="1" applyAlignment="1">
      <alignment horizontal="center"/>
    </xf>
    <xf numFmtId="0" fontId="38" fillId="134" borderId="0" xfId="5" applyFont="1" applyFill="1" applyBorder="1" applyAlignment="1">
      <alignment horizontal="center"/>
    </xf>
    <xf numFmtId="3" fontId="13" fillId="134" borderId="0" xfId="100" applyNumberFormat="1" applyFont="1" applyFill="1" applyAlignment="1">
      <alignment vertical="center"/>
    </xf>
    <xf numFmtId="0" fontId="47" fillId="0" borderId="48" xfId="0" quotePrefix="1" applyFont="1" applyFill="1" applyBorder="1" applyAlignment="1">
      <alignment horizontal="center" vertical="center" wrapText="1"/>
    </xf>
    <xf numFmtId="0" fontId="45" fillId="134" borderId="12" xfId="0" applyFont="1" applyFill="1" applyBorder="1" applyAlignment="1">
      <alignment horizontal="center"/>
    </xf>
    <xf numFmtId="0" fontId="47" fillId="0" borderId="6" xfId="0" quotePrefix="1" applyFont="1" applyFill="1" applyBorder="1" applyAlignment="1">
      <alignment horizontal="center" vertical="center" wrapText="1"/>
    </xf>
    <xf numFmtId="0" fontId="64" fillId="134" borderId="6" xfId="0" applyFont="1" applyFill="1" applyBorder="1" applyAlignment="1">
      <alignment horizontal="left"/>
    </xf>
    <xf numFmtId="0" fontId="39" fillId="134" borderId="14" xfId="101" applyNumberFormat="1" applyFont="1" applyFill="1" applyBorder="1" applyAlignment="1">
      <alignment horizontal="center"/>
    </xf>
    <xf numFmtId="185" fontId="39" fillId="134" borderId="0" xfId="101" applyFont="1" applyFill="1" applyBorder="1" applyAlignment="1">
      <alignment horizontal="center"/>
    </xf>
    <xf numFmtId="168" fontId="213" fillId="134" borderId="0" xfId="0" applyNumberFormat="1" applyFont="1" applyFill="1" applyBorder="1" applyAlignment="1">
      <alignment horizontal="center"/>
    </xf>
    <xf numFmtId="0" fontId="181" fillId="134" borderId="4" xfId="0" applyFont="1" applyFill="1" applyBorder="1" applyAlignment="1">
      <alignment horizontal="center"/>
    </xf>
    <xf numFmtId="3" fontId="225" fillId="134" borderId="0" xfId="100" applyNumberFormat="1" applyFont="1" applyFill="1"/>
    <xf numFmtId="0" fontId="213" fillId="37" borderId="34" xfId="0" applyFont="1" applyFill="1" applyBorder="1" applyAlignment="1">
      <alignment horizontal="center" vertical="center" wrapText="1"/>
    </xf>
    <xf numFmtId="0" fontId="213" fillId="37" borderId="67" xfId="0" applyFont="1" applyFill="1" applyBorder="1" applyAlignment="1">
      <alignment horizontal="center" vertical="center" wrapText="1"/>
    </xf>
    <xf numFmtId="0" fontId="177" fillId="37" borderId="39" xfId="0" applyFont="1" applyFill="1" applyBorder="1" applyAlignment="1">
      <alignment horizontal="center" vertical="center" wrapText="1"/>
    </xf>
    <xf numFmtId="0" fontId="177" fillId="38" borderId="105" xfId="0" applyFont="1" applyFill="1" applyBorder="1" applyAlignment="1">
      <alignment horizontal="center" vertical="center" wrapText="1"/>
    </xf>
    <xf numFmtId="168" fontId="213" fillId="38" borderId="34" xfId="0" applyNumberFormat="1" applyFont="1" applyFill="1" applyBorder="1" applyAlignment="1">
      <alignment horizontal="center"/>
    </xf>
    <xf numFmtId="0" fontId="186" fillId="38" borderId="32" xfId="0" applyFont="1" applyFill="1" applyBorder="1" applyAlignment="1">
      <alignment horizontal="center"/>
    </xf>
    <xf numFmtId="0" fontId="46" fillId="38" borderId="14" xfId="0" applyFont="1" applyFill="1" applyBorder="1" applyAlignment="1">
      <alignment horizontal="center" vertical="center" wrapText="1"/>
    </xf>
    <xf numFmtId="168" fontId="39" fillId="134" borderId="14" xfId="143" applyNumberFormat="1" applyFont="1" applyFill="1" applyBorder="1" applyAlignment="1">
      <alignment horizontal="center"/>
    </xf>
    <xf numFmtId="0" fontId="181" fillId="134" borderId="0" xfId="0" applyFont="1" applyFill="1" applyBorder="1" applyAlignment="1">
      <alignment horizontal="center"/>
    </xf>
    <xf numFmtId="0" fontId="186" fillId="38" borderId="91" xfId="0" applyFont="1" applyFill="1" applyBorder="1" applyAlignment="1">
      <alignment horizontal="center"/>
    </xf>
    <xf numFmtId="168" fontId="213" fillId="38" borderId="67" xfId="0" applyNumberFormat="1" applyFont="1" applyFill="1" applyBorder="1" applyAlignment="1">
      <alignment horizontal="center"/>
    </xf>
    <xf numFmtId="0" fontId="186" fillId="37" borderId="91" xfId="0" applyFont="1" applyFill="1" applyBorder="1" applyAlignment="1">
      <alignment horizontal="center"/>
    </xf>
    <xf numFmtId="168" fontId="39" fillId="0" borderId="5" xfId="143" applyNumberFormat="1" applyFont="1" applyFill="1" applyBorder="1" applyAlignment="1">
      <alignment horizontal="center"/>
    </xf>
    <xf numFmtId="168" fontId="39" fillId="37" borderId="42" xfId="143" applyNumberFormat="1" applyFont="1" applyFill="1" applyBorder="1" applyAlignment="1">
      <alignment horizontal="center"/>
    </xf>
    <xf numFmtId="168" fontId="39" fillId="134" borderId="5" xfId="143" applyNumberFormat="1" applyFont="1" applyFill="1" applyBorder="1" applyAlignment="1">
      <alignment horizontal="center"/>
    </xf>
    <xf numFmtId="168" fontId="39" fillId="134" borderId="4" xfId="143" applyNumberFormat="1" applyFont="1" applyFill="1" applyBorder="1" applyAlignment="1">
      <alignment horizontal="center"/>
    </xf>
    <xf numFmtId="168" fontId="39" fillId="134" borderId="0" xfId="143" applyNumberFormat="1" applyFont="1" applyFill="1" applyBorder="1" applyAlignment="1">
      <alignment horizontal="center"/>
    </xf>
    <xf numFmtId="168" fontId="39" fillId="37" borderId="40" xfId="143" applyNumberFormat="1" applyFont="1" applyFill="1" applyBorder="1" applyAlignment="1">
      <alignment horizontal="center"/>
    </xf>
    <xf numFmtId="168" fontId="39" fillId="134" borderId="27" xfId="143" applyNumberFormat="1" applyFont="1" applyFill="1" applyBorder="1" applyAlignment="1">
      <alignment horizontal="center"/>
    </xf>
    <xf numFmtId="168" fontId="39" fillId="37" borderId="43" xfId="143" applyNumberFormat="1" applyFont="1" applyFill="1" applyBorder="1" applyAlignment="1">
      <alignment horizontal="center"/>
    </xf>
    <xf numFmtId="168" fontId="39" fillId="37" borderId="67" xfId="143" applyNumberFormat="1" applyFont="1" applyFill="1" applyBorder="1" applyAlignment="1">
      <alignment horizontal="center"/>
    </xf>
    <xf numFmtId="0" fontId="46" fillId="37" borderId="0" xfId="0" applyFont="1" applyFill="1" applyBorder="1" applyAlignment="1">
      <alignment horizontal="center" vertical="center" wrapText="1"/>
    </xf>
    <xf numFmtId="168" fontId="40" fillId="37" borderId="42" xfId="143" applyNumberFormat="1" applyFont="1" applyFill="1" applyBorder="1" applyAlignment="1">
      <alignment horizontal="center"/>
    </xf>
    <xf numFmtId="168" fontId="40" fillId="37" borderId="40" xfId="143" applyNumberFormat="1" applyFont="1" applyFill="1" applyBorder="1" applyAlignment="1">
      <alignment horizontal="center"/>
    </xf>
    <xf numFmtId="168" fontId="40" fillId="37" borderId="43" xfId="143" applyNumberFormat="1" applyFont="1" applyFill="1" applyBorder="1" applyAlignment="1">
      <alignment horizontal="center"/>
    </xf>
    <xf numFmtId="168" fontId="40" fillId="37" borderId="67" xfId="143" applyNumberFormat="1" applyFont="1" applyFill="1" applyBorder="1" applyAlignment="1">
      <alignment horizontal="center"/>
    </xf>
    <xf numFmtId="168" fontId="40" fillId="38" borderId="42" xfId="143" applyNumberFormat="1" applyFont="1" applyFill="1" applyBorder="1" applyAlignment="1">
      <alignment horizontal="center"/>
    </xf>
    <xf numFmtId="168" fontId="40" fillId="38" borderId="40" xfId="143" applyNumberFormat="1" applyFont="1" applyFill="1" applyBorder="1" applyAlignment="1">
      <alignment horizontal="center"/>
    </xf>
    <xf numFmtId="168" fontId="40" fillId="38" borderId="43" xfId="143" applyNumberFormat="1" applyFont="1" applyFill="1" applyBorder="1" applyAlignment="1">
      <alignment horizontal="center"/>
    </xf>
    <xf numFmtId="168" fontId="40" fillId="38" borderId="67" xfId="143" applyNumberFormat="1" applyFont="1" applyFill="1" applyBorder="1" applyAlignment="1">
      <alignment horizontal="center"/>
    </xf>
    <xf numFmtId="0" fontId="186" fillId="37" borderId="41" xfId="0" applyFont="1" applyFill="1" applyBorder="1" applyAlignment="1">
      <alignment horizontal="center"/>
    </xf>
    <xf numFmtId="0" fontId="186" fillId="37" borderId="22" xfId="0" applyFont="1" applyFill="1" applyBorder="1" applyAlignment="1">
      <alignment horizontal="center"/>
    </xf>
    <xf numFmtId="0" fontId="46" fillId="37" borderId="115" xfId="0" applyFont="1" applyFill="1" applyBorder="1" applyAlignment="1">
      <alignment horizontal="center" vertical="center" wrapText="1"/>
    </xf>
    <xf numFmtId="0" fontId="213" fillId="37" borderId="121" xfId="0" applyFont="1" applyFill="1" applyBorder="1" applyAlignment="1">
      <alignment horizontal="center" vertical="center" wrapText="1"/>
    </xf>
    <xf numFmtId="0" fontId="186" fillId="37" borderId="122" xfId="0" applyFont="1" applyFill="1" applyBorder="1" applyAlignment="1">
      <alignment horizontal="center"/>
    </xf>
    <xf numFmtId="0" fontId="46" fillId="37" borderId="123" xfId="0" applyFont="1" applyFill="1" applyBorder="1" applyAlignment="1">
      <alignment horizontal="center" vertical="center" wrapText="1"/>
    </xf>
    <xf numFmtId="0" fontId="213" fillId="37" borderId="124" xfId="0" applyFont="1" applyFill="1" applyBorder="1" applyAlignment="1">
      <alignment horizontal="center" vertical="center" wrapText="1"/>
    </xf>
    <xf numFmtId="0" fontId="186" fillId="37" borderId="11" xfId="0" applyFont="1" applyFill="1" applyBorder="1" applyAlignment="1">
      <alignment horizontal="center"/>
    </xf>
    <xf numFmtId="0" fontId="186" fillId="37" borderId="52" xfId="0" applyFont="1" applyFill="1" applyBorder="1" applyAlignment="1">
      <alignment horizontal="center"/>
    </xf>
    <xf numFmtId="0" fontId="47" fillId="0" borderId="0" xfId="0" quotePrefix="1" applyFont="1" applyFill="1" applyBorder="1" applyAlignment="1">
      <alignment horizontal="center" vertical="center" wrapText="1"/>
    </xf>
    <xf numFmtId="0" fontId="39" fillId="134" borderId="7" xfId="5" applyFont="1" applyFill="1" applyBorder="1" applyAlignment="1">
      <alignment horizontal="center" vertical="center" wrapText="1"/>
    </xf>
    <xf numFmtId="0" fontId="177" fillId="134" borderId="6" xfId="0" applyFont="1" applyFill="1" applyBorder="1"/>
    <xf numFmtId="0" fontId="39" fillId="37" borderId="0" xfId="0" applyFont="1" applyFill="1" applyBorder="1" applyAlignment="1">
      <alignment horizontal="center" vertical="center" wrapText="1"/>
    </xf>
    <xf numFmtId="0" fontId="39" fillId="37" borderId="1" xfId="0" applyFont="1" applyFill="1" applyBorder="1" applyAlignment="1">
      <alignment horizontal="center" vertical="center" wrapText="1"/>
    </xf>
    <xf numFmtId="0" fontId="177" fillId="37" borderId="0" xfId="0" quotePrefix="1" applyFont="1" applyFill="1" applyBorder="1" applyAlignment="1">
      <alignment horizontal="center" vertical="center" wrapText="1"/>
    </xf>
    <xf numFmtId="0" fontId="177" fillId="37" borderId="1" xfId="0" quotePrefix="1" applyFont="1" applyFill="1" applyBorder="1" applyAlignment="1">
      <alignment horizontal="center" vertical="center" wrapText="1"/>
    </xf>
    <xf numFmtId="0" fontId="177" fillId="37" borderId="66" xfId="0" applyFont="1" applyFill="1" applyBorder="1" applyAlignment="1">
      <alignment horizontal="center" vertical="center" wrapText="1"/>
    </xf>
    <xf numFmtId="0" fontId="46" fillId="37" borderId="102" xfId="0" applyFont="1" applyFill="1" applyBorder="1" applyAlignment="1">
      <alignment horizontal="center" vertical="center" wrapText="1"/>
    </xf>
    <xf numFmtId="0" fontId="0" fillId="37" borderId="0" xfId="0" applyFill="1" applyBorder="1"/>
    <xf numFmtId="0" fontId="0" fillId="37" borderId="1" xfId="0" applyFill="1" applyBorder="1"/>
    <xf numFmtId="10" fontId="46" fillId="37" borderId="0" xfId="4" applyNumberFormat="1" applyFont="1" applyFill="1" applyBorder="1" applyAlignment="1">
      <alignment horizontal="center" vertical="center"/>
    </xf>
    <xf numFmtId="184" fontId="46" fillId="37" borderId="0" xfId="4" applyNumberFormat="1" applyFont="1" applyFill="1" applyBorder="1" applyAlignment="1">
      <alignment horizontal="center" vertical="center"/>
    </xf>
    <xf numFmtId="10" fontId="46" fillId="37" borderId="1" xfId="4" applyNumberFormat="1" applyFont="1" applyFill="1" applyBorder="1" applyAlignment="1">
      <alignment horizontal="center" vertical="center"/>
    </xf>
    <xf numFmtId="166" fontId="0" fillId="37" borderId="98" xfId="2" applyNumberFormat="1" applyFont="1" applyFill="1" applyBorder="1" applyAlignment="1">
      <alignment horizontal="center"/>
    </xf>
    <xf numFmtId="166" fontId="0" fillId="37" borderId="100" xfId="2" applyNumberFormat="1" applyFont="1" applyFill="1" applyBorder="1" applyAlignment="1">
      <alignment horizontal="center"/>
    </xf>
    <xf numFmtId="184" fontId="177" fillId="37" borderId="18" xfId="2" applyNumberFormat="1" applyFont="1" applyFill="1" applyBorder="1" applyAlignment="1">
      <alignment horizontal="center"/>
    </xf>
    <xf numFmtId="10" fontId="177" fillId="37" borderId="18" xfId="4" applyNumberFormat="1" applyFont="1" applyFill="1" applyBorder="1" applyAlignment="1">
      <alignment horizontal="center"/>
    </xf>
    <xf numFmtId="184" fontId="177" fillId="37" borderId="0" xfId="4" applyNumberFormat="1" applyFont="1" applyFill="1" applyBorder="1" applyAlignment="1">
      <alignment horizontal="center" vertical="center"/>
    </xf>
    <xf numFmtId="10" fontId="177" fillId="37" borderId="21" xfId="4" applyNumberFormat="1" applyFont="1" applyFill="1" applyBorder="1" applyAlignment="1">
      <alignment horizontal="center"/>
    </xf>
    <xf numFmtId="0" fontId="224" fillId="37" borderId="98" xfId="0" applyFont="1" applyFill="1" applyBorder="1" applyAlignment="1">
      <alignment horizontal="center"/>
    </xf>
    <xf numFmtId="0" fontId="0" fillId="37" borderId="100" xfId="0" applyFill="1" applyBorder="1"/>
    <xf numFmtId="0" fontId="39" fillId="38" borderId="1" xfId="0" applyFont="1" applyFill="1" applyBorder="1" applyAlignment="1">
      <alignment horizontal="center" vertical="center" wrapText="1"/>
    </xf>
    <xf numFmtId="0" fontId="177" fillId="38" borderId="22" xfId="0" quotePrefix="1" applyFont="1" applyFill="1" applyBorder="1" applyAlignment="1">
      <alignment horizontal="center" vertical="center" wrapText="1"/>
    </xf>
    <xf numFmtId="0" fontId="177" fillId="38" borderId="56" xfId="0" applyFont="1" applyFill="1" applyBorder="1" applyAlignment="1">
      <alignment horizontal="center" vertical="center" wrapText="1"/>
    </xf>
    <xf numFmtId="0" fontId="0" fillId="38" borderId="1" xfId="0" applyFill="1" applyBorder="1"/>
    <xf numFmtId="10" fontId="46" fillId="38" borderId="1" xfId="4" applyNumberFormat="1" applyFont="1" applyFill="1" applyBorder="1" applyAlignment="1">
      <alignment horizontal="center" vertical="center"/>
    </xf>
    <xf numFmtId="166" fontId="0" fillId="38" borderId="1" xfId="2" applyNumberFormat="1" applyFont="1" applyFill="1" applyBorder="1" applyAlignment="1">
      <alignment horizontal="center"/>
    </xf>
    <xf numFmtId="10" fontId="177" fillId="38" borderId="115" xfId="4" applyNumberFormat="1" applyFont="1" applyFill="1" applyBorder="1" applyAlignment="1">
      <alignment horizontal="center"/>
    </xf>
    <xf numFmtId="0" fontId="0" fillId="38" borderId="100" xfId="0" applyFill="1" applyBorder="1"/>
    <xf numFmtId="0" fontId="46" fillId="134" borderId="16" xfId="0" applyFont="1" applyFill="1" applyBorder="1" applyAlignment="1">
      <alignment horizontal="center"/>
    </xf>
    <xf numFmtId="0" fontId="213" fillId="38" borderId="67" xfId="0" applyFont="1" applyFill="1" applyBorder="1" applyAlignment="1">
      <alignment horizontal="center" vertical="center" wrapText="1"/>
    </xf>
    <xf numFmtId="0" fontId="46" fillId="134" borderId="56" xfId="0" applyFont="1" applyFill="1" applyBorder="1" applyAlignment="1">
      <alignment horizontal="center" vertical="center" wrapText="1"/>
    </xf>
    <xf numFmtId="0" fontId="39" fillId="134" borderId="1" xfId="0" quotePrefix="1" applyFont="1" applyFill="1" applyBorder="1" applyAlignment="1">
      <alignment horizontal="center"/>
    </xf>
    <xf numFmtId="0" fontId="40" fillId="134" borderId="21" xfId="0" applyFont="1" applyFill="1" applyBorder="1" applyAlignment="1">
      <alignment horizontal="center"/>
    </xf>
    <xf numFmtId="0" fontId="0" fillId="134" borderId="6" xfId="0" applyFill="1" applyBorder="1" applyAlignment="1">
      <alignment wrapText="1"/>
    </xf>
    <xf numFmtId="0" fontId="39" fillId="134" borderId="30" xfId="0" applyFont="1" applyFill="1" applyBorder="1"/>
    <xf numFmtId="0" fontId="39" fillId="134" borderId="13" xfId="0" applyFont="1" applyFill="1" applyBorder="1"/>
    <xf numFmtId="171" fontId="188" fillId="134" borderId="7" xfId="0" applyNumberFormat="1" applyFont="1" applyFill="1" applyBorder="1" applyAlignment="1">
      <alignment horizontal="center" vertical="center"/>
    </xf>
    <xf numFmtId="0" fontId="182" fillId="134" borderId="7" xfId="0" applyFont="1" applyFill="1" applyBorder="1" applyAlignment="1">
      <alignment horizontal="center" vertical="center"/>
    </xf>
    <xf numFmtId="0" fontId="182" fillId="134" borderId="99" xfId="0" applyFont="1" applyFill="1" applyBorder="1" applyAlignment="1">
      <alignment horizontal="center" vertical="center"/>
    </xf>
    <xf numFmtId="168" fontId="188" fillId="159" borderId="40" xfId="0" applyNumberFormat="1" applyFont="1" applyFill="1" applyBorder="1"/>
    <xf numFmtId="168" fontId="188" fillId="159" borderId="40" xfId="0" applyNumberFormat="1" applyFont="1" applyFill="1" applyBorder="1" applyAlignment="1"/>
    <xf numFmtId="168" fontId="188" fillId="159" borderId="42" xfId="0" applyNumberFormat="1" applyFont="1" applyFill="1" applyBorder="1" applyAlignment="1"/>
    <xf numFmtId="168" fontId="188" fillId="159" borderId="43" xfId="0" applyNumberFormat="1" applyFont="1" applyFill="1" applyBorder="1" applyAlignment="1"/>
    <xf numFmtId="0" fontId="40" fillId="134" borderId="100" xfId="0" quotePrefix="1" applyFont="1" applyFill="1" applyBorder="1" applyAlignment="1">
      <alignment horizontal="center"/>
    </xf>
    <xf numFmtId="0" fontId="177" fillId="134" borderId="42" xfId="0" quotePrefix="1" applyFont="1" applyFill="1" applyBorder="1" applyAlignment="1">
      <alignment horizontal="center" vertical="center" wrapText="1"/>
    </xf>
    <xf numFmtId="0" fontId="210" fillId="134" borderId="0" xfId="5" applyFont="1" applyFill="1" applyAlignment="1">
      <alignment wrapText="1"/>
    </xf>
    <xf numFmtId="0" fontId="210" fillId="134" borderId="98" xfId="5" applyFont="1" applyFill="1" applyBorder="1" applyAlignment="1">
      <alignment wrapText="1"/>
    </xf>
    <xf numFmtId="0" fontId="40" fillId="161" borderId="19" xfId="0" applyFont="1" applyFill="1" applyBorder="1" applyAlignment="1">
      <alignment horizontal="center"/>
    </xf>
    <xf numFmtId="0" fontId="177" fillId="134" borderId="99" xfId="0" quotePrefix="1" applyFont="1" applyFill="1" applyBorder="1" applyAlignment="1">
      <alignment horizontal="center"/>
    </xf>
    <xf numFmtId="0" fontId="40" fillId="134" borderId="98" xfId="0" quotePrefix="1" applyFont="1" applyFill="1" applyBorder="1" applyAlignment="1">
      <alignment horizontal="center"/>
    </xf>
    <xf numFmtId="0" fontId="40" fillId="134" borderId="99" xfId="0" quotePrefix="1" applyFont="1" applyFill="1" applyBorder="1" applyAlignment="1">
      <alignment horizontal="center"/>
    </xf>
    <xf numFmtId="0" fontId="40" fillId="152" borderId="99" xfId="0" quotePrefix="1" applyFont="1" applyFill="1" applyBorder="1" applyAlignment="1">
      <alignment horizontal="center"/>
    </xf>
    <xf numFmtId="0" fontId="40" fillId="152" borderId="98" xfId="0" quotePrefix="1" applyFont="1" applyFill="1" applyBorder="1" applyAlignment="1">
      <alignment horizontal="center"/>
    </xf>
    <xf numFmtId="0" fontId="177" fillId="134" borderId="100" xfId="0" quotePrefix="1" applyFont="1" applyFill="1" applyBorder="1" applyAlignment="1">
      <alignment horizontal="center"/>
    </xf>
    <xf numFmtId="0" fontId="177" fillId="134" borderId="48" xfId="0" quotePrefix="1" applyFont="1" applyFill="1" applyBorder="1" applyAlignment="1">
      <alignment horizontal="center" vertical="center" wrapText="1"/>
    </xf>
    <xf numFmtId="0" fontId="40" fillId="134" borderId="6" xfId="0" quotePrefix="1" applyFont="1" applyFill="1" applyBorder="1" applyAlignment="1">
      <alignment horizontal="center"/>
    </xf>
    <xf numFmtId="0" fontId="178" fillId="134" borderId="0" xfId="0" applyFont="1" applyFill="1" applyAlignment="1">
      <alignment horizontal="center"/>
    </xf>
    <xf numFmtId="0" fontId="178" fillId="134" borderId="0" xfId="0" applyFont="1" applyFill="1" applyBorder="1" applyAlignment="1">
      <alignment horizontal="center"/>
    </xf>
    <xf numFmtId="0" fontId="178" fillId="134" borderId="14" xfId="0" applyFont="1" applyFill="1" applyBorder="1" applyAlignment="1">
      <alignment horizontal="center"/>
    </xf>
    <xf numFmtId="10" fontId="40" fillId="0" borderId="18" xfId="4" applyNumberFormat="1" applyFont="1" applyFill="1" applyBorder="1" applyAlignment="1">
      <alignment horizontal="center"/>
    </xf>
    <xf numFmtId="251" fontId="39" fillId="134" borderId="0" xfId="1" applyNumberFormat="1" applyFont="1" applyFill="1" applyBorder="1"/>
    <xf numFmtId="164" fontId="39" fillId="134" borderId="0" xfId="0" applyNumberFormat="1" applyFont="1" applyFill="1" applyBorder="1" applyAlignment="1">
      <alignment horizontal="center"/>
    </xf>
    <xf numFmtId="164" fontId="39" fillId="134" borderId="14" xfId="0" applyNumberFormat="1" applyFont="1" applyFill="1" applyBorder="1" applyAlignment="1">
      <alignment horizontal="center"/>
    </xf>
    <xf numFmtId="0" fontId="8" fillId="0" borderId="0" xfId="5" applyFont="1" applyFill="1" applyAlignment="1">
      <alignment horizontal="centerContinuous"/>
    </xf>
    <xf numFmtId="0" fontId="39" fillId="0" borderId="0" xfId="5" applyFont="1" applyFill="1" applyAlignment="1">
      <alignment horizontal="centerContinuous"/>
    </xf>
    <xf numFmtId="0" fontId="39" fillId="0" borderId="0" xfId="0" applyFont="1" applyFill="1" applyAlignment="1">
      <alignment horizontal="center"/>
    </xf>
    <xf numFmtId="0" fontId="40" fillId="0" borderId="53" xfId="0" applyFont="1" applyFill="1" applyBorder="1" applyAlignment="1">
      <alignment horizontal="center"/>
    </xf>
    <xf numFmtId="0" fontId="188" fillId="0" borderId="53" xfId="0" applyFont="1" applyFill="1" applyBorder="1" applyAlignment="1">
      <alignment horizontal="center"/>
    </xf>
    <xf numFmtId="49" fontId="39" fillId="0" borderId="0" xfId="4" applyNumberFormat="1" applyFont="1" applyFill="1" applyAlignment="1">
      <alignment horizontal="center"/>
    </xf>
    <xf numFmtId="0" fontId="65" fillId="0" borderId="0" xfId="5" applyFont="1" applyAlignment="1">
      <alignment horizontal="center"/>
    </xf>
    <xf numFmtId="184" fontId="39" fillId="0" borderId="5" xfId="2" applyNumberFormat="1" applyFont="1" applyFill="1" applyBorder="1"/>
    <xf numFmtId="184" fontId="39" fillId="0" borderId="11" xfId="2" applyNumberFormat="1" applyFont="1" applyFill="1" applyBorder="1"/>
    <xf numFmtId="0" fontId="39" fillId="134" borderId="34" xfId="0" applyFont="1" applyFill="1" applyBorder="1" applyAlignment="1">
      <alignment horizontal="center"/>
    </xf>
    <xf numFmtId="171" fontId="182" fillId="0" borderId="14" xfId="0" applyNumberFormat="1" applyFont="1" applyFill="1" applyBorder="1"/>
    <xf numFmtId="0" fontId="182" fillId="134" borderId="27" xfId="0" applyFont="1" applyFill="1" applyBorder="1" applyAlignment="1">
      <alignment horizontal="center"/>
    </xf>
    <xf numFmtId="0" fontId="182" fillId="134" borderId="14" xfId="0" applyFont="1" applyFill="1" applyBorder="1" applyAlignment="1">
      <alignment horizontal="center"/>
    </xf>
    <xf numFmtId="164" fontId="182" fillId="134" borderId="0" xfId="0" applyNumberFormat="1" applyFont="1" applyFill="1" applyBorder="1" applyAlignment="1">
      <alignment horizontal="center"/>
    </xf>
    <xf numFmtId="0" fontId="60" fillId="134" borderId="0" xfId="0" applyFont="1" applyFill="1" applyBorder="1" applyAlignment="1">
      <alignment horizontal="center"/>
    </xf>
    <xf numFmtId="164" fontId="182" fillId="134" borderId="14" xfId="0" applyNumberFormat="1" applyFont="1" applyFill="1" applyBorder="1" applyAlignment="1">
      <alignment horizontal="center"/>
    </xf>
    <xf numFmtId="0" fontId="181" fillId="134" borderId="14" xfId="0" applyFont="1" applyFill="1" applyBorder="1" applyAlignment="1">
      <alignment horizontal="center"/>
    </xf>
    <xf numFmtId="37" fontId="40" fillId="37" borderId="39" xfId="0" applyNumberFormat="1" applyFont="1" applyFill="1" applyBorder="1" applyAlignment="1">
      <alignment horizontal="center"/>
    </xf>
    <xf numFmtId="0" fontId="40" fillId="37" borderId="40" xfId="0" applyFont="1" applyFill="1" applyBorder="1" applyAlignment="1">
      <alignment horizontal="center"/>
    </xf>
    <xf numFmtId="0" fontId="40" fillId="37" borderId="40" xfId="1" applyNumberFormat="1" applyFont="1" applyFill="1" applyBorder="1" applyAlignment="1">
      <alignment horizontal="center"/>
    </xf>
    <xf numFmtId="0" fontId="40" fillId="37" borderId="103" xfId="0" applyFont="1" applyFill="1" applyBorder="1" applyAlignment="1">
      <alignment horizontal="center"/>
    </xf>
    <xf numFmtId="0" fontId="40" fillId="37" borderId="42" xfId="0" applyFont="1" applyFill="1" applyBorder="1" applyAlignment="1">
      <alignment horizontal="center"/>
    </xf>
    <xf numFmtId="171" fontId="40" fillId="37" borderId="42" xfId="0" applyNumberFormat="1" applyFont="1" applyFill="1" applyBorder="1" applyAlignment="1">
      <alignment horizontal="center"/>
    </xf>
    <xf numFmtId="171" fontId="40" fillId="37" borderId="43" xfId="0" applyNumberFormat="1" applyFont="1" applyFill="1" applyBorder="1" applyAlignment="1">
      <alignment horizontal="center"/>
    </xf>
    <xf numFmtId="171" fontId="40" fillId="37" borderId="40" xfId="0" applyNumberFormat="1" applyFont="1" applyFill="1" applyBorder="1" applyAlignment="1">
      <alignment horizontal="center"/>
    </xf>
    <xf numFmtId="171" fontId="40" fillId="37" borderId="105" xfId="0" applyNumberFormat="1" applyFont="1" applyFill="1" applyBorder="1" applyAlignment="1">
      <alignment horizontal="center"/>
    </xf>
    <xf numFmtId="171" fontId="40" fillId="37" borderId="103" xfId="0" applyNumberFormat="1" applyFont="1" applyFill="1" applyBorder="1" applyAlignment="1">
      <alignment horizontal="center"/>
    </xf>
    <xf numFmtId="0" fontId="40" fillId="38" borderId="40" xfId="0" applyFont="1" applyFill="1" applyBorder="1" applyAlignment="1">
      <alignment horizontal="center"/>
    </xf>
    <xf numFmtId="0" fontId="40" fillId="38" borderId="103" xfId="0" applyFont="1" applyFill="1" applyBorder="1" applyAlignment="1">
      <alignment horizontal="center"/>
    </xf>
    <xf numFmtId="0" fontId="40" fillId="38" borderId="42" xfId="0" applyFont="1" applyFill="1" applyBorder="1" applyAlignment="1">
      <alignment horizontal="center"/>
    </xf>
    <xf numFmtId="171" fontId="40" fillId="38" borderId="42" xfId="0" applyNumberFormat="1" applyFont="1" applyFill="1" applyBorder="1" applyAlignment="1">
      <alignment horizontal="center"/>
    </xf>
    <xf numFmtId="171" fontId="40" fillId="38" borderId="43" xfId="0" applyNumberFormat="1" applyFont="1" applyFill="1" applyBorder="1" applyAlignment="1">
      <alignment horizontal="center"/>
    </xf>
    <xf numFmtId="171" fontId="40" fillId="38" borderId="40" xfId="0" applyNumberFormat="1" applyFont="1" applyFill="1" applyBorder="1" applyAlignment="1">
      <alignment horizontal="center"/>
    </xf>
    <xf numFmtId="171" fontId="40" fillId="38" borderId="67" xfId="0" applyNumberFormat="1" applyFont="1" applyFill="1" applyBorder="1" applyAlignment="1">
      <alignment horizontal="center"/>
    </xf>
    <xf numFmtId="0" fontId="40" fillId="38" borderId="40" xfId="1" applyNumberFormat="1" applyFont="1" applyFill="1" applyBorder="1" applyAlignment="1">
      <alignment horizontal="center"/>
    </xf>
    <xf numFmtId="7" fontId="188" fillId="0" borderId="29" xfId="0" applyNumberFormat="1" applyFont="1" applyFill="1" applyBorder="1" applyAlignment="1">
      <alignment horizontal="center"/>
    </xf>
    <xf numFmtId="7" fontId="188" fillId="0" borderId="91" xfId="0" applyNumberFormat="1" applyFont="1" applyFill="1" applyBorder="1" applyAlignment="1">
      <alignment horizontal="center"/>
    </xf>
    <xf numFmtId="0" fontId="210" fillId="134" borderId="0" xfId="0" applyFont="1" applyFill="1" applyAlignment="1">
      <alignment wrapText="1"/>
    </xf>
    <xf numFmtId="0" fontId="40" fillId="134" borderId="18" xfId="0" applyFont="1" applyFill="1" applyBorder="1" applyAlignment="1">
      <alignment horizontal="center"/>
    </xf>
    <xf numFmtId="0" fontId="39" fillId="134" borderId="0" xfId="0" quotePrefix="1" applyFont="1" applyFill="1"/>
    <xf numFmtId="243" fontId="46" fillId="134" borderId="0" xfId="4" applyNumberFormat="1" applyFont="1" applyFill="1" applyBorder="1" applyAlignment="1">
      <alignment horizontal="center"/>
    </xf>
    <xf numFmtId="184" fontId="40" fillId="37" borderId="14" xfId="2" applyNumberFormat="1" applyFont="1" applyFill="1" applyBorder="1"/>
    <xf numFmtId="184" fontId="40" fillId="38" borderId="14" xfId="2" applyNumberFormat="1" applyFont="1" applyFill="1" applyBorder="1"/>
    <xf numFmtId="10" fontId="43" fillId="37" borderId="38" xfId="4" applyNumberFormat="1" applyFont="1" applyFill="1" applyBorder="1"/>
    <xf numFmtId="184" fontId="40" fillId="37" borderId="11" xfId="2" applyNumberFormat="1" applyFont="1" applyFill="1" applyBorder="1"/>
    <xf numFmtId="171" fontId="198" fillId="134" borderId="0" xfId="0" quotePrefix="1" applyNumberFormat="1" applyFont="1" applyFill="1" applyAlignment="1">
      <alignment horizontal="center"/>
    </xf>
    <xf numFmtId="14" fontId="39" fillId="134" borderId="1" xfId="0" quotePrefix="1" applyNumberFormat="1" applyFont="1" applyFill="1" applyBorder="1" applyAlignment="1">
      <alignment horizontal="center"/>
    </xf>
    <xf numFmtId="171" fontId="39" fillId="134" borderId="7" xfId="0" applyNumberFormat="1" applyFont="1" applyFill="1" applyBorder="1" applyAlignment="1">
      <alignment horizontal="center"/>
    </xf>
    <xf numFmtId="0" fontId="39" fillId="134" borderId="7" xfId="1" applyNumberFormat="1" applyFont="1" applyFill="1" applyBorder="1" applyAlignment="1">
      <alignment horizontal="center"/>
    </xf>
    <xf numFmtId="0" fontId="40" fillId="134" borderId="1" xfId="1" applyNumberFormat="1" applyFont="1" applyFill="1" applyBorder="1" applyAlignment="1">
      <alignment horizontal="center"/>
    </xf>
    <xf numFmtId="0" fontId="39" fillId="134" borderId="99" xfId="1" applyNumberFormat="1" applyFont="1" applyFill="1" applyBorder="1" applyAlignment="1">
      <alignment horizontal="center"/>
    </xf>
    <xf numFmtId="0" fontId="40" fillId="134" borderId="100" xfId="1" applyNumberFormat="1" applyFont="1" applyFill="1" applyBorder="1" applyAlignment="1">
      <alignment horizontal="center"/>
    </xf>
    <xf numFmtId="0" fontId="40" fillId="134" borderId="22" xfId="0" applyFont="1" applyFill="1" applyBorder="1" applyAlignment="1">
      <alignment horizontal="center"/>
    </xf>
    <xf numFmtId="172" fontId="39" fillId="0" borderId="48" xfId="0" applyNumberFormat="1" applyFont="1" applyFill="1" applyBorder="1"/>
    <xf numFmtId="172" fontId="39" fillId="134" borderId="22" xfId="0" applyNumberFormat="1" applyFont="1" applyFill="1" applyBorder="1"/>
    <xf numFmtId="172" fontId="39" fillId="134" borderId="48" xfId="0" applyNumberFormat="1" applyFont="1" applyFill="1" applyBorder="1"/>
    <xf numFmtId="172" fontId="39" fillId="0" borderId="22" xfId="0" applyNumberFormat="1" applyFont="1" applyFill="1" applyBorder="1"/>
    <xf numFmtId="172" fontId="39" fillId="134" borderId="7" xfId="0" applyNumberFormat="1" applyFont="1" applyFill="1" applyBorder="1"/>
    <xf numFmtId="172" fontId="39" fillId="134" borderId="1" xfId="0" applyNumberFormat="1" applyFont="1" applyFill="1" applyBorder="1"/>
    <xf numFmtId="172" fontId="39" fillId="0" borderId="7" xfId="0" applyNumberFormat="1" applyFont="1" applyFill="1" applyBorder="1"/>
    <xf numFmtId="172" fontId="39" fillId="134" borderId="7" xfId="0" applyNumberFormat="1" applyFont="1" applyFill="1" applyBorder="1" applyAlignment="1"/>
    <xf numFmtId="172" fontId="39" fillId="134" borderId="1" xfId="0" applyNumberFormat="1" applyFont="1" applyFill="1" applyBorder="1" applyAlignment="1"/>
    <xf numFmtId="172" fontId="39" fillId="134" borderId="48" xfId="0" applyNumberFormat="1" applyFont="1" applyFill="1" applyBorder="1" applyAlignment="1"/>
    <xf numFmtId="172" fontId="39" fillId="134" borderId="22" xfId="0" applyNumberFormat="1" applyFont="1" applyFill="1" applyBorder="1" applyAlignment="1"/>
    <xf numFmtId="172" fontId="39" fillId="134" borderId="44" xfId="0" applyNumberFormat="1" applyFont="1" applyFill="1" applyBorder="1" applyAlignment="1"/>
    <xf numFmtId="172" fontId="39" fillId="134" borderId="49" xfId="0" applyNumberFormat="1" applyFont="1" applyFill="1" applyBorder="1" applyAlignment="1"/>
    <xf numFmtId="0" fontId="39" fillId="134" borderId="0" xfId="0" quotePrefix="1" applyFont="1" applyFill="1" applyBorder="1"/>
    <xf numFmtId="169" fontId="39" fillId="0" borderId="36" xfId="51236" applyNumberFormat="1" applyFont="1" applyFill="1" applyBorder="1" applyAlignment="1">
      <alignment horizontal="center"/>
    </xf>
    <xf numFmtId="171" fontId="216" fillId="134" borderId="9" xfId="0" applyNumberFormat="1" applyFont="1" applyFill="1" applyBorder="1"/>
    <xf numFmtId="171" fontId="216" fillId="134" borderId="9" xfId="0" applyNumberFormat="1" applyFont="1" applyFill="1" applyBorder="1" applyAlignment="1"/>
    <xf numFmtId="0" fontId="16" fillId="134" borderId="0" xfId="0" applyFont="1" applyFill="1" applyBorder="1" applyAlignment="1">
      <alignment horizontal="center"/>
    </xf>
    <xf numFmtId="0" fontId="40" fillId="134" borderId="98" xfId="0" applyFont="1" applyFill="1" applyBorder="1" applyAlignment="1">
      <alignment horizontal="center"/>
    </xf>
    <xf numFmtId="0" fontId="47" fillId="0" borderId="14" xfId="0" quotePrefix="1" applyFont="1" applyFill="1" applyBorder="1" applyAlignment="1">
      <alignment horizontal="center" vertical="center" wrapText="1"/>
    </xf>
    <xf numFmtId="10" fontId="0" fillId="134" borderId="7" xfId="0" applyNumberFormat="1" applyFill="1" applyBorder="1" applyAlignment="1">
      <alignment horizontal="center"/>
    </xf>
    <xf numFmtId="0" fontId="177" fillId="0" borderId="14" xfId="0" applyFont="1" applyFill="1" applyBorder="1" applyAlignment="1">
      <alignment horizontal="center" vertical="center" wrapText="1"/>
    </xf>
    <xf numFmtId="0" fontId="40" fillId="134" borderId="18" xfId="0" applyFont="1" applyFill="1" applyBorder="1" applyAlignment="1">
      <alignment horizontal="center" wrapText="1"/>
    </xf>
    <xf numFmtId="0" fontId="16" fillId="134" borderId="0" xfId="0" applyFont="1" applyFill="1" applyBorder="1" applyAlignment="1">
      <alignment horizontal="center"/>
    </xf>
    <xf numFmtId="167" fontId="39" fillId="134" borderId="27" xfId="1" applyNumberFormat="1" applyFont="1" applyFill="1" applyBorder="1"/>
    <xf numFmtId="0" fontId="198" fillId="0" borderId="98" xfId="0" applyFont="1" applyFill="1" applyBorder="1" applyAlignment="1">
      <alignment horizontal="center" vertical="center"/>
    </xf>
    <xf numFmtId="184" fontId="177" fillId="134" borderId="41" xfId="2" quotePrefix="1" applyNumberFormat="1" applyFont="1" applyFill="1" applyBorder="1" applyAlignment="1">
      <alignment horizontal="center" vertical="center" wrapText="1"/>
    </xf>
    <xf numFmtId="0" fontId="224" fillId="37" borderId="98" xfId="0" quotePrefix="1" applyFont="1" applyFill="1" applyBorder="1" applyAlignment="1">
      <alignment horizontal="center"/>
    </xf>
    <xf numFmtId="0" fontId="40" fillId="134" borderId="18" xfId="0" applyFont="1" applyFill="1" applyBorder="1" applyAlignment="1">
      <alignment horizontal="center"/>
    </xf>
    <xf numFmtId="10" fontId="39" fillId="134" borderId="0" xfId="4" applyNumberFormat="1" applyFont="1" applyFill="1" applyBorder="1" applyAlignment="1">
      <alignment horizontal="center"/>
    </xf>
    <xf numFmtId="0" fontId="16" fillId="134" borderId="0" xfId="0" applyFont="1" applyFill="1" applyBorder="1" applyAlignment="1">
      <alignment horizontal="center"/>
    </xf>
    <xf numFmtId="0" fontId="47" fillId="0" borderId="99" xfId="0" quotePrefix="1" applyFont="1" applyFill="1" applyBorder="1" applyAlignment="1">
      <alignment horizontal="center" vertical="center" wrapText="1"/>
    </xf>
    <xf numFmtId="0" fontId="39" fillId="38" borderId="0" xfId="0" applyFont="1" applyFill="1" applyBorder="1" applyAlignment="1">
      <alignment horizontal="center" vertical="center" wrapText="1"/>
    </xf>
    <xf numFmtId="0" fontId="177" fillId="38" borderId="14" xfId="0" quotePrefix="1" applyFont="1" applyFill="1" applyBorder="1" applyAlignment="1">
      <alignment horizontal="center" vertical="center" wrapText="1"/>
    </xf>
    <xf numFmtId="0" fontId="177" fillId="38" borderId="53" xfId="0" applyFont="1" applyFill="1" applyBorder="1" applyAlignment="1">
      <alignment horizontal="center" vertical="center" wrapText="1"/>
    </xf>
    <xf numFmtId="0" fontId="0" fillId="38" borderId="0" xfId="0" applyFill="1" applyBorder="1"/>
    <xf numFmtId="184" fontId="46" fillId="38" borderId="0" xfId="2" applyNumberFormat="1" applyFont="1" applyFill="1" applyBorder="1" applyAlignment="1">
      <alignment horizontal="center"/>
    </xf>
    <xf numFmtId="166" fontId="0" fillId="38" borderId="0" xfId="2" applyNumberFormat="1" applyFont="1" applyFill="1" applyBorder="1" applyAlignment="1">
      <alignment horizontal="center"/>
    </xf>
    <xf numFmtId="184" fontId="177" fillId="38" borderId="9" xfId="2" applyNumberFormat="1" applyFont="1" applyFill="1" applyBorder="1" applyAlignment="1">
      <alignment horizontal="center"/>
    </xf>
    <xf numFmtId="0" fontId="224" fillId="38" borderId="98" xfId="0" quotePrefix="1" applyFont="1" applyFill="1" applyBorder="1" applyAlignment="1">
      <alignment horizontal="center"/>
    </xf>
    <xf numFmtId="10" fontId="46" fillId="38" borderId="0" xfId="4" applyNumberFormat="1" applyFont="1" applyFill="1" applyBorder="1" applyAlignment="1">
      <alignment horizontal="center" vertical="center"/>
    </xf>
    <xf numFmtId="0" fontId="0" fillId="38" borderId="98" xfId="0" applyFill="1" applyBorder="1"/>
    <xf numFmtId="0" fontId="46" fillId="38" borderId="113" xfId="0" applyFont="1" applyFill="1" applyBorder="1" applyAlignment="1">
      <alignment horizontal="center" vertical="center" wrapText="1"/>
    </xf>
    <xf numFmtId="0" fontId="46" fillId="38" borderId="9" xfId="0" applyFont="1" applyFill="1" applyBorder="1" applyAlignment="1">
      <alignment horizontal="center" vertical="center" wrapText="1"/>
    </xf>
    <xf numFmtId="166" fontId="0" fillId="38" borderId="14" xfId="2" applyNumberFormat="1" applyFont="1" applyFill="1" applyBorder="1" applyAlignment="1">
      <alignment horizontal="center"/>
    </xf>
    <xf numFmtId="0" fontId="186" fillId="37" borderId="125" xfId="0" applyFont="1" applyFill="1" applyBorder="1" applyAlignment="1">
      <alignment horizontal="center"/>
    </xf>
    <xf numFmtId="0" fontId="46" fillId="37" borderId="126" xfId="0" applyFont="1" applyFill="1" applyBorder="1" applyAlignment="1">
      <alignment horizontal="center" vertical="center" wrapText="1"/>
    </xf>
    <xf numFmtId="0" fontId="213" fillId="37" borderId="127" xfId="0" applyFont="1" applyFill="1" applyBorder="1" applyAlignment="1">
      <alignment horizontal="center" vertical="center" wrapText="1"/>
    </xf>
    <xf numFmtId="0" fontId="186" fillId="38" borderId="29" xfId="0" applyFont="1" applyFill="1" applyBorder="1" applyAlignment="1">
      <alignment horizontal="center"/>
    </xf>
    <xf numFmtId="0" fontId="46" fillId="38" borderId="48" xfId="0" applyFont="1" applyFill="1" applyBorder="1" applyAlignment="1">
      <alignment horizontal="center" vertical="center" wrapText="1"/>
    </xf>
    <xf numFmtId="0" fontId="186" fillId="38" borderId="30" xfId="0" applyFont="1" applyFill="1" applyBorder="1" applyAlignment="1">
      <alignment horizontal="center"/>
    </xf>
    <xf numFmtId="0" fontId="46" fillId="38" borderId="1" xfId="0" applyFont="1" applyFill="1" applyBorder="1" applyAlignment="1">
      <alignment horizontal="center" vertical="center" wrapText="1"/>
    </xf>
    <xf numFmtId="168" fontId="39" fillId="134" borderId="11" xfId="143" applyNumberFormat="1" applyFont="1" applyFill="1" applyBorder="1" applyAlignment="1">
      <alignment horizontal="center"/>
    </xf>
    <xf numFmtId="168" fontId="39" fillId="134" borderId="8" xfId="143" applyNumberFormat="1" applyFont="1" applyFill="1" applyBorder="1" applyAlignment="1">
      <alignment horizontal="center"/>
    </xf>
    <xf numFmtId="168" fontId="39" fillId="134" borderId="28" xfId="143" applyNumberFormat="1" applyFont="1" applyFill="1" applyBorder="1" applyAlignment="1">
      <alignment horizontal="center"/>
    </xf>
    <xf numFmtId="168" fontId="39" fillId="134" borderId="35" xfId="143" applyNumberFormat="1" applyFont="1" applyFill="1" applyBorder="1" applyAlignment="1">
      <alignment horizontal="center"/>
    </xf>
    <xf numFmtId="168" fontId="39" fillId="134" borderId="48" xfId="143" applyNumberFormat="1" applyFont="1" applyFill="1" applyBorder="1" applyAlignment="1">
      <alignment horizontal="center"/>
    </xf>
    <xf numFmtId="168" fontId="39" fillId="134" borderId="7" xfId="143" applyNumberFormat="1" applyFont="1" applyFill="1" applyBorder="1" applyAlignment="1">
      <alignment horizontal="center"/>
    </xf>
    <xf numFmtId="168" fontId="39" fillId="134" borderId="44" xfId="143" applyNumberFormat="1" applyFont="1" applyFill="1" applyBorder="1" applyAlignment="1">
      <alignment horizontal="center"/>
    </xf>
    <xf numFmtId="168" fontId="39" fillId="134" borderId="50" xfId="143" applyNumberFormat="1" applyFont="1" applyFill="1" applyBorder="1" applyAlignment="1">
      <alignment horizontal="center"/>
    </xf>
    <xf numFmtId="0" fontId="46" fillId="38" borderId="128" xfId="0" applyFont="1" applyFill="1" applyBorder="1" applyAlignment="1">
      <alignment horizontal="center" vertical="center" wrapText="1"/>
    </xf>
    <xf numFmtId="168" fontId="39" fillId="134" borderId="34" xfId="143" applyNumberFormat="1" applyFont="1" applyFill="1" applyBorder="1" applyAlignment="1">
      <alignment horizontal="center"/>
    </xf>
    <xf numFmtId="168" fontId="213" fillId="38" borderId="50" xfId="0" applyNumberFormat="1" applyFont="1" applyFill="1" applyBorder="1" applyAlignment="1">
      <alignment horizontal="center" vertical="center"/>
    </xf>
    <xf numFmtId="168" fontId="213" fillId="38" borderId="34" xfId="0" applyNumberFormat="1" applyFont="1" applyFill="1" applyBorder="1" applyAlignment="1">
      <alignment horizontal="center" vertical="center"/>
    </xf>
    <xf numFmtId="168" fontId="213" fillId="38" borderId="121" xfId="0" applyNumberFormat="1" applyFont="1" applyFill="1" applyBorder="1" applyAlignment="1">
      <alignment horizontal="center" vertical="center"/>
    </xf>
    <xf numFmtId="184" fontId="46" fillId="37" borderId="0" xfId="2" applyNumberFormat="1" applyFont="1" applyFill="1" applyBorder="1" applyAlignment="1">
      <alignment horizontal="center"/>
    </xf>
    <xf numFmtId="0" fontId="177" fillId="134" borderId="1" xfId="0" quotePrefix="1" applyFont="1" applyFill="1" applyBorder="1" applyAlignment="1">
      <alignment horizontal="center" vertical="center" wrapText="1"/>
    </xf>
    <xf numFmtId="0" fontId="38" fillId="37" borderId="29" xfId="5" applyFont="1" applyFill="1" applyBorder="1" applyAlignment="1"/>
    <xf numFmtId="0" fontId="38" fillId="37" borderId="30" xfId="5" applyFont="1" applyFill="1" applyBorder="1" applyAlignment="1"/>
    <xf numFmtId="243" fontId="39" fillId="134" borderId="0" xfId="2" applyNumberFormat="1" applyFont="1" applyFill="1" applyBorder="1"/>
    <xf numFmtId="0" fontId="47" fillId="0" borderId="98" xfId="0" quotePrefix="1" applyFont="1" applyFill="1" applyBorder="1" applyAlignment="1">
      <alignment horizontal="center" vertical="center" wrapText="1"/>
    </xf>
    <xf numFmtId="0" fontId="38" fillId="134" borderId="0" xfId="5" applyFont="1" applyFill="1" applyBorder="1" applyAlignment="1"/>
    <xf numFmtId="0" fontId="47" fillId="134" borderId="0" xfId="0" quotePrefix="1" applyFont="1" applyFill="1" applyBorder="1" applyAlignment="1">
      <alignment horizontal="center" vertical="center" wrapText="1"/>
    </xf>
    <xf numFmtId="0" fontId="38" fillId="38" borderId="29" xfId="5" applyFont="1" applyFill="1" applyBorder="1" applyAlignment="1">
      <alignment vertical="center"/>
    </xf>
    <xf numFmtId="0" fontId="38" fillId="38" borderId="30" xfId="5" applyFont="1" applyFill="1" applyBorder="1" applyAlignment="1">
      <alignment vertical="center"/>
    </xf>
    <xf numFmtId="0" fontId="45" fillId="134" borderId="6" xfId="0" applyFont="1" applyFill="1" applyBorder="1" applyAlignment="1">
      <alignment horizontal="center"/>
    </xf>
    <xf numFmtId="184" fontId="46" fillId="38" borderId="18" xfId="2" applyNumberFormat="1" applyFont="1" applyFill="1" applyBorder="1" applyAlignment="1">
      <alignment horizontal="center"/>
    </xf>
    <xf numFmtId="10" fontId="46" fillId="38" borderId="18" xfId="4" applyNumberFormat="1" applyFont="1" applyFill="1" applyBorder="1" applyAlignment="1">
      <alignment horizontal="center" vertical="center"/>
    </xf>
    <xf numFmtId="184" fontId="177" fillId="38" borderId="18" xfId="2" applyNumberFormat="1" applyFont="1" applyFill="1" applyBorder="1" applyAlignment="1">
      <alignment horizontal="center"/>
    </xf>
    <xf numFmtId="10" fontId="177" fillId="38" borderId="21" xfId="4" applyNumberFormat="1" applyFont="1" applyFill="1" applyBorder="1" applyAlignment="1">
      <alignment horizontal="center"/>
    </xf>
    <xf numFmtId="0" fontId="47" fillId="0" borderId="100" xfId="0" quotePrefix="1" applyFont="1" applyFill="1" applyBorder="1" applyAlignment="1">
      <alignment horizontal="center" vertical="center" wrapText="1"/>
    </xf>
    <xf numFmtId="243" fontId="177" fillId="134" borderId="7" xfId="2" applyNumberFormat="1" applyFont="1" applyFill="1" applyBorder="1"/>
    <xf numFmtId="10" fontId="0" fillId="134" borderId="98" xfId="2" applyNumberFormat="1" applyFont="1" applyFill="1" applyBorder="1" applyAlignment="1">
      <alignment horizontal="center"/>
    </xf>
    <xf numFmtId="243" fontId="0" fillId="134" borderId="99" xfId="2" applyNumberFormat="1" applyFont="1" applyFill="1" applyBorder="1"/>
    <xf numFmtId="10" fontId="0" fillId="134" borderId="100" xfId="2" applyNumberFormat="1" applyFont="1" applyFill="1" applyBorder="1" applyAlignment="1">
      <alignment horizontal="center"/>
    </xf>
    <xf numFmtId="10" fontId="177" fillId="134" borderId="1" xfId="4" applyNumberFormat="1" applyFont="1" applyFill="1" applyBorder="1" applyAlignment="1">
      <alignment horizontal="center"/>
    </xf>
    <xf numFmtId="184" fontId="177" fillId="134" borderId="0" xfId="2" applyNumberFormat="1" applyFont="1" applyFill="1" applyBorder="1"/>
    <xf numFmtId="184" fontId="177" fillId="134" borderId="7" xfId="2" applyNumberFormat="1" applyFont="1" applyFill="1" applyBorder="1"/>
    <xf numFmtId="10" fontId="0" fillId="134" borderId="98" xfId="0" applyNumberFormat="1" applyFill="1" applyBorder="1" applyAlignment="1">
      <alignment horizontal="center"/>
    </xf>
    <xf numFmtId="10" fontId="0" fillId="134" borderId="100" xfId="0" applyNumberFormat="1" applyFill="1" applyBorder="1" applyAlignment="1">
      <alignment horizontal="center"/>
    </xf>
    <xf numFmtId="0" fontId="0" fillId="134" borderId="99" xfId="0" applyFill="1" applyBorder="1"/>
    <xf numFmtId="0" fontId="177" fillId="38" borderId="14" xfId="0" applyFont="1" applyFill="1" applyBorder="1" applyAlignment="1">
      <alignment horizontal="center" vertical="center" wrapText="1"/>
    </xf>
    <xf numFmtId="0" fontId="39" fillId="134" borderId="98" xfId="0" applyFont="1" applyFill="1" applyBorder="1" applyAlignment="1">
      <alignment horizontal="center"/>
    </xf>
    <xf numFmtId="0" fontId="40" fillId="134" borderId="98" xfId="0" applyFont="1" applyFill="1" applyBorder="1" applyAlignment="1">
      <alignment horizontal="center"/>
    </xf>
    <xf numFmtId="168" fontId="39" fillId="154" borderId="8" xfId="143" applyNumberFormat="1" applyFont="1" applyFill="1" applyBorder="1" applyAlignment="1">
      <alignment horizontal="center"/>
    </xf>
    <xf numFmtId="168" fontId="39" fillId="154" borderId="11" xfId="143" applyNumberFormat="1" applyFont="1" applyFill="1" applyBorder="1" applyAlignment="1">
      <alignment horizontal="center"/>
    </xf>
    <xf numFmtId="168" fontId="39" fillId="134" borderId="10" xfId="143" applyNumberFormat="1" applyFont="1" applyFill="1" applyBorder="1" applyAlignment="1">
      <alignment horizontal="center"/>
    </xf>
    <xf numFmtId="168" fontId="39" fillId="134" borderId="9" xfId="143" applyNumberFormat="1" applyFont="1" applyFill="1" applyBorder="1" applyAlignment="1">
      <alignment horizontal="center"/>
    </xf>
    <xf numFmtId="168" fontId="39" fillId="134" borderId="15" xfId="143" applyNumberFormat="1" applyFont="1" applyFill="1" applyBorder="1" applyAlignment="1">
      <alignment horizontal="center"/>
    </xf>
    <xf numFmtId="168" fontId="39" fillId="134" borderId="2" xfId="143" applyNumberFormat="1" applyFont="1" applyFill="1" applyBorder="1" applyAlignment="1">
      <alignment horizontal="center"/>
    </xf>
    <xf numFmtId="171" fontId="39" fillId="134" borderId="48" xfId="0" applyNumberFormat="1" applyFont="1" applyFill="1" applyBorder="1" applyAlignment="1">
      <alignment horizontal="center"/>
    </xf>
    <xf numFmtId="171" fontId="40" fillId="134" borderId="14" xfId="0" applyNumberFormat="1" applyFont="1" applyFill="1" applyBorder="1" applyAlignment="1">
      <alignment horizontal="center"/>
    </xf>
    <xf numFmtId="171" fontId="40" fillId="134" borderId="0" xfId="0" applyNumberFormat="1" applyFont="1" applyFill="1" applyBorder="1" applyAlignment="1">
      <alignment horizontal="center"/>
    </xf>
    <xf numFmtId="171" fontId="40" fillId="134" borderId="22" xfId="0" applyNumberFormat="1" applyFont="1" applyFill="1" applyBorder="1" applyAlignment="1">
      <alignment horizontal="center"/>
    </xf>
    <xf numFmtId="171" fontId="40" fillId="134" borderId="98" xfId="0" applyNumberFormat="1" applyFont="1" applyFill="1" applyBorder="1" applyAlignment="1">
      <alignment horizontal="center"/>
    </xf>
    <xf numFmtId="7" fontId="39" fillId="134" borderId="48" xfId="2" applyNumberFormat="1" applyFont="1" applyFill="1" applyBorder="1"/>
    <xf numFmtId="7" fontId="40" fillId="134" borderId="42" xfId="0" applyNumberFormat="1" applyFont="1" applyFill="1" applyBorder="1"/>
    <xf numFmtId="252" fontId="0" fillId="134" borderId="0" xfId="1" applyNumberFormat="1" applyFont="1" applyFill="1"/>
    <xf numFmtId="43" fontId="181" fillId="134" borderId="0" xfId="1" applyFont="1" applyFill="1"/>
    <xf numFmtId="252" fontId="181" fillId="134" borderId="0" xfId="1" applyNumberFormat="1" applyFont="1" applyFill="1"/>
    <xf numFmtId="168" fontId="39" fillId="0" borderId="16" xfId="143" applyNumberFormat="1" applyFont="1" applyFill="1" applyBorder="1" applyAlignment="1">
      <alignment horizontal="center"/>
    </xf>
    <xf numFmtId="168" fontId="39" fillId="163" borderId="16" xfId="143" applyNumberFormat="1" applyFont="1" applyFill="1" applyBorder="1" applyAlignment="1">
      <alignment horizontal="center"/>
    </xf>
    <xf numFmtId="168" fontId="39" fillId="163" borderId="15" xfId="143" applyNumberFormat="1" applyFont="1" applyFill="1" applyBorder="1" applyAlignment="1">
      <alignment horizontal="center"/>
    </xf>
    <xf numFmtId="168" fontId="39" fillId="163" borderId="11" xfId="143" applyNumberFormat="1" applyFont="1" applyFill="1" applyBorder="1" applyAlignment="1">
      <alignment horizontal="center"/>
    </xf>
    <xf numFmtId="168" fontId="39" fillId="163" borderId="8" xfId="143" applyNumberFormat="1" applyFont="1" applyFill="1" applyBorder="1" applyAlignment="1">
      <alignment horizontal="center"/>
    </xf>
    <xf numFmtId="168" fontId="39" fillId="163" borderId="2" xfId="143" applyNumberFormat="1" applyFont="1" applyFill="1" applyBorder="1" applyAlignment="1">
      <alignment horizontal="center"/>
    </xf>
    <xf numFmtId="168" fontId="39" fillId="163" borderId="3" xfId="143" applyNumberFormat="1" applyFont="1" applyFill="1" applyBorder="1" applyAlignment="1">
      <alignment horizontal="center"/>
    </xf>
    <xf numFmtId="171" fontId="182" fillId="0" borderId="117" xfId="0" applyNumberFormat="1" applyFont="1" applyFill="1" applyBorder="1"/>
    <xf numFmtId="171" fontId="182" fillId="0" borderId="118" xfId="0" applyNumberFormat="1" applyFont="1" applyFill="1" applyBorder="1"/>
    <xf numFmtId="171" fontId="182" fillId="0" borderId="119" xfId="0" applyNumberFormat="1" applyFont="1" applyFill="1" applyBorder="1"/>
    <xf numFmtId="0" fontId="39" fillId="134" borderId="28" xfId="0" applyFont="1" applyFill="1" applyBorder="1" applyAlignment="1">
      <alignment horizontal="center"/>
    </xf>
    <xf numFmtId="0" fontId="39" fillId="134" borderId="9" xfId="0" applyFont="1" applyFill="1" applyBorder="1" applyAlignment="1">
      <alignment horizontal="center"/>
    </xf>
    <xf numFmtId="164" fontId="39" fillId="134" borderId="8" xfId="0" applyNumberFormat="1" applyFont="1" applyFill="1" applyBorder="1" applyAlignment="1">
      <alignment horizontal="center"/>
    </xf>
    <xf numFmtId="164" fontId="40" fillId="134" borderId="11" xfId="0" applyNumberFormat="1" applyFont="1" applyFill="1" applyBorder="1" applyAlignment="1">
      <alignment horizontal="center"/>
    </xf>
    <xf numFmtId="0" fontId="39" fillId="134" borderId="11" xfId="0" applyFont="1" applyFill="1" applyBorder="1" applyAlignment="1">
      <alignment horizontal="center"/>
    </xf>
    <xf numFmtId="0" fontId="39" fillId="134" borderId="15" xfId="0" applyFont="1" applyFill="1" applyBorder="1" applyAlignment="1">
      <alignment horizontal="center"/>
    </xf>
    <xf numFmtId="14" fontId="39" fillId="134" borderId="0" xfId="0" applyNumberFormat="1" applyFont="1" applyFill="1" applyBorder="1" applyAlignment="1">
      <alignment horizontal="left"/>
    </xf>
    <xf numFmtId="39" fontId="40" fillId="134" borderId="27" xfId="0" applyNumberFormat="1" applyFont="1" applyFill="1" applyBorder="1" applyAlignment="1"/>
    <xf numFmtId="0" fontId="40" fillId="134" borderId="18" xfId="0" applyFont="1" applyFill="1" applyBorder="1" applyAlignment="1">
      <alignment horizontal="center"/>
    </xf>
    <xf numFmtId="0" fontId="40" fillId="134" borderId="98" xfId="0" applyFont="1" applyFill="1" applyBorder="1" applyAlignment="1">
      <alignment horizontal="center"/>
    </xf>
    <xf numFmtId="37" fontId="39" fillId="134" borderId="0" xfId="0" applyNumberFormat="1" applyFont="1" applyFill="1" applyBorder="1" applyAlignment="1" applyProtection="1">
      <alignment horizontal="left" vertical="top" wrapText="1"/>
    </xf>
    <xf numFmtId="0" fontId="40" fillId="134" borderId="26" xfId="0" applyFont="1" applyFill="1" applyBorder="1" applyAlignment="1">
      <alignment horizontal="center"/>
    </xf>
    <xf numFmtId="0" fontId="40" fillId="134" borderId="28" xfId="0" applyFont="1" applyFill="1" applyBorder="1" applyAlignment="1">
      <alignment horizontal="center"/>
    </xf>
    <xf numFmtId="0" fontId="46" fillId="0" borderId="38"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81" fillId="0" borderId="0" xfId="0" applyFont="1" applyFill="1" applyAlignment="1">
      <alignment horizontal="center"/>
    </xf>
    <xf numFmtId="0" fontId="213" fillId="0" borderId="33" xfId="0" applyFont="1" applyFill="1" applyBorder="1" applyAlignment="1">
      <alignment horizontal="center"/>
    </xf>
    <xf numFmtId="0" fontId="213" fillId="0" borderId="34" xfId="0" applyFont="1" applyFill="1" applyBorder="1" applyAlignment="1">
      <alignment horizontal="center"/>
    </xf>
    <xf numFmtId="0" fontId="213" fillId="0" borderId="35" xfId="0" applyFont="1" applyFill="1" applyBorder="1" applyAlignment="1">
      <alignment horizontal="center"/>
    </xf>
    <xf numFmtId="168" fontId="213" fillId="0" borderId="26" xfId="0" applyNumberFormat="1" applyFont="1" applyFill="1" applyBorder="1" applyAlignment="1">
      <alignment horizontal="center"/>
    </xf>
    <xf numFmtId="37" fontId="39" fillId="134" borderId="0" xfId="0" applyNumberFormat="1" applyFont="1" applyFill="1" applyBorder="1" applyAlignment="1" applyProtection="1">
      <alignment vertical="top" wrapText="1"/>
    </xf>
    <xf numFmtId="37" fontId="39" fillId="134" borderId="0" xfId="0" applyNumberFormat="1" applyFont="1" applyFill="1" applyBorder="1" applyAlignment="1" applyProtection="1">
      <alignment horizontal="left" vertical="top"/>
    </xf>
    <xf numFmtId="0" fontId="39" fillId="134" borderId="0" xfId="101" applyNumberFormat="1" applyFont="1" applyFill="1" applyBorder="1" applyAlignment="1">
      <alignment horizontal="center"/>
    </xf>
    <xf numFmtId="7" fontId="39" fillId="134" borderId="0" xfId="2" applyNumberFormat="1" applyFont="1" applyFill="1" applyBorder="1" applyAlignment="1">
      <alignment horizontal="center"/>
    </xf>
    <xf numFmtId="43" fontId="0" fillId="134" borderId="0" xfId="1" applyFont="1" applyFill="1"/>
    <xf numFmtId="251" fontId="0" fillId="134" borderId="0" xfId="1" applyNumberFormat="1" applyFont="1" applyFill="1"/>
    <xf numFmtId="0" fontId="40" fillId="134" borderId="18" xfId="0" applyFont="1" applyFill="1" applyBorder="1" applyAlignment="1">
      <alignment horizontal="center"/>
    </xf>
    <xf numFmtId="10" fontId="43" fillId="162" borderId="16" xfId="4" applyNumberFormat="1" applyFont="1" applyFill="1" applyBorder="1"/>
    <xf numFmtId="171" fontId="182" fillId="0" borderId="14" xfId="0" applyNumberFormat="1" applyFont="1" applyFill="1" applyBorder="1" applyAlignment="1"/>
    <xf numFmtId="171" fontId="182" fillId="0" borderId="98" xfId="0" applyNumberFormat="1" applyFont="1" applyFill="1" applyBorder="1" applyAlignment="1"/>
    <xf numFmtId="0" fontId="228" fillId="0" borderId="0" xfId="0" applyFont="1"/>
    <xf numFmtId="0" fontId="182" fillId="0" borderId="0" xfId="0" applyFont="1" applyAlignment="1">
      <alignment horizontal="center"/>
    </xf>
    <xf numFmtId="0" fontId="182" fillId="0" borderId="0" xfId="0" applyFont="1" applyFill="1" applyAlignment="1">
      <alignment horizontal="center"/>
    </xf>
    <xf numFmtId="0" fontId="228" fillId="0" borderId="0" xfId="0" quotePrefix="1" applyFont="1" applyBorder="1" applyAlignment="1">
      <alignment horizontal="center"/>
    </xf>
    <xf numFmtId="0" fontId="228" fillId="0" borderId="0" xfId="0" applyFont="1" applyBorder="1" applyAlignment="1">
      <alignment horizontal="center"/>
    </xf>
    <xf numFmtId="0" fontId="228" fillId="0" borderId="0" xfId="0" applyFont="1" applyFill="1" applyBorder="1" applyAlignment="1">
      <alignment horizontal="center"/>
    </xf>
    <xf numFmtId="0" fontId="188" fillId="0" borderId="53" xfId="0" quotePrefix="1" applyFont="1" applyFill="1" applyBorder="1" applyAlignment="1">
      <alignment horizontal="center"/>
    </xf>
    <xf numFmtId="0" fontId="182" fillId="0" borderId="0" xfId="0" quotePrefix="1" applyFont="1" applyBorder="1" applyAlignment="1">
      <alignment horizontal="center"/>
    </xf>
    <xf numFmtId="0" fontId="182" fillId="0" borderId="0" xfId="0" applyFont="1" applyBorder="1" applyAlignment="1">
      <alignment horizontal="center"/>
    </xf>
    <xf numFmtId="0" fontId="182" fillId="0" borderId="0" xfId="0" applyFont="1" applyFill="1" applyBorder="1" applyAlignment="1">
      <alignment horizontal="center"/>
    </xf>
    <xf numFmtId="184" fontId="39" fillId="154" borderId="10" xfId="2" applyNumberFormat="1" applyFont="1" applyFill="1" applyBorder="1"/>
    <xf numFmtId="184" fontId="39" fillId="154" borderId="2" xfId="2" applyNumberFormat="1" applyFont="1" applyFill="1" applyBorder="1"/>
    <xf numFmtId="184" fontId="39" fillId="154" borderId="15" xfId="2" applyNumberFormat="1" applyFont="1" applyFill="1" applyBorder="1"/>
    <xf numFmtId="184" fontId="39" fillId="154" borderId="5" xfId="2" applyNumberFormat="1" applyFont="1" applyFill="1" applyBorder="1"/>
    <xf numFmtId="184" fontId="39" fillId="154" borderId="16" xfId="2" applyNumberFormat="1" applyFont="1" applyFill="1" applyBorder="1"/>
    <xf numFmtId="184" fontId="39" fillId="154" borderId="11" xfId="2" applyNumberFormat="1" applyFont="1" applyFill="1" applyBorder="1"/>
    <xf numFmtId="184" fontId="39" fillId="0" borderId="0" xfId="2" applyNumberFormat="1" applyFont="1" applyFill="1" applyBorder="1" applyAlignment="1">
      <alignment vertical="center"/>
    </xf>
    <xf numFmtId="184" fontId="39" fillId="39" borderId="0" xfId="2" applyNumberFormat="1" applyFont="1" applyFill="1" applyBorder="1" applyAlignment="1">
      <alignment vertical="center"/>
    </xf>
    <xf numFmtId="43" fontId="228" fillId="0" borderId="0" xfId="1" applyFont="1" applyFill="1"/>
    <xf numFmtId="184" fontId="6" fillId="0" borderId="0" xfId="0" applyNumberFormat="1" applyFont="1" applyFill="1"/>
    <xf numFmtId="184" fontId="228" fillId="0" borderId="0" xfId="0" applyNumberFormat="1" applyFont="1"/>
    <xf numFmtId="37" fontId="227" fillId="0" borderId="0" xfId="0" applyNumberFormat="1" applyFont="1" applyBorder="1" applyAlignment="1"/>
    <xf numFmtId="184" fontId="228" fillId="0" borderId="0" xfId="0" applyNumberFormat="1" applyFont="1" applyFill="1"/>
    <xf numFmtId="0" fontId="228" fillId="0" borderId="0" xfId="0" applyFont="1" applyFill="1"/>
    <xf numFmtId="0" fontId="6" fillId="0" borderId="0" xfId="0" applyFont="1" applyFill="1"/>
    <xf numFmtId="0" fontId="228" fillId="0" borderId="0" xfId="0" applyFont="1" applyFill="1" applyBorder="1"/>
    <xf numFmtId="0" fontId="228" fillId="0" borderId="0" xfId="0" applyFont="1" applyAlignment="1">
      <alignment horizontal="center"/>
    </xf>
    <xf numFmtId="0" fontId="40" fillId="0" borderId="0" xfId="5" applyFont="1" applyFill="1"/>
    <xf numFmtId="0" fontId="178" fillId="0" borderId="0" xfId="0" applyFont="1" applyFill="1" applyAlignment="1">
      <alignment horizontal="left"/>
    </xf>
    <xf numFmtId="10" fontId="228" fillId="0" borderId="0" xfId="4" applyNumberFormat="1" applyFont="1"/>
    <xf numFmtId="169" fontId="228" fillId="0" borderId="0" xfId="0" applyNumberFormat="1" applyFont="1" applyAlignment="1">
      <alignment horizontal="center"/>
    </xf>
    <xf numFmtId="0" fontId="39" fillId="134" borderId="0" xfId="0" applyFont="1" applyFill="1" applyAlignment="1">
      <alignment horizontal="center" vertical="center"/>
    </xf>
    <xf numFmtId="0" fontId="39" fillId="134" borderId="0" xfId="0" applyFont="1" applyFill="1" applyBorder="1" applyAlignment="1">
      <alignment horizontal="center" vertical="center"/>
    </xf>
    <xf numFmtId="37" fontId="39" fillId="134" borderId="33" xfId="0" applyNumberFormat="1" applyFont="1" applyFill="1" applyBorder="1"/>
    <xf numFmtId="37" fontId="39" fillId="0" borderId="33" xfId="0" applyNumberFormat="1" applyFont="1" applyFill="1" applyBorder="1"/>
    <xf numFmtId="37" fontId="39" fillId="0" borderId="0" xfId="0" applyNumberFormat="1" applyFont="1" applyFill="1" applyBorder="1"/>
    <xf numFmtId="14" fontId="39" fillId="134" borderId="7" xfId="0" quotePrefix="1" applyNumberFormat="1" applyFont="1" applyFill="1" applyBorder="1" applyAlignment="1">
      <alignment horizontal="center"/>
    </xf>
    <xf numFmtId="172" fontId="39" fillId="0" borderId="48" xfId="0" applyNumberFormat="1" applyFont="1" applyFill="1" applyBorder="1" applyAlignment="1">
      <alignment horizontal="center"/>
    </xf>
    <xf numFmtId="172" fontId="39" fillId="0" borderId="22" xfId="0" applyNumberFormat="1" applyFont="1" applyFill="1" applyBorder="1" applyAlignment="1">
      <alignment horizontal="center"/>
    </xf>
    <xf numFmtId="170" fontId="39" fillId="134" borderId="5" xfId="0" applyNumberFormat="1" applyFont="1" applyFill="1" applyBorder="1" applyAlignment="1">
      <alignment horizontal="center"/>
    </xf>
    <xf numFmtId="172" fontId="39" fillId="134" borderId="99" xfId="0" applyNumberFormat="1" applyFont="1" applyFill="1" applyBorder="1"/>
    <xf numFmtId="172" fontId="39" fillId="134" borderId="100" xfId="0" applyNumberFormat="1" applyFont="1" applyFill="1" applyBorder="1"/>
    <xf numFmtId="170" fontId="39" fillId="134" borderId="0" xfId="0" applyNumberFormat="1" applyFont="1" applyFill="1" applyAlignment="1">
      <alignment horizontal="center"/>
    </xf>
    <xf numFmtId="172" fontId="40" fillId="134" borderId="0" xfId="0" applyNumberFormat="1" applyFont="1" applyFill="1"/>
    <xf numFmtId="184" fontId="40" fillId="134" borderId="0" xfId="2" applyNumberFormat="1" applyFont="1" applyFill="1" applyAlignment="1">
      <alignment horizontal="center"/>
    </xf>
    <xf numFmtId="170" fontId="39" fillId="0" borderId="5" xfId="0" applyNumberFormat="1" applyFont="1" applyFill="1" applyBorder="1" applyAlignment="1">
      <alignment horizontal="center"/>
    </xf>
    <xf numFmtId="168" fontId="39" fillId="0" borderId="11" xfId="56362" applyNumberFormat="1" applyFont="1" applyFill="1" applyBorder="1"/>
    <xf numFmtId="170" fontId="39" fillId="0" borderId="4" xfId="0" applyNumberFormat="1" applyFont="1" applyFill="1" applyBorder="1" applyAlignment="1">
      <alignment horizontal="center"/>
    </xf>
    <xf numFmtId="5" fontId="39" fillId="0" borderId="0" xfId="3" applyNumberFormat="1" applyFont="1" applyFill="1" applyBorder="1"/>
    <xf numFmtId="168" fontId="39" fillId="0" borderId="8" xfId="56362" applyNumberFormat="1" applyFont="1" applyFill="1" applyBorder="1"/>
    <xf numFmtId="5" fontId="39" fillId="0" borderId="0" xfId="3" quotePrefix="1" applyNumberFormat="1" applyFont="1" applyFill="1" applyBorder="1"/>
    <xf numFmtId="5" fontId="39" fillId="0" borderId="0" xfId="0" applyNumberFormat="1" applyFont="1" applyFill="1" applyBorder="1"/>
    <xf numFmtId="170" fontId="39" fillId="0" borderId="26" xfId="0" applyNumberFormat="1" applyFont="1" applyFill="1" applyBorder="1" applyAlignment="1">
      <alignment horizontal="center"/>
    </xf>
    <xf numFmtId="247" fontId="197" fillId="134" borderId="0" xfId="2" applyNumberFormat="1" applyFont="1" applyFill="1" applyBorder="1" applyAlignment="1">
      <alignment horizontal="center"/>
    </xf>
    <xf numFmtId="244" fontId="197" fillId="134" borderId="0" xfId="2" applyNumberFormat="1" applyFont="1" applyFill="1" applyBorder="1" applyAlignment="1">
      <alignment horizontal="center"/>
    </xf>
    <xf numFmtId="0" fontId="181" fillId="134" borderId="0" xfId="0" applyFont="1" applyFill="1" applyAlignment="1">
      <alignment horizontal="center" vertical="center"/>
    </xf>
    <xf numFmtId="0" fontId="181" fillId="134" borderId="14" xfId="0" applyFont="1" applyFill="1" applyBorder="1" applyAlignment="1">
      <alignment horizontal="center" vertical="center"/>
    </xf>
    <xf numFmtId="0" fontId="181" fillId="134" borderId="0" xfId="0" applyFont="1" applyFill="1" applyBorder="1" applyAlignment="1">
      <alignment horizontal="center" vertical="center"/>
    </xf>
    <xf numFmtId="37" fontId="191" fillId="37" borderId="33" xfId="101" applyNumberFormat="1" applyFont="1" applyFill="1" applyBorder="1" applyAlignment="1">
      <alignment horizontal="center"/>
    </xf>
    <xf numFmtId="37" fontId="191" fillId="37" borderId="34" xfId="101" applyNumberFormat="1" applyFont="1" applyFill="1" applyBorder="1" applyAlignment="1">
      <alignment horizontal="center"/>
    </xf>
    <xf numFmtId="37" fontId="191" fillId="37" borderId="35" xfId="101" applyNumberFormat="1" applyFont="1" applyFill="1" applyBorder="1" applyAlignment="1">
      <alignment horizontal="center"/>
    </xf>
    <xf numFmtId="0" fontId="40" fillId="37" borderId="32" xfId="0" applyFont="1" applyFill="1" applyBorder="1" applyAlignment="1">
      <alignment horizontal="center"/>
    </xf>
    <xf numFmtId="0" fontId="40" fillId="37" borderId="29" xfId="0" applyFont="1" applyFill="1" applyBorder="1" applyAlignment="1">
      <alignment horizontal="center"/>
    </xf>
    <xf numFmtId="0" fontId="40" fillId="37" borderId="30" xfId="0" applyFont="1" applyFill="1" applyBorder="1" applyAlignment="1">
      <alignment horizontal="center"/>
    </xf>
    <xf numFmtId="0" fontId="40" fillId="134" borderId="98" xfId="0" applyFont="1" applyFill="1" applyBorder="1" applyAlignment="1">
      <alignment horizontal="center"/>
    </xf>
    <xf numFmtId="37" fontId="40" fillId="134" borderId="32" xfId="101" applyNumberFormat="1" applyFont="1" applyFill="1" applyBorder="1" applyAlignment="1">
      <alignment horizontal="center"/>
    </xf>
    <xf numFmtId="37" fontId="40" fillId="134" borderId="29" xfId="101" applyNumberFormat="1" applyFont="1" applyFill="1" applyBorder="1" applyAlignment="1">
      <alignment horizontal="center"/>
    </xf>
    <xf numFmtId="37" fontId="40" fillId="134" borderId="30" xfId="101" applyNumberFormat="1" applyFont="1" applyFill="1" applyBorder="1" applyAlignment="1">
      <alignment horizontal="center"/>
    </xf>
    <xf numFmtId="0" fontId="40" fillId="134" borderId="18" xfId="0" applyFont="1" applyFill="1" applyBorder="1" applyAlignment="1">
      <alignment horizontal="center"/>
    </xf>
    <xf numFmtId="0" fontId="40" fillId="134" borderId="0" xfId="0" applyFont="1" applyFill="1" applyBorder="1" applyAlignment="1">
      <alignment horizontal="center" wrapText="1"/>
    </xf>
    <xf numFmtId="0" fontId="40" fillId="158" borderId="26" xfId="0" applyFont="1" applyFill="1" applyBorder="1" applyAlignment="1">
      <alignment horizontal="left"/>
    </xf>
    <xf numFmtId="0" fontId="40" fillId="158" borderId="27" xfId="0" applyFont="1" applyFill="1" applyBorder="1" applyAlignment="1">
      <alignment horizontal="left"/>
    </xf>
    <xf numFmtId="0" fontId="40" fillId="158" borderId="28" xfId="0" applyFont="1" applyFill="1" applyBorder="1" applyAlignment="1">
      <alignment horizontal="left"/>
    </xf>
    <xf numFmtId="37" fontId="40" fillId="134" borderId="112" xfId="101" applyNumberFormat="1" applyFont="1" applyFill="1" applyBorder="1" applyAlignment="1">
      <alignment horizontal="center"/>
    </xf>
    <xf numFmtId="37" fontId="40" fillId="134" borderId="98" xfId="101" applyNumberFormat="1" applyFont="1" applyFill="1" applyBorder="1" applyAlignment="1">
      <alignment horizontal="center"/>
    </xf>
    <xf numFmtId="37" fontId="40" fillId="134" borderId="109" xfId="101" applyNumberFormat="1" applyFont="1" applyFill="1" applyBorder="1" applyAlignment="1">
      <alignment horizontal="center"/>
    </xf>
    <xf numFmtId="37" fontId="40" fillId="0" borderId="112" xfId="101" applyNumberFormat="1" applyFont="1" applyFill="1" applyBorder="1" applyAlignment="1">
      <alignment horizontal="center"/>
    </xf>
    <xf numFmtId="37" fontId="40" fillId="0" borderId="98" xfId="101" applyNumberFormat="1" applyFont="1" applyFill="1" applyBorder="1" applyAlignment="1">
      <alignment horizontal="center"/>
    </xf>
    <xf numFmtId="37" fontId="40" fillId="0" borderId="109" xfId="101" applyNumberFormat="1" applyFont="1" applyFill="1" applyBorder="1" applyAlignment="1">
      <alignment horizontal="center"/>
    </xf>
    <xf numFmtId="0" fontId="39" fillId="134" borderId="0" xfId="0" applyFont="1" applyFill="1" applyAlignment="1">
      <alignment horizontal="center" vertical="center"/>
    </xf>
    <xf numFmtId="0" fontId="39" fillId="134" borderId="0" xfId="0" applyFont="1" applyFill="1" applyBorder="1" applyAlignment="1">
      <alignment horizontal="center" vertical="center"/>
    </xf>
    <xf numFmtId="0" fontId="40" fillId="154" borderId="32" xfId="0" applyFont="1" applyFill="1" applyBorder="1" applyAlignment="1">
      <alignment horizontal="center"/>
    </xf>
    <xf numFmtId="0" fontId="40" fillId="154" borderId="29" xfId="0" applyFont="1" applyFill="1" applyBorder="1" applyAlignment="1">
      <alignment horizontal="center"/>
    </xf>
    <xf numFmtId="0" fontId="40" fillId="154" borderId="30" xfId="0" applyFont="1" applyFill="1" applyBorder="1" applyAlignment="1">
      <alignment horizontal="center"/>
    </xf>
    <xf numFmtId="0" fontId="39" fillId="134" borderId="98" xfId="0" applyFont="1" applyFill="1" applyBorder="1" applyAlignment="1">
      <alignment horizontal="center"/>
    </xf>
    <xf numFmtId="37" fontId="191" fillId="37" borderId="10" xfId="0" applyNumberFormat="1" applyFont="1" applyFill="1" applyBorder="1" applyAlignment="1">
      <alignment horizontal="center"/>
    </xf>
    <xf numFmtId="37" fontId="191" fillId="37" borderId="9" xfId="0" applyNumberFormat="1" applyFont="1" applyFill="1" applyBorder="1" applyAlignment="1">
      <alignment horizontal="center"/>
    </xf>
    <xf numFmtId="37" fontId="191" fillId="37" borderId="15" xfId="0" applyNumberFormat="1" applyFont="1" applyFill="1" applyBorder="1" applyAlignment="1">
      <alignment horizontal="center"/>
    </xf>
    <xf numFmtId="5" fontId="192" fillId="134" borderId="0" xfId="2" applyNumberFormat="1" applyFont="1" applyFill="1" applyBorder="1" applyAlignment="1">
      <alignment horizontal="center" vertical="center"/>
    </xf>
    <xf numFmtId="0" fontId="40" fillId="134" borderId="32" xfId="0" applyFont="1" applyFill="1" applyBorder="1" applyAlignment="1">
      <alignment horizontal="center"/>
    </xf>
    <xf numFmtId="0" fontId="40" fillId="134" borderId="29" xfId="0" applyFont="1" applyFill="1" applyBorder="1" applyAlignment="1">
      <alignment horizontal="center"/>
    </xf>
    <xf numFmtId="0" fontId="40" fillId="134" borderId="30" xfId="0" applyFont="1" applyFill="1" applyBorder="1" applyAlignment="1">
      <alignment horizontal="center"/>
    </xf>
    <xf numFmtId="0" fontId="41" fillId="134" borderId="32" xfId="0" applyFont="1" applyFill="1" applyBorder="1" applyAlignment="1">
      <alignment horizontal="center" vertical="center"/>
    </xf>
    <xf numFmtId="0" fontId="41" fillId="134" borderId="30" xfId="0" applyFont="1" applyFill="1" applyBorder="1" applyAlignment="1">
      <alignment horizontal="center" vertical="center"/>
    </xf>
    <xf numFmtId="166" fontId="40" fillId="134" borderId="32" xfId="5" applyNumberFormat="1" applyFont="1" applyFill="1" applyBorder="1" applyAlignment="1">
      <alignment horizontal="center"/>
    </xf>
    <xf numFmtId="166" fontId="40" fillId="134" borderId="30" xfId="5" applyNumberFormat="1" applyFont="1" applyFill="1" applyBorder="1" applyAlignment="1">
      <alignment horizontal="center"/>
    </xf>
    <xf numFmtId="166" fontId="40" fillId="134" borderId="29" xfId="5" applyNumberFormat="1" applyFont="1" applyFill="1" applyBorder="1" applyAlignment="1">
      <alignment horizontal="center"/>
    </xf>
    <xf numFmtId="0" fontId="41" fillId="0" borderId="0" xfId="5" applyFont="1" applyFill="1" applyBorder="1" applyAlignment="1">
      <alignment horizontal="center"/>
    </xf>
    <xf numFmtId="5" fontId="39" fillId="134" borderId="0" xfId="2" applyNumberFormat="1" applyFont="1" applyFill="1" applyBorder="1" applyAlignment="1">
      <alignment horizontal="center" vertical="center"/>
    </xf>
    <xf numFmtId="166" fontId="188" fillId="134" borderId="32" xfId="5" applyNumberFormat="1" applyFont="1" applyFill="1" applyBorder="1" applyAlignment="1">
      <alignment horizontal="center"/>
    </xf>
    <xf numFmtId="166" fontId="188" fillId="134" borderId="29" xfId="5" applyNumberFormat="1" applyFont="1" applyFill="1" applyBorder="1" applyAlignment="1">
      <alignment horizontal="center"/>
    </xf>
    <xf numFmtId="166" fontId="188" fillId="134" borderId="30" xfId="5" applyNumberFormat="1" applyFont="1" applyFill="1" applyBorder="1" applyAlignment="1">
      <alignment horizontal="center"/>
    </xf>
    <xf numFmtId="14" fontId="197" fillId="134" borderId="32" xfId="0" applyNumberFormat="1" applyFont="1" applyFill="1" applyBorder="1" applyAlignment="1">
      <alignment horizontal="center"/>
    </xf>
    <xf numFmtId="14" fontId="197" fillId="134" borderId="29" xfId="0" applyNumberFormat="1" applyFont="1" applyFill="1" applyBorder="1" applyAlignment="1">
      <alignment horizontal="center"/>
    </xf>
    <xf numFmtId="14" fontId="197" fillId="134" borderId="30"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96" xfId="0" applyFont="1" applyFill="1" applyBorder="1" applyAlignment="1">
      <alignment horizontal="center"/>
    </xf>
    <xf numFmtId="0" fontId="188" fillId="134" borderId="99" xfId="0" applyFont="1" applyFill="1" applyBorder="1" applyAlignment="1">
      <alignment horizontal="center"/>
    </xf>
    <xf numFmtId="0" fontId="188" fillId="134" borderId="98" xfId="0" applyFont="1" applyFill="1" applyBorder="1" applyAlignment="1">
      <alignment horizontal="center"/>
    </xf>
    <xf numFmtId="0" fontId="188" fillId="134" borderId="100" xfId="0" applyFont="1" applyFill="1" applyBorder="1" applyAlignment="1">
      <alignment horizontal="center"/>
    </xf>
    <xf numFmtId="37" fontId="39" fillId="134" borderId="0" xfId="0" applyNumberFormat="1" applyFont="1" applyFill="1" applyBorder="1" applyAlignment="1" applyProtection="1">
      <alignment horizontal="left" vertical="top" wrapText="1"/>
    </xf>
    <xf numFmtId="7" fontId="188" fillId="38" borderId="32" xfId="0" applyNumberFormat="1" applyFont="1" applyFill="1" applyBorder="1" applyAlignment="1">
      <alignment horizontal="center"/>
    </xf>
    <xf numFmtId="7" fontId="188" fillId="38" borderId="29" xfId="0" applyNumberFormat="1" applyFont="1" applyFill="1" applyBorder="1" applyAlignment="1">
      <alignment horizontal="center"/>
    </xf>
    <xf numFmtId="7" fontId="188" fillId="38" borderId="30" xfId="0" applyNumberFormat="1" applyFont="1" applyFill="1" applyBorder="1" applyAlignment="1">
      <alignment horizontal="center"/>
    </xf>
    <xf numFmtId="0" fontId="191" fillId="134" borderId="17" xfId="0" applyFont="1" applyFill="1" applyBorder="1" applyAlignment="1">
      <alignment horizontal="center"/>
    </xf>
    <xf numFmtId="0" fontId="191" fillId="134" borderId="18" xfId="0" applyFont="1" applyFill="1" applyBorder="1" applyAlignment="1">
      <alignment horizontal="center"/>
    </xf>
    <xf numFmtId="0" fontId="191" fillId="134" borderId="21" xfId="0" applyFont="1" applyFill="1" applyBorder="1" applyAlignment="1">
      <alignment horizontal="center"/>
    </xf>
    <xf numFmtId="7" fontId="191" fillId="134" borderId="17" xfId="0" applyNumberFormat="1" applyFont="1" applyFill="1" applyBorder="1" applyAlignment="1">
      <alignment horizontal="center"/>
    </xf>
    <xf numFmtId="7" fontId="191" fillId="134" borderId="18" xfId="0" applyNumberFormat="1" applyFont="1" applyFill="1" applyBorder="1" applyAlignment="1">
      <alignment horizontal="center"/>
    </xf>
    <xf numFmtId="7" fontId="191" fillId="134" borderId="21" xfId="0" applyNumberFormat="1" applyFont="1" applyFill="1" applyBorder="1" applyAlignment="1">
      <alignment horizontal="center"/>
    </xf>
    <xf numFmtId="7" fontId="188" fillId="37" borderId="32" xfId="0" applyNumberFormat="1" applyFont="1" applyFill="1" applyBorder="1" applyAlignment="1">
      <alignment horizontal="center"/>
    </xf>
    <xf numFmtId="7" fontId="188" fillId="37" borderId="29" xfId="0" applyNumberFormat="1" applyFont="1" applyFill="1" applyBorder="1" applyAlignment="1">
      <alignment horizontal="center"/>
    </xf>
    <xf numFmtId="7" fontId="188" fillId="37" borderId="30" xfId="0" applyNumberFormat="1" applyFont="1" applyFill="1" applyBorder="1" applyAlignment="1">
      <alignment horizontal="center"/>
    </xf>
    <xf numFmtId="0" fontId="40" fillId="37" borderId="32" xfId="5" applyFont="1" applyFill="1" applyBorder="1" applyAlignment="1">
      <alignment horizontal="center"/>
    </xf>
    <xf numFmtId="0" fontId="40" fillId="37" borderId="29" xfId="5" applyFont="1" applyFill="1" applyBorder="1" applyAlignment="1">
      <alignment horizontal="center"/>
    </xf>
    <xf numFmtId="0" fontId="40" fillId="37" borderId="30" xfId="5" applyFont="1" applyFill="1" applyBorder="1" applyAlignment="1">
      <alignment horizontal="center"/>
    </xf>
    <xf numFmtId="0" fontId="16" fillId="134" borderId="34" xfId="0" applyFont="1" applyFill="1" applyBorder="1" applyAlignment="1">
      <alignment horizontal="center"/>
    </xf>
    <xf numFmtId="0" fontId="38" fillId="154" borderId="32" xfId="5" applyFont="1" applyFill="1" applyBorder="1" applyAlignment="1">
      <alignment horizontal="center"/>
    </xf>
    <xf numFmtId="0" fontId="38" fillId="154" borderId="29" xfId="5" applyFont="1" applyFill="1" applyBorder="1" applyAlignment="1">
      <alignment horizontal="center"/>
    </xf>
    <xf numFmtId="0" fontId="38" fillId="154" borderId="30" xfId="5" applyFont="1" applyFill="1" applyBorder="1" applyAlignment="1">
      <alignment horizontal="center"/>
    </xf>
    <xf numFmtId="0" fontId="40" fillId="154" borderId="48" xfId="0" applyFont="1" applyFill="1" applyBorder="1" applyAlignment="1">
      <alignment horizontal="center"/>
    </xf>
    <xf numFmtId="0" fontId="40" fillId="154" borderId="22" xfId="0" applyFont="1" applyFill="1" applyBorder="1" applyAlignment="1">
      <alignment horizontal="center"/>
    </xf>
    <xf numFmtId="0" fontId="40" fillId="134" borderId="99" xfId="0" applyFont="1" applyFill="1" applyBorder="1" applyAlignment="1">
      <alignment horizontal="center" wrapText="1"/>
    </xf>
    <xf numFmtId="0" fontId="40" fillId="134" borderId="98" xfId="0" applyFont="1" applyFill="1" applyBorder="1" applyAlignment="1">
      <alignment horizontal="center" wrapText="1"/>
    </xf>
    <xf numFmtId="0" fontId="40" fillId="134" borderId="100" xfId="0" applyFont="1" applyFill="1" applyBorder="1" applyAlignment="1">
      <alignment horizontal="center" wrapText="1"/>
    </xf>
    <xf numFmtId="0" fontId="191" fillId="152" borderId="51" xfId="0" applyFont="1" applyFill="1" applyBorder="1" applyAlignment="1">
      <alignment horizontal="center" wrapText="1"/>
    </xf>
    <xf numFmtId="0" fontId="191" fillId="152" borderId="52" xfId="0" applyFont="1" applyFill="1" applyBorder="1" applyAlignment="1">
      <alignment horizontal="center" wrapText="1"/>
    </xf>
    <xf numFmtId="0" fontId="191" fillId="134" borderId="51" xfId="0" applyFont="1" applyFill="1" applyBorder="1" applyAlignment="1">
      <alignment horizontal="center"/>
    </xf>
    <xf numFmtId="0" fontId="191" fillId="134" borderId="52" xfId="0" applyFont="1" applyFill="1" applyBorder="1" applyAlignment="1">
      <alignment horizontal="center"/>
    </xf>
    <xf numFmtId="0" fontId="191" fillId="0" borderId="14" xfId="0" applyFont="1" applyFill="1" applyBorder="1" applyAlignment="1">
      <alignment horizontal="center"/>
    </xf>
    <xf numFmtId="0" fontId="191" fillId="0" borderId="22" xfId="0" applyFont="1" applyFill="1" applyBorder="1" applyAlignment="1">
      <alignment horizontal="center"/>
    </xf>
    <xf numFmtId="0" fontId="40" fillId="134" borderId="48" xfId="0" applyFont="1" applyFill="1" applyBorder="1" applyAlignment="1">
      <alignment horizontal="center" wrapText="1"/>
    </xf>
    <xf numFmtId="0" fontId="40" fillId="134" borderId="22" xfId="0" applyFont="1" applyFill="1" applyBorder="1" applyAlignment="1">
      <alignment horizontal="center" wrapText="1"/>
    </xf>
    <xf numFmtId="10" fontId="39" fillId="134" borderId="0" xfId="4" applyNumberFormat="1" applyFont="1" applyFill="1" applyBorder="1" applyAlignment="1">
      <alignment horizontal="center"/>
    </xf>
    <xf numFmtId="0" fontId="39" fillId="134" borderId="0" xfId="0" applyFont="1" applyFill="1" applyBorder="1" applyAlignment="1">
      <alignment horizontal="center" wrapText="1"/>
    </xf>
    <xf numFmtId="0" fontId="39" fillId="134" borderId="14" xfId="0" applyFont="1" applyFill="1" applyBorder="1" applyAlignment="1">
      <alignment horizontal="center" wrapText="1"/>
    </xf>
    <xf numFmtId="0" fontId="191" fillId="152" borderId="24" xfId="0" applyFont="1" applyFill="1" applyBorder="1" applyAlignment="1">
      <alignment horizontal="center" wrapText="1"/>
    </xf>
    <xf numFmtId="0" fontId="40" fillId="134" borderId="51" xfId="0" applyFont="1" applyFill="1" applyBorder="1" applyAlignment="1">
      <alignment horizontal="center" wrapText="1"/>
    </xf>
    <xf numFmtId="0" fontId="40" fillId="134" borderId="24" xfId="0" applyFont="1" applyFill="1" applyBorder="1" applyAlignment="1">
      <alignment horizontal="center" wrapText="1"/>
    </xf>
    <xf numFmtId="0" fontId="40" fillId="134" borderId="52" xfId="0" applyFont="1" applyFill="1" applyBorder="1" applyAlignment="1">
      <alignment horizontal="center" wrapText="1"/>
    </xf>
    <xf numFmtId="0" fontId="38" fillId="37" borderId="32" xfId="5" applyFont="1" applyFill="1" applyBorder="1" applyAlignment="1">
      <alignment horizontal="center"/>
    </xf>
    <xf numFmtId="0" fontId="38" fillId="37" borderId="29" xfId="5" applyFont="1" applyFill="1" applyBorder="1" applyAlignment="1">
      <alignment horizontal="center"/>
    </xf>
    <xf numFmtId="0" fontId="38" fillId="37" borderId="30" xfId="5" applyFont="1" applyFill="1" applyBorder="1" applyAlignment="1">
      <alignment horizontal="center"/>
    </xf>
    <xf numFmtId="0" fontId="191" fillId="134" borderId="24" xfId="0" applyFont="1" applyFill="1" applyBorder="1" applyAlignment="1">
      <alignment horizontal="center"/>
    </xf>
    <xf numFmtId="0" fontId="40" fillId="154" borderId="51" xfId="0" applyFont="1" applyFill="1" applyBorder="1" applyAlignment="1">
      <alignment horizontal="center"/>
    </xf>
    <xf numFmtId="0" fontId="40" fillId="154" borderId="52" xfId="0" applyFont="1" applyFill="1" applyBorder="1" applyAlignment="1">
      <alignment horizontal="center"/>
    </xf>
    <xf numFmtId="0" fontId="191" fillId="0" borderId="51" xfId="0" applyFont="1" applyFill="1" applyBorder="1" applyAlignment="1">
      <alignment horizontal="center"/>
    </xf>
    <xf numFmtId="0" fontId="191" fillId="0" borderId="52" xfId="0" applyFont="1" applyFill="1" applyBorder="1" applyAlignment="1">
      <alignment horizontal="center"/>
    </xf>
    <xf numFmtId="0" fontId="40" fillId="154" borderId="26" xfId="0" applyFont="1" applyFill="1" applyBorder="1" applyAlignment="1">
      <alignment horizontal="center"/>
    </xf>
    <xf numFmtId="0" fontId="40" fillId="154" borderId="27" xfId="0" applyFont="1" applyFill="1" applyBorder="1" applyAlignment="1">
      <alignment horizontal="center"/>
    </xf>
    <xf numFmtId="0" fontId="40" fillId="154" borderId="28" xfId="0" applyFont="1" applyFill="1" applyBorder="1" applyAlignment="1">
      <alignment horizontal="center"/>
    </xf>
    <xf numFmtId="0" fontId="66" fillId="151" borderId="38" xfId="0" applyFont="1" applyFill="1" applyBorder="1" applyAlignment="1">
      <alignment horizontal="center"/>
    </xf>
    <xf numFmtId="0" fontId="40" fillId="151" borderId="38" xfId="0" applyFont="1" applyFill="1" applyBorder="1" applyAlignment="1">
      <alignment horizontal="center"/>
    </xf>
    <xf numFmtId="0" fontId="214" fillId="134" borderId="26" xfId="0" applyFont="1" applyFill="1" applyBorder="1" applyAlignment="1">
      <alignment horizontal="center"/>
    </xf>
    <xf numFmtId="0" fontId="214" fillId="134" borderId="27" xfId="0" applyFont="1" applyFill="1" applyBorder="1" applyAlignment="1">
      <alignment horizontal="center"/>
    </xf>
    <xf numFmtId="0" fontId="214" fillId="134" borderId="28" xfId="0" applyFont="1" applyFill="1" applyBorder="1" applyAlignment="1">
      <alignment horizontal="center"/>
    </xf>
    <xf numFmtId="7" fontId="40" fillId="134" borderId="17" xfId="0" applyNumberFormat="1" applyFont="1" applyFill="1" applyBorder="1" applyAlignment="1">
      <alignment horizontal="center"/>
    </xf>
    <xf numFmtId="7" fontId="40" fillId="134" borderId="18" xfId="0" applyNumberFormat="1" applyFont="1" applyFill="1" applyBorder="1" applyAlignment="1">
      <alignment horizontal="center"/>
    </xf>
    <xf numFmtId="7" fontId="40" fillId="134" borderId="21" xfId="0" applyNumberFormat="1" applyFont="1" applyFill="1" applyBorder="1" applyAlignment="1">
      <alignment horizontal="center"/>
    </xf>
    <xf numFmtId="168" fontId="40" fillId="164" borderId="32" xfId="0" applyNumberFormat="1" applyFont="1" applyFill="1" applyBorder="1" applyAlignment="1">
      <alignment horizontal="center"/>
    </xf>
    <xf numFmtId="168" fontId="40" fillId="164" borderId="29" xfId="0" applyNumberFormat="1" applyFont="1" applyFill="1" applyBorder="1" applyAlignment="1">
      <alignment horizontal="center"/>
    </xf>
    <xf numFmtId="168" fontId="40" fillId="164" borderId="30" xfId="0" applyNumberFormat="1" applyFont="1" applyFill="1" applyBorder="1" applyAlignment="1">
      <alignment horizontal="center"/>
    </xf>
    <xf numFmtId="168" fontId="40" fillId="38" borderId="32" xfId="0" applyNumberFormat="1" applyFont="1" applyFill="1" applyBorder="1" applyAlignment="1">
      <alignment horizontal="center"/>
    </xf>
    <xf numFmtId="168" fontId="40" fillId="38" borderId="29" xfId="0" applyNumberFormat="1" applyFont="1" applyFill="1" applyBorder="1" applyAlignment="1">
      <alignment horizontal="center"/>
    </xf>
    <xf numFmtId="168" fontId="40" fillId="38" borderId="30" xfId="0" applyNumberFormat="1" applyFont="1" applyFill="1" applyBorder="1" applyAlignment="1">
      <alignment horizontal="center"/>
    </xf>
    <xf numFmtId="0" fontId="40" fillId="0" borderId="16" xfId="0" applyFont="1" applyFill="1" applyBorder="1" applyAlignment="1">
      <alignment horizontal="center"/>
    </xf>
    <xf numFmtId="0" fontId="38" fillId="38" borderId="32" xfId="5" applyFont="1" applyFill="1" applyBorder="1" applyAlignment="1">
      <alignment horizontal="center" vertical="center"/>
    </xf>
    <xf numFmtId="0" fontId="38" fillId="38" borderId="29" xfId="5" applyFont="1" applyFill="1" applyBorder="1" applyAlignment="1">
      <alignment horizontal="center" vertical="center"/>
    </xf>
    <xf numFmtId="0" fontId="38" fillId="38" borderId="30" xfId="5" applyFont="1" applyFill="1" applyBorder="1" applyAlignment="1">
      <alignment horizontal="center" vertical="center"/>
    </xf>
    <xf numFmtId="0" fontId="40" fillId="134" borderId="51" xfId="0" applyFont="1" applyFill="1" applyBorder="1" applyAlignment="1">
      <alignment horizontal="center"/>
    </xf>
    <xf numFmtId="0" fontId="40" fillId="134" borderId="24" xfId="0" applyFont="1" applyFill="1" applyBorder="1" applyAlignment="1">
      <alignment horizontal="center"/>
    </xf>
    <xf numFmtId="0" fontId="191" fillId="37" borderId="24" xfId="0" applyFont="1" applyFill="1" applyBorder="1" applyAlignment="1">
      <alignment horizontal="center" wrapText="1"/>
    </xf>
    <xf numFmtId="0" fontId="191" fillId="37" borderId="52" xfId="0" applyFont="1" applyFill="1" applyBorder="1" applyAlignment="1">
      <alignment horizontal="center" wrapText="1"/>
    </xf>
    <xf numFmtId="0" fontId="40" fillId="134" borderId="52" xfId="0" applyFont="1" applyFill="1" applyBorder="1" applyAlignment="1">
      <alignment horizontal="center"/>
    </xf>
    <xf numFmtId="0" fontId="16" fillId="134" borderId="0" xfId="0" applyFont="1" applyFill="1" applyBorder="1" applyAlignment="1">
      <alignment horizontal="center"/>
    </xf>
    <xf numFmtId="0" fontId="191" fillId="38" borderId="24" xfId="0" applyFont="1" applyFill="1" applyBorder="1" applyAlignment="1">
      <alignment horizontal="center" wrapText="1"/>
    </xf>
    <xf numFmtId="0" fontId="191" fillId="38" borderId="52" xfId="0" applyFont="1" applyFill="1" applyBorder="1" applyAlignment="1">
      <alignment horizontal="center" wrapText="1"/>
    </xf>
    <xf numFmtId="0" fontId="40" fillId="134" borderId="17" xfId="0" applyFont="1" applyFill="1" applyBorder="1" applyAlignment="1">
      <alignment horizontal="center"/>
    </xf>
    <xf numFmtId="0" fontId="40" fillId="134" borderId="21" xfId="0" applyFont="1" applyFill="1" applyBorder="1" applyAlignment="1">
      <alignment horizontal="center"/>
    </xf>
    <xf numFmtId="0" fontId="40" fillId="134" borderId="14" xfId="0" applyFont="1" applyFill="1" applyBorder="1" applyAlignment="1">
      <alignment horizontal="center" wrapText="1"/>
    </xf>
    <xf numFmtId="0" fontId="191" fillId="38" borderId="32" xfId="0" applyFont="1" applyFill="1" applyBorder="1" applyAlignment="1">
      <alignment horizontal="center"/>
    </xf>
    <xf numFmtId="0" fontId="191" fillId="38" borderId="30" xfId="0" applyFont="1" applyFill="1" applyBorder="1" applyAlignment="1">
      <alignment horizontal="center"/>
    </xf>
    <xf numFmtId="7" fontId="191" fillId="37" borderId="32" xfId="2" applyNumberFormat="1" applyFont="1" applyFill="1" applyBorder="1" applyAlignment="1">
      <alignment horizontal="center"/>
    </xf>
    <xf numFmtId="7" fontId="191" fillId="37" borderId="29" xfId="2" applyNumberFormat="1" applyFont="1" applyFill="1" applyBorder="1" applyAlignment="1">
      <alignment horizontal="center"/>
    </xf>
    <xf numFmtId="7" fontId="191" fillId="37" borderId="30" xfId="2" applyNumberFormat="1" applyFont="1" applyFill="1" applyBorder="1" applyAlignment="1">
      <alignment horizontal="center"/>
    </xf>
    <xf numFmtId="0" fontId="191" fillId="38" borderId="29" xfId="0"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FFFF99"/>
      <color rgb="FFFFCCCC"/>
      <color rgb="FFFF99FF"/>
      <color rgb="FF009900"/>
      <color rgb="FFCCFF66"/>
      <color rgb="FF0000FF"/>
      <color rgb="FF00FF00"/>
      <color rgb="FFFFFFCC"/>
      <color rgb="FFCCFFCC"/>
      <color rgb="FFE9C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194733</xdr:colOff>
      <xdr:row>50</xdr:row>
      <xdr:rowOff>103134</xdr:rowOff>
    </xdr:from>
    <xdr:to>
      <xdr:col>12</xdr:col>
      <xdr:colOff>125942</xdr:colOff>
      <xdr:row>61</xdr:row>
      <xdr:rowOff>65747</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1"/>
        <a:stretch>
          <a:fillRect/>
        </a:stretch>
      </xdr:blipFill>
      <xdr:spPr>
        <a:xfrm>
          <a:off x="8089900" y="8379301"/>
          <a:ext cx="4529666" cy="1715213"/>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190500</xdr:colOff>
      <xdr:row>2</xdr:row>
      <xdr:rowOff>84667</xdr:rowOff>
    </xdr:from>
    <xdr:to>
      <xdr:col>47</xdr:col>
      <xdr:colOff>95250</xdr:colOff>
      <xdr:row>6</xdr:row>
      <xdr:rowOff>105833</xdr:rowOff>
    </xdr:to>
    <xdr:sp macro="" textlink="">
      <xdr:nvSpPr>
        <xdr:cNvPr id="2" name="TextBox 1">
          <a:extLst>
            <a:ext uri="{FF2B5EF4-FFF2-40B4-BE49-F238E27FC236}">
              <a16:creationId xmlns:a16="http://schemas.microsoft.com/office/drawing/2014/main" id="{903E1A56-72A8-4E82-BA46-388290999694}"/>
            </a:ext>
          </a:extLst>
        </xdr:cNvPr>
        <xdr:cNvSpPr txBox="1"/>
      </xdr:nvSpPr>
      <xdr:spPr>
        <a:xfrm>
          <a:off x="42502667" y="444500"/>
          <a:ext cx="2275416"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Schedules with no customers and volume do not receive temporary rate adjustments.</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770731</xdr:colOff>
      <xdr:row>1</xdr:row>
      <xdr:rowOff>68262</xdr:rowOff>
    </xdr:from>
    <xdr:to>
      <xdr:col>14</xdr:col>
      <xdr:colOff>818356</xdr:colOff>
      <xdr:row>9</xdr:row>
      <xdr:rowOff>103981</xdr:rowOff>
    </xdr:to>
    <xdr:sp macro="" textlink="">
      <xdr:nvSpPr>
        <xdr:cNvPr id="2" name="TextBox 1">
          <a:extLst>
            <a:ext uri="{FF2B5EF4-FFF2-40B4-BE49-F238E27FC236}">
              <a16:creationId xmlns:a16="http://schemas.microsoft.com/office/drawing/2014/main" id="{DAECDEA6-E31A-47A3-8AE3-95EA21EC4EFB}"/>
            </a:ext>
          </a:extLst>
        </xdr:cNvPr>
        <xdr:cNvSpPr txBox="1"/>
      </xdr:nvSpPr>
      <xdr:spPr>
        <a:xfrm>
          <a:off x="3985419" y="234950"/>
          <a:ext cx="2762250" cy="1369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Note: These two</a:t>
          </a:r>
          <a:r>
            <a:rPr lang="en-US" sz="1100" baseline="0">
              <a:solidFill>
                <a:srgbClr val="FF0000"/>
              </a:solidFill>
            </a:rPr>
            <a:t> tables were ultimately NOT filed with the Settlement Agreement.</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AA113"/>
  <sheetViews>
    <sheetView tabSelected="1" zoomScale="80" zoomScaleNormal="80" workbookViewId="0">
      <pane ySplit="11" topLeftCell="A12" activePane="bottomLeft" state="frozen"/>
      <selection pane="bottomLeft" activeCell="C9" sqref="C9"/>
    </sheetView>
  </sheetViews>
  <sheetFormatPr defaultRowHeight="12.75" outlineLevelRow="1" x14ac:dyDescent="0.2"/>
  <cols>
    <col min="1" max="1" width="2.1640625" style="1537" customWidth="1"/>
    <col min="2" max="2" width="9.33203125" style="1537"/>
    <col min="3" max="3" width="55.5" style="1537" customWidth="1"/>
    <col min="4" max="4" width="17.83203125" style="1537" bestFit="1" customWidth="1"/>
    <col min="5" max="5" width="16.6640625" style="1537" customWidth="1"/>
    <col min="6" max="6" width="15.5" style="1537" customWidth="1"/>
    <col min="7" max="8" width="15.1640625" style="1537" bestFit="1" customWidth="1"/>
    <col min="9" max="27" width="14.33203125" style="1537" customWidth="1"/>
    <col min="28" max="28" width="2.1640625" style="1537" customWidth="1"/>
    <col min="29" max="16384" width="9.33203125" style="1537"/>
  </cols>
  <sheetData>
    <row r="1" spans="1:27" ht="15.75" x14ac:dyDescent="0.25">
      <c r="A1" s="674" t="s">
        <v>0</v>
      </c>
      <c r="B1" s="673"/>
      <c r="C1" s="1"/>
      <c r="D1" s="1"/>
      <c r="E1" s="1"/>
      <c r="F1" s="1"/>
      <c r="G1" s="1"/>
      <c r="H1" s="1"/>
      <c r="I1" s="1"/>
      <c r="J1" s="1"/>
      <c r="K1" s="1"/>
      <c r="L1" s="1"/>
      <c r="M1" s="1"/>
      <c r="N1" s="1"/>
      <c r="O1" s="1"/>
      <c r="P1" s="1"/>
      <c r="Q1" s="1"/>
      <c r="R1" s="1"/>
      <c r="S1" s="1"/>
      <c r="T1" s="1"/>
      <c r="U1" s="1"/>
      <c r="V1" s="1"/>
      <c r="W1" s="1"/>
      <c r="X1" s="1"/>
      <c r="Y1" s="1"/>
      <c r="Z1" s="1"/>
      <c r="AA1" s="1"/>
    </row>
    <row r="2" spans="1:27" ht="15.75" x14ac:dyDescent="0.25">
      <c r="A2" s="674" t="s">
        <v>1</v>
      </c>
      <c r="B2" s="673"/>
      <c r="C2" s="1"/>
      <c r="D2" s="1"/>
      <c r="E2" s="1"/>
      <c r="F2" s="1"/>
      <c r="G2" s="1"/>
      <c r="H2" s="1"/>
      <c r="I2" s="1"/>
      <c r="J2" s="1023"/>
      <c r="K2" s="1023"/>
      <c r="L2" s="1023"/>
      <c r="M2" s="1023"/>
      <c r="N2" s="1023"/>
      <c r="O2" s="1023"/>
      <c r="P2" s="1023"/>
      <c r="Q2" s="1023"/>
      <c r="R2" s="1023"/>
      <c r="S2" s="1023"/>
      <c r="T2" s="1023"/>
      <c r="U2" s="1023"/>
      <c r="V2" s="1023"/>
      <c r="W2" s="1023"/>
      <c r="X2" s="1023"/>
      <c r="Y2" s="1023"/>
      <c r="Z2" s="1"/>
      <c r="AA2" s="1"/>
    </row>
    <row r="3" spans="1:27" ht="15.75" x14ac:dyDescent="0.25">
      <c r="A3" s="674" t="s">
        <v>241</v>
      </c>
      <c r="B3" s="673"/>
      <c r="C3" s="1"/>
      <c r="D3" s="1"/>
      <c r="E3" s="1"/>
      <c r="F3" s="1"/>
      <c r="G3" s="1"/>
      <c r="H3" s="1"/>
      <c r="I3" s="1"/>
      <c r="J3" s="1538"/>
      <c r="K3" s="1538"/>
      <c r="L3" s="1538"/>
      <c r="M3" s="1538"/>
      <c r="N3" s="1538"/>
      <c r="O3" s="1538"/>
      <c r="P3" s="1538"/>
      <c r="Q3" s="1538"/>
      <c r="R3" s="1538"/>
      <c r="S3" s="1538"/>
      <c r="T3" s="1538"/>
      <c r="U3" s="1538"/>
      <c r="V3" s="1538"/>
      <c r="W3" s="1538"/>
      <c r="X3" s="1538"/>
      <c r="Y3" s="1538"/>
      <c r="Z3" s="1"/>
      <c r="AA3" s="1"/>
    </row>
    <row r="4" spans="1:27" ht="15.75" x14ac:dyDescent="0.25">
      <c r="A4" s="674" t="s">
        <v>468</v>
      </c>
      <c r="B4" s="673"/>
      <c r="C4" s="1"/>
      <c r="D4" s="1"/>
      <c r="E4" s="1"/>
      <c r="F4" s="1"/>
      <c r="G4" s="1"/>
      <c r="H4" s="1"/>
      <c r="I4" s="1"/>
      <c r="J4" s="1538"/>
      <c r="K4" s="1538"/>
      <c r="L4" s="1538"/>
      <c r="M4" s="1538"/>
      <c r="N4" s="1538"/>
      <c r="O4" s="1538"/>
      <c r="P4" s="1539"/>
      <c r="Q4" s="1539"/>
      <c r="R4" s="1539"/>
      <c r="S4" s="1539"/>
      <c r="T4" s="1539"/>
      <c r="U4" s="1539"/>
      <c r="V4" s="1539"/>
      <c r="W4" s="1539"/>
      <c r="X4" s="1539"/>
      <c r="Y4" s="1539"/>
      <c r="Z4" s="1"/>
      <c r="AA4" s="1"/>
    </row>
    <row r="5" spans="1:27" ht="15.75" x14ac:dyDescent="0.25">
      <c r="A5" s="674" t="s">
        <v>469</v>
      </c>
      <c r="B5" s="673"/>
      <c r="C5" s="1"/>
      <c r="D5" s="1"/>
      <c r="E5" s="1"/>
      <c r="F5" s="1"/>
      <c r="G5" s="1"/>
      <c r="H5" s="1"/>
      <c r="I5" s="1"/>
      <c r="J5" s="1540"/>
      <c r="K5" s="1540"/>
      <c r="L5" s="1541"/>
      <c r="M5" s="1541"/>
      <c r="N5" s="1541"/>
      <c r="O5" s="1541"/>
      <c r="P5" s="1541"/>
      <c r="Q5" s="1541"/>
      <c r="R5" s="1541"/>
      <c r="S5" s="1542"/>
      <c r="T5" s="1542"/>
      <c r="U5" s="1542"/>
      <c r="V5" s="1542"/>
      <c r="W5" s="1542"/>
      <c r="X5" s="1542"/>
      <c r="Y5" s="1542"/>
      <c r="Z5" s="1025"/>
      <c r="AA5" s="1"/>
    </row>
    <row r="6" spans="1:27" ht="15.75" x14ac:dyDescent="0.25">
      <c r="A6" s="674" t="s">
        <v>642</v>
      </c>
      <c r="B6" s="673"/>
      <c r="C6" s="1"/>
      <c r="D6" s="1"/>
      <c r="E6" s="21"/>
      <c r="F6" s="22"/>
      <c r="G6" s="1"/>
      <c r="H6" s="1"/>
      <c r="I6" s="1"/>
      <c r="J6" s="10"/>
      <c r="K6" s="10"/>
      <c r="L6" s="10"/>
      <c r="M6" s="10"/>
      <c r="N6" s="10"/>
      <c r="O6" s="10"/>
      <c r="P6" s="10"/>
      <c r="Q6" s="10"/>
      <c r="R6" s="10"/>
      <c r="S6" s="10"/>
      <c r="T6" s="10"/>
      <c r="U6" s="10"/>
      <c r="V6" s="8"/>
      <c r="W6" s="8"/>
      <c r="X6" s="8"/>
      <c r="Y6" s="8"/>
      <c r="Z6" s="1"/>
      <c r="AA6" s="1"/>
    </row>
    <row r="7" spans="1:27" ht="15" x14ac:dyDescent="0.25">
      <c r="A7" s="675"/>
      <c r="B7" s="3"/>
      <c r="C7" s="2"/>
      <c r="D7" s="1334"/>
      <c r="E7" s="1024">
        <v>1</v>
      </c>
      <c r="F7" s="1024">
        <v>2</v>
      </c>
      <c r="G7" s="1024">
        <v>3</v>
      </c>
      <c r="H7" s="1024">
        <v>4</v>
      </c>
      <c r="I7" s="1024">
        <v>5</v>
      </c>
      <c r="J7" s="1024">
        <v>6</v>
      </c>
      <c r="K7" s="1024">
        <v>7</v>
      </c>
      <c r="L7" s="1024">
        <v>8</v>
      </c>
      <c r="M7" s="1024">
        <v>9</v>
      </c>
      <c r="N7" s="1024">
        <v>10</v>
      </c>
      <c r="O7" s="1024">
        <v>11</v>
      </c>
      <c r="P7" s="1024">
        <v>12</v>
      </c>
      <c r="Q7" s="1024">
        <v>13</v>
      </c>
      <c r="R7" s="1024">
        <v>14</v>
      </c>
      <c r="S7" s="1024">
        <v>15</v>
      </c>
      <c r="T7" s="1024">
        <v>16</v>
      </c>
      <c r="U7" s="1024">
        <v>17</v>
      </c>
      <c r="V7" s="1024">
        <v>18</v>
      </c>
      <c r="W7" s="1024">
        <v>19</v>
      </c>
      <c r="X7" s="1024">
        <v>20</v>
      </c>
      <c r="Y7" s="1024">
        <v>21</v>
      </c>
      <c r="Z7" s="1024">
        <v>22</v>
      </c>
      <c r="AA7" s="1024">
        <v>23</v>
      </c>
    </row>
    <row r="8" spans="1:27" x14ac:dyDescent="0.2">
      <c r="B8" s="3"/>
      <c r="C8" s="4"/>
      <c r="D8" s="942" t="s">
        <v>121</v>
      </c>
      <c r="E8" s="1335" t="s">
        <v>122</v>
      </c>
      <c r="F8" s="1335" t="s">
        <v>123</v>
      </c>
      <c r="G8" s="1335" t="s">
        <v>122</v>
      </c>
      <c r="H8" s="1335" t="s">
        <v>123</v>
      </c>
      <c r="I8" s="1335" t="s">
        <v>124</v>
      </c>
      <c r="J8" s="1335" t="s">
        <v>123</v>
      </c>
      <c r="K8" s="1335" t="s">
        <v>123</v>
      </c>
      <c r="L8" s="1335" t="s">
        <v>124</v>
      </c>
      <c r="M8" s="1335" t="s">
        <v>123</v>
      </c>
      <c r="N8" s="26" t="s">
        <v>125</v>
      </c>
      <c r="O8" s="26" t="s">
        <v>26</v>
      </c>
      <c r="P8" s="26" t="s">
        <v>125</v>
      </c>
      <c r="Q8" s="1335" t="s">
        <v>123</v>
      </c>
      <c r="R8" s="1335" t="s">
        <v>125</v>
      </c>
      <c r="S8" s="1335" t="s">
        <v>123</v>
      </c>
      <c r="T8" s="1335" t="s">
        <v>125</v>
      </c>
      <c r="U8" s="1335" t="s">
        <v>123</v>
      </c>
      <c r="V8" s="1335" t="s">
        <v>125</v>
      </c>
      <c r="W8" s="1335" t="s">
        <v>123</v>
      </c>
      <c r="X8" s="1335" t="s">
        <v>125</v>
      </c>
      <c r="Y8" s="26"/>
      <c r="Z8" s="1335"/>
      <c r="AA8" s="1335"/>
    </row>
    <row r="9" spans="1:27" x14ac:dyDescent="0.2">
      <c r="B9" s="3"/>
      <c r="C9" s="4"/>
      <c r="D9" s="942" t="s">
        <v>126</v>
      </c>
      <c r="E9" s="1336" t="s">
        <v>68</v>
      </c>
      <c r="F9" s="1336" t="s">
        <v>68</v>
      </c>
      <c r="G9" s="1336" t="s">
        <v>127</v>
      </c>
      <c r="H9" s="1336" t="s">
        <v>68</v>
      </c>
      <c r="I9" s="1336" t="s">
        <v>68</v>
      </c>
      <c r="J9" s="1336" t="s">
        <v>68</v>
      </c>
      <c r="K9" s="1336" t="s">
        <v>68</v>
      </c>
      <c r="L9" s="1336" t="s">
        <v>68</v>
      </c>
      <c r="M9" s="1336" t="s">
        <v>68</v>
      </c>
      <c r="N9" s="1336" t="s">
        <v>68</v>
      </c>
      <c r="O9" s="1336" t="s">
        <v>117</v>
      </c>
      <c r="P9" s="1336" t="s">
        <v>117</v>
      </c>
      <c r="Q9" s="1336" t="s">
        <v>68</v>
      </c>
      <c r="R9" s="1336" t="s">
        <v>68</v>
      </c>
      <c r="S9" s="1336" t="s">
        <v>117</v>
      </c>
      <c r="T9" s="1336" t="s">
        <v>117</v>
      </c>
      <c r="U9" s="1336" t="s">
        <v>68</v>
      </c>
      <c r="V9" s="1336" t="s">
        <v>279</v>
      </c>
      <c r="W9" s="1336" t="s">
        <v>117</v>
      </c>
      <c r="X9" s="1336" t="s">
        <v>117</v>
      </c>
      <c r="Y9" s="1336" t="s">
        <v>117</v>
      </c>
      <c r="Z9" s="1336" t="s">
        <v>117</v>
      </c>
      <c r="AA9" s="1336" t="s">
        <v>304</v>
      </c>
    </row>
    <row r="10" spans="1:27" x14ac:dyDescent="0.2">
      <c r="B10" s="3"/>
      <c r="C10" s="5"/>
      <c r="D10" s="1336"/>
      <c r="E10" s="1336" t="s">
        <v>128</v>
      </c>
      <c r="F10" s="1336" t="s">
        <v>128</v>
      </c>
      <c r="G10" s="1336" t="s">
        <v>128</v>
      </c>
      <c r="H10" s="1336" t="s">
        <v>128</v>
      </c>
      <c r="I10" s="1336" t="s">
        <v>128</v>
      </c>
      <c r="J10" s="1336" t="s">
        <v>128</v>
      </c>
      <c r="K10" s="1336" t="s">
        <v>128</v>
      </c>
      <c r="L10" s="1336" t="s">
        <v>128</v>
      </c>
      <c r="M10" s="1336" t="s">
        <v>129</v>
      </c>
      <c r="N10" s="1336" t="s">
        <v>129</v>
      </c>
      <c r="O10" s="1336" t="s">
        <v>128</v>
      </c>
      <c r="P10" s="1336" t="s">
        <v>128</v>
      </c>
      <c r="Q10" s="1336" t="s">
        <v>128</v>
      </c>
      <c r="R10" s="1336" t="s">
        <v>128</v>
      </c>
      <c r="S10" s="1336" t="s">
        <v>128</v>
      </c>
      <c r="T10" s="1336" t="s">
        <v>128</v>
      </c>
      <c r="U10" s="1336" t="s">
        <v>129</v>
      </c>
      <c r="V10" s="1336" t="s">
        <v>129</v>
      </c>
      <c r="W10" s="1336" t="s">
        <v>129</v>
      </c>
      <c r="X10" s="1336" t="s">
        <v>129</v>
      </c>
      <c r="Y10" s="1336" t="s">
        <v>128</v>
      </c>
      <c r="Z10" s="1336" t="s">
        <v>129</v>
      </c>
      <c r="AA10" s="1336" t="s">
        <v>312</v>
      </c>
    </row>
    <row r="11" spans="1:27" ht="15.75" thickBot="1" x14ac:dyDescent="0.3">
      <c r="B11" s="6" t="s">
        <v>130</v>
      </c>
      <c r="C11" s="7"/>
      <c r="D11" s="1337" t="s">
        <v>131</v>
      </c>
      <c r="E11" s="1543" t="s">
        <v>350</v>
      </c>
      <c r="F11" s="1338" t="s">
        <v>351</v>
      </c>
      <c r="G11" s="1338" t="s">
        <v>352</v>
      </c>
      <c r="H11" s="1338" t="s">
        <v>353</v>
      </c>
      <c r="I11" s="1338" t="s">
        <v>354</v>
      </c>
      <c r="J11" s="1338" t="s">
        <v>365</v>
      </c>
      <c r="K11" s="1338" t="s">
        <v>266</v>
      </c>
      <c r="L11" s="1338" t="s">
        <v>267</v>
      </c>
      <c r="M11" s="1338" t="s">
        <v>269</v>
      </c>
      <c r="N11" s="1338" t="s">
        <v>270</v>
      </c>
      <c r="O11" s="1338" t="s">
        <v>271</v>
      </c>
      <c r="P11" s="1338" t="s">
        <v>272</v>
      </c>
      <c r="Q11" s="1338" t="s">
        <v>273</v>
      </c>
      <c r="R11" s="1338" t="s">
        <v>274</v>
      </c>
      <c r="S11" s="1338" t="s">
        <v>275</v>
      </c>
      <c r="T11" s="1338" t="s">
        <v>276</v>
      </c>
      <c r="U11" s="1338" t="s">
        <v>277</v>
      </c>
      <c r="V11" s="1338" t="s">
        <v>278</v>
      </c>
      <c r="W11" s="1338" t="s">
        <v>280</v>
      </c>
      <c r="X11" s="1338" t="s">
        <v>281</v>
      </c>
      <c r="Y11" s="1338" t="s">
        <v>44</v>
      </c>
      <c r="Z11" s="1338" t="s">
        <v>264</v>
      </c>
      <c r="AA11" s="1338" t="s">
        <v>304</v>
      </c>
    </row>
    <row r="12" spans="1:27" ht="15.75" thickTop="1" x14ac:dyDescent="0.25">
      <c r="B12" s="9"/>
      <c r="C12" s="27"/>
      <c r="D12" s="28"/>
      <c r="E12" s="1544"/>
      <c r="F12" s="1545"/>
      <c r="G12" s="1545"/>
      <c r="H12" s="1545"/>
      <c r="I12" s="1545"/>
      <c r="J12" s="1546"/>
      <c r="K12" s="1546"/>
      <c r="L12" s="1546"/>
      <c r="M12" s="1546"/>
      <c r="N12" s="1546"/>
      <c r="O12" s="1546"/>
      <c r="P12" s="1546"/>
      <c r="Q12" s="1546"/>
      <c r="R12" s="1546"/>
      <c r="S12" s="1546"/>
      <c r="T12" s="1546"/>
      <c r="U12" s="1546"/>
      <c r="V12" s="1546"/>
      <c r="W12" s="1546"/>
      <c r="X12" s="1546"/>
      <c r="Y12" s="1546"/>
      <c r="Z12" s="1545"/>
      <c r="AA12" s="1545"/>
    </row>
    <row r="13" spans="1:27" x14ac:dyDescent="0.2">
      <c r="B13" s="3"/>
      <c r="C13" s="8"/>
      <c r="D13" s="9" t="s">
        <v>268</v>
      </c>
      <c r="E13" s="10"/>
      <c r="F13" s="10"/>
      <c r="G13" s="10"/>
      <c r="H13" s="10"/>
      <c r="I13" s="10"/>
      <c r="J13" s="10"/>
      <c r="K13" s="10"/>
      <c r="L13" s="10"/>
      <c r="M13" s="8"/>
      <c r="N13" s="8"/>
      <c r="O13" s="8"/>
      <c r="P13" s="8"/>
      <c r="Q13" s="8"/>
      <c r="R13" s="8"/>
      <c r="S13" s="8"/>
      <c r="T13" s="8"/>
      <c r="U13" s="8"/>
      <c r="V13" s="8"/>
      <c r="W13" s="8"/>
      <c r="X13" s="8"/>
      <c r="Y13" s="8"/>
      <c r="Z13" s="8"/>
      <c r="AA13" s="8"/>
    </row>
    <row r="14" spans="1:27" x14ac:dyDescent="0.2">
      <c r="B14" s="3">
        <v>1</v>
      </c>
      <c r="C14" s="24" t="s">
        <v>190</v>
      </c>
      <c r="D14" s="851">
        <v>78333454.662138224</v>
      </c>
      <c r="E14" s="1547">
        <v>283691.13211741613</v>
      </c>
      <c r="F14" s="1547">
        <v>53871.380821902283</v>
      </c>
      <c r="G14" s="1547">
        <v>53008197.589697547</v>
      </c>
      <c r="H14" s="1547">
        <v>16112007.068833409</v>
      </c>
      <c r="I14" s="1547">
        <v>241043.72505190157</v>
      </c>
      <c r="J14" s="1547">
        <v>363218.20437801839</v>
      </c>
      <c r="K14" s="1547">
        <v>2853836.1753150364</v>
      </c>
      <c r="L14" s="1547">
        <v>747266.28046789952</v>
      </c>
      <c r="M14" s="1547">
        <v>0</v>
      </c>
      <c r="N14" s="1547">
        <v>0</v>
      </c>
      <c r="O14" s="1547">
        <v>189841.33809000003</v>
      </c>
      <c r="P14" s="1547">
        <v>0</v>
      </c>
      <c r="Q14" s="1547">
        <v>470188.60083981924</v>
      </c>
      <c r="R14" s="1547">
        <v>1154958.3793378912</v>
      </c>
      <c r="S14" s="1547">
        <v>360784.67333999998</v>
      </c>
      <c r="T14" s="1547">
        <v>823615.79209999996</v>
      </c>
      <c r="U14" s="1547">
        <v>430728.61187958985</v>
      </c>
      <c r="V14" s="1547">
        <v>171731.03459599178</v>
      </c>
      <c r="W14" s="1547">
        <v>0</v>
      </c>
      <c r="X14" s="1547">
        <v>825480.07319999998</v>
      </c>
      <c r="Y14" s="1548">
        <v>0</v>
      </c>
      <c r="Z14" s="1549">
        <v>0</v>
      </c>
      <c r="AA14" s="1549">
        <v>242994.60207180592</v>
      </c>
    </row>
    <row r="15" spans="1:27" x14ac:dyDescent="0.2">
      <c r="B15" s="3">
        <v>2</v>
      </c>
      <c r="C15" s="24" t="s">
        <v>313</v>
      </c>
      <c r="D15" s="852">
        <v>49604902.662138224</v>
      </c>
      <c r="E15" s="1550">
        <v>208635.1321174161</v>
      </c>
      <c r="F15" s="1550">
        <v>37604.380821902283</v>
      </c>
      <c r="G15" s="1550">
        <v>33798099.589697547</v>
      </c>
      <c r="H15" s="1550">
        <v>9866168.0688334089</v>
      </c>
      <c r="I15" s="1550">
        <v>141888.72505190157</v>
      </c>
      <c r="J15" s="1550">
        <v>201938.20437801833</v>
      </c>
      <c r="K15" s="1550">
        <v>1542348.175315036</v>
      </c>
      <c r="L15" s="1550">
        <v>392614.2804678994</v>
      </c>
      <c r="M15" s="1550">
        <v>0</v>
      </c>
      <c r="N15" s="1550">
        <v>0</v>
      </c>
      <c r="O15" s="1550">
        <v>189841.33809000003</v>
      </c>
      <c r="P15" s="1550">
        <v>0</v>
      </c>
      <c r="Q15" s="1550">
        <v>219574.60083981926</v>
      </c>
      <c r="R15" s="1550">
        <v>511672.37933789124</v>
      </c>
      <c r="S15" s="1550">
        <v>360784.67333999998</v>
      </c>
      <c r="T15" s="1550">
        <v>823615.79209999996</v>
      </c>
      <c r="U15" s="1550">
        <v>160512.61187958997</v>
      </c>
      <c r="V15" s="1550">
        <v>81130.03459599179</v>
      </c>
      <c r="W15" s="1550">
        <v>0</v>
      </c>
      <c r="X15" s="1550">
        <v>825480.07319999998</v>
      </c>
      <c r="Y15" s="1551">
        <v>0</v>
      </c>
      <c r="Z15" s="1552">
        <v>0</v>
      </c>
      <c r="AA15" s="1552">
        <v>242994.60207180592</v>
      </c>
    </row>
    <row r="16" spans="1:27" x14ac:dyDescent="0.2">
      <c r="B16" s="3">
        <v>3</v>
      </c>
      <c r="C16" s="8" t="s">
        <v>132</v>
      </c>
      <c r="D16" s="16">
        <v>1</v>
      </c>
      <c r="E16" s="16">
        <v>4.2059377384215772E-3</v>
      </c>
      <c r="F16" s="16">
        <v>7.5807790770254769E-4</v>
      </c>
      <c r="G16" s="16">
        <v>0.68134595122377928</v>
      </c>
      <c r="H16" s="16">
        <v>0.19889501922889424</v>
      </c>
      <c r="I16" s="16">
        <v>2.8603770481783553E-3</v>
      </c>
      <c r="J16" s="16">
        <v>4.0709323784673219E-3</v>
      </c>
      <c r="K16" s="16">
        <v>3.1092656018701537E-2</v>
      </c>
      <c r="L16" s="16">
        <v>7.9148281600715416E-3</v>
      </c>
      <c r="M16" s="16">
        <v>0</v>
      </c>
      <c r="N16" s="16">
        <v>0</v>
      </c>
      <c r="O16" s="16">
        <v>3.8270680497655652E-3</v>
      </c>
      <c r="P16" s="16">
        <v>0</v>
      </c>
      <c r="Q16" s="16">
        <v>4.4264697450442387E-3</v>
      </c>
      <c r="R16" s="16">
        <v>1.0314955818438361E-2</v>
      </c>
      <c r="S16" s="16">
        <v>7.2731656343995804E-3</v>
      </c>
      <c r="T16" s="16">
        <v>1.6603515940948284E-2</v>
      </c>
      <c r="U16" s="16">
        <v>3.2358215270141821E-3</v>
      </c>
      <c r="V16" s="16">
        <v>1.6355245195938193E-3</v>
      </c>
      <c r="W16" s="16">
        <v>0</v>
      </c>
      <c r="X16" s="16">
        <v>1.6641098538634196E-2</v>
      </c>
      <c r="Y16" s="16">
        <v>0</v>
      </c>
      <c r="Z16" s="16">
        <v>0</v>
      </c>
      <c r="AA16" s="16">
        <v>4.8986005219454976E-3</v>
      </c>
    </row>
    <row r="17" spans="2:27" x14ac:dyDescent="0.2">
      <c r="B17" s="3"/>
      <c r="C17" s="8"/>
      <c r="D17" s="16"/>
      <c r="E17" s="16"/>
      <c r="F17" s="16"/>
      <c r="G17" s="16"/>
      <c r="H17" s="16"/>
      <c r="I17" s="16"/>
      <c r="J17" s="16"/>
      <c r="K17" s="16"/>
      <c r="L17" s="16"/>
      <c r="M17" s="16"/>
      <c r="N17" s="16"/>
      <c r="O17" s="16"/>
      <c r="P17" s="16"/>
      <c r="Q17" s="16"/>
      <c r="R17" s="16"/>
      <c r="S17" s="16"/>
      <c r="T17" s="16"/>
      <c r="U17" s="16"/>
      <c r="V17" s="16"/>
      <c r="W17" s="16"/>
      <c r="X17" s="16"/>
      <c r="Y17" s="16"/>
      <c r="Z17" s="16"/>
      <c r="AA17" s="16"/>
    </row>
    <row r="18" spans="2:27" x14ac:dyDescent="0.2">
      <c r="B18" s="3"/>
      <c r="C18" s="8" t="s">
        <v>135</v>
      </c>
      <c r="D18" s="20">
        <v>37287356</v>
      </c>
      <c r="E18" s="19">
        <v>145254</v>
      </c>
      <c r="F18" s="19">
        <v>34043</v>
      </c>
      <c r="G18" s="19">
        <v>25177503</v>
      </c>
      <c r="H18" s="19">
        <v>7927324</v>
      </c>
      <c r="I18" s="19">
        <v>131186</v>
      </c>
      <c r="J18" s="19">
        <v>111135</v>
      </c>
      <c r="K18" s="19">
        <v>1212467</v>
      </c>
      <c r="L18" s="19">
        <v>323732</v>
      </c>
      <c r="M18" s="19">
        <v>0</v>
      </c>
      <c r="N18" s="19">
        <v>0</v>
      </c>
      <c r="O18" s="19">
        <v>142341</v>
      </c>
      <c r="P18" s="19">
        <v>0</v>
      </c>
      <c r="Q18" s="19">
        <v>101365</v>
      </c>
      <c r="R18" s="19">
        <v>256403</v>
      </c>
      <c r="S18" s="19">
        <v>266582</v>
      </c>
      <c r="T18" s="19">
        <v>607101</v>
      </c>
      <c r="U18" s="19">
        <v>111934</v>
      </c>
      <c r="V18" s="19">
        <v>43706</v>
      </c>
      <c r="W18" s="19">
        <v>0</v>
      </c>
      <c r="X18" s="19">
        <v>695280</v>
      </c>
      <c r="Y18" s="19">
        <v>0</v>
      </c>
      <c r="Z18" s="19">
        <v>0</v>
      </c>
      <c r="AA18" s="19">
        <v>0</v>
      </c>
    </row>
    <row r="19" spans="2:27" x14ac:dyDescent="0.2">
      <c r="B19" s="3"/>
      <c r="C19" s="8"/>
      <c r="D19" s="20"/>
      <c r="E19" s="19"/>
      <c r="F19" s="19"/>
      <c r="G19" s="19"/>
      <c r="H19" s="19"/>
      <c r="I19" s="19"/>
      <c r="J19" s="19"/>
      <c r="K19" s="19"/>
      <c r="L19" s="19"/>
      <c r="M19" s="19"/>
      <c r="N19" s="19"/>
      <c r="O19" s="19"/>
      <c r="P19" s="19"/>
      <c r="Q19" s="19"/>
      <c r="R19" s="19"/>
      <c r="S19" s="19"/>
      <c r="T19" s="19"/>
      <c r="U19" s="19"/>
      <c r="V19" s="19"/>
      <c r="W19" s="19"/>
      <c r="X19" s="19"/>
      <c r="Y19" s="19"/>
      <c r="Z19" s="19"/>
      <c r="AA19" s="19"/>
    </row>
    <row r="20" spans="2:27" x14ac:dyDescent="0.2">
      <c r="B20" s="3">
        <v>4</v>
      </c>
      <c r="C20" s="1037" t="s">
        <v>332</v>
      </c>
      <c r="D20" s="20"/>
      <c r="E20" s="1340" t="s">
        <v>474</v>
      </c>
      <c r="F20" s="19"/>
      <c r="G20" s="19"/>
      <c r="H20" s="19"/>
      <c r="I20" s="19"/>
      <c r="J20" s="19"/>
      <c r="K20" s="19"/>
      <c r="L20" s="19"/>
      <c r="M20" s="19"/>
      <c r="N20" s="19"/>
      <c r="O20" s="19"/>
      <c r="P20" s="19"/>
      <c r="Q20" s="19"/>
      <c r="R20" s="19"/>
      <c r="S20" s="19"/>
      <c r="T20" s="19"/>
      <c r="U20" s="19"/>
      <c r="V20" s="19"/>
      <c r="W20" s="19"/>
      <c r="X20" s="19"/>
      <c r="Y20" s="19"/>
      <c r="Z20" s="19"/>
      <c r="AA20" s="19"/>
    </row>
    <row r="21" spans="2:27" x14ac:dyDescent="0.2">
      <c r="B21" s="3" t="s">
        <v>144</v>
      </c>
      <c r="C21" s="13" t="s">
        <v>470</v>
      </c>
      <c r="D21" s="1553">
        <v>5000000</v>
      </c>
      <c r="E21" s="1339" t="s">
        <v>473</v>
      </c>
      <c r="F21" s="19"/>
      <c r="G21" s="19"/>
      <c r="H21" s="19"/>
      <c r="I21" s="19"/>
      <c r="J21" s="19"/>
      <c r="K21" s="19"/>
      <c r="L21" s="19"/>
      <c r="M21" s="19"/>
      <c r="N21" s="19"/>
      <c r="O21" s="19"/>
      <c r="P21" s="19"/>
      <c r="Q21" s="19"/>
      <c r="R21" s="19"/>
      <c r="S21" s="19"/>
      <c r="T21" s="19"/>
      <c r="U21" s="19"/>
      <c r="V21" s="19"/>
      <c r="W21" s="19"/>
      <c r="X21" s="19"/>
      <c r="Y21" s="19"/>
      <c r="Z21" s="19"/>
      <c r="AA21" s="19"/>
    </row>
    <row r="22" spans="2:27" x14ac:dyDescent="0.2">
      <c r="B22" s="3" t="s">
        <v>145</v>
      </c>
      <c r="C22" s="24" t="s">
        <v>363</v>
      </c>
      <c r="D22" s="1040">
        <v>-462252</v>
      </c>
      <c r="E22" s="1339" t="s">
        <v>472</v>
      </c>
      <c r="F22" s="1027" t="s">
        <v>477</v>
      </c>
      <c r="G22" s="11"/>
      <c r="H22" s="11"/>
      <c r="I22" s="11"/>
      <c r="J22" s="11"/>
      <c r="K22" s="11"/>
      <c r="L22" s="11"/>
      <c r="M22" s="11"/>
      <c r="N22" s="11"/>
      <c r="O22" s="11"/>
      <c r="P22" s="11"/>
      <c r="Q22" s="11"/>
      <c r="R22" s="11"/>
      <c r="S22" s="11"/>
      <c r="T22" s="11"/>
      <c r="U22" s="11"/>
      <c r="V22" s="11"/>
      <c r="W22" s="11"/>
      <c r="X22" s="11"/>
      <c r="Y22" s="11"/>
      <c r="Z22" s="11"/>
      <c r="AA22" s="11"/>
    </row>
    <row r="23" spans="2:27" x14ac:dyDescent="0.2">
      <c r="B23" s="12" t="s">
        <v>146</v>
      </c>
      <c r="C23" s="13" t="s">
        <v>478</v>
      </c>
      <c r="D23" s="600">
        <v>5462252</v>
      </c>
      <c r="E23" s="1339" t="s">
        <v>472</v>
      </c>
      <c r="F23" s="1027" t="s">
        <v>612</v>
      </c>
      <c r="G23" s="14"/>
      <c r="H23" s="14"/>
      <c r="I23" s="14"/>
      <c r="J23" s="14"/>
      <c r="K23" s="14"/>
      <c r="L23" s="14"/>
      <c r="M23" s="14"/>
      <c r="N23" s="14"/>
      <c r="O23" s="14"/>
      <c r="P23" s="14"/>
      <c r="Q23" s="14"/>
      <c r="R23" s="14"/>
      <c r="S23" s="14"/>
      <c r="T23" s="14"/>
      <c r="U23" s="14"/>
      <c r="V23" s="14"/>
      <c r="W23" s="14"/>
      <c r="X23" s="14"/>
      <c r="Y23" s="14"/>
      <c r="Z23" s="14"/>
      <c r="AA23" s="14"/>
    </row>
    <row r="24" spans="2:27" x14ac:dyDescent="0.2">
      <c r="B24" s="12" t="s">
        <v>172</v>
      </c>
      <c r="C24" s="13" t="s">
        <v>222</v>
      </c>
      <c r="D24" s="1554">
        <v>0</v>
      </c>
      <c r="E24" s="1339"/>
      <c r="F24" s="1027" t="s">
        <v>471</v>
      </c>
      <c r="G24" s="14"/>
      <c r="H24" s="14"/>
      <c r="I24" s="14"/>
      <c r="J24" s="14"/>
      <c r="K24" s="14"/>
      <c r="L24" s="14"/>
      <c r="M24" s="14"/>
      <c r="N24" s="14"/>
      <c r="O24" s="14"/>
      <c r="P24" s="14"/>
      <c r="Q24" s="14"/>
      <c r="R24" s="14"/>
      <c r="S24" s="14"/>
      <c r="T24" s="14"/>
      <c r="U24" s="14"/>
      <c r="V24" s="14"/>
      <c r="W24" s="14"/>
      <c r="X24" s="14"/>
      <c r="Y24" s="14"/>
      <c r="Z24" s="14"/>
      <c r="AA24" s="14"/>
    </row>
    <row r="25" spans="2:27" x14ac:dyDescent="0.2">
      <c r="B25" s="12" t="s">
        <v>221</v>
      </c>
      <c r="C25" s="13" t="s">
        <v>643</v>
      </c>
      <c r="D25" s="853">
        <v>5462252</v>
      </c>
      <c r="E25" s="41"/>
      <c r="F25" s="11"/>
      <c r="G25" s="14"/>
      <c r="H25" s="14"/>
      <c r="I25" s="14"/>
      <c r="J25" s="850"/>
      <c r="K25" s="850"/>
      <c r="L25" s="14"/>
      <c r="M25" s="14"/>
      <c r="N25" s="14"/>
      <c r="O25" s="14"/>
      <c r="P25" s="14"/>
      <c r="Q25" s="14"/>
      <c r="R25" s="14"/>
      <c r="S25" s="14"/>
      <c r="T25" s="14"/>
      <c r="U25" s="14"/>
      <c r="V25" s="14"/>
      <c r="W25" s="14"/>
      <c r="X25" s="14"/>
      <c r="Y25" s="14"/>
      <c r="Z25" s="14"/>
      <c r="AA25" s="14"/>
    </row>
    <row r="26" spans="2:27" x14ac:dyDescent="0.2">
      <c r="B26" s="12"/>
      <c r="C26" s="13"/>
      <c r="D26" s="1038"/>
      <c r="E26" s="41"/>
      <c r="F26" s="11"/>
      <c r="G26" s="14"/>
      <c r="H26" s="14"/>
      <c r="I26" s="14"/>
      <c r="J26" s="850"/>
      <c r="K26" s="850"/>
      <c r="L26" s="14"/>
      <c r="M26" s="14"/>
      <c r="N26" s="14"/>
      <c r="O26" s="14"/>
      <c r="P26" s="14"/>
      <c r="Q26" s="14"/>
      <c r="R26" s="14"/>
      <c r="S26" s="14"/>
      <c r="T26" s="14"/>
      <c r="U26" s="14"/>
      <c r="V26" s="14"/>
      <c r="W26" s="14"/>
      <c r="X26" s="14"/>
      <c r="Y26" s="14"/>
      <c r="Z26" s="14"/>
      <c r="AA26" s="14"/>
    </row>
    <row r="27" spans="2:27" x14ac:dyDescent="0.2">
      <c r="B27" s="12">
        <v>5</v>
      </c>
      <c r="C27" s="1037" t="s">
        <v>327</v>
      </c>
      <c r="D27" s="1038"/>
      <c r="E27" s="41"/>
      <c r="F27" s="11"/>
      <c r="G27" s="14"/>
      <c r="H27" s="14"/>
      <c r="I27" s="14"/>
      <c r="J27" s="850"/>
      <c r="K27" s="850"/>
      <c r="L27" s="14"/>
      <c r="M27" s="14"/>
      <c r="N27" s="14"/>
      <c r="O27" s="14"/>
      <c r="P27" s="14"/>
      <c r="Q27" s="14"/>
      <c r="R27" s="14"/>
      <c r="S27" s="14"/>
      <c r="T27" s="14"/>
      <c r="U27" s="14"/>
      <c r="V27" s="14"/>
      <c r="W27" s="14"/>
      <c r="X27" s="14"/>
      <c r="Y27" s="14"/>
      <c r="Z27" s="14"/>
      <c r="AA27" s="14"/>
    </row>
    <row r="28" spans="2:27" x14ac:dyDescent="0.2">
      <c r="B28" s="12" t="s">
        <v>357</v>
      </c>
      <c r="C28" s="13" t="s">
        <v>470</v>
      </c>
      <c r="D28" s="1553">
        <v>3000000</v>
      </c>
      <c r="E28" s="1339" t="s">
        <v>473</v>
      </c>
      <c r="F28" s="11"/>
      <c r="G28" s="14"/>
      <c r="H28" s="14"/>
      <c r="I28" s="14"/>
      <c r="J28" s="850"/>
      <c r="K28" s="850"/>
      <c r="L28" s="14"/>
      <c r="M28" s="14"/>
      <c r="N28" s="14"/>
      <c r="O28" s="14"/>
      <c r="P28" s="14"/>
      <c r="Q28" s="14"/>
      <c r="R28" s="14"/>
      <c r="S28" s="14"/>
      <c r="T28" s="14"/>
      <c r="U28" s="14"/>
      <c r="V28" s="14"/>
      <c r="W28" s="14"/>
      <c r="X28" s="14"/>
      <c r="Y28" s="14"/>
      <c r="Z28" s="14"/>
      <c r="AA28" s="14"/>
    </row>
    <row r="29" spans="2:27" x14ac:dyDescent="0.2">
      <c r="B29" s="12" t="s">
        <v>358</v>
      </c>
      <c r="C29" s="13" t="s">
        <v>478</v>
      </c>
      <c r="D29" s="600">
        <v>3000000</v>
      </c>
      <c r="E29" s="1339" t="s">
        <v>472</v>
      </c>
      <c r="F29" s="1027" t="s">
        <v>612</v>
      </c>
      <c r="G29" s="14"/>
      <c r="H29" s="14"/>
      <c r="I29" s="14"/>
      <c r="J29" s="850"/>
      <c r="K29" s="850"/>
      <c r="L29" s="14"/>
      <c r="M29" s="14"/>
      <c r="N29" s="14"/>
      <c r="O29" s="14"/>
      <c r="P29" s="14"/>
      <c r="Q29" s="14"/>
      <c r="R29" s="14"/>
      <c r="S29" s="14"/>
      <c r="T29" s="14"/>
      <c r="U29" s="14"/>
      <c r="V29" s="14"/>
      <c r="W29" s="14"/>
      <c r="X29" s="14"/>
      <c r="Y29" s="14"/>
      <c r="Z29" s="14"/>
      <c r="AA29" s="14"/>
    </row>
    <row r="30" spans="2:27" x14ac:dyDescent="0.2">
      <c r="B30" s="12" t="s">
        <v>359</v>
      </c>
      <c r="C30" s="13" t="s">
        <v>222</v>
      </c>
      <c r="D30" s="1554">
        <v>0</v>
      </c>
      <c r="F30" s="1027" t="s">
        <v>471</v>
      </c>
      <c r="G30" s="14"/>
      <c r="H30" s="14"/>
      <c r="I30" s="14"/>
      <c r="J30" s="850"/>
      <c r="K30" s="850"/>
      <c r="L30" s="14"/>
      <c r="M30" s="14"/>
      <c r="N30" s="14"/>
      <c r="O30" s="14"/>
      <c r="P30" s="14"/>
      <c r="Q30" s="14"/>
      <c r="R30" s="14"/>
      <c r="S30" s="14"/>
      <c r="T30" s="14"/>
      <c r="U30" s="14"/>
      <c r="V30" s="14"/>
      <c r="W30" s="14"/>
      <c r="X30" s="14"/>
      <c r="Y30" s="14"/>
      <c r="Z30" s="14"/>
      <c r="AA30" s="14"/>
    </row>
    <row r="31" spans="2:27" x14ac:dyDescent="0.2">
      <c r="B31" s="12" t="s">
        <v>360</v>
      </c>
      <c r="C31" s="13" t="s">
        <v>644</v>
      </c>
      <c r="D31" s="853">
        <v>3000000</v>
      </c>
      <c r="E31" s="41"/>
      <c r="G31" s="14"/>
      <c r="H31" s="14"/>
      <c r="I31" s="14"/>
      <c r="J31" s="850"/>
      <c r="K31" s="850"/>
      <c r="L31" s="14"/>
      <c r="M31" s="14"/>
      <c r="N31" s="14"/>
      <c r="O31" s="14"/>
      <c r="P31" s="14"/>
      <c r="Q31" s="14"/>
      <c r="R31" s="14"/>
      <c r="S31" s="14"/>
      <c r="T31" s="14"/>
      <c r="U31" s="14"/>
      <c r="V31" s="14"/>
      <c r="W31" s="14"/>
      <c r="X31" s="14"/>
      <c r="Y31" s="14"/>
      <c r="Z31" s="14"/>
      <c r="AA31" s="14"/>
    </row>
    <row r="32" spans="2:27" x14ac:dyDescent="0.2">
      <c r="B32" s="12"/>
      <c r="C32" s="13"/>
      <c r="D32" s="1038"/>
      <c r="E32" s="41"/>
      <c r="F32" s="11"/>
      <c r="G32" s="14"/>
      <c r="H32" s="14"/>
      <c r="I32" s="14"/>
      <c r="J32" s="850"/>
      <c r="K32" s="850"/>
      <c r="L32" s="14"/>
      <c r="M32" s="14"/>
      <c r="N32" s="14"/>
      <c r="O32" s="14"/>
      <c r="P32" s="14"/>
      <c r="Q32" s="14"/>
      <c r="R32" s="14"/>
      <c r="S32" s="14"/>
      <c r="T32" s="14"/>
      <c r="U32" s="14"/>
      <c r="V32" s="14"/>
      <c r="W32" s="14"/>
      <c r="X32" s="14"/>
      <c r="Y32" s="14"/>
      <c r="Z32" s="14"/>
      <c r="AA32" s="14"/>
    </row>
    <row r="33" spans="2:27" x14ac:dyDescent="0.2">
      <c r="D33" s="1555"/>
      <c r="E33" s="1556"/>
      <c r="J33" s="1557"/>
      <c r="K33" s="1557"/>
    </row>
    <row r="34" spans="2:27" x14ac:dyDescent="0.2">
      <c r="B34" s="1558" t="s">
        <v>645</v>
      </c>
      <c r="D34" s="1559"/>
      <c r="E34" s="1560"/>
      <c r="H34" s="1561"/>
      <c r="I34" s="1560"/>
    </row>
    <row r="35" spans="2:27" x14ac:dyDescent="0.2">
      <c r="B35" s="1558"/>
      <c r="D35" s="1559"/>
      <c r="E35" s="1560"/>
      <c r="H35" s="1561"/>
      <c r="I35" s="1560"/>
    </row>
    <row r="36" spans="2:27" s="1560" customFormat="1" x14ac:dyDescent="0.2">
      <c r="B36" s="33" t="s">
        <v>149</v>
      </c>
      <c r="C36" s="24"/>
      <c r="D36" s="30"/>
      <c r="E36" s="30"/>
      <c r="F36" s="30"/>
      <c r="G36" s="30"/>
      <c r="H36" s="30"/>
      <c r="I36" s="30"/>
      <c r="J36" s="30"/>
      <c r="K36" s="30"/>
      <c r="L36" s="30"/>
      <c r="M36" s="30"/>
      <c r="N36" s="30"/>
      <c r="O36" s="30"/>
      <c r="P36" s="30"/>
      <c r="Q36" s="30"/>
      <c r="R36" s="30"/>
      <c r="S36" s="30"/>
      <c r="T36" s="30"/>
      <c r="U36" s="30"/>
      <c r="V36" s="30"/>
      <c r="W36" s="30"/>
      <c r="X36" s="30"/>
      <c r="Y36" s="30"/>
      <c r="Z36" s="30"/>
      <c r="AA36" s="30"/>
    </row>
    <row r="37" spans="2:27" s="1560" customFormat="1" x14ac:dyDescent="0.2">
      <c r="B37" s="17" t="s">
        <v>364</v>
      </c>
      <c r="C37" s="17"/>
      <c r="D37" s="17"/>
      <c r="E37" s="17"/>
      <c r="F37" s="1030"/>
      <c r="G37" s="30"/>
      <c r="H37" s="30"/>
      <c r="J37" s="30"/>
      <c r="K37" s="30"/>
      <c r="L37" s="30"/>
      <c r="M37" s="30"/>
      <c r="N37" s="30"/>
      <c r="O37" s="30"/>
      <c r="P37" s="30"/>
      <c r="Q37" s="30"/>
      <c r="R37" s="30"/>
      <c r="S37" s="30"/>
      <c r="T37" s="30"/>
      <c r="U37" s="30"/>
      <c r="V37" s="30"/>
      <c r="W37" s="30"/>
      <c r="X37" s="30"/>
      <c r="Y37" s="30"/>
      <c r="Z37" s="30"/>
      <c r="AA37" s="30"/>
    </row>
    <row r="38" spans="2:27" s="1560" customFormat="1" x14ac:dyDescent="0.2">
      <c r="B38" s="34"/>
      <c r="C38" s="34"/>
      <c r="D38" s="34"/>
      <c r="E38" s="34"/>
      <c r="F38" s="34"/>
      <c r="G38" s="30"/>
      <c r="H38" s="30"/>
      <c r="J38" s="30"/>
      <c r="K38" s="30"/>
      <c r="L38" s="30"/>
      <c r="M38" s="30"/>
      <c r="N38" s="30"/>
      <c r="O38" s="30"/>
      <c r="P38" s="30"/>
      <c r="Q38" s="30"/>
      <c r="R38" s="30"/>
      <c r="S38" s="30"/>
      <c r="T38" s="30"/>
      <c r="U38" s="30"/>
      <c r="V38" s="30"/>
      <c r="W38" s="30"/>
      <c r="X38" s="30"/>
      <c r="Y38" s="30"/>
      <c r="Z38" s="30"/>
      <c r="AA38" s="30"/>
    </row>
    <row r="39" spans="2:27" s="1560" customFormat="1" x14ac:dyDescent="0.2">
      <c r="B39" s="26"/>
      <c r="C39" s="24"/>
      <c r="D39" s="30"/>
      <c r="E39" s="30"/>
      <c r="F39" s="30"/>
      <c r="G39" s="30"/>
      <c r="H39" s="30"/>
      <c r="I39" s="30"/>
      <c r="J39" s="30"/>
      <c r="K39" s="30"/>
      <c r="L39" s="30"/>
      <c r="M39" s="30"/>
      <c r="N39" s="30"/>
      <c r="O39" s="30"/>
      <c r="P39" s="30"/>
      <c r="Q39" s="30"/>
      <c r="R39" s="30"/>
      <c r="S39" s="30"/>
      <c r="T39" s="30"/>
      <c r="U39" s="30"/>
      <c r="V39" s="30"/>
      <c r="W39" s="30"/>
      <c r="X39" s="30"/>
      <c r="Y39" s="30"/>
      <c r="Z39" s="30"/>
      <c r="AA39" s="30"/>
    </row>
    <row r="40" spans="2:27" x14ac:dyDescent="0.2">
      <c r="B40" s="3">
        <v>6</v>
      </c>
      <c r="C40" s="8" t="s">
        <v>151</v>
      </c>
      <c r="D40" s="31">
        <v>-462252.00000000012</v>
      </c>
      <c r="E40" s="32">
        <v>-1953.7738892545167</v>
      </c>
      <c r="F40" s="32">
        <v>-352.14806167001689</v>
      </c>
      <c r="G40" s="32">
        <v>-316503.95508466999</v>
      </c>
      <c r="H40" s="32">
        <v>-92392.21297127963</v>
      </c>
      <c r="I40" s="32">
        <v>-1328.7238988590134</v>
      </c>
      <c r="J40" s="32">
        <v>-1891.0601822068654</v>
      </c>
      <c r="K40" s="32">
        <v>-14443.394851515121</v>
      </c>
      <c r="L40" s="32">
        <v>-3676.6556137579591</v>
      </c>
      <c r="M40" s="32">
        <v>0</v>
      </c>
      <c r="N40" s="32">
        <v>0</v>
      </c>
      <c r="O40" s="32">
        <v>-1777.7784867633948</v>
      </c>
      <c r="P40" s="32">
        <v>0</v>
      </c>
      <c r="Q40" s="32">
        <v>-2056.2170786408528</v>
      </c>
      <c r="R40" s="32">
        <v>-4791.5809981633165</v>
      </c>
      <c r="S40" s="32">
        <v>-3378.5857025182681</v>
      </c>
      <c r="T40" s="32">
        <v>-7712.7903294688185</v>
      </c>
      <c r="U40" s="32">
        <v>-1503.1281970761077</v>
      </c>
      <c r="V40" s="32">
        <v>-759.74617323202267</v>
      </c>
      <c r="W40" s="32">
        <v>0</v>
      </c>
      <c r="X40" s="32">
        <v>-7730.2484809241587</v>
      </c>
      <c r="Y40" s="32">
        <v>0</v>
      </c>
      <c r="Z40" s="32">
        <v>0</v>
      </c>
      <c r="AA40" s="32">
        <v>0</v>
      </c>
    </row>
    <row r="41" spans="2:27" x14ac:dyDescent="0.2">
      <c r="B41" s="3"/>
      <c r="C41" s="8"/>
      <c r="D41" s="30"/>
      <c r="E41" s="30"/>
      <c r="F41" s="30"/>
      <c r="G41" s="30"/>
      <c r="H41" s="30"/>
      <c r="I41" s="30"/>
      <c r="J41" s="30"/>
      <c r="K41" s="30"/>
      <c r="L41" s="30"/>
      <c r="M41" s="30"/>
      <c r="N41" s="30"/>
      <c r="O41" s="30"/>
      <c r="P41" s="30"/>
      <c r="Q41" s="30"/>
      <c r="R41" s="30"/>
      <c r="S41" s="30"/>
      <c r="T41" s="30"/>
      <c r="U41" s="30"/>
      <c r="V41" s="30"/>
      <c r="W41" s="30"/>
      <c r="X41" s="30"/>
      <c r="Y41" s="30"/>
      <c r="Z41" s="30"/>
      <c r="AA41" s="30"/>
    </row>
    <row r="42" spans="2:27" x14ac:dyDescent="0.2">
      <c r="B42" s="3"/>
      <c r="C42" s="8"/>
      <c r="D42" s="30"/>
      <c r="E42" s="30"/>
      <c r="F42" s="30"/>
      <c r="G42" s="30"/>
      <c r="H42" s="30"/>
      <c r="I42" s="30"/>
      <c r="J42" s="30"/>
      <c r="K42" s="30"/>
      <c r="L42" s="30"/>
      <c r="M42" s="30"/>
      <c r="N42" s="30"/>
      <c r="O42" s="30"/>
      <c r="P42" s="30"/>
      <c r="Q42" s="30"/>
      <c r="R42" s="30"/>
      <c r="S42" s="30"/>
      <c r="T42" s="30"/>
      <c r="U42" s="30"/>
      <c r="V42" s="30"/>
      <c r="W42" s="30"/>
      <c r="X42" s="30"/>
      <c r="Y42" s="30"/>
      <c r="Z42" s="30"/>
      <c r="AA42" s="30"/>
    </row>
    <row r="43" spans="2:27" x14ac:dyDescent="0.2">
      <c r="B43" s="1029" t="s">
        <v>150</v>
      </c>
      <c r="G43" s="38"/>
      <c r="H43" s="15"/>
      <c r="I43" s="15"/>
      <c r="J43" s="8"/>
      <c r="K43" s="8"/>
      <c r="L43" s="8"/>
      <c r="M43" s="8"/>
      <c r="N43" s="8"/>
      <c r="O43" s="8"/>
      <c r="P43" s="8"/>
      <c r="Q43" s="8"/>
      <c r="R43" s="8"/>
      <c r="S43" s="8"/>
      <c r="T43" s="8"/>
      <c r="U43" s="8"/>
      <c r="V43" s="8"/>
      <c r="W43" s="8"/>
      <c r="X43" s="8"/>
      <c r="Y43" s="8"/>
      <c r="Z43" s="8"/>
      <c r="AA43" s="8"/>
    </row>
    <row r="44" spans="2:27" x14ac:dyDescent="0.2">
      <c r="B44" s="17" t="s">
        <v>613</v>
      </c>
      <c r="C44" s="17"/>
      <c r="D44" s="29"/>
      <c r="E44" s="34"/>
      <c r="F44" s="34"/>
      <c r="G44" s="1562"/>
      <c r="H44" s="1562"/>
      <c r="I44" s="1562"/>
    </row>
    <row r="45" spans="2:27" x14ac:dyDescent="0.2">
      <c r="B45" s="1028" t="s">
        <v>355</v>
      </c>
      <c r="C45" s="35"/>
      <c r="D45" s="36"/>
      <c r="E45" s="37"/>
      <c r="F45" s="15"/>
    </row>
    <row r="46" spans="2:27" x14ac:dyDescent="0.2">
      <c r="D46" s="1557"/>
      <c r="E46" s="1557"/>
      <c r="F46" s="1557"/>
      <c r="G46" s="1557"/>
      <c r="H46" s="1557"/>
      <c r="I46" s="1557"/>
      <c r="J46" s="1557"/>
      <c r="K46" s="1557"/>
      <c r="L46" s="1557"/>
      <c r="M46" s="1557"/>
      <c r="N46" s="1557"/>
      <c r="O46" s="1557"/>
      <c r="P46" s="1557"/>
      <c r="Q46" s="1557"/>
      <c r="R46" s="1557"/>
      <c r="S46" s="1557"/>
      <c r="T46" s="1557"/>
      <c r="U46" s="1557"/>
      <c r="V46" s="1557"/>
      <c r="W46" s="1557"/>
      <c r="X46" s="1557"/>
      <c r="Y46" s="1557"/>
      <c r="Z46" s="1557"/>
      <c r="AA46" s="1557"/>
    </row>
    <row r="47" spans="2:27" x14ac:dyDescent="0.2">
      <c r="B47" s="3" t="s">
        <v>486</v>
      </c>
      <c r="C47" s="8" t="s">
        <v>479</v>
      </c>
      <c r="D47" s="31">
        <v>4999999.9999999991</v>
      </c>
      <c r="E47" s="1375">
        <v>21908.068090715322</v>
      </c>
      <c r="F47" s="1375">
        <v>3948.6710881839526</v>
      </c>
      <c r="G47" s="1375">
        <v>3549026.1755544636</v>
      </c>
      <c r="H47" s="1375">
        <v>1036013.5180503587</v>
      </c>
      <c r="I47" s="1375">
        <v>14899.29241653369</v>
      </c>
      <c r="J47" s="1375">
        <v>21204.83837372862</v>
      </c>
      <c r="K47" s="1375">
        <v>161956.83851500752</v>
      </c>
      <c r="L47" s="1375">
        <v>17999.563526258313</v>
      </c>
      <c r="M47" s="1375">
        <v>0</v>
      </c>
      <c r="N47" s="1375">
        <v>0</v>
      </c>
      <c r="O47" s="1375">
        <v>8703.3451160386649</v>
      </c>
      <c r="P47" s="1375">
        <v>0</v>
      </c>
      <c r="Q47" s="1375">
        <v>23056.841138921161</v>
      </c>
      <c r="R47" s="1375">
        <v>23457.830511921744</v>
      </c>
      <c r="S47" s="1375">
        <v>21647.1</v>
      </c>
      <c r="T47" s="1375">
        <v>37759.041993517218</v>
      </c>
      <c r="U47" s="1375">
        <v>16854.936772089957</v>
      </c>
      <c r="V47" s="1375">
        <v>3719.4409493429603</v>
      </c>
      <c r="W47" s="1375">
        <v>0</v>
      </c>
      <c r="X47" s="1375">
        <v>37844.497902916635</v>
      </c>
      <c r="Y47" s="1375">
        <v>0</v>
      </c>
      <c r="Z47" s="1375">
        <v>0</v>
      </c>
      <c r="AA47" s="1375">
        <v>0</v>
      </c>
    </row>
    <row r="49" spans="2:27" x14ac:dyDescent="0.2">
      <c r="B49" s="3" t="s">
        <v>487</v>
      </c>
      <c r="C49" s="8" t="s">
        <v>480</v>
      </c>
      <c r="D49" s="31">
        <v>5462251.9999999991</v>
      </c>
      <c r="E49" s="1376">
        <v>23861.841979969839</v>
      </c>
      <c r="F49" s="1376">
        <v>4300.8191498539691</v>
      </c>
      <c r="G49" s="1376">
        <v>3865530.1306391335</v>
      </c>
      <c r="H49" s="1376">
        <v>1128405.7310216385</v>
      </c>
      <c r="I49" s="1376">
        <v>16228.016315392702</v>
      </c>
      <c r="J49" s="1376">
        <v>23095.898555935484</v>
      </c>
      <c r="K49" s="1376">
        <v>176400.23336652265</v>
      </c>
      <c r="L49" s="1376">
        <v>21676.21914001627</v>
      </c>
      <c r="M49" s="1376">
        <v>0</v>
      </c>
      <c r="N49" s="1376">
        <v>0</v>
      </c>
      <c r="O49" s="1376">
        <v>10481.123602802059</v>
      </c>
      <c r="P49" s="1376">
        <v>0</v>
      </c>
      <c r="Q49" s="1376">
        <v>25113.058217562015</v>
      </c>
      <c r="R49" s="1376">
        <v>28249.411510085061</v>
      </c>
      <c r="S49" s="1376">
        <v>25025.685702518265</v>
      </c>
      <c r="T49" s="1376">
        <v>45471.83232298604</v>
      </c>
      <c r="U49" s="1376">
        <v>18358.064969166066</v>
      </c>
      <c r="V49" s="1376">
        <v>4479.1871225749828</v>
      </c>
      <c r="W49" s="1376">
        <v>0</v>
      </c>
      <c r="X49" s="1376">
        <v>45574.746383840793</v>
      </c>
      <c r="Y49" s="1376">
        <v>0</v>
      </c>
      <c r="Z49" s="1376">
        <v>0</v>
      </c>
      <c r="AA49" s="1376">
        <v>0</v>
      </c>
    </row>
    <row r="50" spans="2:27" s="1560" customFormat="1" x14ac:dyDescent="0.2">
      <c r="B50" s="26"/>
      <c r="C50" s="24"/>
      <c r="D50" s="30"/>
      <c r="E50" s="30"/>
      <c r="F50" s="30"/>
      <c r="G50" s="30"/>
      <c r="H50" s="30"/>
      <c r="I50" s="30"/>
      <c r="J50" s="30"/>
      <c r="K50" s="30"/>
      <c r="L50" s="30"/>
      <c r="M50" s="30"/>
      <c r="N50" s="30"/>
      <c r="O50" s="30"/>
      <c r="P50" s="30"/>
      <c r="Q50" s="30"/>
      <c r="R50" s="30"/>
      <c r="S50" s="30"/>
      <c r="T50" s="30"/>
      <c r="U50" s="30"/>
      <c r="V50" s="30"/>
      <c r="W50" s="30"/>
      <c r="X50" s="30"/>
      <c r="Y50" s="30"/>
      <c r="Z50" s="30"/>
      <c r="AA50" s="30"/>
    </row>
    <row r="51" spans="2:27" s="1560" customFormat="1" x14ac:dyDescent="0.2">
      <c r="B51" s="26"/>
      <c r="C51" s="24"/>
      <c r="D51" s="30"/>
      <c r="E51" s="30"/>
      <c r="F51" s="30"/>
      <c r="G51" s="30"/>
      <c r="H51" s="30"/>
      <c r="I51" s="30"/>
      <c r="J51" s="30"/>
      <c r="K51" s="30"/>
      <c r="L51" s="30"/>
      <c r="M51" s="30"/>
      <c r="N51" s="30"/>
      <c r="O51" s="30"/>
      <c r="P51" s="30"/>
      <c r="Q51" s="30"/>
      <c r="R51" s="30"/>
      <c r="S51" s="30"/>
      <c r="T51" s="30"/>
      <c r="U51" s="30"/>
      <c r="V51" s="30"/>
      <c r="W51" s="30"/>
      <c r="X51" s="30"/>
      <c r="Y51" s="30"/>
      <c r="Z51" s="30"/>
      <c r="AA51" s="30"/>
    </row>
    <row r="52" spans="2:27" s="1560" customFormat="1" x14ac:dyDescent="0.2">
      <c r="B52" s="26"/>
      <c r="C52" s="24"/>
      <c r="D52" s="30"/>
      <c r="E52" s="30"/>
      <c r="F52" s="1562"/>
      <c r="G52" s="30"/>
      <c r="H52" s="1073"/>
      <c r="I52" s="1074"/>
      <c r="J52" s="30"/>
      <c r="K52" s="30"/>
      <c r="L52" s="1561"/>
      <c r="M52" s="30"/>
      <c r="N52" s="30"/>
      <c r="O52" s="30"/>
      <c r="P52" s="30"/>
      <c r="Q52" s="30"/>
      <c r="R52" s="30"/>
      <c r="S52" s="30"/>
      <c r="T52" s="30"/>
      <c r="U52" s="30"/>
      <c r="V52" s="30"/>
      <c r="W52" s="30"/>
      <c r="X52" s="30"/>
      <c r="Y52" s="30"/>
      <c r="Z52" s="30"/>
      <c r="AA52" s="30"/>
    </row>
    <row r="53" spans="2:27" s="1560" customFormat="1" x14ac:dyDescent="0.2">
      <c r="B53" s="26"/>
      <c r="C53" s="26" t="s">
        <v>481</v>
      </c>
      <c r="D53" s="30"/>
      <c r="E53" s="30"/>
      <c r="F53" s="30"/>
      <c r="G53" s="30"/>
      <c r="H53" s="37"/>
      <c r="I53" s="1072"/>
      <c r="J53" s="30"/>
      <c r="K53" s="30"/>
      <c r="L53" s="30"/>
      <c r="M53" s="30"/>
      <c r="N53" s="30"/>
      <c r="O53" s="30"/>
      <c r="P53" s="30"/>
      <c r="Q53" s="30"/>
      <c r="R53" s="30"/>
      <c r="S53" s="30"/>
      <c r="T53" s="30"/>
      <c r="U53" s="30"/>
      <c r="V53" s="30"/>
      <c r="W53" s="30"/>
      <c r="X53" s="30"/>
      <c r="Y53" s="30"/>
      <c r="Z53" s="30"/>
      <c r="AA53" s="30"/>
    </row>
    <row r="54" spans="2:27" x14ac:dyDescent="0.2">
      <c r="C54" s="1563" t="s">
        <v>482</v>
      </c>
      <c r="D54" s="1562"/>
      <c r="E54" s="1562"/>
      <c r="F54" s="1562"/>
      <c r="G54" s="1562"/>
      <c r="H54" s="1071"/>
      <c r="I54" s="1072"/>
      <c r="J54" s="1562"/>
    </row>
    <row r="55" spans="2:27" x14ac:dyDescent="0.2">
      <c r="D55" s="1562"/>
      <c r="E55" s="1562"/>
      <c r="F55" s="1562"/>
      <c r="G55" s="1562"/>
      <c r="H55" s="1562"/>
      <c r="I55" s="1562"/>
      <c r="J55" s="1562"/>
    </row>
    <row r="56" spans="2:27" x14ac:dyDescent="0.2">
      <c r="D56" s="1075"/>
      <c r="E56" s="1072"/>
      <c r="F56" s="1562"/>
      <c r="G56" s="1562"/>
      <c r="H56" s="1073"/>
      <c r="I56" s="1074"/>
      <c r="J56" s="1562"/>
    </row>
    <row r="57" spans="2:27" x14ac:dyDescent="0.2">
      <c r="D57" s="40"/>
      <c r="E57" s="1072"/>
      <c r="F57" s="1562"/>
      <c r="G57" s="1562"/>
      <c r="H57" s="37"/>
      <c r="I57" s="1072"/>
      <c r="J57" s="1562"/>
    </row>
    <row r="58" spans="2:27" x14ac:dyDescent="0.2">
      <c r="D58" s="40"/>
      <c r="E58" s="1072"/>
      <c r="F58" s="1562"/>
      <c r="G58" s="1562"/>
      <c r="H58" s="1071"/>
      <c r="I58" s="1072"/>
      <c r="J58" s="1562"/>
    </row>
    <row r="59" spans="2:27" x14ac:dyDescent="0.2">
      <c r="D59" s="1075"/>
      <c r="E59" s="1072"/>
      <c r="F59" s="1562"/>
      <c r="G59" s="1562"/>
      <c r="H59" s="1071"/>
      <c r="I59" s="1072"/>
      <c r="J59" s="1562"/>
    </row>
    <row r="60" spans="2:27" x14ac:dyDescent="0.2">
      <c r="D60" s="1562"/>
      <c r="E60" s="1562"/>
      <c r="F60" s="1562"/>
      <c r="G60" s="1562"/>
      <c r="H60" s="1562"/>
      <c r="I60" s="1562"/>
      <c r="J60" s="1562"/>
    </row>
    <row r="63" spans="2:27" x14ac:dyDescent="0.2">
      <c r="C63" s="1037"/>
    </row>
    <row r="64" spans="2:27" s="1560" customFormat="1" x14ac:dyDescent="0.2">
      <c r="B64" s="18" t="s">
        <v>224</v>
      </c>
      <c r="C64" s="1564" t="s">
        <v>483</v>
      </c>
      <c r="D64" s="31">
        <v>4999999.9999999991</v>
      </c>
      <c r="E64" s="23">
        <v>21908.068090715322</v>
      </c>
      <c r="F64" s="23">
        <v>3948.6710881839522</v>
      </c>
      <c r="G64" s="23">
        <v>3549026.1755544636</v>
      </c>
      <c r="H64" s="23">
        <v>1036013.5180503589</v>
      </c>
      <c r="I64" s="23">
        <v>14899.292416533688</v>
      </c>
      <c r="J64" s="23">
        <v>21204.83837372862</v>
      </c>
      <c r="K64" s="23">
        <v>161956.83851500752</v>
      </c>
      <c r="L64" s="23">
        <v>17999.563526258309</v>
      </c>
      <c r="M64" s="23">
        <v>0</v>
      </c>
      <c r="N64" s="23">
        <v>0</v>
      </c>
      <c r="O64" s="23">
        <v>8703.3451160386649</v>
      </c>
      <c r="P64" s="23">
        <v>0</v>
      </c>
      <c r="Q64" s="23">
        <v>23056.841138921161</v>
      </c>
      <c r="R64" s="23">
        <v>23457.830511921744</v>
      </c>
      <c r="S64" s="23">
        <v>21647.1</v>
      </c>
      <c r="T64" s="23">
        <v>37759.041993517225</v>
      </c>
      <c r="U64" s="23">
        <v>16854.936772089957</v>
      </c>
      <c r="V64" s="23">
        <v>3719.4409493429603</v>
      </c>
      <c r="W64" s="23">
        <v>0</v>
      </c>
      <c r="X64" s="23">
        <v>37844.497902916635</v>
      </c>
      <c r="Y64" s="23">
        <v>0</v>
      </c>
      <c r="Z64" s="23">
        <v>0</v>
      </c>
      <c r="AA64" s="23">
        <v>0</v>
      </c>
    </row>
    <row r="65" spans="2:27" s="1560" customFormat="1" x14ac:dyDescent="0.2">
      <c r="B65" s="18" t="s">
        <v>223</v>
      </c>
      <c r="C65" s="1564"/>
      <c r="D65" s="30"/>
      <c r="E65" s="597"/>
      <c r="F65" s="597"/>
      <c r="G65" s="597"/>
      <c r="H65" s="597"/>
      <c r="I65" s="597"/>
      <c r="J65" s="597"/>
      <c r="K65" s="597"/>
      <c r="L65" s="597"/>
      <c r="M65" s="597"/>
      <c r="N65" s="597"/>
      <c r="O65" s="597"/>
      <c r="P65" s="597"/>
      <c r="Q65" s="597"/>
      <c r="R65" s="597"/>
      <c r="S65" s="597"/>
      <c r="T65" s="597"/>
      <c r="U65" s="597"/>
      <c r="V65" s="597"/>
      <c r="W65" s="597"/>
      <c r="X65" s="597"/>
      <c r="Y65" s="597"/>
      <c r="Z65" s="597"/>
      <c r="AA65" s="597"/>
    </row>
    <row r="66" spans="2:27" s="1560" customFormat="1" x14ac:dyDescent="0.2">
      <c r="B66" s="18" t="s">
        <v>488</v>
      </c>
      <c r="C66" s="24" t="s">
        <v>484</v>
      </c>
      <c r="D66" s="30">
        <v>0</v>
      </c>
      <c r="E66" s="40">
        <v>0</v>
      </c>
      <c r="F66" s="40">
        <v>0</v>
      </c>
      <c r="G66" s="40">
        <v>0</v>
      </c>
      <c r="H66" s="40">
        <v>0</v>
      </c>
      <c r="I66" s="40">
        <v>0</v>
      </c>
      <c r="J66" s="40">
        <v>0</v>
      </c>
      <c r="K66" s="40">
        <v>0</v>
      </c>
      <c r="L66" s="40">
        <v>0</v>
      </c>
      <c r="M66" s="40">
        <v>0</v>
      </c>
      <c r="N66" s="40">
        <v>0</v>
      </c>
      <c r="O66" s="40">
        <v>0</v>
      </c>
      <c r="P66" s="40">
        <v>0</v>
      </c>
      <c r="Q66" s="40">
        <v>0</v>
      </c>
      <c r="R66" s="40">
        <v>0</v>
      </c>
      <c r="S66" s="40">
        <v>0</v>
      </c>
      <c r="T66" s="40">
        <v>0</v>
      </c>
      <c r="U66" s="40">
        <v>0</v>
      </c>
      <c r="V66" s="40">
        <v>0</v>
      </c>
      <c r="W66" s="40">
        <v>0</v>
      </c>
      <c r="X66" s="40">
        <v>0</v>
      </c>
      <c r="Y66" s="40">
        <v>0</v>
      </c>
      <c r="Z66" s="40">
        <v>0</v>
      </c>
      <c r="AA66" s="40">
        <v>0</v>
      </c>
    </row>
    <row r="67" spans="2:27" s="1560" customFormat="1" x14ac:dyDescent="0.2">
      <c r="B67" s="18"/>
      <c r="C67" s="24"/>
      <c r="D67" s="30"/>
      <c r="E67" s="40"/>
      <c r="F67" s="40"/>
      <c r="G67" s="40"/>
      <c r="H67" s="40"/>
      <c r="I67" s="40"/>
      <c r="J67" s="40"/>
      <c r="K67" s="40"/>
      <c r="L67" s="40"/>
      <c r="M67" s="40"/>
      <c r="N67" s="40"/>
      <c r="O67" s="40"/>
      <c r="P67" s="40"/>
      <c r="Q67" s="40"/>
      <c r="R67" s="40"/>
      <c r="S67" s="40"/>
      <c r="T67" s="40"/>
      <c r="U67" s="40"/>
      <c r="V67" s="40"/>
      <c r="W67" s="40"/>
      <c r="X67" s="40"/>
      <c r="Y67" s="40"/>
      <c r="Z67" s="40"/>
      <c r="AA67" s="40"/>
    </row>
    <row r="68" spans="2:27" s="1560" customFormat="1" x14ac:dyDescent="0.2">
      <c r="B68" s="18"/>
      <c r="C68" s="1037" t="s">
        <v>332</v>
      </c>
      <c r="D68" s="30"/>
      <c r="E68" s="597"/>
      <c r="F68" s="597"/>
      <c r="G68" s="597"/>
      <c r="H68" s="597"/>
      <c r="I68" s="597"/>
      <c r="J68" s="597"/>
      <c r="K68" s="597"/>
      <c r="L68" s="597"/>
      <c r="M68" s="597"/>
      <c r="N68" s="597"/>
      <c r="O68" s="597"/>
      <c r="P68" s="597"/>
      <c r="Q68" s="597"/>
      <c r="R68" s="597"/>
      <c r="S68" s="597"/>
      <c r="T68" s="597"/>
      <c r="U68" s="597"/>
      <c r="V68" s="597"/>
      <c r="W68" s="597"/>
      <c r="X68" s="597"/>
      <c r="Y68" s="597"/>
      <c r="Z68" s="597"/>
      <c r="AA68" s="597"/>
    </row>
    <row r="69" spans="2:27" s="1560" customFormat="1" x14ac:dyDescent="0.2">
      <c r="B69" s="18">
        <v>9</v>
      </c>
      <c r="C69" s="1564" t="s">
        <v>485</v>
      </c>
      <c r="D69" s="31">
        <v>4999999.9999999991</v>
      </c>
      <c r="E69" s="1376">
        <v>21908.068090715322</v>
      </c>
      <c r="F69" s="1376">
        <v>3948.6710881839522</v>
      </c>
      <c r="G69" s="1376">
        <v>3549026.1755544636</v>
      </c>
      <c r="H69" s="1376">
        <v>1036013.5180503589</v>
      </c>
      <c r="I69" s="1376">
        <v>14899.292416533688</v>
      </c>
      <c r="J69" s="1376">
        <v>21204.83837372862</v>
      </c>
      <c r="K69" s="1376">
        <v>161956.83851500752</v>
      </c>
      <c r="L69" s="1376">
        <v>17999.563526258309</v>
      </c>
      <c r="M69" s="1376">
        <v>0</v>
      </c>
      <c r="N69" s="1376">
        <v>0</v>
      </c>
      <c r="O69" s="1376">
        <v>8703.3451160386649</v>
      </c>
      <c r="P69" s="1376">
        <v>0</v>
      </c>
      <c r="Q69" s="1376">
        <v>23056.841138921161</v>
      </c>
      <c r="R69" s="1376">
        <v>23457.830511921744</v>
      </c>
      <c r="S69" s="1376">
        <v>21647.1</v>
      </c>
      <c r="T69" s="1376">
        <v>37759.041993517225</v>
      </c>
      <c r="U69" s="1376">
        <v>16854.936772089957</v>
      </c>
      <c r="V69" s="1376">
        <v>3719.4409493429603</v>
      </c>
      <c r="W69" s="1376">
        <v>0</v>
      </c>
      <c r="X69" s="1376">
        <v>37844.497902916635</v>
      </c>
      <c r="Y69" s="1376">
        <v>0</v>
      </c>
      <c r="Z69" s="1376">
        <v>0</v>
      </c>
      <c r="AA69" s="1376">
        <v>0</v>
      </c>
    </row>
    <row r="70" spans="2:27" s="1560" customFormat="1" x14ac:dyDescent="0.2">
      <c r="B70" s="18"/>
      <c r="C70" s="1564"/>
      <c r="D70" s="30"/>
      <c r="E70" s="30"/>
      <c r="F70" s="30"/>
      <c r="G70" s="30"/>
      <c r="H70" s="30"/>
      <c r="I70" s="30"/>
      <c r="J70" s="30"/>
      <c r="K70" s="30"/>
      <c r="L70" s="30"/>
      <c r="M70" s="30"/>
      <c r="N70" s="30"/>
      <c r="O70" s="30"/>
      <c r="P70" s="30"/>
      <c r="Q70" s="30"/>
      <c r="R70" s="30"/>
      <c r="S70" s="30"/>
      <c r="T70" s="30"/>
      <c r="U70" s="30"/>
      <c r="V70" s="30"/>
      <c r="W70" s="30"/>
      <c r="X70" s="30"/>
      <c r="Y70" s="30"/>
      <c r="Z70" s="30"/>
      <c r="AA70" s="30"/>
    </row>
    <row r="71" spans="2:27" s="1560" customFormat="1" x14ac:dyDescent="0.2">
      <c r="B71" s="18"/>
      <c r="C71" s="1564"/>
      <c r="D71" s="30"/>
      <c r="E71" s="30"/>
      <c r="F71" s="30"/>
      <c r="G71" s="30"/>
      <c r="H71" s="30"/>
      <c r="I71" s="30"/>
      <c r="J71" s="30"/>
      <c r="K71" s="30"/>
      <c r="L71" s="30"/>
      <c r="M71" s="30"/>
      <c r="N71" s="30"/>
      <c r="O71" s="30"/>
      <c r="P71" s="30"/>
      <c r="Q71" s="30"/>
      <c r="R71" s="30"/>
      <c r="S71" s="30"/>
      <c r="T71" s="30"/>
      <c r="U71" s="30"/>
      <c r="V71" s="30"/>
      <c r="W71" s="30"/>
      <c r="X71" s="30"/>
      <c r="Y71" s="30"/>
      <c r="Z71" s="30"/>
      <c r="AA71" s="30"/>
    </row>
    <row r="72" spans="2:27" s="1560" customFormat="1" x14ac:dyDescent="0.2">
      <c r="B72" s="18"/>
      <c r="C72" s="1564"/>
      <c r="D72" s="1565"/>
      <c r="E72" s="597"/>
      <c r="F72" s="30"/>
      <c r="G72" s="30"/>
      <c r="H72" s="30"/>
      <c r="I72" s="30"/>
      <c r="J72" s="30"/>
      <c r="K72" s="30"/>
      <c r="L72" s="30"/>
      <c r="M72" s="30"/>
      <c r="N72" s="30"/>
      <c r="O72" s="30"/>
      <c r="P72" s="30"/>
      <c r="Q72" s="30"/>
      <c r="R72" s="30"/>
      <c r="S72" s="30"/>
      <c r="T72" s="30"/>
      <c r="U72" s="30"/>
      <c r="V72" s="30"/>
      <c r="W72" s="30"/>
      <c r="X72" s="30"/>
      <c r="Y72" s="30"/>
      <c r="Z72" s="30"/>
      <c r="AA72" s="30"/>
    </row>
    <row r="73" spans="2:27" x14ac:dyDescent="0.2">
      <c r="B73" s="3"/>
      <c r="C73" s="1037" t="s">
        <v>332</v>
      </c>
      <c r="D73" s="1043" t="s">
        <v>131</v>
      </c>
      <c r="E73" s="1043" t="s">
        <v>350</v>
      </c>
      <c r="F73" s="1043" t="s">
        <v>351</v>
      </c>
      <c r="G73" s="1043" t="s">
        <v>352</v>
      </c>
      <c r="H73" s="1043" t="s">
        <v>353</v>
      </c>
      <c r="I73" s="1043" t="s">
        <v>354</v>
      </c>
      <c r="J73" s="1043" t="s">
        <v>365</v>
      </c>
      <c r="K73" s="1043" t="s">
        <v>266</v>
      </c>
      <c r="L73" s="1043" t="s">
        <v>267</v>
      </c>
      <c r="M73" s="1043" t="s">
        <v>269</v>
      </c>
      <c r="N73" s="1043" t="s">
        <v>270</v>
      </c>
      <c r="O73" s="1043" t="s">
        <v>271</v>
      </c>
      <c r="P73" s="1043" t="s">
        <v>272</v>
      </c>
      <c r="Q73" s="1043" t="s">
        <v>273</v>
      </c>
      <c r="R73" s="1043" t="s">
        <v>274</v>
      </c>
      <c r="S73" s="1043" t="s">
        <v>275</v>
      </c>
      <c r="T73" s="1043" t="s">
        <v>276</v>
      </c>
      <c r="U73" s="1043" t="s">
        <v>277</v>
      </c>
      <c r="V73" s="1043" t="s">
        <v>278</v>
      </c>
      <c r="W73" s="1043" t="s">
        <v>280</v>
      </c>
      <c r="X73" s="1043" t="s">
        <v>281</v>
      </c>
      <c r="Y73" s="1043" t="s">
        <v>44</v>
      </c>
      <c r="Z73" s="1043" t="s">
        <v>264</v>
      </c>
      <c r="AA73" s="1043" t="s">
        <v>304</v>
      </c>
    </row>
    <row r="74" spans="2:27" x14ac:dyDescent="0.2">
      <c r="B74" s="3">
        <v>10</v>
      </c>
      <c r="C74" s="10" t="s">
        <v>489</v>
      </c>
      <c r="D74" s="1032">
        <v>83333454.662138224</v>
      </c>
      <c r="E74" s="1032">
        <v>305599.20020813146</v>
      </c>
      <c r="F74" s="1032">
        <v>57820.051910086237</v>
      </c>
      <c r="G74" s="1032">
        <v>56557223.765252009</v>
      </c>
      <c r="H74" s="1032">
        <v>17148020.586883768</v>
      </c>
      <c r="I74" s="1032">
        <v>255943.01746843525</v>
      </c>
      <c r="J74" s="1032">
        <v>384423.04275174701</v>
      </c>
      <c r="K74" s="1032">
        <v>3015793.0138300438</v>
      </c>
      <c r="L74" s="1032">
        <v>765265.84399415785</v>
      </c>
      <c r="M74" s="1032">
        <v>0</v>
      </c>
      <c r="N74" s="1032">
        <v>0</v>
      </c>
      <c r="O74" s="1032">
        <v>198544.6832060387</v>
      </c>
      <c r="P74" s="1032">
        <v>0</v>
      </c>
      <c r="Q74" s="1032">
        <v>493245.44197874039</v>
      </c>
      <c r="R74" s="1032">
        <v>1178416.209849813</v>
      </c>
      <c r="S74" s="1032">
        <v>382431.77333999996</v>
      </c>
      <c r="T74" s="1032">
        <v>861374.83409351716</v>
      </c>
      <c r="U74" s="1032">
        <v>447583.54865167983</v>
      </c>
      <c r="V74" s="1032">
        <v>175450.47554533475</v>
      </c>
      <c r="W74" s="1032">
        <v>0</v>
      </c>
      <c r="X74" s="1032">
        <v>863324.57110291661</v>
      </c>
      <c r="Y74" s="1032">
        <v>0</v>
      </c>
      <c r="Z74" s="1032">
        <v>0</v>
      </c>
      <c r="AA74" s="1032">
        <v>242994.60207180592</v>
      </c>
    </row>
    <row r="75" spans="2:27" x14ac:dyDescent="0.2">
      <c r="B75" s="3">
        <v>11</v>
      </c>
      <c r="C75" s="8" t="s">
        <v>133</v>
      </c>
      <c r="D75" s="1033">
        <v>6.0916601006949532E-2</v>
      </c>
      <c r="E75" s="1033">
        <v>7.7225071954832414E-2</v>
      </c>
      <c r="F75" s="1033">
        <v>7.3298122824031225E-2</v>
      </c>
      <c r="G75" s="1033">
        <v>6.6952402400572014E-2</v>
      </c>
      <c r="H75" s="1033">
        <v>6.4300711489532147E-2</v>
      </c>
      <c r="I75" s="1033">
        <v>6.1811575527741164E-2</v>
      </c>
      <c r="J75" s="1033">
        <v>5.8380439411180339E-2</v>
      </c>
      <c r="K75" s="1033">
        <v>5.675057311134158E-2</v>
      </c>
      <c r="L75" s="1033">
        <v>2.4087214955006323E-2</v>
      </c>
      <c r="M75" s="1033">
        <v>0</v>
      </c>
      <c r="N75" s="1033">
        <v>0</v>
      </c>
      <c r="O75" s="1033">
        <v>4.5845363310242665E-2</v>
      </c>
      <c r="P75" s="1033">
        <v>0</v>
      </c>
      <c r="Q75" s="1033">
        <v>4.9037431145158725E-2</v>
      </c>
      <c r="R75" s="1033">
        <v>2.0310541861577359E-2</v>
      </c>
      <c r="S75" s="1033">
        <v>6.000005432492405E-2</v>
      </c>
      <c r="T75" s="1033">
        <v>4.584545652924131E-2</v>
      </c>
      <c r="U75" s="1033">
        <v>3.9131221625931301E-2</v>
      </c>
      <c r="V75" s="1033">
        <v>2.1658525251962712E-2</v>
      </c>
      <c r="W75" s="1033">
        <v>0</v>
      </c>
      <c r="X75" s="1033">
        <v>4.5845440891396951E-2</v>
      </c>
      <c r="Y75" s="1033">
        <v>0</v>
      </c>
      <c r="Z75" s="1033">
        <v>0</v>
      </c>
      <c r="AA75" s="1033">
        <v>0</v>
      </c>
    </row>
    <row r="76" spans="2:27" x14ac:dyDescent="0.2">
      <c r="B76" s="3">
        <v>12</v>
      </c>
      <c r="C76" s="8" t="s">
        <v>490</v>
      </c>
      <c r="D76" s="1034">
        <v>54604902.662138224</v>
      </c>
      <c r="E76" s="1034">
        <v>230543.20020813143</v>
      </c>
      <c r="F76" s="1034">
        <v>41553.051910086237</v>
      </c>
      <c r="G76" s="1034">
        <v>37347125.765252009</v>
      </c>
      <c r="H76" s="1034">
        <v>10902181.586883768</v>
      </c>
      <c r="I76" s="1034">
        <v>156788.01746843525</v>
      </c>
      <c r="J76" s="1034">
        <v>223143.04275174695</v>
      </c>
      <c r="K76" s="1034">
        <v>1704305.0138300434</v>
      </c>
      <c r="L76" s="1034">
        <v>410613.84399415774</v>
      </c>
      <c r="M76" s="1034">
        <v>0</v>
      </c>
      <c r="N76" s="1034">
        <v>0</v>
      </c>
      <c r="O76" s="1034">
        <v>198544.6832060387</v>
      </c>
      <c r="P76" s="1034">
        <v>0</v>
      </c>
      <c r="Q76" s="1034">
        <v>242631.44197874042</v>
      </c>
      <c r="R76" s="1034">
        <v>535130.20984981302</v>
      </c>
      <c r="S76" s="1034">
        <v>382431.77333999996</v>
      </c>
      <c r="T76" s="1034">
        <v>861374.83409351716</v>
      </c>
      <c r="U76" s="1034">
        <v>177367.54865167991</v>
      </c>
      <c r="V76" s="1034">
        <v>84849.475545334746</v>
      </c>
      <c r="W76" s="1034">
        <v>0</v>
      </c>
      <c r="X76" s="1034">
        <v>863324.57110291661</v>
      </c>
      <c r="Y76" s="1034">
        <v>0</v>
      </c>
      <c r="Z76" s="1034">
        <v>0</v>
      </c>
      <c r="AA76" s="1034">
        <v>242994.60207180592</v>
      </c>
    </row>
    <row r="77" spans="2:27" x14ac:dyDescent="0.2">
      <c r="B77" s="3">
        <v>13</v>
      </c>
      <c r="C77" s="8" t="s">
        <v>134</v>
      </c>
      <c r="D77" s="1035">
        <v>0.10129268086468032</v>
      </c>
      <c r="E77" s="1035">
        <v>0.1050066106718108</v>
      </c>
      <c r="F77" s="1035">
        <v>0.10500561375774839</v>
      </c>
      <c r="G77" s="1035">
        <v>0.10500667844165681</v>
      </c>
      <c r="H77" s="1035">
        <v>0.10500667643429459</v>
      </c>
      <c r="I77" s="1035">
        <v>0.10500688064596864</v>
      </c>
      <c r="J77" s="1035">
        <v>0.10500657089152983</v>
      </c>
      <c r="K77" s="1035">
        <v>0.10500666523103749</v>
      </c>
      <c r="L77" s="1035">
        <v>4.5845412206624955E-2</v>
      </c>
      <c r="M77" s="1035">
        <v>0</v>
      </c>
      <c r="N77" s="1035">
        <v>0</v>
      </c>
      <c r="O77" s="1035">
        <v>4.5845363310242686E-2</v>
      </c>
      <c r="P77" s="1035">
        <v>0</v>
      </c>
      <c r="Q77" s="1035">
        <v>0.1050068680563889</v>
      </c>
      <c r="R77" s="1035">
        <v>4.584541096839425E-2</v>
      </c>
      <c r="S77" s="1035">
        <v>6.0000054324924113E-2</v>
      </c>
      <c r="T77" s="1035">
        <v>4.5845456529241345E-2</v>
      </c>
      <c r="U77" s="1035">
        <v>0.10500693107363952</v>
      </c>
      <c r="V77" s="1035">
        <v>4.5845425407062733E-2</v>
      </c>
      <c r="W77" s="1035">
        <v>0</v>
      </c>
      <c r="X77" s="1035">
        <v>4.5845440891396957E-2</v>
      </c>
      <c r="Y77" s="1035">
        <v>0</v>
      </c>
      <c r="Z77" s="1035">
        <v>0</v>
      </c>
      <c r="AA77" s="1035">
        <v>0</v>
      </c>
    </row>
    <row r="78" spans="2:27" x14ac:dyDescent="0.2">
      <c r="B78" s="3">
        <v>14</v>
      </c>
      <c r="C78" s="8" t="s">
        <v>136</v>
      </c>
      <c r="D78" s="1036">
        <v>0.14649072999437127</v>
      </c>
      <c r="E78" s="1036">
        <v>0.1642766600573467</v>
      </c>
      <c r="F78" s="1036">
        <v>0.12633490438134035</v>
      </c>
      <c r="G78" s="1036">
        <v>0.15353111587908991</v>
      </c>
      <c r="H78" s="1036">
        <v>0.14234383898294539</v>
      </c>
      <c r="I78" s="1036">
        <v>0.12370234869111568</v>
      </c>
      <c r="J78" s="1036">
        <v>0.20781840604611945</v>
      </c>
      <c r="K78" s="1036">
        <v>0.14548868824184299</v>
      </c>
      <c r="L78" s="1036">
        <v>6.6957295355467697E-2</v>
      </c>
      <c r="M78" s="1036">
        <v>0.10500667716689588</v>
      </c>
      <c r="N78" s="1036">
        <v>4.5845444956772591E-2</v>
      </c>
      <c r="O78" s="1036">
        <v>7.3633904516633014E-2</v>
      </c>
      <c r="P78" s="1036">
        <v>4.5845444956772591E-2</v>
      </c>
      <c r="Q78" s="1036">
        <v>0.24774881090674311</v>
      </c>
      <c r="R78" s="1036">
        <v>0.11017582286511882</v>
      </c>
      <c r="S78" s="1036">
        <v>9.387612705478339E-2</v>
      </c>
      <c r="T78" s="1036">
        <v>7.4899946340042337E-2</v>
      </c>
      <c r="U78" s="1036">
        <v>0.16400794190474802</v>
      </c>
      <c r="V78" s="1036">
        <v>0.10248449006028881</v>
      </c>
      <c r="W78" s="1036">
        <v>4.5845444956772591E-2</v>
      </c>
      <c r="X78" s="1036">
        <v>6.5548766516857662E-2</v>
      </c>
      <c r="Y78" s="1534">
        <v>0</v>
      </c>
      <c r="Z78" s="1534">
        <v>0</v>
      </c>
      <c r="AA78" s="1036">
        <v>0</v>
      </c>
    </row>
    <row r="79" spans="2:27" x14ac:dyDescent="0.2">
      <c r="B79" s="3"/>
      <c r="C79" s="1051" t="s">
        <v>372</v>
      </c>
      <c r="D79" s="25"/>
      <c r="E79" s="25"/>
      <c r="F79" s="25"/>
      <c r="G79" s="25"/>
      <c r="H79" s="25"/>
      <c r="I79" s="25"/>
      <c r="J79" s="25"/>
      <c r="K79" s="25"/>
      <c r="L79" s="25"/>
      <c r="M79" s="25"/>
      <c r="N79" s="25"/>
      <c r="O79" s="25"/>
      <c r="P79" s="25"/>
      <c r="Q79" s="25"/>
      <c r="R79" s="25"/>
      <c r="S79" s="25"/>
      <c r="T79" s="25"/>
      <c r="U79" s="25"/>
      <c r="V79" s="25"/>
      <c r="W79" s="25"/>
      <c r="X79" s="25"/>
      <c r="Y79" s="25"/>
      <c r="Z79" s="25"/>
      <c r="AA79" s="25"/>
    </row>
    <row r="80" spans="2:27" x14ac:dyDescent="0.2">
      <c r="B80" s="3">
        <v>15</v>
      </c>
      <c r="C80" s="8" t="s">
        <v>136</v>
      </c>
      <c r="D80" s="1036">
        <v>0.13409371262472991</v>
      </c>
      <c r="E80" s="1036">
        <v>0.15082591935998541</v>
      </c>
      <c r="F80" s="1036">
        <v>0.11599069083758635</v>
      </c>
      <c r="G80" s="1036">
        <v>0.14096021259751071</v>
      </c>
      <c r="H80" s="1036">
        <v>0.13068893337150833</v>
      </c>
      <c r="I80" s="1036">
        <v>0.11357379915946586</v>
      </c>
      <c r="J80" s="1036">
        <v>0.19080252282115104</v>
      </c>
      <c r="K80" s="1036">
        <v>0.13357628579994962</v>
      </c>
      <c r="L80" s="1036">
        <v>5.5600198702192891E-2</v>
      </c>
      <c r="M80" s="1036">
        <v>0.10500667716689588</v>
      </c>
      <c r="N80" s="1036">
        <v>4.5845444956772591E-2</v>
      </c>
      <c r="O80" s="1036">
        <v>6.114433027756349E-2</v>
      </c>
      <c r="P80" s="1036">
        <v>4.5845444956772591E-2</v>
      </c>
      <c r="Q80" s="1036">
        <v>0.22746353414809017</v>
      </c>
      <c r="R80" s="1036">
        <v>9.1488128110520331E-2</v>
      </c>
      <c r="S80" s="1036">
        <v>8.1202406764147611E-2</v>
      </c>
      <c r="T80" s="1036">
        <v>6.2195651124800036E-2</v>
      </c>
      <c r="U80" s="1036">
        <v>0.15057924108930223</v>
      </c>
      <c r="V80" s="1036">
        <v>8.5101380802245927E-2</v>
      </c>
      <c r="W80" s="1036">
        <v>4.5845444956772591E-2</v>
      </c>
      <c r="X80" s="1036">
        <v>5.4430586099005633E-2</v>
      </c>
      <c r="Y80" s="1534">
        <v>0</v>
      </c>
      <c r="Z80" s="1534">
        <v>0</v>
      </c>
      <c r="AA80" s="1036">
        <v>0</v>
      </c>
    </row>
    <row r="81" spans="2:27" x14ac:dyDescent="0.2">
      <c r="B81" s="3"/>
      <c r="C81" s="1051" t="s">
        <v>373</v>
      </c>
      <c r="D81" s="25"/>
      <c r="E81" s="25"/>
      <c r="F81" s="25"/>
      <c r="G81" s="25"/>
      <c r="H81" s="25"/>
      <c r="I81" s="25"/>
      <c r="J81" s="25"/>
      <c r="K81" s="25"/>
      <c r="L81" s="25"/>
      <c r="M81" s="25"/>
      <c r="N81" s="25"/>
      <c r="O81" s="25"/>
      <c r="P81" s="25"/>
      <c r="Q81" s="25"/>
      <c r="R81" s="25"/>
      <c r="S81" s="25"/>
      <c r="T81" s="25"/>
      <c r="U81" s="25"/>
      <c r="V81" s="25"/>
      <c r="W81" s="25"/>
      <c r="X81" s="25"/>
      <c r="Y81" s="25"/>
      <c r="Z81" s="25"/>
      <c r="AA81" s="25"/>
    </row>
    <row r="82" spans="2:27" x14ac:dyDescent="0.2">
      <c r="B82" s="3"/>
      <c r="C82" s="1031" t="s">
        <v>356</v>
      </c>
      <c r="D82" s="1377">
        <v>4.5845444956772591E-2</v>
      </c>
      <c r="E82" s="1044" t="s">
        <v>523</v>
      </c>
      <c r="F82" s="25"/>
      <c r="G82" s="25"/>
      <c r="H82" s="25"/>
      <c r="I82" s="25"/>
      <c r="J82" s="25"/>
      <c r="K82" s="25"/>
      <c r="L82" s="25"/>
      <c r="M82" s="25"/>
      <c r="N82" s="25"/>
      <c r="O82" s="25"/>
      <c r="P82" s="25"/>
      <c r="Q82" s="25"/>
      <c r="R82" s="25"/>
      <c r="S82" s="25"/>
      <c r="T82" s="25"/>
      <c r="U82" s="25"/>
      <c r="V82" s="25"/>
      <c r="W82" s="25"/>
      <c r="X82" s="25"/>
      <c r="Y82" s="25"/>
      <c r="Z82" s="25"/>
      <c r="AA82" s="25"/>
    </row>
    <row r="83" spans="2:27" x14ac:dyDescent="0.2">
      <c r="B83" s="3"/>
      <c r="C83" s="1031"/>
      <c r="D83" s="1377">
        <v>0.10500667716689588</v>
      </c>
      <c r="E83" s="1044" t="s">
        <v>522</v>
      </c>
      <c r="F83" s="25"/>
      <c r="G83" s="25"/>
      <c r="H83" s="25"/>
      <c r="I83" s="25"/>
      <c r="J83" s="25"/>
      <c r="K83" s="25"/>
      <c r="L83" s="25"/>
      <c r="M83" s="25"/>
      <c r="N83" s="25"/>
      <c r="O83" s="25"/>
      <c r="P83" s="25"/>
      <c r="Q83" s="25"/>
      <c r="R83" s="25"/>
      <c r="S83" s="25"/>
      <c r="T83" s="25"/>
      <c r="U83" s="25"/>
      <c r="V83" s="25"/>
      <c r="W83" s="25"/>
      <c r="X83" s="25"/>
      <c r="Y83" s="25"/>
      <c r="Z83" s="25"/>
      <c r="AA83" s="25"/>
    </row>
    <row r="84" spans="2:27" x14ac:dyDescent="0.2">
      <c r="D84" s="1566"/>
      <c r="E84" s="1566"/>
      <c r="F84" s="1566"/>
      <c r="G84" s="1566"/>
      <c r="H84" s="1566"/>
      <c r="I84" s="1566"/>
      <c r="J84" s="1566"/>
      <c r="K84" s="1566"/>
      <c r="L84" s="1566"/>
      <c r="M84" s="1566"/>
      <c r="N84" s="1566"/>
      <c r="O84" s="1566"/>
      <c r="P84" s="1566"/>
      <c r="Q84" s="1566"/>
      <c r="R84" s="1566"/>
      <c r="S84" s="1566"/>
      <c r="T84" s="1566"/>
      <c r="U84" s="1566"/>
      <c r="V84" s="1566"/>
      <c r="W84" s="1566"/>
      <c r="X84" s="1566"/>
      <c r="Y84" s="1566"/>
      <c r="Z84" s="1566"/>
      <c r="AA84" s="1566"/>
    </row>
    <row r="85" spans="2:27" outlineLevel="1" x14ac:dyDescent="0.2">
      <c r="D85" s="1566"/>
      <c r="E85" s="1566"/>
      <c r="F85" s="1566"/>
      <c r="G85" s="1566"/>
      <c r="H85" s="1566"/>
      <c r="I85" s="1566"/>
      <c r="J85" s="1566"/>
      <c r="K85" s="1566"/>
      <c r="L85" s="1566"/>
      <c r="M85" s="1566"/>
      <c r="N85" s="1566"/>
      <c r="O85" s="1566"/>
      <c r="P85" s="1566"/>
      <c r="Q85" s="1566"/>
      <c r="R85" s="1566"/>
      <c r="S85" s="1566"/>
      <c r="T85" s="1566"/>
      <c r="U85" s="1566"/>
      <c r="V85" s="1566"/>
      <c r="W85" s="1566"/>
      <c r="X85" s="1566"/>
      <c r="Y85" s="1566"/>
      <c r="Z85" s="1566"/>
      <c r="AA85" s="1566"/>
    </row>
    <row r="86" spans="2:27" outlineLevel="1" x14ac:dyDescent="0.2">
      <c r="B86" s="1558" t="s">
        <v>646</v>
      </c>
    </row>
    <row r="87" spans="2:27" outlineLevel="1" x14ac:dyDescent="0.2"/>
    <row r="88" spans="2:27" outlineLevel="1" x14ac:dyDescent="0.2">
      <c r="B88" s="1029" t="s">
        <v>149</v>
      </c>
      <c r="G88" s="38"/>
      <c r="H88" s="24"/>
    </row>
    <row r="89" spans="2:27" outlineLevel="1" x14ac:dyDescent="0.2">
      <c r="B89" s="17" t="s">
        <v>613</v>
      </c>
      <c r="C89" s="17"/>
      <c r="D89" s="29"/>
      <c r="E89" s="34"/>
      <c r="F89" s="34"/>
      <c r="G89" s="1562"/>
      <c r="H89" s="1562"/>
    </row>
    <row r="90" spans="2:27" outlineLevel="1" x14ac:dyDescent="0.2">
      <c r="B90" s="1028" t="s">
        <v>355</v>
      </c>
      <c r="C90" s="35"/>
      <c r="D90" s="36"/>
      <c r="E90" s="37"/>
      <c r="F90" s="15"/>
    </row>
    <row r="91" spans="2:27" outlineLevel="1" x14ac:dyDescent="0.2">
      <c r="B91" s="1028"/>
      <c r="C91" s="35"/>
      <c r="D91" s="36"/>
      <c r="E91" s="37"/>
      <c r="F91" s="15"/>
    </row>
    <row r="92" spans="2:27" outlineLevel="1" x14ac:dyDescent="0.2">
      <c r="B92" s="3">
        <v>16</v>
      </c>
      <c r="C92" s="35" t="s">
        <v>361</v>
      </c>
      <c r="D92" s="31">
        <v>54361908.060066417</v>
      </c>
      <c r="E92" s="1341">
        <v>230543.20020813143</v>
      </c>
      <c r="F92" s="39">
        <v>41553.051910086237</v>
      </c>
      <c r="G92" s="39">
        <v>37347125.765252009</v>
      </c>
      <c r="H92" s="39">
        <v>10902181.586883768</v>
      </c>
      <c r="I92" s="39">
        <v>156788.01746843525</v>
      </c>
      <c r="J92" s="39">
        <v>223143.04275174695</v>
      </c>
      <c r="K92" s="39">
        <v>1704305.0138300434</v>
      </c>
      <c r="L92" s="39">
        <v>410613.84399415774</v>
      </c>
      <c r="M92" s="39">
        <v>0</v>
      </c>
      <c r="N92" s="39">
        <v>0</v>
      </c>
      <c r="O92" s="39">
        <v>198544.6832060387</v>
      </c>
      <c r="P92" s="39">
        <v>0</v>
      </c>
      <c r="Q92" s="39">
        <v>242631.44197874042</v>
      </c>
      <c r="R92" s="39">
        <v>535130.20984981302</v>
      </c>
      <c r="S92" s="39">
        <v>382431.77333999996</v>
      </c>
      <c r="T92" s="39">
        <v>861374.83409351716</v>
      </c>
      <c r="U92" s="39">
        <v>177367.54865167991</v>
      </c>
      <c r="V92" s="39">
        <v>84849.475545334746</v>
      </c>
      <c r="W92" s="39">
        <v>0</v>
      </c>
      <c r="X92" s="39">
        <v>863324.57110291661</v>
      </c>
      <c r="Y92" s="39">
        <v>0</v>
      </c>
      <c r="Z92" s="39">
        <v>0</v>
      </c>
      <c r="AA92" s="1342">
        <v>0</v>
      </c>
    </row>
    <row r="93" spans="2:27" outlineLevel="1" x14ac:dyDescent="0.2">
      <c r="B93" s="3"/>
      <c r="C93" s="35"/>
      <c r="D93" s="36"/>
      <c r="E93" s="37"/>
      <c r="F93" s="15"/>
    </row>
    <row r="94" spans="2:27" outlineLevel="1" x14ac:dyDescent="0.2">
      <c r="B94" s="3"/>
      <c r="C94" s="35"/>
      <c r="D94" s="36"/>
      <c r="E94" s="37"/>
      <c r="F94" s="15"/>
    </row>
    <row r="95" spans="2:27" outlineLevel="1" x14ac:dyDescent="0.2">
      <c r="B95" s="3">
        <v>17</v>
      </c>
      <c r="C95" s="8" t="s">
        <v>491</v>
      </c>
      <c r="D95" s="31">
        <v>2999999.9999999991</v>
      </c>
      <c r="E95" s="1375">
        <v>13235.786389627317</v>
      </c>
      <c r="F95" s="1375">
        <v>2385.594513842575</v>
      </c>
      <c r="G95" s="1375">
        <v>2144148.5463860952</v>
      </c>
      <c r="H95" s="1375">
        <v>625908.84622511361</v>
      </c>
      <c r="I95" s="1375">
        <v>9001.4259114617889</v>
      </c>
      <c r="J95" s="1375">
        <v>12810.92928774444</v>
      </c>
      <c r="K95" s="1375">
        <v>97846.423977131897</v>
      </c>
      <c r="L95" s="1375">
        <v>8212.271270525167</v>
      </c>
      <c r="M95" s="1375">
        <v>0</v>
      </c>
      <c r="N95" s="1375">
        <v>0</v>
      </c>
      <c r="O95" s="1375">
        <v>3970.8869023207735</v>
      </c>
      <c r="P95" s="1375">
        <v>0</v>
      </c>
      <c r="Q95" s="1375">
        <v>13929.819045234108</v>
      </c>
      <c r="R95" s="1375">
        <v>10702.596610238435</v>
      </c>
      <c r="S95" s="1375">
        <v>11472.963</v>
      </c>
      <c r="T95" s="1375">
        <v>17227.500839870343</v>
      </c>
      <c r="U95" s="1375">
        <v>10182.930863748888</v>
      </c>
      <c r="V95" s="1375">
        <v>1696.9888189868591</v>
      </c>
      <c r="W95" s="1375">
        <v>0</v>
      </c>
      <c r="X95" s="1375">
        <v>17266.489958058333</v>
      </c>
      <c r="Y95" s="1375">
        <v>0</v>
      </c>
      <c r="Z95" s="1375">
        <v>0</v>
      </c>
      <c r="AA95" s="1378">
        <v>0</v>
      </c>
    </row>
    <row r="96" spans="2:27" outlineLevel="1" x14ac:dyDescent="0.2">
      <c r="B96" s="3"/>
      <c r="C96" s="8"/>
      <c r="D96" s="30"/>
      <c r="E96" s="30"/>
      <c r="F96" s="30"/>
      <c r="G96" s="30"/>
      <c r="H96" s="30"/>
      <c r="I96" s="30"/>
      <c r="J96" s="30"/>
      <c r="K96" s="30"/>
      <c r="L96" s="30"/>
      <c r="M96" s="30"/>
      <c r="N96" s="30"/>
      <c r="O96" s="30"/>
      <c r="P96" s="30"/>
      <c r="Q96" s="30"/>
      <c r="R96" s="30"/>
      <c r="S96" s="30"/>
      <c r="T96" s="30"/>
      <c r="U96" s="30"/>
      <c r="V96" s="30"/>
      <c r="W96" s="30"/>
      <c r="X96" s="30"/>
      <c r="Y96" s="30"/>
      <c r="Z96" s="30"/>
      <c r="AA96" s="30"/>
    </row>
    <row r="97" spans="2:27" outlineLevel="1" x14ac:dyDescent="0.2">
      <c r="B97" s="3"/>
      <c r="C97" s="8"/>
      <c r="D97" s="30"/>
      <c r="E97" s="30"/>
      <c r="F97" s="30"/>
      <c r="G97" s="30"/>
      <c r="H97" s="30"/>
      <c r="J97" s="30"/>
      <c r="K97" s="30"/>
      <c r="L97" s="30"/>
      <c r="M97" s="30"/>
      <c r="N97" s="30"/>
      <c r="O97" s="30"/>
      <c r="P97" s="30"/>
      <c r="Q97" s="30"/>
      <c r="R97" s="30"/>
      <c r="S97" s="30"/>
      <c r="T97" s="30"/>
      <c r="U97" s="30"/>
      <c r="V97" s="30"/>
      <c r="W97" s="30"/>
      <c r="X97" s="30"/>
      <c r="Y97" s="30"/>
      <c r="Z97" s="30"/>
      <c r="AA97" s="30"/>
    </row>
    <row r="98" spans="2:27" outlineLevel="1" x14ac:dyDescent="0.2">
      <c r="B98" s="3"/>
      <c r="C98" s="1037" t="s">
        <v>327</v>
      </c>
      <c r="D98" s="30"/>
      <c r="E98" s="30"/>
      <c r="F98" s="30"/>
      <c r="G98" s="30"/>
      <c r="H98" s="30"/>
      <c r="I98" s="30"/>
      <c r="J98" s="30"/>
      <c r="K98" s="30"/>
      <c r="L98" s="30"/>
      <c r="M98" s="30"/>
      <c r="N98" s="30"/>
      <c r="O98" s="30"/>
      <c r="P98" s="30"/>
      <c r="Q98" s="30"/>
      <c r="R98" s="30"/>
      <c r="S98" s="30"/>
      <c r="T98" s="30"/>
      <c r="U98" s="30"/>
      <c r="V98" s="30"/>
      <c r="W98" s="30"/>
      <c r="X98" s="30"/>
      <c r="Y98" s="30"/>
      <c r="Z98" s="30"/>
      <c r="AA98" s="30"/>
    </row>
    <row r="99" spans="2:27" outlineLevel="1" x14ac:dyDescent="0.2">
      <c r="B99" s="3"/>
      <c r="C99" s="1564" t="s">
        <v>492</v>
      </c>
      <c r="D99" s="1565"/>
      <c r="E99" s="1560"/>
      <c r="F99" s="1560"/>
      <c r="G99" s="1560"/>
      <c r="H99" s="1560"/>
      <c r="I99" s="1560"/>
      <c r="J99" s="1560"/>
      <c r="K99" s="1560"/>
      <c r="L99" s="1560"/>
      <c r="M99" s="1560"/>
      <c r="N99" s="1560"/>
      <c r="O99" s="1560"/>
      <c r="P99" s="1560"/>
      <c r="Q99" s="1560"/>
      <c r="R99" s="1560"/>
      <c r="S99" s="1560"/>
      <c r="T99" s="1560"/>
      <c r="U99" s="1560"/>
      <c r="V99" s="1560"/>
      <c r="W99" s="1560"/>
      <c r="X99" s="1560"/>
      <c r="Y99" s="1560"/>
      <c r="Z99" s="1560"/>
      <c r="AA99" s="1560"/>
    </row>
    <row r="100" spans="2:27" outlineLevel="1" x14ac:dyDescent="0.2">
      <c r="B100" s="3"/>
    </row>
    <row r="101" spans="2:27" outlineLevel="1" x14ac:dyDescent="0.2">
      <c r="B101" s="3"/>
      <c r="C101" s="1037" t="s">
        <v>327</v>
      </c>
      <c r="D101" s="1043" t="s">
        <v>131</v>
      </c>
      <c r="E101" s="1567" t="s">
        <v>350</v>
      </c>
      <c r="F101" s="1567" t="s">
        <v>351</v>
      </c>
      <c r="G101" s="1567" t="s">
        <v>352</v>
      </c>
      <c r="H101" s="1567" t="s">
        <v>353</v>
      </c>
      <c r="I101" s="1567" t="s">
        <v>354</v>
      </c>
      <c r="J101" s="1567" t="s">
        <v>365</v>
      </c>
      <c r="K101" s="1567" t="s">
        <v>266</v>
      </c>
      <c r="L101" s="1567" t="s">
        <v>267</v>
      </c>
      <c r="M101" s="1567" t="s">
        <v>269</v>
      </c>
      <c r="N101" s="1567" t="s">
        <v>270</v>
      </c>
      <c r="O101" s="1567" t="s">
        <v>271</v>
      </c>
      <c r="P101" s="1567" t="s">
        <v>272</v>
      </c>
      <c r="Q101" s="1567" t="s">
        <v>273</v>
      </c>
      <c r="R101" s="1567" t="s">
        <v>274</v>
      </c>
      <c r="S101" s="1567" t="s">
        <v>275</v>
      </c>
      <c r="T101" s="1567" t="s">
        <v>276</v>
      </c>
      <c r="U101" s="1567" t="s">
        <v>277</v>
      </c>
      <c r="V101" s="1567" t="s">
        <v>278</v>
      </c>
      <c r="W101" s="1567" t="s">
        <v>280</v>
      </c>
      <c r="X101" s="1567" t="s">
        <v>281</v>
      </c>
      <c r="Y101" s="1567" t="s">
        <v>44</v>
      </c>
      <c r="Z101" s="1567" t="s">
        <v>264</v>
      </c>
      <c r="AA101" s="1567" t="s">
        <v>304</v>
      </c>
    </row>
    <row r="102" spans="2:27" outlineLevel="1" x14ac:dyDescent="0.2">
      <c r="B102" s="3">
        <v>18</v>
      </c>
      <c r="C102" s="10" t="s">
        <v>489</v>
      </c>
      <c r="D102" s="1032">
        <v>86333454.662138224</v>
      </c>
      <c r="E102" s="1032">
        <v>318834.98659775878</v>
      </c>
      <c r="F102" s="1032">
        <v>60205.646423928811</v>
      </c>
      <c r="G102" s="1032">
        <v>58701372.311638102</v>
      </c>
      <c r="H102" s="1032">
        <v>17773929.433108881</v>
      </c>
      <c r="I102" s="1032">
        <v>264944.44337989704</v>
      </c>
      <c r="J102" s="1032">
        <v>397233.97203949146</v>
      </c>
      <c r="K102" s="1032">
        <v>3113639.4378071758</v>
      </c>
      <c r="L102" s="1032">
        <v>773478.11526468303</v>
      </c>
      <c r="M102" s="1032">
        <v>0</v>
      </c>
      <c r="N102" s="1032">
        <v>0</v>
      </c>
      <c r="O102" s="1032">
        <v>202515.57010835948</v>
      </c>
      <c r="P102" s="1032">
        <v>0</v>
      </c>
      <c r="Q102" s="1032">
        <v>507175.26102397451</v>
      </c>
      <c r="R102" s="1032">
        <v>1189118.8064600516</v>
      </c>
      <c r="S102" s="1032">
        <v>393904.73633999994</v>
      </c>
      <c r="T102" s="1032">
        <v>878602.33493338746</v>
      </c>
      <c r="U102" s="1032">
        <v>457766.47951542871</v>
      </c>
      <c r="V102" s="1032">
        <v>177147.46436432161</v>
      </c>
      <c r="W102" s="1032">
        <v>0</v>
      </c>
      <c r="X102" s="1032">
        <v>880591.06106097496</v>
      </c>
      <c r="Y102" s="1032">
        <v>0</v>
      </c>
      <c r="Z102" s="1032">
        <v>0</v>
      </c>
      <c r="AA102" s="1032">
        <v>242994.60207180592</v>
      </c>
    </row>
    <row r="103" spans="2:27" outlineLevel="1" x14ac:dyDescent="0.2">
      <c r="B103" s="3">
        <v>19</v>
      </c>
      <c r="C103" s="8" t="s">
        <v>366</v>
      </c>
      <c r="D103" s="1033">
        <v>3.5999947586032602E-2</v>
      </c>
      <c r="E103" s="1033">
        <v>4.3310932687693399E-2</v>
      </c>
      <c r="F103" s="1033">
        <v>4.1258947977983858E-2</v>
      </c>
      <c r="G103" s="1033">
        <v>3.7911135017617829E-2</v>
      </c>
      <c r="H103" s="1033">
        <v>3.6500355423171101E-2</v>
      </c>
      <c r="I103" s="1033">
        <v>3.5169648308815103E-2</v>
      </c>
      <c r="J103" s="1033">
        <v>3.3325081649742586E-2</v>
      </c>
      <c r="K103" s="1033">
        <v>3.2444674925772653E-2</v>
      </c>
      <c r="L103" s="1033">
        <v>1.0731265918863968E-2</v>
      </c>
      <c r="M103" s="1033">
        <v>0</v>
      </c>
      <c r="N103" s="1033">
        <v>0</v>
      </c>
      <c r="O103" s="1033">
        <v>1.9999965943182745E-2</v>
      </c>
      <c r="P103" s="1033">
        <v>0</v>
      </c>
      <c r="Q103" s="1033">
        <v>2.8241151077549174E-2</v>
      </c>
      <c r="R103" s="1033">
        <v>9.082187193947858E-3</v>
      </c>
      <c r="S103" s="1033">
        <v>3.0000025624962866E-2</v>
      </c>
      <c r="T103" s="1033">
        <v>2.0000004827166757E-2</v>
      </c>
      <c r="U103" s="1033">
        <v>2.2750905153740328E-2</v>
      </c>
      <c r="V103" s="1033">
        <v>9.6721813589406846E-3</v>
      </c>
      <c r="W103" s="1033">
        <v>0</v>
      </c>
      <c r="X103" s="1033">
        <v>1.9999998304229907E-2</v>
      </c>
      <c r="Y103" s="1033">
        <v>0</v>
      </c>
      <c r="Z103" s="1033">
        <v>0</v>
      </c>
      <c r="AA103" s="1033">
        <v>0</v>
      </c>
    </row>
    <row r="104" spans="2:27" outlineLevel="1" x14ac:dyDescent="0.2">
      <c r="B104" s="3">
        <v>20</v>
      </c>
      <c r="C104" s="8" t="s">
        <v>493</v>
      </c>
      <c r="D104" s="1034">
        <v>57361908.060066417</v>
      </c>
      <c r="E104" s="1034">
        <v>243778.98659775875</v>
      </c>
      <c r="F104" s="1034">
        <v>43938.646423928811</v>
      </c>
      <c r="G104" s="1034">
        <v>39491274.311638102</v>
      </c>
      <c r="H104" s="1034">
        <v>11528090.433108881</v>
      </c>
      <c r="I104" s="1034">
        <v>165789.44337989704</v>
      </c>
      <c r="J104" s="1034">
        <v>235953.9720394914</v>
      </c>
      <c r="K104" s="1034">
        <v>1802151.4378071753</v>
      </c>
      <c r="L104" s="1034">
        <v>418826.11526468291</v>
      </c>
      <c r="M104" s="1034">
        <v>0</v>
      </c>
      <c r="N104" s="1034">
        <v>0</v>
      </c>
      <c r="O104" s="1034">
        <v>202515.57010835948</v>
      </c>
      <c r="P104" s="1034">
        <v>0</v>
      </c>
      <c r="Q104" s="1034">
        <v>256561.26102397451</v>
      </c>
      <c r="R104" s="1034">
        <v>545832.80646005145</v>
      </c>
      <c r="S104" s="1034">
        <v>393904.73633999994</v>
      </c>
      <c r="T104" s="1034">
        <v>878602.33493338746</v>
      </c>
      <c r="U104" s="1034">
        <v>187550.4795154288</v>
      </c>
      <c r="V104" s="1034">
        <v>86546.464364321611</v>
      </c>
      <c r="W104" s="1034">
        <v>0</v>
      </c>
      <c r="X104" s="1034">
        <v>880591.06106097496</v>
      </c>
      <c r="Y104" s="1034">
        <v>0</v>
      </c>
      <c r="Z104" s="1034">
        <v>0</v>
      </c>
      <c r="AA104" s="1034">
        <v>0</v>
      </c>
    </row>
    <row r="105" spans="2:27" outlineLevel="1" x14ac:dyDescent="0.2">
      <c r="B105" s="3">
        <v>21</v>
      </c>
      <c r="C105" s="8" t="s">
        <v>367</v>
      </c>
      <c r="D105" s="1035">
        <v>5.5185700926560409E-2</v>
      </c>
      <c r="E105" s="1035">
        <v>5.7411306764537928E-2</v>
      </c>
      <c r="F105" s="1035">
        <v>5.7410813506661253E-2</v>
      </c>
      <c r="G105" s="1035">
        <v>5.7411340295992042E-2</v>
      </c>
      <c r="H105" s="1035">
        <v>5.7411339302780834E-2</v>
      </c>
      <c r="I105" s="1035">
        <v>5.741144034348139E-2</v>
      </c>
      <c r="J105" s="1035">
        <v>5.7411287081878537E-2</v>
      </c>
      <c r="K105" s="1035">
        <v>5.7411333759585674E-2</v>
      </c>
      <c r="L105" s="1035">
        <v>1.9999986339091898E-2</v>
      </c>
      <c r="M105" s="1035">
        <v>0</v>
      </c>
      <c r="N105" s="1035">
        <v>0</v>
      </c>
      <c r="O105" s="1035">
        <v>1.9999965943182707E-2</v>
      </c>
      <c r="P105" s="1035">
        <v>0</v>
      </c>
      <c r="Q105" s="1035">
        <v>5.7411434114357902E-2</v>
      </c>
      <c r="R105" s="1035">
        <v>1.9999985822594789E-2</v>
      </c>
      <c r="S105" s="1035">
        <v>3.0000025624962894E-2</v>
      </c>
      <c r="T105" s="1035">
        <v>2.0000004827166799E-2</v>
      </c>
      <c r="U105" s="1035">
        <v>5.7411465294288165E-2</v>
      </c>
      <c r="V105" s="1035">
        <v>1.9999991845325721E-2</v>
      </c>
      <c r="W105" s="1035">
        <v>0</v>
      </c>
      <c r="X105" s="1035">
        <v>1.9999998304229896E-2</v>
      </c>
      <c r="Y105" s="1035">
        <v>0</v>
      </c>
      <c r="Z105" s="1035">
        <v>0</v>
      </c>
      <c r="AA105" s="1035">
        <v>0</v>
      </c>
    </row>
    <row r="106" spans="2:27" outlineLevel="1" x14ac:dyDescent="0.2">
      <c r="B106" s="3">
        <v>22</v>
      </c>
      <c r="C106" s="8" t="s">
        <v>368</v>
      </c>
      <c r="D106" s="1036">
        <v>7.094319162446569E-2</v>
      </c>
      <c r="E106" s="1036">
        <v>7.917936491695314E-2</v>
      </c>
      <c r="F106" s="1036">
        <v>6.2792565989142152E-2</v>
      </c>
      <c r="G106" s="1036">
        <v>7.464001422805755E-2</v>
      </c>
      <c r="H106" s="1036">
        <v>6.9829887021955722E-2</v>
      </c>
      <c r="I106" s="1036">
        <v>6.1617605458843733E-2</v>
      </c>
      <c r="J106" s="1036">
        <v>9.6803271374461611E-2</v>
      </c>
      <c r="K106" s="1036">
        <v>7.119086648180506E-2</v>
      </c>
      <c r="L106" s="1036">
        <v>2.4031351350119416E-2</v>
      </c>
      <c r="M106" s="1036">
        <v>5.7411339665260415E-2</v>
      </c>
      <c r="N106" s="1036">
        <v>0.02</v>
      </c>
      <c r="O106" s="1036">
        <v>2.6289543638791442E-2</v>
      </c>
      <c r="P106" s="1036">
        <v>0.02</v>
      </c>
      <c r="Q106" s="1036">
        <v>0.11195638095148422</v>
      </c>
      <c r="R106" s="1036">
        <v>3.8242567174053027E-2</v>
      </c>
      <c r="S106" s="1036">
        <v>3.9805012748539273E-2</v>
      </c>
      <c r="T106" s="1036">
        <v>2.6715100514854869E-2</v>
      </c>
      <c r="U106" s="1036">
        <v>7.9066813648512438E-2</v>
      </c>
      <c r="V106" s="1036">
        <v>3.5782246511940327E-2</v>
      </c>
      <c r="W106" s="1036">
        <v>0.02</v>
      </c>
      <c r="X106" s="1036">
        <v>2.3551920591180182E-2</v>
      </c>
      <c r="Y106" s="1036">
        <v>0</v>
      </c>
      <c r="Z106" s="1036">
        <v>0</v>
      </c>
      <c r="AA106" s="1036">
        <v>0</v>
      </c>
    </row>
    <row r="107" spans="2:27" outlineLevel="1" x14ac:dyDescent="0.2">
      <c r="B107" s="3">
        <v>23</v>
      </c>
    </row>
    <row r="108" spans="2:27" outlineLevel="1" x14ac:dyDescent="0.2">
      <c r="B108" s="26">
        <v>24</v>
      </c>
      <c r="D108" s="1377">
        <v>0.02</v>
      </c>
      <c r="E108" s="1044" t="s">
        <v>523</v>
      </c>
    </row>
    <row r="109" spans="2:27" outlineLevel="1" x14ac:dyDescent="0.2">
      <c r="B109" s="26">
        <v>25</v>
      </c>
      <c r="D109" s="1377">
        <v>5.7411339665260415E-2</v>
      </c>
      <c r="E109" s="1044" t="s">
        <v>522</v>
      </c>
    </row>
    <row r="110" spans="2:27" outlineLevel="1" x14ac:dyDescent="0.2"/>
    <row r="111" spans="2:27" outlineLevel="1" x14ac:dyDescent="0.2">
      <c r="C111" s="26" t="s">
        <v>481</v>
      </c>
    </row>
    <row r="112" spans="2:27" outlineLevel="1" x14ac:dyDescent="0.2"/>
    <row r="113" s="1537" customFormat="1" outlineLevel="1" x14ac:dyDescent="0.2"/>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&amp;RUG-200994 et al. / NWN WUTC Advice 21-09A
WP1 / &amp;A</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99"/>
  </sheetPr>
  <dimension ref="A1:Z93"/>
  <sheetViews>
    <sheetView zoomScale="95" zoomScaleNormal="95" workbookViewId="0">
      <pane xSplit="3" ySplit="13" topLeftCell="D64" activePane="bottomRight" state="frozen"/>
      <selection activeCell="F1" sqref="A1:XFD1048576"/>
      <selection pane="topRight" activeCell="F1" sqref="A1:XFD1048576"/>
      <selection pane="bottomLeft" activeCell="F1" sqref="A1:XFD1048576"/>
      <selection pane="bottomRight" activeCell="L94" sqref="L94"/>
    </sheetView>
  </sheetViews>
  <sheetFormatPr defaultColWidth="9.33203125" defaultRowHeight="12.75" outlineLevelCol="2" x14ac:dyDescent="0.2"/>
  <cols>
    <col min="1" max="1" width="6.83203125" style="45" customWidth="1"/>
    <col min="2" max="2" width="19.1640625" style="46" customWidth="1"/>
    <col min="3" max="3" width="12.83203125" style="46" customWidth="1"/>
    <col min="4" max="4" width="18.33203125" style="46" customWidth="1"/>
    <col min="5" max="6" width="16.6640625" style="46" customWidth="1"/>
    <col min="7" max="7" width="16.6640625" style="46" hidden="1" customWidth="1" outlineLevel="1"/>
    <col min="8" max="8" width="18.6640625" style="50" customWidth="1" collapsed="1"/>
    <col min="9" max="11" width="19.5" style="46" hidden="1" customWidth="1" outlineLevel="1"/>
    <col min="12" max="12" width="19.5" style="50" customWidth="1" collapsed="1"/>
    <col min="13" max="13" width="19" style="46" customWidth="1"/>
    <col min="14" max="15" width="16.6640625" style="46" customWidth="1" outlineLevel="1"/>
    <col min="16" max="16" width="16.6640625" style="46" hidden="1" customWidth="1" outlineLevel="2"/>
    <col min="17" max="17" width="18.6640625" style="50" customWidth="1" outlineLevel="1" collapsed="1"/>
    <col min="18" max="18" width="19.5" style="46" hidden="1" customWidth="1" outlineLevel="2"/>
    <col min="19" max="19" width="19" style="46" customWidth="1" outlineLevel="1" collapsed="1"/>
    <col min="20" max="16384" width="9.33203125" style="45"/>
  </cols>
  <sheetData>
    <row r="1" spans="1:26" x14ac:dyDescent="0.2">
      <c r="A1" s="129" t="s">
        <v>0</v>
      </c>
    </row>
    <row r="2" spans="1:26" x14ac:dyDescent="0.2">
      <c r="A2" s="129" t="s">
        <v>1</v>
      </c>
    </row>
    <row r="3" spans="1:26" x14ac:dyDescent="0.2">
      <c r="A3" s="129" t="s">
        <v>241</v>
      </c>
      <c r="E3" s="130"/>
      <c r="F3" s="130"/>
      <c r="G3" s="130"/>
      <c r="H3" s="532"/>
      <c r="I3" s="130"/>
      <c r="J3" s="130"/>
      <c r="K3" s="130"/>
      <c r="L3" s="532"/>
      <c r="N3" s="130"/>
      <c r="O3" s="130"/>
      <c r="P3" s="130"/>
      <c r="Q3" s="532"/>
      <c r="R3" s="130"/>
    </row>
    <row r="4" spans="1:26" ht="13.5" thickBot="1" x14ac:dyDescent="0.25">
      <c r="A4" s="129" t="s">
        <v>502</v>
      </c>
    </row>
    <row r="5" spans="1:26" ht="13.5" thickBot="1" x14ac:dyDescent="0.25">
      <c r="H5" s="585" t="s">
        <v>431</v>
      </c>
      <c r="M5" s="890" t="s">
        <v>332</v>
      </c>
      <c r="S5" s="585" t="s">
        <v>432</v>
      </c>
    </row>
    <row r="6" spans="1:26" ht="13.5" thickBot="1" x14ac:dyDescent="0.25">
      <c r="G6" s="533"/>
      <c r="H6" s="535" t="s">
        <v>62</v>
      </c>
      <c r="M6" s="540" t="s">
        <v>503</v>
      </c>
      <c r="P6" s="533"/>
      <c r="Q6" s="585" t="s">
        <v>62</v>
      </c>
      <c r="S6" s="349" t="s">
        <v>62</v>
      </c>
    </row>
    <row r="7" spans="1:26" x14ac:dyDescent="0.2">
      <c r="D7" s="546"/>
      <c r="E7" s="534"/>
      <c r="F7" s="534"/>
      <c r="G7" s="534"/>
      <c r="H7" s="1351"/>
      <c r="I7" s="891" t="s">
        <v>333</v>
      </c>
      <c r="J7" s="891" t="s">
        <v>333</v>
      </c>
      <c r="K7" s="891" t="s">
        <v>333</v>
      </c>
      <c r="L7" s="891" t="s">
        <v>333</v>
      </c>
      <c r="M7" s="552" t="s">
        <v>163</v>
      </c>
      <c r="N7" s="534"/>
      <c r="O7" s="534"/>
      <c r="P7" s="534"/>
      <c r="Q7" s="924"/>
      <c r="R7" s="891" t="s">
        <v>334</v>
      </c>
      <c r="S7" s="1361"/>
    </row>
    <row r="8" spans="1:26" x14ac:dyDescent="0.2">
      <c r="A8" s="76">
        <v>1</v>
      </c>
      <c r="D8" s="796"/>
      <c r="E8" s="413" t="s">
        <v>494</v>
      </c>
      <c r="F8" s="76" t="s">
        <v>494</v>
      </c>
      <c r="G8" s="76" t="s">
        <v>494</v>
      </c>
      <c r="H8" s="1352" t="s">
        <v>494</v>
      </c>
      <c r="I8" s="413" t="s">
        <v>614</v>
      </c>
      <c r="J8" s="413" t="s">
        <v>614</v>
      </c>
      <c r="K8" s="413" t="s">
        <v>614</v>
      </c>
      <c r="L8" s="533" t="s">
        <v>614</v>
      </c>
      <c r="M8" s="552" t="s">
        <v>32</v>
      </c>
      <c r="N8" s="76" t="s">
        <v>494</v>
      </c>
      <c r="O8" s="76" t="s">
        <v>494</v>
      </c>
      <c r="P8" s="76" t="s">
        <v>494</v>
      </c>
      <c r="Q8" s="786" t="s">
        <v>494</v>
      </c>
      <c r="R8" s="413" t="s">
        <v>212</v>
      </c>
      <c r="S8" s="1361" t="s">
        <v>494</v>
      </c>
    </row>
    <row r="9" spans="1:26" x14ac:dyDescent="0.2">
      <c r="A9" s="76">
        <v>2</v>
      </c>
      <c r="D9" s="346">
        <v>44136</v>
      </c>
      <c r="E9" s="536" t="s">
        <v>244</v>
      </c>
      <c r="F9" s="536" t="s">
        <v>244</v>
      </c>
      <c r="G9" s="1112" t="s">
        <v>301</v>
      </c>
      <c r="H9" s="1353" t="s">
        <v>21</v>
      </c>
      <c r="I9" s="76" t="s">
        <v>213</v>
      </c>
      <c r="J9" s="76" t="s">
        <v>213</v>
      </c>
      <c r="K9" s="76" t="s">
        <v>213</v>
      </c>
      <c r="L9" s="48" t="s">
        <v>21</v>
      </c>
      <c r="M9" s="552" t="s">
        <v>21</v>
      </c>
      <c r="N9" s="536" t="s">
        <v>244</v>
      </c>
      <c r="O9" s="536" t="s">
        <v>244</v>
      </c>
      <c r="P9" s="1112" t="s">
        <v>301</v>
      </c>
      <c r="Q9" s="785" t="s">
        <v>21</v>
      </c>
      <c r="R9" s="536" t="s">
        <v>245</v>
      </c>
      <c r="S9" s="1368" t="s">
        <v>21</v>
      </c>
    </row>
    <row r="10" spans="1:26" x14ac:dyDescent="0.2">
      <c r="A10" s="76">
        <v>3</v>
      </c>
      <c r="D10" s="562" t="s">
        <v>15</v>
      </c>
      <c r="E10" s="76" t="s">
        <v>72</v>
      </c>
      <c r="F10" s="76" t="s">
        <v>30</v>
      </c>
      <c r="G10" s="1113" t="s">
        <v>302</v>
      </c>
      <c r="H10" s="1352" t="s">
        <v>216</v>
      </c>
      <c r="I10" s="76" t="s">
        <v>615</v>
      </c>
      <c r="J10" s="76" t="s">
        <v>616</v>
      </c>
      <c r="K10" s="76" t="s">
        <v>617</v>
      </c>
      <c r="L10" s="48" t="s">
        <v>212</v>
      </c>
      <c r="M10" s="553" t="s">
        <v>215</v>
      </c>
      <c r="N10" s="76" t="s">
        <v>72</v>
      </c>
      <c r="O10" s="76" t="s">
        <v>30</v>
      </c>
      <c r="P10" s="1113" t="s">
        <v>302</v>
      </c>
      <c r="Q10" s="786" t="s">
        <v>216</v>
      </c>
      <c r="R10" s="76" t="s">
        <v>213</v>
      </c>
      <c r="S10" s="1361" t="s">
        <v>216</v>
      </c>
    </row>
    <row r="11" spans="1:26" s="47" customFormat="1" ht="13.5" thickBot="1" x14ac:dyDescent="0.25">
      <c r="A11" s="76">
        <v>4</v>
      </c>
      <c r="B11" s="46"/>
      <c r="C11" s="46"/>
      <c r="D11" s="797" t="s">
        <v>16</v>
      </c>
      <c r="E11" s="348" t="s">
        <v>79</v>
      </c>
      <c r="F11" s="348" t="s">
        <v>28</v>
      </c>
      <c r="G11" s="1114" t="s">
        <v>303</v>
      </c>
      <c r="H11" s="1354" t="s">
        <v>28</v>
      </c>
      <c r="I11" s="348" t="s">
        <v>169</v>
      </c>
      <c r="J11" s="1479" t="s">
        <v>169</v>
      </c>
      <c r="K11" s="1479" t="s">
        <v>169</v>
      </c>
      <c r="L11" s="1480" t="s">
        <v>629</v>
      </c>
      <c r="M11" s="554" t="s">
        <v>16</v>
      </c>
      <c r="N11" s="348" t="s">
        <v>79</v>
      </c>
      <c r="O11" s="348" t="s">
        <v>28</v>
      </c>
      <c r="P11" s="1114" t="s">
        <v>303</v>
      </c>
      <c r="Q11" s="787" t="s">
        <v>28</v>
      </c>
      <c r="R11" s="348" t="s">
        <v>28</v>
      </c>
      <c r="S11" s="1362" t="s">
        <v>28</v>
      </c>
    </row>
    <row r="12" spans="1:26" s="47" customFormat="1" x14ac:dyDescent="0.2">
      <c r="A12" s="76">
        <v>5</v>
      </c>
      <c r="B12" s="46"/>
      <c r="C12" s="46"/>
      <c r="D12" s="798"/>
      <c r="E12" s="48"/>
      <c r="F12" s="48"/>
      <c r="G12" s="48"/>
      <c r="H12" s="1352" t="s">
        <v>299</v>
      </c>
      <c r="I12" s="48"/>
      <c r="J12" s="48"/>
      <c r="K12" s="48"/>
      <c r="L12" s="48"/>
      <c r="M12" s="552" t="s">
        <v>300</v>
      </c>
      <c r="N12" s="48"/>
      <c r="O12" s="48"/>
      <c r="P12" s="48"/>
      <c r="Q12" s="786" t="s">
        <v>347</v>
      </c>
      <c r="R12" s="48"/>
      <c r="S12" s="1361" t="s">
        <v>461</v>
      </c>
    </row>
    <row r="13" spans="1:26" s="47" customFormat="1" x14ac:dyDescent="0.2">
      <c r="A13" s="76">
        <v>6</v>
      </c>
      <c r="B13" s="685" t="s">
        <v>2</v>
      </c>
      <c r="C13" s="685" t="s">
        <v>3</v>
      </c>
      <c r="D13" s="352" t="s">
        <v>35</v>
      </c>
      <c r="E13" s="667" t="s">
        <v>36</v>
      </c>
      <c r="F13" s="114" t="s">
        <v>13</v>
      </c>
      <c r="G13" s="114" t="s">
        <v>37</v>
      </c>
      <c r="H13" s="1355" t="s">
        <v>38</v>
      </c>
      <c r="I13" s="114" t="s">
        <v>39</v>
      </c>
      <c r="J13" s="667"/>
      <c r="K13" s="667"/>
      <c r="L13" s="667"/>
      <c r="M13" s="555" t="s">
        <v>40</v>
      </c>
      <c r="N13" s="667" t="s">
        <v>41</v>
      </c>
      <c r="O13" s="667" t="s">
        <v>42</v>
      </c>
      <c r="P13" s="667" t="s">
        <v>109</v>
      </c>
      <c r="Q13" s="788" t="s">
        <v>110</v>
      </c>
      <c r="R13" s="667" t="s">
        <v>43</v>
      </c>
      <c r="S13" s="1363" t="s">
        <v>111</v>
      </c>
    </row>
    <row r="14" spans="1:26" x14ac:dyDescent="0.2">
      <c r="A14" s="76">
        <v>7</v>
      </c>
      <c r="B14" s="925" t="s">
        <v>246</v>
      </c>
      <c r="C14" s="925" t="s">
        <v>248</v>
      </c>
      <c r="D14" s="799">
        <v>1.1525299999999998</v>
      </c>
      <c r="E14" s="354">
        <v>0.10204000000000001</v>
      </c>
      <c r="F14" s="354">
        <v>-2.1869999999999997E-2</v>
      </c>
      <c r="G14" s="143"/>
      <c r="H14" s="1356">
        <v>1.2326999999999997</v>
      </c>
      <c r="I14" s="354">
        <v>8.5399999999999976E-2</v>
      </c>
      <c r="J14" s="354">
        <v>5.4799999999999988E-3</v>
      </c>
      <c r="K14" s="354">
        <v>2.3890000000000036E-2</v>
      </c>
      <c r="L14" s="1488">
        <v>1.2672999999999996</v>
      </c>
      <c r="M14" s="557">
        <v>1.3474699999999995</v>
      </c>
      <c r="N14" s="354">
        <v>6.1650000000000003E-2</v>
      </c>
      <c r="O14" s="354">
        <v>-2.5819999999999999E-2</v>
      </c>
      <c r="P14" s="143"/>
      <c r="Q14" s="789">
        <v>1.3832999999999995</v>
      </c>
      <c r="R14" s="143"/>
      <c r="S14" s="1364">
        <v>1.4051699999999996</v>
      </c>
      <c r="U14" s="147"/>
      <c r="V14" s="147"/>
      <c r="W14" s="147"/>
      <c r="X14" s="147"/>
      <c r="Y14" s="147"/>
      <c r="Z14" s="147"/>
    </row>
    <row r="15" spans="1:26" x14ac:dyDescent="0.2">
      <c r="A15" s="76">
        <v>8</v>
      </c>
      <c r="B15" s="925" t="s">
        <v>247</v>
      </c>
      <c r="C15" s="925" t="s">
        <v>248</v>
      </c>
      <c r="D15" s="799">
        <v>1.18929</v>
      </c>
      <c r="E15" s="354">
        <v>8.4850000000000009E-2</v>
      </c>
      <c r="F15" s="354">
        <v>-1.8200000000000001E-2</v>
      </c>
      <c r="G15" s="143"/>
      <c r="H15" s="1356">
        <v>1.2559400000000001</v>
      </c>
      <c r="I15" s="354">
        <v>8.5399999999999976E-2</v>
      </c>
      <c r="J15" s="354">
        <v>5.4799999999999988E-3</v>
      </c>
      <c r="K15" s="354">
        <v>2.1469999999999989E-2</v>
      </c>
      <c r="L15" s="1488">
        <v>1.3016399999999999</v>
      </c>
      <c r="M15" s="557">
        <v>1.36829</v>
      </c>
      <c r="N15" s="354">
        <v>5.126E-2</v>
      </c>
      <c r="O15" s="354">
        <v>-2.147E-2</v>
      </c>
      <c r="P15" s="143"/>
      <c r="Q15" s="789">
        <v>1.39808</v>
      </c>
      <c r="R15" s="143"/>
      <c r="S15" s="1364">
        <v>1.41628</v>
      </c>
      <c r="U15" s="147"/>
      <c r="V15" s="147"/>
      <c r="W15" s="147"/>
      <c r="X15" s="147"/>
      <c r="Y15" s="147"/>
      <c r="Z15" s="147"/>
    </row>
    <row r="16" spans="1:26" x14ac:dyDescent="0.2">
      <c r="A16" s="76">
        <v>9</v>
      </c>
      <c r="B16" s="925" t="s">
        <v>12</v>
      </c>
      <c r="C16" s="925" t="s">
        <v>248</v>
      </c>
      <c r="D16" s="800">
        <v>0.88947999999999972</v>
      </c>
      <c r="E16" s="379">
        <v>6.4579999999999999E-2</v>
      </c>
      <c r="F16" s="379">
        <v>-1.384E-2</v>
      </c>
      <c r="G16" s="379"/>
      <c r="H16" s="1357">
        <v>0.94021999999999972</v>
      </c>
      <c r="I16" s="354">
        <v>8.5399999999999976E-2</v>
      </c>
      <c r="J16" s="354">
        <v>5.4799999999999988E-3</v>
      </c>
      <c r="K16" s="354">
        <v>2.0369999999999999E-2</v>
      </c>
      <c r="L16" s="1488">
        <v>1.0007299999999999</v>
      </c>
      <c r="M16" s="556">
        <v>1.0514699999999997</v>
      </c>
      <c r="N16" s="379">
        <v>3.9019999999999999E-2</v>
      </c>
      <c r="O16" s="379">
        <v>-1.635E-2</v>
      </c>
      <c r="P16" s="379"/>
      <c r="Q16" s="790">
        <v>1.0741399999999997</v>
      </c>
      <c r="R16" s="379"/>
      <c r="S16" s="1365">
        <v>1.0879799999999997</v>
      </c>
      <c r="U16" s="147"/>
      <c r="V16" s="147"/>
      <c r="W16" s="147"/>
      <c r="X16" s="147"/>
      <c r="Y16" s="147"/>
      <c r="Z16" s="147"/>
    </row>
    <row r="17" spans="1:26" x14ac:dyDescent="0.2">
      <c r="A17" s="76">
        <v>10</v>
      </c>
      <c r="B17" s="925" t="s">
        <v>10</v>
      </c>
      <c r="C17" s="925" t="s">
        <v>248</v>
      </c>
      <c r="D17" s="799">
        <v>0.86690000000000011</v>
      </c>
      <c r="E17" s="354">
        <v>5.7989999999999993E-2</v>
      </c>
      <c r="F17" s="354">
        <v>-1.2419999999999999E-2</v>
      </c>
      <c r="G17" s="354"/>
      <c r="H17" s="1356">
        <v>0.91247000000000011</v>
      </c>
      <c r="I17" s="354">
        <v>8.5399999999999976E-2</v>
      </c>
      <c r="J17" s="354">
        <v>5.4799999999999988E-3</v>
      </c>
      <c r="K17" s="354">
        <v>1.9469999999999987E-2</v>
      </c>
      <c r="L17" s="1488">
        <v>0.97725000000000017</v>
      </c>
      <c r="M17" s="557">
        <v>1.0228199999999998</v>
      </c>
      <c r="N17" s="354">
        <v>3.5029999999999999E-2</v>
      </c>
      <c r="O17" s="354">
        <v>-1.4670000000000001E-2</v>
      </c>
      <c r="P17" s="354"/>
      <c r="Q17" s="789">
        <v>1.0431799999999998</v>
      </c>
      <c r="R17" s="354"/>
      <c r="S17" s="1364">
        <v>1.0555999999999999</v>
      </c>
      <c r="U17" s="147"/>
      <c r="V17" s="147"/>
      <c r="W17" s="147"/>
      <c r="X17" s="147"/>
      <c r="Y17" s="147"/>
      <c r="Z17" s="147"/>
    </row>
    <row r="18" spans="1:26" x14ac:dyDescent="0.2">
      <c r="A18" s="76">
        <v>11</v>
      </c>
      <c r="B18" s="925" t="s">
        <v>11</v>
      </c>
      <c r="C18" s="925" t="s">
        <v>248</v>
      </c>
      <c r="D18" s="799">
        <v>0.82713999999999999</v>
      </c>
      <c r="E18" s="354">
        <v>5.2519999999999997E-2</v>
      </c>
      <c r="F18" s="354">
        <v>-2.8799999999999997E-3</v>
      </c>
      <c r="G18" s="354"/>
      <c r="H18" s="1356">
        <v>0.87678</v>
      </c>
      <c r="I18" s="354">
        <v>8.5399999999999976E-2</v>
      </c>
      <c r="J18" s="354">
        <v>5.4799999999999988E-3</v>
      </c>
      <c r="K18" s="354">
        <v>1.0919999999999994E-2</v>
      </c>
      <c r="L18" s="1488">
        <v>0.92893999999999999</v>
      </c>
      <c r="M18" s="557">
        <v>0.97858000000000012</v>
      </c>
      <c r="N18" s="354">
        <v>3.1730000000000001E-2</v>
      </c>
      <c r="O18" s="354">
        <v>-4.9100000000000003E-3</v>
      </c>
      <c r="P18" s="354"/>
      <c r="Q18" s="789">
        <v>1.0054000000000001</v>
      </c>
      <c r="R18" s="354"/>
      <c r="S18" s="1364">
        <v>1.0082800000000001</v>
      </c>
      <c r="U18" s="147"/>
      <c r="V18" s="147"/>
      <c r="W18" s="147"/>
      <c r="X18" s="147"/>
      <c r="Y18" s="147"/>
      <c r="Z18" s="147"/>
    </row>
    <row r="19" spans="1:26" x14ac:dyDescent="0.2">
      <c r="A19" s="76">
        <v>12</v>
      </c>
      <c r="B19" s="925" t="s">
        <v>365</v>
      </c>
      <c r="C19" s="925" t="s">
        <v>248</v>
      </c>
      <c r="D19" s="799">
        <v>0.64432999999999974</v>
      </c>
      <c r="E19" s="354">
        <v>4.5960000000000001E-2</v>
      </c>
      <c r="F19" s="354">
        <v>-9.8499999999999994E-3</v>
      </c>
      <c r="G19" s="354"/>
      <c r="H19" s="1356">
        <v>0.68043999999999971</v>
      </c>
      <c r="I19" s="354">
        <v>8.5399999999999976E-2</v>
      </c>
      <c r="J19" s="354">
        <v>5.4799999999999988E-3</v>
      </c>
      <c r="K19" s="354">
        <v>1.8249999999999988E-2</v>
      </c>
      <c r="L19" s="1488">
        <v>0.7534599999999998</v>
      </c>
      <c r="M19" s="557">
        <v>0.78956999999999966</v>
      </c>
      <c r="N19" s="354">
        <v>2.777E-2</v>
      </c>
      <c r="O19" s="354">
        <v>-1.163E-2</v>
      </c>
      <c r="P19" s="354"/>
      <c r="Q19" s="789">
        <v>0.80570999999999959</v>
      </c>
      <c r="R19" s="354"/>
      <c r="S19" s="1364">
        <v>0.81555999999999962</v>
      </c>
      <c r="U19" s="147"/>
      <c r="V19" s="147"/>
      <c r="W19" s="147"/>
      <c r="X19" s="147"/>
      <c r="Y19" s="147"/>
      <c r="Z19" s="147"/>
    </row>
    <row r="20" spans="1:26" x14ac:dyDescent="0.2">
      <c r="A20" s="76">
        <v>13</v>
      </c>
      <c r="B20" s="76" t="s">
        <v>249</v>
      </c>
      <c r="C20" s="1332" t="s">
        <v>4</v>
      </c>
      <c r="D20" s="801">
        <v>0.65150000000000008</v>
      </c>
      <c r="E20" s="485">
        <v>4.6050000000000001E-2</v>
      </c>
      <c r="F20" s="485">
        <v>-9.8600000000000007E-3</v>
      </c>
      <c r="G20" s="485"/>
      <c r="H20" s="1358">
        <v>0.68769000000000013</v>
      </c>
      <c r="I20" s="485">
        <v>8.5399999999999976E-2</v>
      </c>
      <c r="J20" s="485">
        <v>0</v>
      </c>
      <c r="K20" s="485">
        <v>1.7569999999999995E-2</v>
      </c>
      <c r="L20" s="1489">
        <v>0.75447000000000009</v>
      </c>
      <c r="M20" s="558">
        <v>0.79066000000000003</v>
      </c>
      <c r="N20" s="485">
        <v>2.7820000000000001E-2</v>
      </c>
      <c r="O20" s="485">
        <v>-1.1650000000000001E-2</v>
      </c>
      <c r="P20" s="485"/>
      <c r="Q20" s="791">
        <v>0.80682999999999994</v>
      </c>
      <c r="R20" s="485"/>
      <c r="S20" s="1366">
        <v>0.81668999999999992</v>
      </c>
      <c r="U20" s="147"/>
      <c r="V20" s="147"/>
      <c r="W20" s="147"/>
      <c r="X20" s="147"/>
      <c r="Y20" s="147"/>
      <c r="Z20" s="147"/>
    </row>
    <row r="21" spans="1:26" x14ac:dyDescent="0.2">
      <c r="A21" s="76">
        <v>14</v>
      </c>
      <c r="B21" s="1350"/>
      <c r="C21" s="1333" t="s">
        <v>5</v>
      </c>
      <c r="D21" s="799">
        <v>0.60426999999999997</v>
      </c>
      <c r="E21" s="354">
        <v>4.0580000000000005E-2</v>
      </c>
      <c r="F21" s="354">
        <v>-8.7000000000000011E-3</v>
      </c>
      <c r="G21" s="354"/>
      <c r="H21" s="1356">
        <v>0.63614999999999988</v>
      </c>
      <c r="I21" s="354">
        <v>8.5399999999999976E-2</v>
      </c>
      <c r="J21" s="354">
        <v>0</v>
      </c>
      <c r="K21" s="354">
        <v>1.6640000000000002E-2</v>
      </c>
      <c r="L21" s="1488">
        <v>0.70630999999999999</v>
      </c>
      <c r="M21" s="557">
        <v>0.7381899999999999</v>
      </c>
      <c r="N21" s="354">
        <v>2.4510000000000001E-2</v>
      </c>
      <c r="O21" s="354">
        <v>-1.027E-2</v>
      </c>
      <c r="P21" s="354"/>
      <c r="Q21" s="789">
        <v>0.75242999999999993</v>
      </c>
      <c r="R21" s="354"/>
      <c r="S21" s="1364">
        <v>0.76112999999999997</v>
      </c>
      <c r="U21" s="147"/>
      <c r="V21" s="147"/>
      <c r="W21" s="147"/>
      <c r="X21" s="147"/>
      <c r="Y21" s="147"/>
      <c r="Z21" s="147"/>
    </row>
    <row r="22" spans="1:26" x14ac:dyDescent="0.2">
      <c r="A22" s="76">
        <v>15</v>
      </c>
      <c r="B22" s="76" t="s">
        <v>253</v>
      </c>
      <c r="C22" s="1332" t="s">
        <v>4</v>
      </c>
      <c r="D22" s="801">
        <v>0.60577000000000025</v>
      </c>
      <c r="E22" s="485">
        <v>1.9130000000000001E-2</v>
      </c>
      <c r="F22" s="485">
        <v>-2.2799999999999999E-3</v>
      </c>
      <c r="G22" s="485"/>
      <c r="H22" s="1358">
        <v>0.62262000000000028</v>
      </c>
      <c r="I22" s="485">
        <v>8.5399999999999976E-2</v>
      </c>
      <c r="J22" s="485">
        <v>0</v>
      </c>
      <c r="K22" s="485">
        <v>1.0889999999999993E-2</v>
      </c>
      <c r="L22" s="1489">
        <v>0.70206000000000024</v>
      </c>
      <c r="M22" s="558">
        <v>0.71891000000000027</v>
      </c>
      <c r="N22" s="485">
        <v>8.7299999999999999E-3</v>
      </c>
      <c r="O22" s="485">
        <v>-3.7499999999999999E-3</v>
      </c>
      <c r="P22" s="485"/>
      <c r="Q22" s="791">
        <v>0.72389000000000026</v>
      </c>
      <c r="R22" s="485"/>
      <c r="S22" s="1366">
        <v>0.7261700000000002</v>
      </c>
      <c r="U22" s="147"/>
      <c r="V22" s="147"/>
      <c r="W22" s="147"/>
      <c r="X22" s="147"/>
      <c r="Y22" s="147"/>
      <c r="Z22" s="147"/>
    </row>
    <row r="23" spans="1:26" x14ac:dyDescent="0.2">
      <c r="A23" s="76">
        <v>16</v>
      </c>
      <c r="B23" s="151"/>
      <c r="C23" s="1333" t="s">
        <v>5</v>
      </c>
      <c r="D23" s="799">
        <v>0.56396000000000013</v>
      </c>
      <c r="E23" s="354">
        <v>1.686E-2</v>
      </c>
      <c r="F23" s="354">
        <v>-2.0099999999999996E-3</v>
      </c>
      <c r="G23" s="354"/>
      <c r="H23" s="1356">
        <v>0.57881000000000016</v>
      </c>
      <c r="I23" s="1487">
        <v>8.5399999999999976E-2</v>
      </c>
      <c r="J23" s="354">
        <v>0</v>
      </c>
      <c r="K23" s="354">
        <v>1.0749999999999992E-2</v>
      </c>
      <c r="L23" s="1490">
        <v>0.6601100000000002</v>
      </c>
      <c r="M23" s="557">
        <v>0.67496000000000023</v>
      </c>
      <c r="N23" s="354">
        <v>7.6899999999999998E-3</v>
      </c>
      <c r="O23" s="354">
        <v>-3.29E-3</v>
      </c>
      <c r="P23" s="354"/>
      <c r="Q23" s="789">
        <v>0.67936000000000019</v>
      </c>
      <c r="R23" s="354"/>
      <c r="S23" s="1364">
        <v>0.68137000000000014</v>
      </c>
      <c r="U23" s="147"/>
      <c r="V23" s="147"/>
      <c r="W23" s="147"/>
      <c r="X23" s="147"/>
      <c r="Y23" s="147"/>
      <c r="Z23" s="147"/>
    </row>
    <row r="24" spans="1:26" x14ac:dyDescent="0.2">
      <c r="A24" s="76">
        <v>17</v>
      </c>
      <c r="B24" s="76" t="s">
        <v>251</v>
      </c>
      <c r="C24" s="1332" t="s">
        <v>4</v>
      </c>
      <c r="D24" s="801">
        <v>0.66024999999999989</v>
      </c>
      <c r="E24" s="485">
        <v>3.2869999999999996E-2</v>
      </c>
      <c r="F24" s="485">
        <v>-8.5100000000000002E-3</v>
      </c>
      <c r="G24" s="485"/>
      <c r="H24" s="1358">
        <v>0.68460999999999983</v>
      </c>
      <c r="I24" s="485">
        <v>8.5399999999999976E-2</v>
      </c>
      <c r="J24" s="485">
        <v>0</v>
      </c>
      <c r="K24" s="485">
        <v>4.3799999999999999E-2</v>
      </c>
      <c r="L24" s="1489">
        <v>0.78944999999999987</v>
      </c>
      <c r="M24" s="558">
        <v>0.81380999999999981</v>
      </c>
      <c r="N24" s="485">
        <v>2.162E-2</v>
      </c>
      <c r="O24" s="485">
        <v>-1.013E-2</v>
      </c>
      <c r="P24" s="485"/>
      <c r="Q24" s="791">
        <v>0.82529999999999981</v>
      </c>
      <c r="R24" s="485"/>
      <c r="S24" s="1366">
        <v>0.83380999999999983</v>
      </c>
      <c r="U24" s="147"/>
      <c r="V24" s="147"/>
      <c r="W24" s="147"/>
      <c r="X24" s="147"/>
      <c r="Y24" s="147"/>
      <c r="Z24" s="147"/>
    </row>
    <row r="25" spans="1:26" x14ac:dyDescent="0.2">
      <c r="A25" s="76">
        <v>18</v>
      </c>
      <c r="B25" s="1350"/>
      <c r="C25" s="1333" t="s">
        <v>5</v>
      </c>
      <c r="D25" s="799">
        <v>0.61316999999999988</v>
      </c>
      <c r="E25" s="354">
        <v>2.8960000000000003E-2</v>
      </c>
      <c r="F25" s="354">
        <v>-7.5100000000000002E-3</v>
      </c>
      <c r="G25" s="354"/>
      <c r="H25" s="1356">
        <v>0.63461999999999985</v>
      </c>
      <c r="I25" s="354">
        <v>8.5399999999999976E-2</v>
      </c>
      <c r="J25" s="354">
        <v>0</v>
      </c>
      <c r="K25" s="354">
        <v>4.2849999999999985E-2</v>
      </c>
      <c r="L25" s="1488">
        <v>0.74141999999999986</v>
      </c>
      <c r="M25" s="557">
        <v>0.76286999999999983</v>
      </c>
      <c r="N25" s="354">
        <v>1.9050000000000001E-2</v>
      </c>
      <c r="O25" s="354">
        <v>-8.9200000000000008E-3</v>
      </c>
      <c r="P25" s="354"/>
      <c r="Q25" s="789">
        <v>0.7729999999999998</v>
      </c>
      <c r="R25" s="354"/>
      <c r="S25" s="1364">
        <v>0.78050999999999982</v>
      </c>
      <c r="U25" s="147"/>
      <c r="V25" s="147"/>
      <c r="W25" s="147"/>
      <c r="X25" s="147"/>
      <c r="Y25" s="147"/>
      <c r="Z25" s="147"/>
    </row>
    <row r="26" spans="1:26" x14ac:dyDescent="0.2">
      <c r="A26" s="76">
        <v>19</v>
      </c>
      <c r="B26" s="76" t="s">
        <v>257</v>
      </c>
      <c r="C26" s="1332" t="s">
        <v>4</v>
      </c>
      <c r="D26" s="801">
        <v>0.61580999999999997</v>
      </c>
      <c r="E26" s="485">
        <v>1.2539999999999999E-2</v>
      </c>
      <c r="F26" s="485">
        <v>-1.5700000000000002E-3</v>
      </c>
      <c r="G26" s="485"/>
      <c r="H26" s="1358">
        <v>0.62678</v>
      </c>
      <c r="I26" s="485">
        <v>8.5399999999999976E-2</v>
      </c>
      <c r="J26" s="485">
        <v>0</v>
      </c>
      <c r="K26" s="485">
        <v>3.7399999999999996E-2</v>
      </c>
      <c r="L26" s="1489">
        <v>0.73860999999999988</v>
      </c>
      <c r="M26" s="558">
        <v>0.74958000000000002</v>
      </c>
      <c r="N26" s="485">
        <v>7.1300000000000001E-3</v>
      </c>
      <c r="O26" s="485">
        <v>-3.0499999999999998E-3</v>
      </c>
      <c r="P26" s="485"/>
      <c r="Q26" s="791">
        <v>0.75366</v>
      </c>
      <c r="R26" s="485"/>
      <c r="S26" s="1366">
        <v>0.75522999999999996</v>
      </c>
      <c r="U26" s="147"/>
      <c r="V26" s="147"/>
      <c r="W26" s="147"/>
      <c r="X26" s="147"/>
      <c r="Y26" s="147"/>
      <c r="Z26" s="147"/>
    </row>
    <row r="27" spans="1:26" x14ac:dyDescent="0.2">
      <c r="A27" s="76">
        <v>20</v>
      </c>
      <c r="B27" s="1350"/>
      <c r="C27" s="1333" t="s">
        <v>5</v>
      </c>
      <c r="D27" s="799">
        <v>0.57401999999999986</v>
      </c>
      <c r="E27" s="354">
        <v>1.1039999999999999E-2</v>
      </c>
      <c r="F27" s="354">
        <v>-1.3800000000000002E-3</v>
      </c>
      <c r="G27" s="354"/>
      <c r="H27" s="1356">
        <v>0.58367999999999987</v>
      </c>
      <c r="I27" s="354">
        <v>8.5399999999999976E-2</v>
      </c>
      <c r="J27" s="354">
        <v>0</v>
      </c>
      <c r="K27" s="354">
        <v>3.7199999999999997E-2</v>
      </c>
      <c r="L27" s="1488">
        <v>0.69661999999999991</v>
      </c>
      <c r="M27" s="557">
        <v>0.70627999999999991</v>
      </c>
      <c r="N27" s="354">
        <v>6.28E-3</v>
      </c>
      <c r="O27" s="354">
        <v>-2.6899999999999997E-3</v>
      </c>
      <c r="P27" s="354"/>
      <c r="Q27" s="789">
        <v>0.70986999999999989</v>
      </c>
      <c r="R27" s="354"/>
      <c r="S27" s="1364">
        <v>0.71124999999999994</v>
      </c>
      <c r="U27" s="147"/>
      <c r="V27" s="147"/>
      <c r="W27" s="147"/>
      <c r="X27" s="147"/>
      <c r="Y27" s="147"/>
      <c r="Z27" s="147"/>
    </row>
    <row r="28" spans="1:26" x14ac:dyDescent="0.2">
      <c r="A28" s="76">
        <v>21</v>
      </c>
      <c r="B28" s="76" t="s">
        <v>260</v>
      </c>
      <c r="C28" s="1332" t="s">
        <v>4</v>
      </c>
      <c r="D28" s="801">
        <v>0.34945999999999999</v>
      </c>
      <c r="E28" s="485">
        <v>2.1270000000000001E-2</v>
      </c>
      <c r="F28" s="485">
        <v>-2.5300000000000001E-3</v>
      </c>
      <c r="G28" s="485"/>
      <c r="H28" s="1358">
        <v>0.36820000000000003</v>
      </c>
      <c r="I28" s="485">
        <v>0</v>
      </c>
      <c r="J28" s="485">
        <v>0</v>
      </c>
      <c r="K28" s="485">
        <v>2.7999999999999995E-3</v>
      </c>
      <c r="L28" s="1489">
        <v>0.35226000000000002</v>
      </c>
      <c r="M28" s="558">
        <v>0.37100000000000005</v>
      </c>
      <c r="N28" s="485">
        <v>9.7099999999999999E-3</v>
      </c>
      <c r="O28" s="485">
        <v>-4.1599999999999996E-3</v>
      </c>
      <c r="P28" s="485"/>
      <c r="Q28" s="791">
        <v>0.37655000000000005</v>
      </c>
      <c r="R28" s="485"/>
      <c r="S28" s="1366">
        <v>0.37908000000000003</v>
      </c>
      <c r="U28" s="147"/>
      <c r="V28" s="147"/>
      <c r="W28" s="147"/>
      <c r="X28" s="147"/>
      <c r="Y28" s="147"/>
      <c r="Z28" s="147"/>
    </row>
    <row r="29" spans="1:26" x14ac:dyDescent="0.2">
      <c r="A29" s="76">
        <v>22</v>
      </c>
      <c r="B29" s="1350"/>
      <c r="C29" s="1333" t="s">
        <v>5</v>
      </c>
      <c r="D29" s="799">
        <v>0.30789000000000011</v>
      </c>
      <c r="E29" s="354">
        <v>1.874E-2</v>
      </c>
      <c r="F29" s="354">
        <v>-2.2300000000000002E-3</v>
      </c>
      <c r="G29" s="354"/>
      <c r="H29" s="1356">
        <v>0.32440000000000008</v>
      </c>
      <c r="I29" s="354">
        <v>0</v>
      </c>
      <c r="J29" s="354">
        <v>0</v>
      </c>
      <c r="K29" s="354">
        <v>2.48E-3</v>
      </c>
      <c r="L29" s="1488">
        <v>0.31037000000000009</v>
      </c>
      <c r="M29" s="557">
        <v>0.32688000000000006</v>
      </c>
      <c r="N29" s="354">
        <v>8.5500000000000003E-3</v>
      </c>
      <c r="O29" s="354">
        <v>-3.6700000000000001E-3</v>
      </c>
      <c r="P29" s="354"/>
      <c r="Q29" s="789">
        <v>0.33176000000000005</v>
      </c>
      <c r="R29" s="354"/>
      <c r="S29" s="1364">
        <v>0.33399000000000006</v>
      </c>
      <c r="U29" s="147"/>
      <c r="V29" s="147"/>
      <c r="W29" s="147"/>
      <c r="X29" s="147"/>
      <c r="Y29" s="147"/>
      <c r="Z29" s="147"/>
    </row>
    <row r="30" spans="1:26" x14ac:dyDescent="0.2">
      <c r="A30" s="76">
        <v>23</v>
      </c>
      <c r="B30" s="76" t="s">
        <v>254</v>
      </c>
      <c r="C30" s="1332" t="s">
        <v>4</v>
      </c>
      <c r="D30" s="801">
        <v>0.34945999999999999</v>
      </c>
      <c r="E30" s="485">
        <v>1.269E-2</v>
      </c>
      <c r="F30" s="485">
        <v>-1.5799999999999998E-3</v>
      </c>
      <c r="G30" s="485"/>
      <c r="H30" s="1358">
        <v>0.36056999999999995</v>
      </c>
      <c r="I30" s="485">
        <v>0</v>
      </c>
      <c r="J30" s="485">
        <v>0</v>
      </c>
      <c r="K30" s="485">
        <v>2.7999999999999995E-3</v>
      </c>
      <c r="L30" s="1489">
        <v>0.35226000000000002</v>
      </c>
      <c r="M30" s="558">
        <v>0.36336999999999997</v>
      </c>
      <c r="N30" s="485">
        <v>7.2100000000000003E-3</v>
      </c>
      <c r="O30" s="485">
        <v>-3.0999999999999999E-3</v>
      </c>
      <c r="P30" s="485"/>
      <c r="Q30" s="791">
        <v>0.36747999999999997</v>
      </c>
      <c r="R30" s="485"/>
      <c r="S30" s="1366">
        <v>0.36906</v>
      </c>
      <c r="U30" s="147"/>
      <c r="V30" s="147"/>
      <c r="W30" s="147"/>
      <c r="X30" s="147"/>
      <c r="Y30" s="147"/>
      <c r="Z30" s="147"/>
    </row>
    <row r="31" spans="1:26" x14ac:dyDescent="0.2">
      <c r="A31" s="76">
        <v>24</v>
      </c>
      <c r="B31" s="151"/>
      <c r="C31" s="1333" t="s">
        <v>5</v>
      </c>
      <c r="D31" s="799">
        <v>0.30789000000000011</v>
      </c>
      <c r="E31" s="354">
        <v>1.1179999999999999E-2</v>
      </c>
      <c r="F31" s="354">
        <v>-1.4000000000000002E-3</v>
      </c>
      <c r="G31" s="354"/>
      <c r="H31" s="1356">
        <v>0.31767000000000012</v>
      </c>
      <c r="I31" s="354">
        <v>0</v>
      </c>
      <c r="J31" s="354">
        <v>0</v>
      </c>
      <c r="K31" s="354">
        <v>2.48E-3</v>
      </c>
      <c r="L31" s="1488">
        <v>0.31037000000000009</v>
      </c>
      <c r="M31" s="557">
        <v>0.3201500000000001</v>
      </c>
      <c r="N31" s="354">
        <v>6.3499999999999997E-3</v>
      </c>
      <c r="O31" s="354">
        <v>-2.7200000000000002E-3</v>
      </c>
      <c r="P31" s="354"/>
      <c r="Q31" s="789">
        <v>0.32378000000000012</v>
      </c>
      <c r="R31" s="354"/>
      <c r="S31" s="1364">
        <v>0.32518000000000014</v>
      </c>
      <c r="U31" s="147"/>
      <c r="V31" s="147"/>
      <c r="W31" s="147"/>
      <c r="X31" s="147"/>
      <c r="Y31" s="147"/>
      <c r="Z31" s="147"/>
    </row>
    <row r="32" spans="1:26" x14ac:dyDescent="0.2">
      <c r="A32" s="76">
        <v>25</v>
      </c>
      <c r="B32" s="76" t="s">
        <v>250</v>
      </c>
      <c r="C32" s="1332" t="s">
        <v>4</v>
      </c>
      <c r="D32" s="801">
        <v>0.43535000000000001</v>
      </c>
      <c r="E32" s="485">
        <v>3.4679999999999996E-2</v>
      </c>
      <c r="F32" s="485">
        <v>-7.43E-3</v>
      </c>
      <c r="G32" s="485"/>
      <c r="H32" s="1358">
        <v>0.46260000000000001</v>
      </c>
      <c r="I32" s="485">
        <v>8.5399999999999976E-2</v>
      </c>
      <c r="J32" s="485">
        <v>0</v>
      </c>
      <c r="K32" s="485">
        <v>1.4889999999999994E-2</v>
      </c>
      <c r="L32" s="1489">
        <v>0.53564000000000001</v>
      </c>
      <c r="M32" s="558">
        <v>0.56289</v>
      </c>
      <c r="N32" s="485">
        <v>2.095E-2</v>
      </c>
      <c r="O32" s="485">
        <v>-8.77E-3</v>
      </c>
      <c r="P32" s="485"/>
      <c r="Q32" s="791">
        <v>0.57506999999999997</v>
      </c>
      <c r="R32" s="485"/>
      <c r="S32" s="1366">
        <v>0.58250000000000002</v>
      </c>
      <c r="U32" s="147"/>
      <c r="V32" s="147"/>
      <c r="W32" s="147"/>
      <c r="X32" s="147"/>
      <c r="Y32" s="147"/>
      <c r="Z32" s="147"/>
    </row>
    <row r="33" spans="1:26" x14ac:dyDescent="0.2">
      <c r="A33" s="76">
        <v>26</v>
      </c>
      <c r="B33" s="1238"/>
      <c r="C33" s="1332" t="s">
        <v>5</v>
      </c>
      <c r="D33" s="801">
        <v>0.41633999999999971</v>
      </c>
      <c r="E33" s="485">
        <v>3.1039999999999998E-2</v>
      </c>
      <c r="F33" s="485">
        <v>-6.6499999999999997E-3</v>
      </c>
      <c r="G33" s="485"/>
      <c r="H33" s="1358">
        <v>0.44072999999999973</v>
      </c>
      <c r="I33" s="485">
        <v>8.5399999999999976E-2</v>
      </c>
      <c r="J33" s="485">
        <v>0</v>
      </c>
      <c r="K33" s="485">
        <v>1.4329999999999996E-2</v>
      </c>
      <c r="L33" s="1489">
        <v>0.51606999999999958</v>
      </c>
      <c r="M33" s="558">
        <v>0.54045999999999972</v>
      </c>
      <c r="N33" s="485">
        <v>1.8749999999999999E-2</v>
      </c>
      <c r="O33" s="485">
        <v>-7.8600000000000007E-3</v>
      </c>
      <c r="P33" s="485"/>
      <c r="Q33" s="791">
        <v>0.55134999999999978</v>
      </c>
      <c r="R33" s="485"/>
      <c r="S33" s="1366">
        <v>0.55799999999999983</v>
      </c>
      <c r="U33" s="147"/>
      <c r="V33" s="147"/>
      <c r="W33" s="147"/>
      <c r="X33" s="147"/>
      <c r="Y33" s="147"/>
      <c r="Z33" s="147"/>
    </row>
    <row r="34" spans="1:26" x14ac:dyDescent="0.2">
      <c r="A34" s="76">
        <v>27</v>
      </c>
      <c r="B34" s="76"/>
      <c r="C34" s="1332" t="s">
        <v>6</v>
      </c>
      <c r="D34" s="801">
        <v>0.37851999999999986</v>
      </c>
      <c r="E34" s="485">
        <v>2.3810000000000001E-2</v>
      </c>
      <c r="F34" s="485">
        <v>-5.1100000000000008E-3</v>
      </c>
      <c r="G34" s="485"/>
      <c r="H34" s="1358">
        <v>0.39721999999999985</v>
      </c>
      <c r="I34" s="485">
        <v>8.5399999999999976E-2</v>
      </c>
      <c r="J34" s="485">
        <v>0</v>
      </c>
      <c r="K34" s="485">
        <v>1.3239999999999997E-2</v>
      </c>
      <c r="L34" s="1489">
        <v>0.47715999999999981</v>
      </c>
      <c r="M34" s="558">
        <v>0.4958599999999998</v>
      </c>
      <c r="N34" s="485">
        <v>1.438E-2</v>
      </c>
      <c r="O34" s="485">
        <v>-6.0299999999999998E-3</v>
      </c>
      <c r="P34" s="485"/>
      <c r="Q34" s="791">
        <v>0.50420999999999982</v>
      </c>
      <c r="R34" s="485"/>
      <c r="S34" s="1366">
        <v>0.50931999999999977</v>
      </c>
      <c r="U34" s="147"/>
      <c r="V34" s="147"/>
      <c r="W34" s="147"/>
      <c r="X34" s="147"/>
      <c r="Y34" s="147"/>
      <c r="Z34" s="147"/>
    </row>
    <row r="35" spans="1:26" x14ac:dyDescent="0.2">
      <c r="A35" s="76">
        <v>28</v>
      </c>
      <c r="B35" s="76"/>
      <c r="C35" s="1332" t="s">
        <v>7</v>
      </c>
      <c r="D35" s="801">
        <v>0.35361000000000004</v>
      </c>
      <c r="E35" s="485">
        <v>1.9040000000000001E-2</v>
      </c>
      <c r="F35" s="485">
        <v>-4.0800000000000003E-3</v>
      </c>
      <c r="G35" s="485"/>
      <c r="H35" s="1358">
        <v>0.36857000000000006</v>
      </c>
      <c r="I35" s="485">
        <v>8.5399999999999976E-2</v>
      </c>
      <c r="J35" s="485">
        <v>0</v>
      </c>
      <c r="K35" s="485">
        <v>1.253999999999999E-2</v>
      </c>
      <c r="L35" s="1489">
        <v>0.45155000000000001</v>
      </c>
      <c r="M35" s="558">
        <v>0.46651000000000004</v>
      </c>
      <c r="N35" s="485">
        <v>1.1509999999999999E-2</v>
      </c>
      <c r="O35" s="485">
        <v>-4.8199999999999996E-3</v>
      </c>
      <c r="P35" s="485"/>
      <c r="Q35" s="791">
        <v>0.47320000000000007</v>
      </c>
      <c r="R35" s="485"/>
      <c r="S35" s="1366">
        <v>0.47728000000000004</v>
      </c>
      <c r="U35" s="147"/>
      <c r="V35" s="147"/>
      <c r="W35" s="147"/>
      <c r="X35" s="147"/>
      <c r="Y35" s="147"/>
      <c r="Z35" s="147"/>
    </row>
    <row r="36" spans="1:26" x14ac:dyDescent="0.2">
      <c r="A36" s="76">
        <v>29</v>
      </c>
      <c r="B36" s="76"/>
      <c r="C36" s="1332" t="s">
        <v>8</v>
      </c>
      <c r="D36" s="801">
        <v>0.32038</v>
      </c>
      <c r="E36" s="485">
        <v>1.2699999999999999E-2</v>
      </c>
      <c r="F36" s="485">
        <v>-2.7200000000000002E-3</v>
      </c>
      <c r="G36" s="485"/>
      <c r="H36" s="1358">
        <v>0.33035999999999999</v>
      </c>
      <c r="I36" s="485">
        <v>8.5399999999999976E-2</v>
      </c>
      <c r="J36" s="485">
        <v>0</v>
      </c>
      <c r="K36" s="485">
        <v>1.1629999999999996E-2</v>
      </c>
      <c r="L36" s="1489">
        <v>0.41740999999999995</v>
      </c>
      <c r="M36" s="558">
        <v>0.42738999999999994</v>
      </c>
      <c r="N36" s="485">
        <v>7.6699999999999997E-3</v>
      </c>
      <c r="O36" s="485">
        <v>-3.2100000000000002E-3</v>
      </c>
      <c r="P36" s="485"/>
      <c r="Q36" s="791">
        <v>0.43184999999999996</v>
      </c>
      <c r="R36" s="485"/>
      <c r="S36" s="1366">
        <v>0.43456999999999996</v>
      </c>
      <c r="U36" s="147"/>
      <c r="V36" s="147"/>
      <c r="W36" s="147"/>
      <c r="X36" s="147"/>
      <c r="Y36" s="147"/>
      <c r="Z36" s="147"/>
    </row>
    <row r="37" spans="1:26" x14ac:dyDescent="0.2">
      <c r="A37" s="76">
        <v>30</v>
      </c>
      <c r="B37" s="151"/>
      <c r="C37" s="1333" t="s">
        <v>9</v>
      </c>
      <c r="D37" s="799">
        <v>0.27890000000000004</v>
      </c>
      <c r="E37" s="354">
        <v>4.7599999999999995E-3</v>
      </c>
      <c r="F37" s="354">
        <v>-1.0200000000000001E-3</v>
      </c>
      <c r="G37" s="354"/>
      <c r="H37" s="1356">
        <v>0.28264</v>
      </c>
      <c r="I37" s="354">
        <v>8.5399999999999976E-2</v>
      </c>
      <c r="J37" s="354">
        <v>0</v>
      </c>
      <c r="K37" s="354">
        <v>1.0419999999999994E-2</v>
      </c>
      <c r="L37" s="1488">
        <v>0.37472</v>
      </c>
      <c r="M37" s="557">
        <v>0.37845999999999996</v>
      </c>
      <c r="N37" s="354">
        <v>2.8800000000000002E-3</v>
      </c>
      <c r="O37" s="354">
        <v>-1.2000000000000001E-3</v>
      </c>
      <c r="P37" s="354"/>
      <c r="Q37" s="789">
        <v>0.38013999999999998</v>
      </c>
      <c r="R37" s="354"/>
      <c r="S37" s="1364">
        <v>0.38116</v>
      </c>
      <c r="U37" s="147"/>
      <c r="V37" s="147"/>
      <c r="W37" s="147"/>
      <c r="X37" s="147"/>
      <c r="Y37" s="147"/>
      <c r="Z37" s="147"/>
    </row>
    <row r="38" spans="1:26" x14ac:dyDescent="0.2">
      <c r="A38" s="76">
        <v>31</v>
      </c>
      <c r="B38" s="76" t="s">
        <v>259</v>
      </c>
      <c r="C38" s="1332" t="s">
        <v>4</v>
      </c>
      <c r="D38" s="801">
        <v>0.40593000000000001</v>
      </c>
      <c r="E38" s="485">
        <v>1.3469999999999999E-2</v>
      </c>
      <c r="F38" s="485">
        <v>-1.5999999999999999E-3</v>
      </c>
      <c r="G38" s="485"/>
      <c r="H38" s="1358">
        <v>0.4178</v>
      </c>
      <c r="I38" s="485">
        <v>8.5399999999999976E-2</v>
      </c>
      <c r="J38" s="485">
        <v>0</v>
      </c>
      <c r="K38" s="485">
        <v>1.0269999999999994E-2</v>
      </c>
      <c r="L38" s="1489">
        <v>0.50159999999999993</v>
      </c>
      <c r="M38" s="558">
        <v>0.51346999999999998</v>
      </c>
      <c r="N38" s="485">
        <v>6.1399999999999996E-3</v>
      </c>
      <c r="O38" s="485">
        <v>-2.6300000000000004E-3</v>
      </c>
      <c r="P38" s="485"/>
      <c r="Q38" s="791">
        <v>0.51698</v>
      </c>
      <c r="R38" s="485"/>
      <c r="S38" s="1366">
        <v>0.51858000000000004</v>
      </c>
      <c r="U38" s="147"/>
      <c r="V38" s="147"/>
      <c r="W38" s="147"/>
      <c r="X38" s="147"/>
      <c r="Y38" s="147"/>
      <c r="Z38" s="147"/>
    </row>
    <row r="39" spans="1:26" x14ac:dyDescent="0.2">
      <c r="A39" s="76">
        <v>32</v>
      </c>
      <c r="B39" s="1238"/>
      <c r="C39" s="1332" t="s">
        <v>5</v>
      </c>
      <c r="D39" s="801">
        <v>0.38999</v>
      </c>
      <c r="E39" s="485">
        <v>1.206E-2</v>
      </c>
      <c r="F39" s="485">
        <v>-1.4400000000000003E-3</v>
      </c>
      <c r="G39" s="485"/>
      <c r="H39" s="1358">
        <v>0.40061000000000002</v>
      </c>
      <c r="I39" s="485">
        <v>8.5399999999999976E-2</v>
      </c>
      <c r="J39" s="485">
        <v>0</v>
      </c>
      <c r="K39" s="485">
        <v>1.0229999999999996E-2</v>
      </c>
      <c r="L39" s="1489">
        <v>0.48562</v>
      </c>
      <c r="M39" s="558">
        <v>0.49624000000000001</v>
      </c>
      <c r="N39" s="485">
        <v>5.4999999999999997E-3</v>
      </c>
      <c r="O39" s="485">
        <v>-2.3600000000000001E-3</v>
      </c>
      <c r="P39" s="485"/>
      <c r="Q39" s="791">
        <v>0.49937999999999999</v>
      </c>
      <c r="R39" s="485"/>
      <c r="S39" s="1366">
        <v>0.50082000000000004</v>
      </c>
      <c r="U39" s="147"/>
      <c r="V39" s="147"/>
      <c r="W39" s="147"/>
      <c r="X39" s="147"/>
      <c r="Y39" s="147"/>
      <c r="Z39" s="147"/>
    </row>
    <row r="40" spans="1:26" x14ac:dyDescent="0.2">
      <c r="A40" s="76">
        <v>33</v>
      </c>
      <c r="B40" s="76"/>
      <c r="C40" s="1332" t="s">
        <v>6</v>
      </c>
      <c r="D40" s="801">
        <v>0.35830999999999985</v>
      </c>
      <c r="E40" s="485">
        <v>9.2399999999999999E-3</v>
      </c>
      <c r="F40" s="485">
        <v>-1.0999999999999998E-3</v>
      </c>
      <c r="G40" s="485"/>
      <c r="H40" s="1358">
        <v>0.36644999999999989</v>
      </c>
      <c r="I40" s="485">
        <v>8.5399999999999976E-2</v>
      </c>
      <c r="J40" s="485">
        <v>0</v>
      </c>
      <c r="K40" s="485">
        <v>1.0089999999999995E-2</v>
      </c>
      <c r="L40" s="1489">
        <v>0.45379999999999981</v>
      </c>
      <c r="M40" s="558">
        <v>0.46193999999999985</v>
      </c>
      <c r="N40" s="485">
        <v>4.2199999999999998E-3</v>
      </c>
      <c r="O40" s="485">
        <v>-1.81E-3</v>
      </c>
      <c r="P40" s="485"/>
      <c r="Q40" s="791">
        <v>0.46434999999999987</v>
      </c>
      <c r="R40" s="485"/>
      <c r="S40" s="1366">
        <v>0.46544999999999986</v>
      </c>
      <c r="U40" s="147"/>
      <c r="V40" s="147"/>
      <c r="W40" s="147"/>
      <c r="X40" s="147"/>
      <c r="Y40" s="147"/>
      <c r="Z40" s="147"/>
    </row>
    <row r="41" spans="1:26" x14ac:dyDescent="0.2">
      <c r="A41" s="76">
        <v>34</v>
      </c>
      <c r="B41" s="76"/>
      <c r="C41" s="1332" t="s">
        <v>7</v>
      </c>
      <c r="D41" s="801">
        <v>0.33743999999999996</v>
      </c>
      <c r="E41" s="485">
        <v>7.3999999999999995E-3</v>
      </c>
      <c r="F41" s="485">
        <v>-8.8000000000000014E-4</v>
      </c>
      <c r="G41" s="485"/>
      <c r="H41" s="1358">
        <v>0.34395999999999999</v>
      </c>
      <c r="I41" s="485">
        <v>8.5399999999999976E-2</v>
      </c>
      <c r="J41" s="485">
        <v>0</v>
      </c>
      <c r="K41" s="485">
        <v>1.0019999999999994E-2</v>
      </c>
      <c r="L41" s="1489">
        <v>0.43285999999999991</v>
      </c>
      <c r="M41" s="558">
        <v>0.43937999999999994</v>
      </c>
      <c r="N41" s="485">
        <v>3.3700000000000002E-3</v>
      </c>
      <c r="O41" s="485">
        <v>-1.4399999999999999E-3</v>
      </c>
      <c r="P41" s="485"/>
      <c r="Q41" s="791">
        <v>0.44130999999999992</v>
      </c>
      <c r="R41" s="485"/>
      <c r="S41" s="1366">
        <v>0.44218999999999992</v>
      </c>
      <c r="U41" s="147"/>
      <c r="V41" s="147"/>
      <c r="W41" s="147"/>
      <c r="X41" s="147"/>
      <c r="Y41" s="147"/>
      <c r="Z41" s="147"/>
    </row>
    <row r="42" spans="1:26" x14ac:dyDescent="0.2">
      <c r="A42" s="76">
        <v>35</v>
      </c>
      <c r="B42" s="76"/>
      <c r="C42" s="1332" t="s">
        <v>8</v>
      </c>
      <c r="D42" s="801">
        <v>0.30965000000000004</v>
      </c>
      <c r="E42" s="485">
        <v>4.9300000000000004E-3</v>
      </c>
      <c r="F42" s="485">
        <v>-5.9000000000000003E-4</v>
      </c>
      <c r="G42" s="485"/>
      <c r="H42" s="1358">
        <v>0.31399000000000005</v>
      </c>
      <c r="I42" s="485">
        <v>8.5399999999999976E-2</v>
      </c>
      <c r="J42" s="485">
        <v>0</v>
      </c>
      <c r="K42" s="485">
        <v>9.9299999999999944E-3</v>
      </c>
      <c r="L42" s="1489">
        <v>0.40498000000000001</v>
      </c>
      <c r="M42" s="558">
        <v>0.40932000000000002</v>
      </c>
      <c r="N42" s="485">
        <v>2.2499999999999998E-3</v>
      </c>
      <c r="O42" s="485">
        <v>-9.7000000000000005E-4</v>
      </c>
      <c r="P42" s="485"/>
      <c r="Q42" s="791">
        <v>0.41059999999999997</v>
      </c>
      <c r="R42" s="485"/>
      <c r="S42" s="1366">
        <v>0.41118999999999994</v>
      </c>
      <c r="U42" s="147"/>
      <c r="V42" s="147"/>
      <c r="W42" s="147"/>
      <c r="X42" s="147"/>
      <c r="Y42" s="147"/>
      <c r="Z42" s="147"/>
    </row>
    <row r="43" spans="1:26" x14ac:dyDescent="0.2">
      <c r="A43" s="76">
        <v>36</v>
      </c>
      <c r="B43" s="151"/>
      <c r="C43" s="1333" t="s">
        <v>9</v>
      </c>
      <c r="D43" s="799">
        <v>0.27485999999999999</v>
      </c>
      <c r="E43" s="354">
        <v>1.8500000000000001E-3</v>
      </c>
      <c r="F43" s="354">
        <v>-2.2000000000000003E-4</v>
      </c>
      <c r="G43" s="354"/>
      <c r="H43" s="1356">
        <v>0.27649000000000001</v>
      </c>
      <c r="I43" s="354">
        <v>8.5399999999999976E-2</v>
      </c>
      <c r="J43" s="354">
        <v>0</v>
      </c>
      <c r="K43" s="354">
        <v>9.8099999999999941E-3</v>
      </c>
      <c r="L43" s="1488">
        <v>0.37006999999999995</v>
      </c>
      <c r="M43" s="557">
        <v>0.37169999999999997</v>
      </c>
      <c r="N43" s="354">
        <v>8.4000000000000003E-4</v>
      </c>
      <c r="O43" s="354">
        <v>-3.6000000000000002E-4</v>
      </c>
      <c r="P43" s="354"/>
      <c r="Q43" s="789">
        <v>0.37217999999999996</v>
      </c>
      <c r="R43" s="354"/>
      <c r="S43" s="1364">
        <v>0.37239999999999995</v>
      </c>
      <c r="U43" s="147"/>
      <c r="V43" s="147"/>
      <c r="W43" s="147"/>
      <c r="X43" s="147"/>
      <c r="Y43" s="147"/>
      <c r="Z43" s="147"/>
    </row>
    <row r="44" spans="1:26" x14ac:dyDescent="0.2">
      <c r="A44" s="76">
        <v>37</v>
      </c>
      <c r="B44" s="76" t="s">
        <v>255</v>
      </c>
      <c r="C44" s="1332" t="s">
        <v>4</v>
      </c>
      <c r="D44" s="801">
        <v>0.13851999999999998</v>
      </c>
      <c r="E44" s="485">
        <v>1.12E-2</v>
      </c>
      <c r="F44" s="485">
        <v>-1.0300000000000001E-3</v>
      </c>
      <c r="G44" s="485"/>
      <c r="H44" s="1358">
        <v>0.14868999999999996</v>
      </c>
      <c r="I44" s="485">
        <v>0</v>
      </c>
      <c r="J44" s="485">
        <v>0</v>
      </c>
      <c r="K44" s="485">
        <v>9.2000000000000014E-4</v>
      </c>
      <c r="L44" s="1489">
        <v>0.13943999999999998</v>
      </c>
      <c r="M44" s="558">
        <v>0.14960999999999997</v>
      </c>
      <c r="N44" s="485">
        <v>5.94E-3</v>
      </c>
      <c r="O44" s="485">
        <v>-1.72E-3</v>
      </c>
      <c r="P44" s="485"/>
      <c r="Q44" s="791">
        <v>0.15382999999999997</v>
      </c>
      <c r="R44" s="485"/>
      <c r="S44" s="1366">
        <v>0.15485999999999997</v>
      </c>
      <c r="U44" s="147"/>
      <c r="V44" s="147"/>
      <c r="W44" s="147"/>
      <c r="X44" s="147"/>
      <c r="Y44" s="147"/>
      <c r="Z44" s="147"/>
    </row>
    <row r="45" spans="1:26" x14ac:dyDescent="0.2">
      <c r="A45" s="76">
        <v>38</v>
      </c>
      <c r="B45" s="76"/>
      <c r="C45" s="1332" t="s">
        <v>5</v>
      </c>
      <c r="D45" s="801">
        <v>0.12399999999999999</v>
      </c>
      <c r="E45" s="485">
        <v>1.0019999999999999E-2</v>
      </c>
      <c r="F45" s="485">
        <v>-9.3000000000000005E-4</v>
      </c>
      <c r="G45" s="485"/>
      <c r="H45" s="1358">
        <v>0.13308999999999999</v>
      </c>
      <c r="I45" s="485">
        <v>0</v>
      </c>
      <c r="J45" s="485">
        <v>0</v>
      </c>
      <c r="K45" s="485">
        <v>8.3000000000000012E-4</v>
      </c>
      <c r="L45" s="1489">
        <v>0.12482999999999998</v>
      </c>
      <c r="M45" s="558">
        <v>0.13391999999999998</v>
      </c>
      <c r="N45" s="485">
        <v>5.3099999999999996E-3</v>
      </c>
      <c r="O45" s="485">
        <v>-1.5299999999999999E-3</v>
      </c>
      <c r="P45" s="485"/>
      <c r="Q45" s="791">
        <v>0.13769999999999999</v>
      </c>
      <c r="R45" s="485"/>
      <c r="S45" s="1366">
        <v>0.13862999999999998</v>
      </c>
      <c r="U45" s="147"/>
      <c r="V45" s="147"/>
      <c r="W45" s="147"/>
      <c r="X45" s="147"/>
      <c r="Y45" s="147"/>
      <c r="Z45" s="147"/>
    </row>
    <row r="46" spans="1:26" x14ac:dyDescent="0.2">
      <c r="A46" s="76">
        <v>39</v>
      </c>
      <c r="B46" s="76"/>
      <c r="C46" s="1332" t="s">
        <v>6</v>
      </c>
      <c r="D46" s="801">
        <v>9.5079999999999998E-2</v>
      </c>
      <c r="E46" s="485">
        <v>7.6900000000000007E-3</v>
      </c>
      <c r="F46" s="485">
        <v>-7.000000000000001E-4</v>
      </c>
      <c r="G46" s="485"/>
      <c r="H46" s="1358">
        <v>0.10206999999999999</v>
      </c>
      <c r="I46" s="485">
        <v>0</v>
      </c>
      <c r="J46" s="485">
        <v>0</v>
      </c>
      <c r="K46" s="485">
        <v>6.2999999999999992E-4</v>
      </c>
      <c r="L46" s="1489">
        <v>9.5710000000000003E-2</v>
      </c>
      <c r="M46" s="558">
        <v>0.1027</v>
      </c>
      <c r="N46" s="485">
        <v>4.0699999999999998E-3</v>
      </c>
      <c r="O46" s="485">
        <v>-1.1800000000000001E-3</v>
      </c>
      <c r="P46" s="485"/>
      <c r="Q46" s="791">
        <v>0.10559</v>
      </c>
      <c r="R46" s="485"/>
      <c r="S46" s="1366">
        <v>0.10629000000000001</v>
      </c>
      <c r="U46" s="147"/>
      <c r="V46" s="147"/>
      <c r="W46" s="147"/>
      <c r="X46" s="147"/>
      <c r="Y46" s="147"/>
      <c r="Z46" s="147"/>
    </row>
    <row r="47" spans="1:26" x14ac:dyDescent="0.2">
      <c r="A47" s="76">
        <v>40</v>
      </c>
      <c r="B47" s="76"/>
      <c r="C47" s="1332" t="s">
        <v>7</v>
      </c>
      <c r="D47" s="801">
        <v>7.6070000000000013E-2</v>
      </c>
      <c r="E47" s="485">
        <v>6.1500000000000001E-3</v>
      </c>
      <c r="F47" s="485">
        <v>-5.6999999999999998E-4</v>
      </c>
      <c r="G47" s="485"/>
      <c r="H47" s="1358">
        <v>8.1650000000000014E-2</v>
      </c>
      <c r="I47" s="485">
        <v>0</v>
      </c>
      <c r="J47" s="485">
        <v>0</v>
      </c>
      <c r="K47" s="485">
        <v>5.2000000000000006E-4</v>
      </c>
      <c r="L47" s="1489">
        <v>7.6590000000000019E-2</v>
      </c>
      <c r="M47" s="558">
        <v>8.2170000000000021E-2</v>
      </c>
      <c r="N47" s="485">
        <v>3.2599999999999999E-3</v>
      </c>
      <c r="O47" s="485">
        <v>-9.3999999999999997E-4</v>
      </c>
      <c r="P47" s="485"/>
      <c r="Q47" s="791">
        <v>8.4490000000000023E-2</v>
      </c>
      <c r="R47" s="485"/>
      <c r="S47" s="1366">
        <v>8.5060000000000024E-2</v>
      </c>
      <c r="U47" s="147"/>
      <c r="V47" s="147"/>
      <c r="W47" s="147"/>
      <c r="X47" s="147"/>
      <c r="Y47" s="147"/>
      <c r="Z47" s="147"/>
    </row>
    <row r="48" spans="1:26" x14ac:dyDescent="0.2">
      <c r="A48" s="76">
        <v>41</v>
      </c>
      <c r="B48" s="76"/>
      <c r="C48" s="1332" t="s">
        <v>8</v>
      </c>
      <c r="D48" s="801">
        <v>5.0710000000000005E-2</v>
      </c>
      <c r="E48" s="485">
        <v>4.1000000000000003E-3</v>
      </c>
      <c r="F48" s="485">
        <v>-3.6999999999999999E-4</v>
      </c>
      <c r="G48" s="485"/>
      <c r="H48" s="1358">
        <v>5.4440000000000002E-2</v>
      </c>
      <c r="I48" s="485">
        <v>0</v>
      </c>
      <c r="J48" s="485">
        <v>0</v>
      </c>
      <c r="K48" s="485">
        <v>3.4999999999999994E-4</v>
      </c>
      <c r="L48" s="1489">
        <v>5.1060000000000008E-2</v>
      </c>
      <c r="M48" s="558">
        <v>5.4790000000000005E-2</v>
      </c>
      <c r="N48" s="485">
        <v>2.1700000000000001E-3</v>
      </c>
      <c r="O48" s="485">
        <v>-6.3000000000000003E-4</v>
      </c>
      <c r="P48" s="485"/>
      <c r="Q48" s="791">
        <v>5.6330000000000005E-2</v>
      </c>
      <c r="R48" s="485"/>
      <c r="S48" s="1366">
        <v>5.6700000000000007E-2</v>
      </c>
      <c r="U48" s="147"/>
      <c r="V48" s="147"/>
      <c r="W48" s="147"/>
      <c r="X48" s="147"/>
      <c r="Y48" s="147"/>
      <c r="Z48" s="147"/>
    </row>
    <row r="49" spans="1:26" x14ac:dyDescent="0.2">
      <c r="A49" s="76">
        <v>42</v>
      </c>
      <c r="B49" s="151"/>
      <c r="C49" s="1333" t="s">
        <v>9</v>
      </c>
      <c r="D49" s="799">
        <v>1.9009999999999999E-2</v>
      </c>
      <c r="E49" s="354">
        <v>1.5399999999999999E-3</v>
      </c>
      <c r="F49" s="354">
        <v>-1.3999999999999999E-4</v>
      </c>
      <c r="G49" s="354"/>
      <c r="H49" s="1356">
        <v>2.0409999999999998E-2</v>
      </c>
      <c r="I49" s="354">
        <v>0</v>
      </c>
      <c r="J49" s="354">
        <v>0</v>
      </c>
      <c r="K49" s="354">
        <v>1.3000000000000002E-4</v>
      </c>
      <c r="L49" s="1488">
        <v>1.9140000000000001E-2</v>
      </c>
      <c r="M49" s="557">
        <v>2.0539999999999999E-2</v>
      </c>
      <c r="N49" s="354">
        <v>8.0999999999999996E-4</v>
      </c>
      <c r="O49" s="354">
        <v>-2.3000000000000001E-4</v>
      </c>
      <c r="P49" s="354"/>
      <c r="Q49" s="789">
        <v>2.112E-2</v>
      </c>
      <c r="R49" s="354"/>
      <c r="S49" s="1364">
        <v>2.1260000000000001E-2</v>
      </c>
      <c r="U49" s="147"/>
      <c r="V49" s="147"/>
      <c r="W49" s="147"/>
      <c r="X49" s="147"/>
      <c r="Y49" s="147"/>
      <c r="Z49" s="147"/>
    </row>
    <row r="50" spans="1:26" x14ac:dyDescent="0.2">
      <c r="A50" s="76">
        <v>43</v>
      </c>
      <c r="B50" s="76" t="s">
        <v>256</v>
      </c>
      <c r="C50" s="1332" t="s">
        <v>4</v>
      </c>
      <c r="D50" s="801">
        <v>0.14000000000000001</v>
      </c>
      <c r="E50" s="485">
        <v>8.6699999999999989E-3</v>
      </c>
      <c r="F50" s="485">
        <v>-1.0300000000000001E-3</v>
      </c>
      <c r="G50" s="485"/>
      <c r="H50" s="1358">
        <v>0.14764000000000002</v>
      </c>
      <c r="I50" s="485">
        <v>0</v>
      </c>
      <c r="J50" s="485">
        <v>0</v>
      </c>
      <c r="K50" s="485">
        <v>1.0300000000000001E-3</v>
      </c>
      <c r="L50" s="1489">
        <v>0.14103000000000002</v>
      </c>
      <c r="M50" s="558">
        <v>0.14867000000000002</v>
      </c>
      <c r="N50" s="485">
        <v>3.96E-3</v>
      </c>
      <c r="O50" s="485">
        <v>-1.6999999999999999E-3</v>
      </c>
      <c r="P50" s="485"/>
      <c r="Q50" s="791">
        <v>0.15093000000000001</v>
      </c>
      <c r="R50" s="485"/>
      <c r="S50" s="1366">
        <v>0.15196000000000001</v>
      </c>
      <c r="U50" s="147"/>
      <c r="V50" s="147"/>
      <c r="W50" s="147"/>
      <c r="X50" s="147"/>
      <c r="Y50" s="147"/>
      <c r="Z50" s="147"/>
    </row>
    <row r="51" spans="1:26" x14ac:dyDescent="0.2">
      <c r="A51" s="76">
        <v>44</v>
      </c>
      <c r="B51" s="76"/>
      <c r="C51" s="1332" t="s">
        <v>5</v>
      </c>
      <c r="D51" s="801">
        <v>0.12530999999999998</v>
      </c>
      <c r="E51" s="485">
        <v>7.7600000000000004E-3</v>
      </c>
      <c r="F51" s="485">
        <v>-9.3000000000000005E-4</v>
      </c>
      <c r="G51" s="485"/>
      <c r="H51" s="1358">
        <v>0.13213999999999998</v>
      </c>
      <c r="I51" s="485">
        <v>0</v>
      </c>
      <c r="J51" s="485">
        <v>0</v>
      </c>
      <c r="K51" s="485">
        <v>9.2999999999999984E-4</v>
      </c>
      <c r="L51" s="1489">
        <v>0.12623999999999996</v>
      </c>
      <c r="M51" s="558">
        <v>0.13306999999999997</v>
      </c>
      <c r="N51" s="485">
        <v>3.5400000000000002E-3</v>
      </c>
      <c r="O51" s="485">
        <v>-1.5199999999999999E-3</v>
      </c>
      <c r="P51" s="485"/>
      <c r="Q51" s="791">
        <v>0.13508999999999996</v>
      </c>
      <c r="R51" s="485"/>
      <c r="S51" s="1366">
        <v>0.13601999999999995</v>
      </c>
      <c r="U51" s="147"/>
      <c r="V51" s="147"/>
      <c r="W51" s="147"/>
      <c r="X51" s="147"/>
      <c r="Y51" s="147"/>
      <c r="Z51" s="147"/>
    </row>
    <row r="52" spans="1:26" x14ac:dyDescent="0.2">
      <c r="A52" s="76">
        <v>45</v>
      </c>
      <c r="B52" s="76"/>
      <c r="C52" s="1332" t="s">
        <v>6</v>
      </c>
      <c r="D52" s="801">
        <v>9.6100000000000005E-2</v>
      </c>
      <c r="E52" s="485">
        <v>5.9500000000000004E-3</v>
      </c>
      <c r="F52" s="485">
        <v>-7.000000000000001E-4</v>
      </c>
      <c r="G52" s="485"/>
      <c r="H52" s="1358">
        <v>0.10135</v>
      </c>
      <c r="I52" s="485">
        <v>0</v>
      </c>
      <c r="J52" s="485">
        <v>0</v>
      </c>
      <c r="K52" s="485">
        <v>7.000000000000001E-4</v>
      </c>
      <c r="L52" s="1489">
        <v>9.6800000000000011E-2</v>
      </c>
      <c r="M52" s="558">
        <v>0.10205</v>
      </c>
      <c r="N52" s="485">
        <v>2.7200000000000002E-3</v>
      </c>
      <c r="O52" s="485">
        <v>-1.17E-3</v>
      </c>
      <c r="P52" s="485"/>
      <c r="Q52" s="791">
        <v>0.1036</v>
      </c>
      <c r="R52" s="485"/>
      <c r="S52" s="1366">
        <v>0.1043</v>
      </c>
      <c r="U52" s="147"/>
      <c r="V52" s="147"/>
      <c r="W52" s="147"/>
      <c r="X52" s="147"/>
      <c r="Y52" s="147"/>
      <c r="Z52" s="147"/>
    </row>
    <row r="53" spans="1:26" x14ac:dyDescent="0.2">
      <c r="A53" s="76">
        <v>46</v>
      </c>
      <c r="B53" s="76"/>
      <c r="C53" s="1332" t="s">
        <v>7</v>
      </c>
      <c r="D53" s="801">
        <v>7.6880000000000018E-2</v>
      </c>
      <c r="E53" s="485">
        <v>4.7599999999999995E-3</v>
      </c>
      <c r="F53" s="485">
        <v>-5.5999999999999995E-4</v>
      </c>
      <c r="G53" s="485"/>
      <c r="H53" s="1358">
        <v>8.1080000000000013E-2</v>
      </c>
      <c r="I53" s="485">
        <v>0</v>
      </c>
      <c r="J53" s="485">
        <v>0</v>
      </c>
      <c r="K53" s="485">
        <v>5.6999999999999998E-4</v>
      </c>
      <c r="L53" s="1489">
        <v>7.7450000000000019E-2</v>
      </c>
      <c r="M53" s="558">
        <v>8.1650000000000014E-2</v>
      </c>
      <c r="N53" s="485">
        <v>2.1700000000000001E-3</v>
      </c>
      <c r="O53" s="485">
        <v>-9.3999999999999997E-4</v>
      </c>
      <c r="P53" s="485"/>
      <c r="Q53" s="791">
        <v>8.2880000000000023E-2</v>
      </c>
      <c r="R53" s="485"/>
      <c r="S53" s="1366">
        <v>8.3440000000000028E-2</v>
      </c>
      <c r="U53" s="147"/>
      <c r="V53" s="147"/>
      <c r="W53" s="147"/>
      <c r="X53" s="147"/>
      <c r="Y53" s="147"/>
      <c r="Z53" s="147"/>
    </row>
    <row r="54" spans="1:26" x14ac:dyDescent="0.2">
      <c r="A54" s="76">
        <v>47</v>
      </c>
      <c r="B54" s="76"/>
      <c r="C54" s="1332" t="s">
        <v>8</v>
      </c>
      <c r="D54" s="801">
        <v>5.1250000000000004E-2</v>
      </c>
      <c r="E54" s="485">
        <v>3.1700000000000001E-3</v>
      </c>
      <c r="F54" s="485">
        <v>-3.6999999999999999E-4</v>
      </c>
      <c r="G54" s="485"/>
      <c r="H54" s="1358">
        <v>5.4050000000000001E-2</v>
      </c>
      <c r="I54" s="485">
        <v>0</v>
      </c>
      <c r="J54" s="485">
        <v>0</v>
      </c>
      <c r="K54" s="485">
        <v>3.8000000000000002E-4</v>
      </c>
      <c r="L54" s="1489">
        <v>5.1630000000000002E-2</v>
      </c>
      <c r="M54" s="558">
        <v>5.4429999999999999E-2</v>
      </c>
      <c r="N54" s="485">
        <v>1.4499999999999999E-3</v>
      </c>
      <c r="O54" s="485">
        <v>-6.2E-4</v>
      </c>
      <c r="P54" s="485"/>
      <c r="Q54" s="791">
        <v>5.5259999999999997E-2</v>
      </c>
      <c r="R54" s="485"/>
      <c r="S54" s="1366">
        <v>5.5629999999999999E-2</v>
      </c>
      <c r="U54" s="147"/>
      <c r="V54" s="147"/>
      <c r="W54" s="147"/>
      <c r="X54" s="147"/>
      <c r="Y54" s="147"/>
      <c r="Z54" s="147"/>
    </row>
    <row r="55" spans="1:26" x14ac:dyDescent="0.2">
      <c r="A55" s="76">
        <v>48</v>
      </c>
      <c r="B55" s="151"/>
      <c r="C55" s="1333" t="s">
        <v>9</v>
      </c>
      <c r="D55" s="799">
        <v>1.9220000000000001E-2</v>
      </c>
      <c r="E55" s="354">
        <v>1.1900000000000001E-3</v>
      </c>
      <c r="F55" s="354">
        <v>-1.3999999999999999E-4</v>
      </c>
      <c r="G55" s="354"/>
      <c r="H55" s="1356">
        <v>2.027E-2</v>
      </c>
      <c r="I55" s="354">
        <v>0</v>
      </c>
      <c r="J55" s="354">
        <v>0</v>
      </c>
      <c r="K55" s="354">
        <v>1.4000000000000001E-4</v>
      </c>
      <c r="L55" s="1488">
        <v>1.9360000000000002E-2</v>
      </c>
      <c r="M55" s="557">
        <v>2.0410000000000001E-2</v>
      </c>
      <c r="N55" s="354">
        <v>5.4000000000000001E-4</v>
      </c>
      <c r="O55" s="354">
        <v>-2.3000000000000001E-4</v>
      </c>
      <c r="P55" s="354"/>
      <c r="Q55" s="789">
        <v>2.0719999999999999E-2</v>
      </c>
      <c r="R55" s="354"/>
      <c r="S55" s="1364">
        <v>2.086E-2</v>
      </c>
      <c r="U55" s="147"/>
      <c r="V55" s="147"/>
      <c r="W55" s="147"/>
      <c r="X55" s="147"/>
      <c r="Y55" s="147"/>
      <c r="Z55" s="147"/>
    </row>
    <row r="56" spans="1:26" x14ac:dyDescent="0.2">
      <c r="A56" s="76">
        <v>49</v>
      </c>
      <c r="B56" s="76" t="s">
        <v>252</v>
      </c>
      <c r="C56" s="1332" t="s">
        <v>4</v>
      </c>
      <c r="D56" s="801">
        <v>0.42349000000000003</v>
      </c>
      <c r="E56" s="485">
        <v>2.06E-2</v>
      </c>
      <c r="F56" s="485">
        <v>-4.4099999999999999E-3</v>
      </c>
      <c r="G56" s="485"/>
      <c r="H56" s="1358">
        <v>0.43968000000000002</v>
      </c>
      <c r="I56" s="485">
        <v>8.5399999999999976E-2</v>
      </c>
      <c r="J56" s="485">
        <v>0</v>
      </c>
      <c r="K56" s="485">
        <v>3.8639999999999994E-2</v>
      </c>
      <c r="L56" s="1489">
        <v>0.54753000000000007</v>
      </c>
      <c r="M56" s="558">
        <v>0.56372</v>
      </c>
      <c r="N56" s="485">
        <v>1.2449999999999999E-2</v>
      </c>
      <c r="O56" s="485">
        <v>-5.2100000000000002E-3</v>
      </c>
      <c r="P56" s="485"/>
      <c r="Q56" s="791">
        <v>0.57095999999999991</v>
      </c>
      <c r="R56" s="485"/>
      <c r="S56" s="1366">
        <v>0.57536999999999994</v>
      </c>
      <c r="U56" s="147"/>
      <c r="V56" s="147"/>
      <c r="W56" s="147"/>
      <c r="X56" s="147"/>
      <c r="Y56" s="147"/>
      <c r="Z56" s="147"/>
    </row>
    <row r="57" spans="1:26" x14ac:dyDescent="0.2">
      <c r="A57" s="76">
        <v>50</v>
      </c>
      <c r="B57" s="76"/>
      <c r="C57" s="1332" t="s">
        <v>5</v>
      </c>
      <c r="D57" s="801">
        <v>0.40679999999999994</v>
      </c>
      <c r="E57" s="485">
        <v>1.8450000000000001E-2</v>
      </c>
      <c r="F57" s="485">
        <v>-3.9499999999999995E-3</v>
      </c>
      <c r="G57" s="485"/>
      <c r="H57" s="1358">
        <v>0.42129999999999995</v>
      </c>
      <c r="I57" s="485">
        <v>8.5399999999999976E-2</v>
      </c>
      <c r="J57" s="485">
        <v>0</v>
      </c>
      <c r="K57" s="485">
        <v>3.8329999999999996E-2</v>
      </c>
      <c r="L57" s="1489">
        <v>0.53052999999999995</v>
      </c>
      <c r="M57" s="558">
        <v>0.5450299999999999</v>
      </c>
      <c r="N57" s="485">
        <v>1.1140000000000001E-2</v>
      </c>
      <c r="O57" s="485">
        <v>-4.6699999999999997E-3</v>
      </c>
      <c r="P57" s="485"/>
      <c r="Q57" s="791">
        <v>0.55149999999999999</v>
      </c>
      <c r="R57" s="485"/>
      <c r="S57" s="1366">
        <v>0.55545</v>
      </c>
      <c r="U57" s="147"/>
      <c r="V57" s="147"/>
      <c r="W57" s="147"/>
      <c r="X57" s="147"/>
      <c r="Y57" s="147"/>
      <c r="Z57" s="147"/>
    </row>
    <row r="58" spans="1:26" x14ac:dyDescent="0.2">
      <c r="A58" s="76">
        <v>51</v>
      </c>
      <c r="B58" s="76"/>
      <c r="C58" s="1332" t="s">
        <v>6</v>
      </c>
      <c r="D58" s="801">
        <v>0.37361</v>
      </c>
      <c r="E58" s="485">
        <v>1.414E-2</v>
      </c>
      <c r="F58" s="485">
        <v>-3.0299999999999997E-3</v>
      </c>
      <c r="G58" s="485"/>
      <c r="H58" s="1358">
        <v>0.38472000000000001</v>
      </c>
      <c r="I58" s="485">
        <v>8.5399999999999976E-2</v>
      </c>
      <c r="J58" s="485">
        <v>0</v>
      </c>
      <c r="K58" s="485">
        <v>3.7689999999999994E-2</v>
      </c>
      <c r="L58" s="1489">
        <v>0.49669999999999997</v>
      </c>
      <c r="M58" s="558">
        <v>0.50780999999999998</v>
      </c>
      <c r="N58" s="485">
        <v>8.5400000000000007E-3</v>
      </c>
      <c r="O58" s="485">
        <v>-3.5699999999999994E-3</v>
      </c>
      <c r="P58" s="485"/>
      <c r="Q58" s="791">
        <v>0.51278000000000001</v>
      </c>
      <c r="R58" s="485"/>
      <c r="S58" s="1366">
        <v>0.51580999999999999</v>
      </c>
      <c r="U58" s="147"/>
      <c r="V58" s="147"/>
      <c r="W58" s="147"/>
      <c r="X58" s="147"/>
      <c r="Y58" s="147"/>
      <c r="Z58" s="147"/>
    </row>
    <row r="59" spans="1:26" x14ac:dyDescent="0.2">
      <c r="A59" s="76">
        <v>52</v>
      </c>
      <c r="B59" s="76"/>
      <c r="C59" s="1332" t="s">
        <v>7</v>
      </c>
      <c r="D59" s="801">
        <v>0.35180000000000006</v>
      </c>
      <c r="E59" s="485">
        <v>1.1309999999999999E-2</v>
      </c>
      <c r="F59" s="485">
        <v>-2.4199999999999998E-3</v>
      </c>
      <c r="G59" s="485"/>
      <c r="H59" s="1358">
        <v>0.36069000000000007</v>
      </c>
      <c r="I59" s="485">
        <v>8.5399999999999976E-2</v>
      </c>
      <c r="J59" s="485">
        <v>0</v>
      </c>
      <c r="K59" s="485">
        <v>3.7249999999999998E-2</v>
      </c>
      <c r="L59" s="1489">
        <v>0.47445000000000004</v>
      </c>
      <c r="M59" s="558">
        <v>0.48334000000000005</v>
      </c>
      <c r="N59" s="485">
        <v>6.8300000000000001E-3</v>
      </c>
      <c r="O59" s="485">
        <v>-2.8600000000000001E-3</v>
      </c>
      <c r="P59" s="485"/>
      <c r="Q59" s="791">
        <v>0.48731000000000008</v>
      </c>
      <c r="R59" s="485"/>
      <c r="S59" s="1366">
        <v>0.48973000000000005</v>
      </c>
      <c r="U59" s="147"/>
      <c r="V59" s="147"/>
      <c r="W59" s="147"/>
      <c r="X59" s="147"/>
      <c r="Y59" s="147"/>
      <c r="Z59" s="147"/>
    </row>
    <row r="60" spans="1:26" x14ac:dyDescent="0.2">
      <c r="A60" s="76">
        <v>53</v>
      </c>
      <c r="B60" s="76"/>
      <c r="C60" s="1332" t="s">
        <v>8</v>
      </c>
      <c r="D60" s="801">
        <v>0.32268999999999998</v>
      </c>
      <c r="E60" s="485">
        <v>7.5499999999999994E-3</v>
      </c>
      <c r="F60" s="485">
        <v>-1.6100000000000001E-3</v>
      </c>
      <c r="G60" s="485"/>
      <c r="H60" s="1358">
        <v>0.32862999999999998</v>
      </c>
      <c r="I60" s="485">
        <v>8.5399999999999976E-2</v>
      </c>
      <c r="J60" s="485">
        <v>0</v>
      </c>
      <c r="K60" s="485">
        <v>3.6699999999999997E-2</v>
      </c>
      <c r="L60" s="1489">
        <v>0.44478999999999996</v>
      </c>
      <c r="M60" s="558">
        <v>0.45072999999999996</v>
      </c>
      <c r="N60" s="485">
        <v>4.5599999999999998E-3</v>
      </c>
      <c r="O60" s="485">
        <v>-1.9099999999999998E-3</v>
      </c>
      <c r="P60" s="485"/>
      <c r="Q60" s="791">
        <v>0.45337999999999995</v>
      </c>
      <c r="R60" s="485"/>
      <c r="S60" s="1366">
        <v>0.45498999999999995</v>
      </c>
      <c r="U60" s="147"/>
      <c r="V60" s="147"/>
      <c r="W60" s="147"/>
      <c r="X60" s="147"/>
      <c r="Y60" s="147"/>
      <c r="Z60" s="147"/>
    </row>
    <row r="61" spans="1:26" x14ac:dyDescent="0.2">
      <c r="A61" s="76">
        <v>54</v>
      </c>
      <c r="B61" s="151"/>
      <c r="C61" s="1333" t="s">
        <v>9</v>
      </c>
      <c r="D61" s="799">
        <v>0.28632000000000002</v>
      </c>
      <c r="E61" s="354">
        <v>2.8300000000000001E-3</v>
      </c>
      <c r="F61" s="354">
        <v>-6.0999999999999997E-4</v>
      </c>
      <c r="G61" s="354"/>
      <c r="H61" s="1356">
        <v>0.28854000000000002</v>
      </c>
      <c r="I61" s="354">
        <v>8.5399999999999976E-2</v>
      </c>
      <c r="J61" s="354">
        <v>0</v>
      </c>
      <c r="K61" s="354">
        <v>3.601E-2</v>
      </c>
      <c r="L61" s="1488">
        <v>0.40772999999999998</v>
      </c>
      <c r="M61" s="557">
        <v>0.40994999999999998</v>
      </c>
      <c r="N61" s="354">
        <v>1.7099999999999999E-3</v>
      </c>
      <c r="O61" s="354">
        <v>-7.1000000000000002E-4</v>
      </c>
      <c r="P61" s="354"/>
      <c r="Q61" s="789">
        <v>0.41094999999999998</v>
      </c>
      <c r="R61" s="354"/>
      <c r="S61" s="1364">
        <v>0.41155999999999998</v>
      </c>
      <c r="U61" s="147"/>
      <c r="V61" s="147"/>
      <c r="W61" s="147"/>
      <c r="X61" s="147"/>
      <c r="Y61" s="147"/>
      <c r="Z61" s="147"/>
    </row>
    <row r="62" spans="1:26" x14ac:dyDescent="0.2">
      <c r="A62" s="76">
        <v>55</v>
      </c>
      <c r="B62" s="76" t="s">
        <v>258</v>
      </c>
      <c r="C62" s="1332" t="s">
        <v>4</v>
      </c>
      <c r="D62" s="801">
        <v>0.4161399999999999</v>
      </c>
      <c r="E62" s="485">
        <v>1.2409999999999999E-2</v>
      </c>
      <c r="F62" s="485">
        <v>-1.48E-3</v>
      </c>
      <c r="G62" s="485"/>
      <c r="H62" s="1358">
        <v>0.42706999999999989</v>
      </c>
      <c r="I62" s="485">
        <v>8.5399999999999976E-2</v>
      </c>
      <c r="J62" s="485">
        <v>0</v>
      </c>
      <c r="K62" s="485">
        <v>3.6379999999999996E-2</v>
      </c>
      <c r="L62" s="1489">
        <v>0.53791999999999984</v>
      </c>
      <c r="M62" s="558">
        <v>0.54884999999999984</v>
      </c>
      <c r="N62" s="485">
        <v>5.6600000000000001E-3</v>
      </c>
      <c r="O62" s="485">
        <v>-2.4300000000000003E-3</v>
      </c>
      <c r="P62" s="485"/>
      <c r="Q62" s="791">
        <v>0.55207999999999979</v>
      </c>
      <c r="R62" s="485"/>
      <c r="S62" s="1366">
        <v>0.55355999999999983</v>
      </c>
      <c r="U62" s="147"/>
      <c r="V62" s="147"/>
      <c r="W62" s="147"/>
      <c r="X62" s="147"/>
      <c r="Y62" s="147"/>
      <c r="Z62" s="147"/>
    </row>
    <row r="63" spans="1:26" x14ac:dyDescent="0.2">
      <c r="A63" s="76">
        <v>56</v>
      </c>
      <c r="B63" s="76"/>
      <c r="C63" s="1332" t="s">
        <v>5</v>
      </c>
      <c r="D63" s="801">
        <v>0.40022999999999992</v>
      </c>
      <c r="E63" s="485">
        <v>1.111E-2</v>
      </c>
      <c r="F63" s="485">
        <v>-1.32E-3</v>
      </c>
      <c r="G63" s="485"/>
      <c r="H63" s="1358">
        <v>0.41001999999999994</v>
      </c>
      <c r="I63" s="485">
        <v>8.5399999999999976E-2</v>
      </c>
      <c r="J63" s="485">
        <v>0</v>
      </c>
      <c r="K63" s="485">
        <v>3.6299999999999992E-2</v>
      </c>
      <c r="L63" s="1489">
        <v>0.52192999999999989</v>
      </c>
      <c r="M63" s="558">
        <v>0.53171999999999986</v>
      </c>
      <c r="N63" s="485">
        <v>5.0699999999999999E-3</v>
      </c>
      <c r="O63" s="485">
        <v>-2.1700000000000001E-3</v>
      </c>
      <c r="P63" s="485"/>
      <c r="Q63" s="791">
        <v>0.53461999999999987</v>
      </c>
      <c r="R63" s="485"/>
      <c r="S63" s="1366">
        <v>0.53593999999999986</v>
      </c>
      <c r="U63" s="147"/>
      <c r="V63" s="147"/>
      <c r="W63" s="147"/>
      <c r="X63" s="147"/>
      <c r="Y63" s="147"/>
      <c r="Z63" s="147"/>
    </row>
    <row r="64" spans="1:26" x14ac:dyDescent="0.2">
      <c r="A64" s="76">
        <v>57</v>
      </c>
      <c r="B64" s="76"/>
      <c r="C64" s="1332" t="s">
        <v>6</v>
      </c>
      <c r="D64" s="801">
        <v>0.36857999999999996</v>
      </c>
      <c r="E64" s="485">
        <v>8.5199999999999998E-3</v>
      </c>
      <c r="F64" s="485">
        <v>-1.01E-3</v>
      </c>
      <c r="G64" s="485"/>
      <c r="H64" s="1358">
        <v>0.37608999999999998</v>
      </c>
      <c r="I64" s="485">
        <v>8.5399999999999976E-2</v>
      </c>
      <c r="J64" s="485">
        <v>0</v>
      </c>
      <c r="K64" s="485">
        <v>3.6129999999999995E-2</v>
      </c>
      <c r="L64" s="1489">
        <v>0.49010999999999993</v>
      </c>
      <c r="M64" s="558">
        <v>0.49761999999999995</v>
      </c>
      <c r="N64" s="485">
        <v>3.8899999999999998E-3</v>
      </c>
      <c r="O64" s="485">
        <v>-1.66E-3</v>
      </c>
      <c r="P64" s="485"/>
      <c r="Q64" s="791">
        <v>0.49984999999999991</v>
      </c>
      <c r="R64" s="485"/>
      <c r="S64" s="1366">
        <v>0.50085999999999986</v>
      </c>
      <c r="U64" s="147"/>
      <c r="V64" s="147"/>
      <c r="W64" s="147"/>
      <c r="X64" s="147"/>
      <c r="Y64" s="147"/>
      <c r="Z64" s="147"/>
    </row>
    <row r="65" spans="1:26" x14ac:dyDescent="0.2">
      <c r="A65" s="76">
        <v>58</v>
      </c>
      <c r="B65" s="76"/>
      <c r="C65" s="1332" t="s">
        <v>7</v>
      </c>
      <c r="D65" s="801">
        <v>0.34777000000000002</v>
      </c>
      <c r="E65" s="485">
        <v>6.8200000000000005E-3</v>
      </c>
      <c r="F65" s="485">
        <v>-8.0999999999999996E-4</v>
      </c>
      <c r="G65" s="485"/>
      <c r="H65" s="1358">
        <v>0.35378000000000004</v>
      </c>
      <c r="I65" s="485">
        <v>8.5399999999999976E-2</v>
      </c>
      <c r="J65" s="485">
        <v>0</v>
      </c>
      <c r="K65" s="485">
        <v>3.6019999999999996E-2</v>
      </c>
      <c r="L65" s="1489">
        <v>0.46919</v>
      </c>
      <c r="M65" s="558">
        <v>0.47520000000000001</v>
      </c>
      <c r="N65" s="485">
        <v>3.1099999999999999E-3</v>
      </c>
      <c r="O65" s="485">
        <v>-1.33E-3</v>
      </c>
      <c r="P65" s="485"/>
      <c r="Q65" s="791">
        <v>0.47698000000000002</v>
      </c>
      <c r="R65" s="485"/>
      <c r="S65" s="1366">
        <v>0.47778999999999999</v>
      </c>
      <c r="U65" s="147"/>
      <c r="V65" s="147"/>
      <c r="W65" s="147"/>
      <c r="X65" s="147"/>
      <c r="Y65" s="147"/>
      <c r="Z65" s="147"/>
    </row>
    <row r="66" spans="1:26" x14ac:dyDescent="0.2">
      <c r="A66" s="76">
        <v>59</v>
      </c>
      <c r="B66" s="76"/>
      <c r="C66" s="1332" t="s">
        <v>8</v>
      </c>
      <c r="D66" s="801">
        <v>0.32002000000000003</v>
      </c>
      <c r="E66" s="485">
        <v>4.5399999999999998E-3</v>
      </c>
      <c r="F66" s="485">
        <v>-5.4000000000000001E-4</v>
      </c>
      <c r="G66" s="485"/>
      <c r="H66" s="1358">
        <v>0.32402000000000003</v>
      </c>
      <c r="I66" s="485">
        <v>8.5399999999999976E-2</v>
      </c>
      <c r="J66" s="485">
        <v>0</v>
      </c>
      <c r="K66" s="485">
        <v>3.5859999999999996E-2</v>
      </c>
      <c r="L66" s="1489">
        <v>0.44128000000000001</v>
      </c>
      <c r="M66" s="558">
        <v>0.44528000000000001</v>
      </c>
      <c r="N66" s="485">
        <v>2.0699999999999998E-3</v>
      </c>
      <c r="O66" s="485">
        <v>-8.8999999999999995E-4</v>
      </c>
      <c r="P66" s="485"/>
      <c r="Q66" s="791">
        <v>0.44646000000000002</v>
      </c>
      <c r="R66" s="485"/>
      <c r="S66" s="1366">
        <v>0.44700000000000001</v>
      </c>
      <c r="U66" s="147"/>
      <c r="V66" s="147"/>
      <c r="W66" s="147"/>
      <c r="X66" s="147"/>
      <c r="Y66" s="147"/>
      <c r="Z66" s="147"/>
    </row>
    <row r="67" spans="1:26" x14ac:dyDescent="0.2">
      <c r="A67" s="76">
        <v>60</v>
      </c>
      <c r="B67" s="151"/>
      <c r="C67" s="1333" t="s">
        <v>9</v>
      </c>
      <c r="D67" s="799">
        <v>0.2853</v>
      </c>
      <c r="E67" s="354">
        <v>1.7000000000000001E-3</v>
      </c>
      <c r="F67" s="354">
        <v>-1.9999999999999998E-4</v>
      </c>
      <c r="G67" s="354"/>
      <c r="H67" s="1356">
        <v>0.2868</v>
      </c>
      <c r="I67" s="354">
        <v>8.5399999999999976E-2</v>
      </c>
      <c r="J67" s="354">
        <v>0</v>
      </c>
      <c r="K67" s="354">
        <v>3.5699999999999996E-2</v>
      </c>
      <c r="L67" s="1488">
        <v>0.40639999999999998</v>
      </c>
      <c r="M67" s="557">
        <v>0.40789999999999998</v>
      </c>
      <c r="N67" s="354">
        <v>7.7999999999999999E-4</v>
      </c>
      <c r="O67" s="354">
        <v>-3.3E-4</v>
      </c>
      <c r="P67" s="354"/>
      <c r="Q67" s="789">
        <v>0.40834999999999999</v>
      </c>
      <c r="R67" s="354"/>
      <c r="S67" s="1364">
        <v>0.40854999999999997</v>
      </c>
      <c r="U67" s="147"/>
      <c r="V67" s="147"/>
      <c r="W67" s="147"/>
      <c r="X67" s="147"/>
      <c r="Y67" s="147"/>
      <c r="Z67" s="147"/>
    </row>
    <row r="68" spans="1:26" x14ac:dyDescent="0.2">
      <c r="A68" s="76">
        <v>61</v>
      </c>
      <c r="B68" s="76" t="s">
        <v>261</v>
      </c>
      <c r="C68" s="1332" t="s">
        <v>4</v>
      </c>
      <c r="D68" s="801">
        <v>0.13459999999999997</v>
      </c>
      <c r="E68" s="485">
        <v>4.8799999999999998E-3</v>
      </c>
      <c r="F68" s="485">
        <v>-6.0999999999999987E-4</v>
      </c>
      <c r="G68" s="485"/>
      <c r="H68" s="1358">
        <v>0.13886999999999997</v>
      </c>
      <c r="I68" s="485">
        <v>0</v>
      </c>
      <c r="J68" s="485">
        <v>0</v>
      </c>
      <c r="K68" s="485">
        <v>1.0300000000000001E-3</v>
      </c>
      <c r="L68" s="1489">
        <v>0.13562999999999997</v>
      </c>
      <c r="M68" s="558">
        <v>0.13989999999999997</v>
      </c>
      <c r="N68" s="485">
        <v>2.7799999999999999E-3</v>
      </c>
      <c r="O68" s="485">
        <v>-1.1900000000000001E-3</v>
      </c>
      <c r="P68" s="485"/>
      <c r="Q68" s="791">
        <v>0.14148999999999998</v>
      </c>
      <c r="R68" s="485"/>
      <c r="S68" s="1366">
        <v>0.14209999999999998</v>
      </c>
      <c r="U68" s="147"/>
      <c r="V68" s="147"/>
      <c r="W68" s="147"/>
      <c r="X68" s="147"/>
      <c r="Y68" s="147"/>
      <c r="Z68" s="147"/>
    </row>
    <row r="69" spans="1:26" x14ac:dyDescent="0.2">
      <c r="A69" s="76">
        <v>62</v>
      </c>
      <c r="B69" s="76"/>
      <c r="C69" s="1332" t="s">
        <v>5</v>
      </c>
      <c r="D69" s="801">
        <v>0.12048999999999999</v>
      </c>
      <c r="E69" s="485">
        <v>4.3800000000000002E-3</v>
      </c>
      <c r="F69" s="485">
        <v>-5.5000000000000003E-4</v>
      </c>
      <c r="G69" s="485"/>
      <c r="H69" s="1358">
        <v>0.12431999999999999</v>
      </c>
      <c r="I69" s="485">
        <v>0</v>
      </c>
      <c r="J69" s="485">
        <v>0</v>
      </c>
      <c r="K69" s="485">
        <v>9.2000000000000003E-4</v>
      </c>
      <c r="L69" s="1489">
        <v>0.12140999999999999</v>
      </c>
      <c r="M69" s="558">
        <v>0.12523999999999999</v>
      </c>
      <c r="N69" s="485">
        <v>2.49E-3</v>
      </c>
      <c r="O69" s="485">
        <v>-1.07E-3</v>
      </c>
      <c r="P69" s="485"/>
      <c r="Q69" s="791">
        <v>0.12665999999999999</v>
      </c>
      <c r="R69" s="485"/>
      <c r="S69" s="1366">
        <v>0.12720999999999999</v>
      </c>
      <c r="U69" s="147"/>
      <c r="V69" s="147"/>
      <c r="W69" s="147"/>
      <c r="X69" s="147"/>
      <c r="Y69" s="147"/>
      <c r="Z69" s="147"/>
    </row>
    <row r="70" spans="1:26" x14ac:dyDescent="0.2">
      <c r="A70" s="76">
        <v>63</v>
      </c>
      <c r="B70" s="76"/>
      <c r="C70" s="1332" t="s">
        <v>6</v>
      </c>
      <c r="D70" s="801">
        <v>9.2380000000000004E-2</v>
      </c>
      <c r="E70" s="485">
        <v>3.3599999999999997E-3</v>
      </c>
      <c r="F70" s="485">
        <v>-4.1999999999999996E-4</v>
      </c>
      <c r="G70" s="485"/>
      <c r="H70" s="1358">
        <v>9.5320000000000002E-2</v>
      </c>
      <c r="I70" s="485">
        <v>0</v>
      </c>
      <c r="J70" s="485">
        <v>0</v>
      </c>
      <c r="K70" s="485">
        <v>7.2000000000000015E-4</v>
      </c>
      <c r="L70" s="1489">
        <v>9.3100000000000002E-2</v>
      </c>
      <c r="M70" s="558">
        <v>9.604E-2</v>
      </c>
      <c r="N70" s="485">
        <v>1.91E-3</v>
      </c>
      <c r="O70" s="485">
        <v>-8.1999999999999998E-4</v>
      </c>
      <c r="P70" s="485"/>
      <c r="Q70" s="791">
        <v>9.7129999999999994E-2</v>
      </c>
      <c r="R70" s="485"/>
      <c r="S70" s="1366">
        <v>9.7549999999999998E-2</v>
      </c>
      <c r="U70" s="147"/>
      <c r="V70" s="147"/>
      <c r="W70" s="147"/>
      <c r="X70" s="147"/>
      <c r="Y70" s="147"/>
      <c r="Z70" s="147"/>
    </row>
    <row r="71" spans="1:26" x14ac:dyDescent="0.2">
      <c r="A71" s="76">
        <v>64</v>
      </c>
      <c r="B71" s="76"/>
      <c r="C71" s="1332" t="s">
        <v>7</v>
      </c>
      <c r="D71" s="801">
        <v>7.392E-2</v>
      </c>
      <c r="E71" s="485">
        <v>2.6800000000000001E-3</v>
      </c>
      <c r="F71" s="485">
        <v>-3.3E-4</v>
      </c>
      <c r="G71" s="485"/>
      <c r="H71" s="1358">
        <v>7.6270000000000004E-2</v>
      </c>
      <c r="I71" s="485">
        <v>0</v>
      </c>
      <c r="J71" s="485">
        <v>0</v>
      </c>
      <c r="K71" s="485">
        <v>5.7000000000000009E-4</v>
      </c>
      <c r="L71" s="1489">
        <v>7.4490000000000001E-2</v>
      </c>
      <c r="M71" s="558">
        <v>7.6840000000000006E-2</v>
      </c>
      <c r="N71" s="485">
        <v>1.5299999999999999E-3</v>
      </c>
      <c r="O71" s="485">
        <v>-6.5000000000000008E-4</v>
      </c>
      <c r="P71" s="485"/>
      <c r="Q71" s="791">
        <v>7.7720000000000011E-2</v>
      </c>
      <c r="R71" s="485"/>
      <c r="S71" s="1366">
        <v>7.8050000000000008E-2</v>
      </c>
      <c r="U71" s="147"/>
      <c r="V71" s="147"/>
      <c r="W71" s="147"/>
      <c r="X71" s="147"/>
      <c r="Y71" s="147"/>
      <c r="Z71" s="147"/>
    </row>
    <row r="72" spans="1:26" x14ac:dyDescent="0.2">
      <c r="A72" s="76">
        <v>65</v>
      </c>
      <c r="B72" s="76"/>
      <c r="C72" s="1332" t="s">
        <v>8</v>
      </c>
      <c r="D72" s="801">
        <v>4.929E-2</v>
      </c>
      <c r="E72" s="485">
        <v>1.7899999999999999E-3</v>
      </c>
      <c r="F72" s="485">
        <v>-2.1999999999999998E-4</v>
      </c>
      <c r="G72" s="485"/>
      <c r="H72" s="1358">
        <v>5.0860000000000002E-2</v>
      </c>
      <c r="I72" s="485">
        <v>0</v>
      </c>
      <c r="J72" s="485">
        <v>0</v>
      </c>
      <c r="K72" s="485">
        <v>3.8000000000000002E-4</v>
      </c>
      <c r="L72" s="1489">
        <v>4.9669999999999999E-2</v>
      </c>
      <c r="M72" s="558">
        <v>5.1240000000000001E-2</v>
      </c>
      <c r="N72" s="485">
        <v>1.0200000000000001E-3</v>
      </c>
      <c r="O72" s="485">
        <v>-4.4000000000000002E-4</v>
      </c>
      <c r="P72" s="485"/>
      <c r="Q72" s="791">
        <v>5.1819999999999998E-2</v>
      </c>
      <c r="R72" s="485"/>
      <c r="S72" s="1366">
        <v>5.2039999999999996E-2</v>
      </c>
      <c r="U72" s="147"/>
      <c r="V72" s="147"/>
      <c r="W72" s="147"/>
      <c r="X72" s="147"/>
      <c r="Y72" s="147"/>
      <c r="Z72" s="147"/>
    </row>
    <row r="73" spans="1:26" x14ac:dyDescent="0.2">
      <c r="A73" s="76">
        <v>66</v>
      </c>
      <c r="B73" s="151"/>
      <c r="C73" s="1333" t="s">
        <v>9</v>
      </c>
      <c r="D73" s="799">
        <v>1.8460000000000001E-2</v>
      </c>
      <c r="E73" s="354">
        <v>6.7000000000000002E-4</v>
      </c>
      <c r="F73" s="354">
        <v>-7.9999999999999993E-5</v>
      </c>
      <c r="G73" s="354"/>
      <c r="H73" s="1356">
        <v>1.9050000000000001E-2</v>
      </c>
      <c r="I73" s="354">
        <v>0</v>
      </c>
      <c r="J73" s="354">
        <v>0</v>
      </c>
      <c r="K73" s="354">
        <v>1.5000000000000001E-4</v>
      </c>
      <c r="L73" s="1488">
        <v>1.8610000000000002E-2</v>
      </c>
      <c r="M73" s="557">
        <v>1.9200000000000002E-2</v>
      </c>
      <c r="N73" s="354">
        <v>3.8000000000000002E-4</v>
      </c>
      <c r="O73" s="354">
        <v>-1.6999999999999999E-4</v>
      </c>
      <c r="P73" s="354"/>
      <c r="Q73" s="789">
        <v>1.941E-2</v>
      </c>
      <c r="R73" s="354"/>
      <c r="S73" s="1364">
        <v>1.949E-2</v>
      </c>
      <c r="U73" s="147"/>
      <c r="V73" s="147"/>
      <c r="W73" s="147"/>
      <c r="X73" s="147"/>
      <c r="Y73" s="147"/>
      <c r="Z73" s="147"/>
    </row>
    <row r="74" spans="1:26" x14ac:dyDescent="0.2">
      <c r="A74" s="76">
        <v>67</v>
      </c>
      <c r="B74" s="76" t="s">
        <v>262</v>
      </c>
      <c r="C74" s="1332" t="s">
        <v>4</v>
      </c>
      <c r="D74" s="801">
        <v>0.13459999999999997</v>
      </c>
      <c r="E74" s="485">
        <v>7.2999999999999992E-3</v>
      </c>
      <c r="F74" s="485">
        <v>-8.7000000000000011E-4</v>
      </c>
      <c r="G74" s="485"/>
      <c r="H74" s="1358">
        <v>0.14102999999999996</v>
      </c>
      <c r="I74" s="485">
        <v>0</v>
      </c>
      <c r="J74" s="485">
        <v>0</v>
      </c>
      <c r="K74" s="485">
        <v>1.0300000000000001E-3</v>
      </c>
      <c r="L74" s="1489">
        <v>0.13562999999999997</v>
      </c>
      <c r="M74" s="558">
        <v>0.14205999999999996</v>
      </c>
      <c r="N74" s="485">
        <v>3.3300000000000001E-3</v>
      </c>
      <c r="O74" s="485">
        <v>-1.4299999999999998E-3</v>
      </c>
      <c r="P74" s="485"/>
      <c r="Q74" s="791">
        <v>0.14395999999999998</v>
      </c>
      <c r="R74" s="485"/>
      <c r="S74" s="1366">
        <v>0.14482999999999999</v>
      </c>
      <c r="U74" s="147"/>
      <c r="V74" s="147"/>
      <c r="W74" s="147"/>
      <c r="X74" s="147"/>
      <c r="Y74" s="147"/>
      <c r="Z74" s="147"/>
    </row>
    <row r="75" spans="1:26" x14ac:dyDescent="0.2">
      <c r="A75" s="76">
        <v>68</v>
      </c>
      <c r="B75" s="76"/>
      <c r="C75" s="1332" t="s">
        <v>5</v>
      </c>
      <c r="D75" s="801">
        <v>0.12048999999999999</v>
      </c>
      <c r="E75" s="485">
        <v>6.5300000000000011E-3</v>
      </c>
      <c r="F75" s="485">
        <v>-7.7999999999999988E-4</v>
      </c>
      <c r="G75" s="485"/>
      <c r="H75" s="1358">
        <v>0.12623999999999999</v>
      </c>
      <c r="I75" s="485">
        <v>0</v>
      </c>
      <c r="J75" s="485">
        <v>0</v>
      </c>
      <c r="K75" s="485">
        <v>9.2000000000000003E-4</v>
      </c>
      <c r="L75" s="1489">
        <v>0.12140999999999999</v>
      </c>
      <c r="M75" s="558">
        <v>0.12716</v>
      </c>
      <c r="N75" s="485">
        <v>2.98E-3</v>
      </c>
      <c r="O75" s="485">
        <v>-1.2800000000000001E-3</v>
      </c>
      <c r="P75" s="485"/>
      <c r="Q75" s="791">
        <v>0.12886</v>
      </c>
      <c r="R75" s="485"/>
      <c r="S75" s="1366">
        <v>0.12964000000000001</v>
      </c>
      <c r="U75" s="147"/>
      <c r="V75" s="147"/>
      <c r="W75" s="147"/>
      <c r="X75" s="147"/>
      <c r="Y75" s="147"/>
      <c r="Z75" s="147"/>
    </row>
    <row r="76" spans="1:26" x14ac:dyDescent="0.2">
      <c r="A76" s="76">
        <v>69</v>
      </c>
      <c r="B76" s="76"/>
      <c r="C76" s="1332" t="s">
        <v>6</v>
      </c>
      <c r="D76" s="801">
        <v>9.2380000000000004E-2</v>
      </c>
      <c r="E76" s="485">
        <v>5.0099999999999997E-3</v>
      </c>
      <c r="F76" s="485">
        <v>-6.0000000000000006E-4</v>
      </c>
      <c r="G76" s="485"/>
      <c r="H76" s="1358">
        <v>9.6790000000000001E-2</v>
      </c>
      <c r="I76" s="485">
        <v>0</v>
      </c>
      <c r="J76" s="485">
        <v>0</v>
      </c>
      <c r="K76" s="485">
        <v>7.2000000000000015E-4</v>
      </c>
      <c r="L76" s="1489">
        <v>9.3100000000000002E-2</v>
      </c>
      <c r="M76" s="558">
        <v>9.7509999999999999E-2</v>
      </c>
      <c r="N76" s="485">
        <v>2.2799999999999999E-3</v>
      </c>
      <c r="O76" s="485">
        <v>-9.7999999999999997E-4</v>
      </c>
      <c r="P76" s="485"/>
      <c r="Q76" s="791">
        <v>9.8810000000000009E-2</v>
      </c>
      <c r="R76" s="485"/>
      <c r="S76" s="1366">
        <v>9.9410000000000012E-2</v>
      </c>
      <c r="U76" s="147"/>
      <c r="V76" s="147"/>
      <c r="W76" s="147"/>
      <c r="X76" s="147"/>
      <c r="Y76" s="147"/>
      <c r="Z76" s="147"/>
    </row>
    <row r="77" spans="1:26" x14ac:dyDescent="0.2">
      <c r="A77" s="76">
        <v>70</v>
      </c>
      <c r="B77" s="76"/>
      <c r="C77" s="1332" t="s">
        <v>7</v>
      </c>
      <c r="D77" s="801">
        <v>7.392E-2</v>
      </c>
      <c r="E77" s="485">
        <v>4.0099999999999997E-3</v>
      </c>
      <c r="F77" s="485">
        <v>-4.8000000000000001E-4</v>
      </c>
      <c r="G77" s="485"/>
      <c r="H77" s="1358">
        <v>7.7450000000000005E-2</v>
      </c>
      <c r="I77" s="485">
        <v>0</v>
      </c>
      <c r="J77" s="485">
        <v>0</v>
      </c>
      <c r="K77" s="485">
        <v>5.7000000000000009E-4</v>
      </c>
      <c r="L77" s="1489">
        <v>7.4490000000000001E-2</v>
      </c>
      <c r="M77" s="558">
        <v>7.8020000000000006E-2</v>
      </c>
      <c r="N77" s="485">
        <v>1.83E-3</v>
      </c>
      <c r="O77" s="485">
        <v>-7.7999999999999999E-4</v>
      </c>
      <c r="P77" s="485"/>
      <c r="Q77" s="791">
        <v>7.9070000000000001E-2</v>
      </c>
      <c r="R77" s="485"/>
      <c r="S77" s="1366">
        <v>7.9549999999999996E-2</v>
      </c>
      <c r="U77" s="147"/>
      <c r="V77" s="147"/>
      <c r="W77" s="147"/>
      <c r="X77" s="147"/>
      <c r="Y77" s="147"/>
      <c r="Z77" s="147"/>
    </row>
    <row r="78" spans="1:26" x14ac:dyDescent="0.2">
      <c r="A78" s="76">
        <v>71</v>
      </c>
      <c r="B78" s="76"/>
      <c r="C78" s="1332" t="s">
        <v>8</v>
      </c>
      <c r="D78" s="801">
        <v>4.929E-2</v>
      </c>
      <c r="E78" s="485">
        <v>2.6700000000000001E-3</v>
      </c>
      <c r="F78" s="485">
        <v>-3.1999999999999997E-4</v>
      </c>
      <c r="G78" s="485"/>
      <c r="H78" s="1358">
        <v>5.1639999999999998E-2</v>
      </c>
      <c r="I78" s="485">
        <v>0</v>
      </c>
      <c r="J78" s="485">
        <v>0</v>
      </c>
      <c r="K78" s="485">
        <v>3.8000000000000002E-4</v>
      </c>
      <c r="L78" s="1489">
        <v>4.9669999999999999E-2</v>
      </c>
      <c r="M78" s="558">
        <v>5.2019999999999997E-2</v>
      </c>
      <c r="N78" s="485">
        <v>1.2199999999999999E-3</v>
      </c>
      <c r="O78" s="485">
        <v>-5.1999999999999995E-4</v>
      </c>
      <c r="P78" s="485"/>
      <c r="Q78" s="791">
        <v>5.2719999999999996E-2</v>
      </c>
      <c r="R78" s="485"/>
      <c r="S78" s="1366">
        <v>5.3039999999999997E-2</v>
      </c>
      <c r="U78" s="147"/>
      <c r="V78" s="147"/>
      <c r="W78" s="147"/>
      <c r="X78" s="147"/>
      <c r="Y78" s="147"/>
      <c r="Z78" s="147"/>
    </row>
    <row r="79" spans="1:26" x14ac:dyDescent="0.2">
      <c r="A79" s="76">
        <v>72</v>
      </c>
      <c r="B79" s="151"/>
      <c r="C79" s="1333" t="s">
        <v>9</v>
      </c>
      <c r="D79" s="801">
        <v>1.8460000000000001E-2</v>
      </c>
      <c r="E79" s="485">
        <v>1.0099999999999998E-3</v>
      </c>
      <c r="F79" s="485">
        <v>-1.2000000000000002E-4</v>
      </c>
      <c r="G79" s="485"/>
      <c r="H79" s="1358">
        <v>1.9350000000000003E-2</v>
      </c>
      <c r="I79" s="485">
        <v>0</v>
      </c>
      <c r="J79" s="485">
        <v>0</v>
      </c>
      <c r="K79" s="485">
        <v>1.5000000000000001E-4</v>
      </c>
      <c r="L79" s="1489">
        <v>1.8610000000000002E-2</v>
      </c>
      <c r="M79" s="557">
        <v>1.9500000000000003E-2</v>
      </c>
      <c r="N79" s="485">
        <v>4.6000000000000001E-4</v>
      </c>
      <c r="O79" s="485">
        <v>-2.0000000000000001E-4</v>
      </c>
      <c r="P79" s="485"/>
      <c r="Q79" s="791">
        <v>1.9760000000000003E-2</v>
      </c>
      <c r="R79" s="485"/>
      <c r="S79" s="1364">
        <v>1.9880000000000002E-2</v>
      </c>
      <c r="U79" s="147"/>
      <c r="V79" s="147"/>
      <c r="W79" s="147"/>
      <c r="X79" s="147"/>
      <c r="Y79" s="147"/>
      <c r="Z79" s="147"/>
    </row>
    <row r="80" spans="1:26" x14ac:dyDescent="0.2">
      <c r="A80" s="76">
        <v>73</v>
      </c>
      <c r="B80" s="925" t="s">
        <v>263</v>
      </c>
      <c r="C80" s="925" t="s">
        <v>248</v>
      </c>
      <c r="D80" s="800">
        <v>4.919999999999999E-3</v>
      </c>
      <c r="E80" s="379">
        <v>0</v>
      </c>
      <c r="F80" s="379">
        <v>-2.0000000000000002E-5</v>
      </c>
      <c r="G80" s="379"/>
      <c r="H80" s="1359">
        <v>4.899999999999999E-3</v>
      </c>
      <c r="I80" s="379">
        <v>0</v>
      </c>
      <c r="J80" s="379">
        <v>0</v>
      </c>
      <c r="K80" s="379">
        <v>5.0000000000000002E-5</v>
      </c>
      <c r="L80" s="689">
        <v>4.9699999999999987E-3</v>
      </c>
      <c r="M80" s="556">
        <v>4.9499999999999987E-3</v>
      </c>
      <c r="N80" s="379">
        <v>0</v>
      </c>
      <c r="O80" s="379">
        <v>-4.0000000000000003E-5</v>
      </c>
      <c r="P80" s="379"/>
      <c r="Q80" s="792">
        <v>4.9099999999999986E-3</v>
      </c>
      <c r="R80" s="379"/>
      <c r="S80" s="1365">
        <v>4.9299999999999986E-3</v>
      </c>
      <c r="U80" s="147"/>
      <c r="V80" s="147"/>
      <c r="W80" s="147"/>
      <c r="X80" s="147"/>
      <c r="Y80" s="147"/>
      <c r="Z80" s="147"/>
    </row>
    <row r="81" spans="1:26" x14ac:dyDescent="0.2">
      <c r="A81" s="76">
        <v>74</v>
      </c>
      <c r="B81" s="925" t="s">
        <v>265</v>
      </c>
      <c r="C81" s="925" t="s">
        <v>248</v>
      </c>
      <c r="D81" s="802">
        <v>4.919999999999999E-3</v>
      </c>
      <c r="E81" s="354">
        <v>0</v>
      </c>
      <c r="F81" s="354">
        <v>-2.0000000000000002E-5</v>
      </c>
      <c r="G81" s="143"/>
      <c r="H81" s="1357">
        <v>4.899999999999999E-3</v>
      </c>
      <c r="I81" s="354">
        <v>0</v>
      </c>
      <c r="J81" s="354">
        <v>0</v>
      </c>
      <c r="K81" s="354">
        <v>5.0000000000000002E-5</v>
      </c>
      <c r="L81" s="1488">
        <v>4.9699999999999987E-3</v>
      </c>
      <c r="M81" s="556">
        <v>4.9499999999999987E-3</v>
      </c>
      <c r="N81" s="354">
        <v>0</v>
      </c>
      <c r="O81" s="354">
        <v>-4.0000000000000003E-5</v>
      </c>
      <c r="P81" s="143"/>
      <c r="Q81" s="790">
        <v>4.9099999999999986E-3</v>
      </c>
      <c r="R81" s="143"/>
      <c r="S81" s="1365">
        <v>4.9299999999999986E-3</v>
      </c>
      <c r="U81" s="147"/>
      <c r="V81" s="147"/>
      <c r="W81" s="147"/>
      <c r="X81" s="147"/>
      <c r="Y81" s="147"/>
      <c r="Z81" s="147"/>
    </row>
    <row r="82" spans="1:26" ht="13.5" thickBot="1" x14ac:dyDescent="0.25">
      <c r="A82" s="76">
        <v>75</v>
      </c>
      <c r="B82" s="1343" t="s">
        <v>282</v>
      </c>
      <c r="C82" s="1343" t="s">
        <v>248</v>
      </c>
      <c r="D82" s="803">
        <v>0</v>
      </c>
      <c r="E82" s="795">
        <v>0</v>
      </c>
      <c r="F82" s="784">
        <v>0</v>
      </c>
      <c r="G82" s="156"/>
      <c r="H82" s="1360">
        <v>0</v>
      </c>
      <c r="I82" s="784">
        <v>0</v>
      </c>
      <c r="J82" s="795">
        <v>0</v>
      </c>
      <c r="K82" s="795">
        <v>0</v>
      </c>
      <c r="L82" s="1491">
        <v>0</v>
      </c>
      <c r="M82" s="794">
        <v>0</v>
      </c>
      <c r="N82" s="795">
        <v>0</v>
      </c>
      <c r="O82" s="795">
        <v>0</v>
      </c>
      <c r="P82" s="156"/>
      <c r="Q82" s="793">
        <v>0</v>
      </c>
      <c r="R82" s="155"/>
      <c r="S82" s="1367">
        <v>0</v>
      </c>
      <c r="U82" s="147"/>
      <c r="V82" s="147"/>
      <c r="W82" s="147"/>
      <c r="X82" s="147"/>
      <c r="Y82" s="147"/>
      <c r="Z82" s="147"/>
    </row>
    <row r="83" spans="1:26" x14ac:dyDescent="0.2">
      <c r="A83" s="76">
        <v>76</v>
      </c>
      <c r="M83" s="45"/>
      <c r="S83" s="45"/>
    </row>
    <row r="84" spans="1:26" x14ac:dyDescent="0.2">
      <c r="A84" s="76">
        <v>77</v>
      </c>
      <c r="H84" s="532"/>
    </row>
    <row r="85" spans="1:26" ht="13.5" thickBot="1" x14ac:dyDescent="0.25">
      <c r="A85" s="76">
        <v>78</v>
      </c>
      <c r="B85" s="158" t="s">
        <v>45</v>
      </c>
    </row>
    <row r="86" spans="1:26" ht="13.5" thickBot="1" x14ac:dyDescent="0.25">
      <c r="A86" s="76">
        <v>79</v>
      </c>
      <c r="B86" s="804" t="s">
        <v>46</v>
      </c>
      <c r="C86" s="805"/>
      <c r="D86" s="806"/>
      <c r="E86" s="806"/>
      <c r="F86" s="806"/>
      <c r="G86" s="806"/>
      <c r="H86" s="807"/>
      <c r="I86" s="806"/>
      <c r="J86" s="806"/>
      <c r="K86" s="806"/>
      <c r="L86" s="807"/>
      <c r="M86" s="808"/>
      <c r="N86" s="806"/>
      <c r="O86" s="806"/>
      <c r="P86" s="806"/>
      <c r="Q86" s="807"/>
      <c r="R86" s="806"/>
      <c r="S86" s="808"/>
    </row>
    <row r="87" spans="1:26" ht="13.5" thickBot="1" x14ac:dyDescent="0.25">
      <c r="A87" s="76">
        <v>80</v>
      </c>
    </row>
    <row r="88" spans="1:26" ht="13.5" thickBot="1" x14ac:dyDescent="0.25">
      <c r="A88" s="76">
        <v>81</v>
      </c>
      <c r="B88" s="804" t="s">
        <v>49</v>
      </c>
      <c r="C88" s="805"/>
      <c r="D88" s="805"/>
      <c r="E88" s="805"/>
      <c r="F88" s="805"/>
      <c r="G88" s="805"/>
      <c r="H88" s="809"/>
      <c r="I88" s="805"/>
      <c r="J88" s="805"/>
      <c r="K88" s="805"/>
      <c r="L88" s="809"/>
      <c r="M88" s="810"/>
      <c r="N88" s="805"/>
      <c r="O88" s="805"/>
      <c r="P88" s="805"/>
      <c r="Q88" s="809"/>
      <c r="R88" s="805"/>
      <c r="S88" s="810"/>
    </row>
    <row r="89" spans="1:26" x14ac:dyDescent="0.2">
      <c r="A89" s="76">
        <v>82</v>
      </c>
    </row>
    <row r="90" spans="1:26" x14ac:dyDescent="0.2">
      <c r="A90" s="76">
        <v>83</v>
      </c>
      <c r="B90" s="160" t="s">
        <v>162</v>
      </c>
      <c r="C90" s="538"/>
      <c r="D90" s="538"/>
      <c r="E90" s="538"/>
      <c r="F90" s="538"/>
      <c r="G90" s="538"/>
      <c r="H90" s="539"/>
      <c r="I90" s="538"/>
      <c r="J90" s="538"/>
      <c r="K90" s="538"/>
      <c r="L90" s="539"/>
      <c r="M90" s="538"/>
      <c r="N90" s="538"/>
      <c r="O90" s="538"/>
      <c r="P90" s="538"/>
      <c r="Q90" s="539"/>
      <c r="R90" s="538"/>
      <c r="S90" s="538"/>
    </row>
    <row r="91" spans="1:26" x14ac:dyDescent="0.2">
      <c r="A91" s="76"/>
      <c r="B91" s="160"/>
      <c r="C91" s="538"/>
      <c r="D91" s="538"/>
      <c r="E91" s="538"/>
      <c r="F91" s="538"/>
      <c r="G91" s="538"/>
      <c r="H91" s="539"/>
      <c r="I91" s="538"/>
      <c r="J91" s="538"/>
      <c r="K91" s="538"/>
      <c r="L91" s="539"/>
      <c r="M91" s="538"/>
      <c r="N91" s="538"/>
      <c r="O91" s="538"/>
      <c r="P91" s="538"/>
      <c r="Q91" s="539"/>
      <c r="R91" s="538"/>
      <c r="S91" s="538"/>
    </row>
    <row r="92" spans="1:26" x14ac:dyDescent="0.2">
      <c r="A92" s="76"/>
    </row>
    <row r="93" spans="1:26" x14ac:dyDescent="0.2">
      <c r="A93" s="76"/>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7" type="noConversion"/>
  <printOptions horizontalCentered="1"/>
  <pageMargins left="0.5" right="0.5" top="0.5" bottom="0.5" header="0.25" footer="0.25"/>
  <pageSetup scale="51" orientation="portrait" r:id="rId3"/>
  <headerFooter alignWithMargins="0">
    <oddHeader>&amp;RUG=200994 et al. / NWN WUTC Advice 21-09A
WP1 /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99"/>
  </sheetPr>
  <dimension ref="A1:BG108"/>
  <sheetViews>
    <sheetView zoomScale="90" zoomScaleNormal="90" workbookViewId="0">
      <pane xSplit="3" ySplit="13" topLeftCell="D17" activePane="bottomRight" state="frozen"/>
      <selection activeCell="F1" sqref="A1:XFD1048576"/>
      <selection pane="topRight" activeCell="F1" sqref="A1:XFD1048576"/>
      <selection pane="bottomLeft" activeCell="F1" sqref="A1:XFD1048576"/>
      <selection pane="bottomRight" activeCell="BE36" sqref="BE36"/>
    </sheetView>
  </sheetViews>
  <sheetFormatPr defaultColWidth="9.33203125" defaultRowHeight="12.75" outlineLevelCol="2" x14ac:dyDescent="0.2"/>
  <cols>
    <col min="1" max="1" width="6.83203125" style="45" customWidth="1"/>
    <col min="2" max="2" width="17.83203125" style="46" customWidth="1"/>
    <col min="3" max="3" width="9.33203125" style="46"/>
    <col min="4" max="5" width="17.5" style="46" customWidth="1" outlineLevel="1"/>
    <col min="6" max="6" width="13.33203125" style="46" customWidth="1" outlineLevel="1"/>
    <col min="7" max="8" width="13.6640625" style="46" customWidth="1" outlineLevel="1"/>
    <col min="9" max="9" width="14" style="46" customWidth="1" outlineLevel="1"/>
    <col min="10" max="10" width="14.1640625" style="46" customWidth="1" outlineLevel="1"/>
    <col min="11" max="12" width="11.83203125" style="46" customWidth="1" outlineLevel="1"/>
    <col min="13" max="16" width="15.5" style="46" customWidth="1" outlineLevel="1"/>
    <col min="17" max="19" width="16.6640625" style="46" customWidth="1"/>
    <col min="20" max="34" width="15.5" style="46" customWidth="1"/>
    <col min="35" max="38" width="16.6640625" style="46" customWidth="1"/>
    <col min="39" max="41" width="16.6640625" style="46" customWidth="1" outlineLevel="1"/>
    <col min="42" max="44" width="15.5" style="46" customWidth="1" outlineLevel="2"/>
    <col min="45" max="47" width="15.5" style="46" customWidth="1" outlineLevel="1"/>
    <col min="48" max="48" width="15.5" style="46" customWidth="1" outlineLevel="1" collapsed="1"/>
    <col min="49" max="50" width="15.5" style="46" customWidth="1" outlineLevel="1"/>
    <col min="51" max="51" width="15.5" style="46" customWidth="1" outlineLevel="1" collapsed="1"/>
    <col min="52" max="53" width="15.5" style="46" customWidth="1" outlineLevel="1"/>
    <col min="54" max="56" width="16.6640625" style="46" customWidth="1" outlineLevel="1"/>
    <col min="57" max="57" width="17.6640625" style="45" bestFit="1" customWidth="1"/>
    <col min="58" max="58" width="2.5" style="45" customWidth="1"/>
    <col min="59" max="59" width="11.5" style="45" customWidth="1"/>
    <col min="60" max="16384" width="9.33203125" style="45"/>
  </cols>
  <sheetData>
    <row r="1" spans="1:59" ht="15" x14ac:dyDescent="0.25">
      <c r="A1" s="163" t="s">
        <v>0</v>
      </c>
      <c r="R1" s="341"/>
      <c r="V1" s="341"/>
      <c r="Y1" s="341"/>
      <c r="Z1" s="341"/>
      <c r="AA1" s="341"/>
      <c r="AB1" s="341"/>
      <c r="AC1" s="341"/>
      <c r="AD1" s="341"/>
      <c r="AE1" s="341"/>
      <c r="AF1" s="341"/>
      <c r="AG1" s="341"/>
      <c r="AH1" s="341"/>
      <c r="AI1" s="341"/>
      <c r="AJ1" s="341"/>
      <c r="AN1" s="341"/>
      <c r="AO1" s="341"/>
      <c r="AR1" s="341"/>
      <c r="AS1" s="341"/>
      <c r="AT1" s="341"/>
      <c r="AU1" s="341"/>
      <c r="AV1" s="341"/>
      <c r="AW1" s="341"/>
      <c r="AX1" s="341"/>
      <c r="AY1" s="341"/>
      <c r="AZ1" s="341"/>
      <c r="BA1" s="341"/>
      <c r="BB1" s="341"/>
      <c r="BC1" s="341"/>
    </row>
    <row r="2" spans="1:59" ht="15" x14ac:dyDescent="0.25">
      <c r="A2" s="163" t="s">
        <v>1</v>
      </c>
      <c r="I2" s="45"/>
      <c r="J2" s="45"/>
      <c r="K2" s="45"/>
      <c r="L2" s="45"/>
      <c r="Q2" s="130"/>
      <c r="R2" s="340"/>
      <c r="S2" s="1146"/>
      <c r="V2" s="341"/>
      <c r="Y2" s="341"/>
      <c r="Z2" s="341"/>
      <c r="AA2" s="341"/>
      <c r="AB2" s="341"/>
      <c r="AC2" s="341"/>
      <c r="AD2" s="341"/>
      <c r="AE2" s="341"/>
      <c r="AF2" s="341"/>
      <c r="AG2" s="341"/>
      <c r="AH2" s="341"/>
      <c r="AI2" s="341"/>
      <c r="AJ2" s="341"/>
      <c r="AK2" s="340"/>
      <c r="AL2" s="340"/>
      <c r="AM2" s="130"/>
      <c r="AN2" s="341"/>
      <c r="AO2" s="341"/>
      <c r="AR2" s="341"/>
      <c r="AS2" s="341"/>
      <c r="AT2" s="341"/>
      <c r="AU2" s="341"/>
      <c r="AV2" s="341"/>
      <c r="AW2" s="341"/>
      <c r="AX2" s="341"/>
      <c r="AY2" s="341"/>
      <c r="AZ2" s="341"/>
      <c r="BA2" s="341"/>
      <c r="BB2" s="341"/>
      <c r="BC2" s="341"/>
      <c r="BD2" s="340"/>
    </row>
    <row r="3" spans="1:59" ht="14.45" customHeight="1" x14ac:dyDescent="0.25">
      <c r="A3" s="163" t="s">
        <v>241</v>
      </c>
      <c r="I3" s="581"/>
      <c r="J3" s="76"/>
      <c r="K3" s="361"/>
      <c r="L3" s="361"/>
      <c r="Q3" s="161"/>
      <c r="R3" s="341"/>
      <c r="S3" s="161"/>
      <c r="AB3" s="161"/>
      <c r="AC3" s="161"/>
      <c r="AF3" s="161"/>
      <c r="AI3" s="161"/>
      <c r="AJ3" s="341"/>
      <c r="AK3" s="341"/>
      <c r="AL3" s="341"/>
      <c r="AM3" s="161"/>
      <c r="AN3" s="341"/>
      <c r="AO3" s="341"/>
      <c r="BC3" s="341"/>
      <c r="BD3" s="341"/>
    </row>
    <row r="4" spans="1:59" ht="14.45" customHeight="1" thickBot="1" x14ac:dyDescent="0.3">
      <c r="A4" s="403" t="s">
        <v>214</v>
      </c>
      <c r="I4" s="581"/>
      <c r="J4" s="146"/>
      <c r="K4" s="636"/>
      <c r="L4" s="636"/>
      <c r="AI4" s="1140"/>
      <c r="AJ4" s="341"/>
      <c r="BC4" s="341"/>
    </row>
    <row r="5" spans="1:59" ht="15.75" thickBot="1" x14ac:dyDescent="0.3">
      <c r="I5" s="581"/>
      <c r="J5" s="146"/>
      <c r="K5" s="636"/>
      <c r="L5" s="636"/>
      <c r="M5" s="392"/>
      <c r="N5" s="392"/>
      <c r="O5" s="392"/>
      <c r="P5" s="392"/>
      <c r="Q5" s="1658" t="s">
        <v>431</v>
      </c>
      <c r="R5" s="1659"/>
      <c r="S5" s="1659"/>
      <c r="T5" s="1659"/>
      <c r="U5" s="1659"/>
      <c r="V5" s="1659"/>
      <c r="W5" s="1659"/>
      <c r="X5" s="1659"/>
      <c r="Y5" s="1659"/>
      <c r="Z5" s="1659"/>
      <c r="AA5" s="1659"/>
      <c r="AB5" s="1659"/>
      <c r="AC5" s="1659"/>
      <c r="AD5" s="1659"/>
      <c r="AE5" s="1659"/>
      <c r="AF5" s="1659"/>
      <c r="AG5" s="1659"/>
      <c r="AH5" s="1659"/>
      <c r="AI5" s="1659"/>
      <c r="AJ5" s="1659"/>
      <c r="AK5" s="1660"/>
      <c r="AL5" s="1369"/>
      <c r="AM5" s="1649" t="s">
        <v>432</v>
      </c>
      <c r="AN5" s="1650"/>
      <c r="AO5" s="1650"/>
      <c r="AP5" s="1650"/>
      <c r="AQ5" s="1650"/>
      <c r="AR5" s="1650"/>
      <c r="AS5" s="1650"/>
      <c r="AT5" s="1650"/>
      <c r="AU5" s="1650"/>
      <c r="AV5" s="1650"/>
      <c r="AW5" s="1650"/>
      <c r="AX5" s="1650"/>
      <c r="AY5" s="1650"/>
      <c r="AZ5" s="1650"/>
      <c r="BA5" s="1650"/>
      <c r="BB5" s="1650"/>
      <c r="BC5" s="1650"/>
      <c r="BD5" s="1651"/>
      <c r="BE5" s="1370"/>
    </row>
    <row r="6" spans="1:59" ht="15" x14ac:dyDescent="0.25">
      <c r="A6" s="640"/>
      <c r="I6" s="45"/>
      <c r="J6" s="45"/>
      <c r="K6" s="45"/>
      <c r="L6" s="45"/>
      <c r="M6" s="45"/>
      <c r="N6" s="45"/>
      <c r="O6" s="45"/>
      <c r="P6" s="45"/>
      <c r="Q6" s="1655" t="s">
        <v>348</v>
      </c>
      <c r="R6" s="1656"/>
      <c r="S6" s="1657"/>
      <c r="T6" s="1652" t="s">
        <v>331</v>
      </c>
      <c r="U6" s="1653"/>
      <c r="V6" s="1654"/>
      <c r="W6" s="1652" t="s">
        <v>401</v>
      </c>
      <c r="X6" s="1653"/>
      <c r="Y6" s="1654"/>
      <c r="Z6" s="1652" t="s">
        <v>402</v>
      </c>
      <c r="AA6" s="1653"/>
      <c r="AB6" s="1654"/>
      <c r="AC6" s="1652" t="s">
        <v>403</v>
      </c>
      <c r="AD6" s="1653"/>
      <c r="AE6" s="1654"/>
      <c r="AF6" s="1652" t="s">
        <v>573</v>
      </c>
      <c r="AG6" s="1653"/>
      <c r="AH6" s="1654"/>
      <c r="AI6" s="1655" t="s">
        <v>168</v>
      </c>
      <c r="AJ6" s="1656"/>
      <c r="AK6" s="1657"/>
      <c r="AL6" s="1137"/>
      <c r="AM6" s="1655" t="s">
        <v>218</v>
      </c>
      <c r="AN6" s="1656"/>
      <c r="AO6" s="1657"/>
      <c r="AP6" s="1652" t="s">
        <v>335</v>
      </c>
      <c r="AQ6" s="1653"/>
      <c r="AR6" s="1654"/>
      <c r="AS6" s="1655" t="s">
        <v>404</v>
      </c>
      <c r="AT6" s="1656"/>
      <c r="AU6" s="1657"/>
      <c r="AV6" s="1652" t="s">
        <v>402</v>
      </c>
      <c r="AW6" s="1653"/>
      <c r="AX6" s="1654"/>
      <c r="AY6" s="1652" t="s">
        <v>403</v>
      </c>
      <c r="AZ6" s="1653"/>
      <c r="BA6" s="1654"/>
      <c r="BB6" s="1655" t="s">
        <v>168</v>
      </c>
      <c r="BC6" s="1656"/>
      <c r="BD6" s="1657"/>
      <c r="BE6" s="1143"/>
    </row>
    <row r="7" spans="1:59" ht="13.5" thickBot="1" x14ac:dyDescent="0.25">
      <c r="G7" s="430" t="s">
        <v>494</v>
      </c>
      <c r="H7" s="430" t="s">
        <v>212</v>
      </c>
      <c r="I7" s="45"/>
      <c r="M7" s="48" t="s">
        <v>18</v>
      </c>
      <c r="N7" s="45"/>
      <c r="O7" s="48" t="s">
        <v>330</v>
      </c>
      <c r="P7" s="45"/>
      <c r="Q7" s="394"/>
      <c r="R7" s="393"/>
      <c r="S7" s="395"/>
      <c r="T7" s="262"/>
      <c r="U7" s="45"/>
      <c r="V7" s="561"/>
      <c r="W7" s="262"/>
      <c r="X7" s="413" t="s">
        <v>405</v>
      </c>
      <c r="Y7" s="561"/>
      <c r="Z7" s="262"/>
      <c r="AA7" s="413" t="s">
        <v>169</v>
      </c>
      <c r="AB7" s="561"/>
      <c r="AC7" s="262"/>
      <c r="AD7" s="413" t="s">
        <v>169</v>
      </c>
      <c r="AE7" s="561"/>
      <c r="AF7" s="262"/>
      <c r="AG7" s="413" t="s">
        <v>169</v>
      </c>
      <c r="AH7" s="561"/>
      <c r="AI7" s="541"/>
      <c r="AJ7" s="393"/>
      <c r="AK7" s="395"/>
      <c r="AL7" s="393"/>
      <c r="AM7" s="394"/>
      <c r="AN7" s="393"/>
      <c r="AO7" s="395"/>
      <c r="AP7" s="262"/>
      <c r="AQ7" s="45"/>
      <c r="AR7" s="561"/>
      <c r="AS7" s="262"/>
      <c r="AT7" s="413" t="s">
        <v>169</v>
      </c>
      <c r="AU7" s="561"/>
      <c r="AV7" s="262"/>
      <c r="AW7" s="413" t="s">
        <v>169</v>
      </c>
      <c r="AX7" s="561"/>
      <c r="AY7" s="262"/>
      <c r="AZ7" s="413" t="s">
        <v>169</v>
      </c>
      <c r="BA7" s="561"/>
      <c r="BB7" s="541"/>
      <c r="BC7" s="393"/>
      <c r="BD7" s="395"/>
      <c r="BE7" s="1144"/>
    </row>
    <row r="8" spans="1:59" x14ac:dyDescent="0.2">
      <c r="A8" s="76">
        <v>1</v>
      </c>
      <c r="D8" s="430" t="s">
        <v>494</v>
      </c>
      <c r="E8" s="430" t="s">
        <v>212</v>
      </c>
      <c r="G8" s="342" t="s">
        <v>65</v>
      </c>
      <c r="H8" s="342" t="s">
        <v>65</v>
      </c>
      <c r="I8" s="51" t="s">
        <v>18</v>
      </c>
      <c r="J8" s="343" t="s">
        <v>494</v>
      </c>
      <c r="K8" s="51" t="s">
        <v>18</v>
      </c>
      <c r="L8" s="51" t="s">
        <v>330</v>
      </c>
      <c r="M8" s="343" t="s">
        <v>494</v>
      </c>
      <c r="N8" s="343" t="s">
        <v>212</v>
      </c>
      <c r="O8" s="343" t="s">
        <v>494</v>
      </c>
      <c r="P8" s="343" t="s">
        <v>212</v>
      </c>
      <c r="Q8" s="560" t="s">
        <v>494</v>
      </c>
      <c r="R8" s="345" t="s">
        <v>494</v>
      </c>
      <c r="S8" s="945" t="s">
        <v>494</v>
      </c>
      <c r="T8" s="560" t="s">
        <v>212</v>
      </c>
      <c r="U8" s="345" t="s">
        <v>212</v>
      </c>
      <c r="V8" s="945" t="s">
        <v>212</v>
      </c>
      <c r="W8" s="560" t="s">
        <v>494</v>
      </c>
      <c r="X8" s="345" t="s">
        <v>494</v>
      </c>
      <c r="Y8" s="945" t="s">
        <v>494</v>
      </c>
      <c r="Z8" s="560" t="s">
        <v>494</v>
      </c>
      <c r="AA8" s="345" t="s">
        <v>494</v>
      </c>
      <c r="AB8" s="945" t="s">
        <v>494</v>
      </c>
      <c r="AC8" s="345" t="s">
        <v>494</v>
      </c>
      <c r="AD8" s="345" t="s">
        <v>494</v>
      </c>
      <c r="AE8" s="945" t="s">
        <v>494</v>
      </c>
      <c r="AF8" s="345" t="s">
        <v>494</v>
      </c>
      <c r="AG8" s="345" t="s">
        <v>494</v>
      </c>
      <c r="AH8" s="945" t="s">
        <v>494</v>
      </c>
      <c r="AI8" s="560" t="s">
        <v>503</v>
      </c>
      <c r="AJ8" s="345" t="s">
        <v>503</v>
      </c>
      <c r="AK8" s="945" t="s">
        <v>503</v>
      </c>
      <c r="AL8" s="560"/>
      <c r="AM8" s="560" t="s">
        <v>494</v>
      </c>
      <c r="AN8" s="345" t="s">
        <v>494</v>
      </c>
      <c r="AO8" s="945" t="s">
        <v>494</v>
      </c>
      <c r="AP8" s="560" t="s">
        <v>494</v>
      </c>
      <c r="AQ8" s="345" t="s">
        <v>494</v>
      </c>
      <c r="AR8" s="945" t="s">
        <v>494</v>
      </c>
      <c r="AS8" s="560" t="s">
        <v>494</v>
      </c>
      <c r="AT8" s="345" t="s">
        <v>494</v>
      </c>
      <c r="AU8" s="945" t="s">
        <v>494</v>
      </c>
      <c r="AV8" s="560" t="s">
        <v>494</v>
      </c>
      <c r="AW8" s="345" t="s">
        <v>494</v>
      </c>
      <c r="AX8" s="945" t="s">
        <v>494</v>
      </c>
      <c r="AY8" s="560" t="s">
        <v>494</v>
      </c>
      <c r="AZ8" s="345" t="s">
        <v>494</v>
      </c>
      <c r="BA8" s="945" t="s">
        <v>494</v>
      </c>
      <c r="BB8" s="560" t="s">
        <v>475</v>
      </c>
      <c r="BC8" s="345" t="s">
        <v>475</v>
      </c>
      <c r="BD8" s="945" t="s">
        <v>475</v>
      </c>
      <c r="BE8" s="346"/>
    </row>
    <row r="9" spans="1:59" x14ac:dyDescent="0.2">
      <c r="A9" s="76">
        <v>2</v>
      </c>
      <c r="D9" s="51" t="s">
        <v>285</v>
      </c>
      <c r="E9" s="51" t="s">
        <v>285</v>
      </c>
      <c r="F9" s="342"/>
      <c r="G9" s="342" t="s">
        <v>52</v>
      </c>
      <c r="H9" s="342" t="s">
        <v>52</v>
      </c>
      <c r="I9" s="51" t="s">
        <v>54</v>
      </c>
      <c r="J9" s="51" t="s">
        <v>54</v>
      </c>
      <c r="K9" s="343">
        <v>44136</v>
      </c>
      <c r="L9" s="343">
        <v>44501</v>
      </c>
      <c r="M9" s="342">
        <v>44136</v>
      </c>
      <c r="N9" s="342">
        <v>44136</v>
      </c>
      <c r="O9" s="342">
        <v>44501</v>
      </c>
      <c r="P9" s="342">
        <v>44501</v>
      </c>
      <c r="Q9" s="344">
        <v>44501</v>
      </c>
      <c r="R9" s="345">
        <v>44501</v>
      </c>
      <c r="S9" s="346">
        <v>44501</v>
      </c>
      <c r="T9" s="560">
        <v>44501</v>
      </c>
      <c r="U9" s="345">
        <v>44501</v>
      </c>
      <c r="V9" s="346">
        <v>44501</v>
      </c>
      <c r="W9" s="560">
        <v>44501</v>
      </c>
      <c r="X9" s="345">
        <v>44501</v>
      </c>
      <c r="Y9" s="346">
        <v>44501</v>
      </c>
      <c r="Z9" s="560">
        <v>44501</v>
      </c>
      <c r="AA9" s="345">
        <v>44501</v>
      </c>
      <c r="AB9" s="346">
        <v>44501</v>
      </c>
      <c r="AC9" s="345">
        <v>44501</v>
      </c>
      <c r="AD9" s="345">
        <v>44501</v>
      </c>
      <c r="AE9" s="346">
        <v>44501</v>
      </c>
      <c r="AF9" s="345">
        <v>44501</v>
      </c>
      <c r="AG9" s="345">
        <v>44501</v>
      </c>
      <c r="AH9" s="346">
        <v>44501</v>
      </c>
      <c r="AI9" s="560">
        <v>44501</v>
      </c>
      <c r="AJ9" s="345">
        <v>44501</v>
      </c>
      <c r="AK9" s="346">
        <v>44501</v>
      </c>
      <c r="AL9" s="560"/>
      <c r="AM9" s="344">
        <v>44866</v>
      </c>
      <c r="AN9" s="345">
        <v>44866</v>
      </c>
      <c r="AO9" s="346">
        <v>44866</v>
      </c>
      <c r="AP9" s="560">
        <v>44866</v>
      </c>
      <c r="AQ9" s="345">
        <v>44866</v>
      </c>
      <c r="AR9" s="346">
        <v>44866</v>
      </c>
      <c r="AS9" s="344">
        <v>44866</v>
      </c>
      <c r="AT9" s="345">
        <v>44866</v>
      </c>
      <c r="AU9" s="346">
        <v>44866</v>
      </c>
      <c r="AV9" s="344">
        <v>44866</v>
      </c>
      <c r="AW9" s="345">
        <v>44866</v>
      </c>
      <c r="AX9" s="346">
        <v>44866</v>
      </c>
      <c r="AY9" s="344">
        <v>44866</v>
      </c>
      <c r="AZ9" s="345">
        <v>44866</v>
      </c>
      <c r="BA9" s="346">
        <v>44866</v>
      </c>
      <c r="BB9" s="560">
        <v>44866</v>
      </c>
      <c r="BC9" s="345">
        <v>44866</v>
      </c>
      <c r="BD9" s="346">
        <v>44866</v>
      </c>
      <c r="BE9" s="346"/>
    </row>
    <row r="10" spans="1:59" x14ac:dyDescent="0.2">
      <c r="A10" s="76">
        <v>3</v>
      </c>
      <c r="D10" s="51" t="s">
        <v>171</v>
      </c>
      <c r="E10" s="51" t="s">
        <v>171</v>
      </c>
      <c r="F10" s="51" t="s">
        <v>51</v>
      </c>
      <c r="G10" s="51" t="s">
        <v>55</v>
      </c>
      <c r="H10" s="51" t="s">
        <v>55</v>
      </c>
      <c r="I10" s="51" t="s">
        <v>55</v>
      </c>
      <c r="J10" s="51" t="s">
        <v>55</v>
      </c>
      <c r="K10" s="51" t="s">
        <v>15</v>
      </c>
      <c r="L10" s="51" t="s">
        <v>15</v>
      </c>
      <c r="M10" s="51" t="s">
        <v>18</v>
      </c>
      <c r="N10" s="51" t="s">
        <v>18</v>
      </c>
      <c r="O10" s="51" t="s">
        <v>18</v>
      </c>
      <c r="P10" s="51" t="s">
        <v>18</v>
      </c>
      <c r="Q10" s="411" t="s">
        <v>21</v>
      </c>
      <c r="R10" s="76" t="s">
        <v>21</v>
      </c>
      <c r="S10" s="559" t="s">
        <v>21</v>
      </c>
      <c r="T10" s="411" t="s">
        <v>21</v>
      </c>
      <c r="U10" s="76" t="s">
        <v>21</v>
      </c>
      <c r="V10" s="562" t="s">
        <v>21</v>
      </c>
      <c r="W10" s="411" t="s">
        <v>21</v>
      </c>
      <c r="X10" s="76" t="s">
        <v>21</v>
      </c>
      <c r="Y10" s="562" t="s">
        <v>21</v>
      </c>
      <c r="Z10" s="411" t="s">
        <v>21</v>
      </c>
      <c r="AA10" s="76" t="s">
        <v>21</v>
      </c>
      <c r="AB10" s="562" t="s">
        <v>21</v>
      </c>
      <c r="AC10" s="76" t="s">
        <v>21</v>
      </c>
      <c r="AD10" s="76" t="s">
        <v>21</v>
      </c>
      <c r="AE10" s="562" t="s">
        <v>21</v>
      </c>
      <c r="AF10" s="76" t="s">
        <v>21</v>
      </c>
      <c r="AG10" s="76" t="s">
        <v>21</v>
      </c>
      <c r="AH10" s="562" t="s">
        <v>21</v>
      </c>
      <c r="AI10" s="411" t="s">
        <v>21</v>
      </c>
      <c r="AJ10" s="76" t="s">
        <v>21</v>
      </c>
      <c r="AK10" s="559" t="s">
        <v>21</v>
      </c>
      <c r="AL10" s="1141" t="s">
        <v>406</v>
      </c>
      <c r="AM10" s="411" t="s">
        <v>21</v>
      </c>
      <c r="AN10" s="76" t="s">
        <v>21</v>
      </c>
      <c r="AO10" s="559" t="s">
        <v>21</v>
      </c>
      <c r="AP10" s="411" t="s">
        <v>21</v>
      </c>
      <c r="AQ10" s="76" t="s">
        <v>21</v>
      </c>
      <c r="AR10" s="562" t="s">
        <v>21</v>
      </c>
      <c r="AS10" s="411" t="s">
        <v>21</v>
      </c>
      <c r="AT10" s="76" t="s">
        <v>21</v>
      </c>
      <c r="AU10" s="559" t="s">
        <v>21</v>
      </c>
      <c r="AV10" s="411" t="s">
        <v>21</v>
      </c>
      <c r="AW10" s="76" t="s">
        <v>21</v>
      </c>
      <c r="AX10" s="559" t="s">
        <v>21</v>
      </c>
      <c r="AY10" s="411" t="s">
        <v>21</v>
      </c>
      <c r="AZ10" s="76" t="s">
        <v>21</v>
      </c>
      <c r="BA10" s="559" t="s">
        <v>21</v>
      </c>
      <c r="BB10" s="411" t="s">
        <v>21</v>
      </c>
      <c r="BC10" s="76" t="s">
        <v>21</v>
      </c>
      <c r="BD10" s="559" t="s">
        <v>21</v>
      </c>
      <c r="BE10" s="559" t="s">
        <v>409</v>
      </c>
    </row>
    <row r="11" spans="1:59" s="47" customFormat="1" ht="13.5" thickBot="1" x14ac:dyDescent="0.25">
      <c r="A11" s="76">
        <v>4</v>
      </c>
      <c r="B11" s="46"/>
      <c r="C11" s="46"/>
      <c r="D11" s="347" t="s">
        <v>153</v>
      </c>
      <c r="E11" s="347" t="s">
        <v>153</v>
      </c>
      <c r="F11" s="347" t="s">
        <v>3</v>
      </c>
      <c r="G11" s="347" t="s">
        <v>53</v>
      </c>
      <c r="H11" s="347" t="s">
        <v>53</v>
      </c>
      <c r="I11" s="347" t="s">
        <v>56</v>
      </c>
      <c r="J11" s="347" t="s">
        <v>56</v>
      </c>
      <c r="K11" s="347" t="s">
        <v>16</v>
      </c>
      <c r="L11" s="347" t="s">
        <v>16</v>
      </c>
      <c r="M11" s="347" t="s">
        <v>57</v>
      </c>
      <c r="N11" s="347" t="s">
        <v>57</v>
      </c>
      <c r="O11" s="347" t="s">
        <v>57</v>
      </c>
      <c r="P11" s="347" t="s">
        <v>57</v>
      </c>
      <c r="Q11" s="284" t="s">
        <v>16</v>
      </c>
      <c r="R11" s="283" t="s">
        <v>57</v>
      </c>
      <c r="S11" s="349" t="s">
        <v>58</v>
      </c>
      <c r="T11" s="284" t="s">
        <v>28</v>
      </c>
      <c r="U11" s="283" t="s">
        <v>57</v>
      </c>
      <c r="V11" s="537" t="s">
        <v>58</v>
      </c>
      <c r="W11" s="284" t="s">
        <v>28</v>
      </c>
      <c r="X11" s="283" t="s">
        <v>57</v>
      </c>
      <c r="Y11" s="537" t="s">
        <v>58</v>
      </c>
      <c r="Z11" s="284" t="s">
        <v>28</v>
      </c>
      <c r="AA11" s="283" t="s">
        <v>57</v>
      </c>
      <c r="AB11" s="537" t="s">
        <v>58</v>
      </c>
      <c r="AC11" s="284" t="s">
        <v>28</v>
      </c>
      <c r="AD11" s="283" t="s">
        <v>57</v>
      </c>
      <c r="AE11" s="537" t="s">
        <v>58</v>
      </c>
      <c r="AF11" s="284" t="s">
        <v>28</v>
      </c>
      <c r="AG11" s="1405" t="s">
        <v>57</v>
      </c>
      <c r="AH11" s="537" t="s">
        <v>58</v>
      </c>
      <c r="AI11" s="284" t="s">
        <v>16</v>
      </c>
      <c r="AJ11" s="283" t="s">
        <v>57</v>
      </c>
      <c r="AK11" s="349" t="s">
        <v>58</v>
      </c>
      <c r="AL11" s="284" t="s">
        <v>407</v>
      </c>
      <c r="AM11" s="284" t="s">
        <v>16</v>
      </c>
      <c r="AN11" s="283" t="s">
        <v>57</v>
      </c>
      <c r="AO11" s="349" t="s">
        <v>58</v>
      </c>
      <c r="AP11" s="284" t="s">
        <v>28</v>
      </c>
      <c r="AQ11" s="283" t="s">
        <v>57</v>
      </c>
      <c r="AR11" s="537" t="s">
        <v>58</v>
      </c>
      <c r="AS11" s="284" t="s">
        <v>28</v>
      </c>
      <c r="AT11" s="283" t="s">
        <v>57</v>
      </c>
      <c r="AU11" s="349" t="s">
        <v>58</v>
      </c>
      <c r="AV11" s="284" t="s">
        <v>28</v>
      </c>
      <c r="AW11" s="283" t="s">
        <v>57</v>
      </c>
      <c r="AX11" s="349" t="s">
        <v>58</v>
      </c>
      <c r="AY11" s="284" t="s">
        <v>28</v>
      </c>
      <c r="AZ11" s="283" t="s">
        <v>57</v>
      </c>
      <c r="BA11" s="349" t="s">
        <v>58</v>
      </c>
      <c r="BB11" s="284" t="s">
        <v>16</v>
      </c>
      <c r="BC11" s="283" t="s">
        <v>57</v>
      </c>
      <c r="BD11" s="349" t="s">
        <v>58</v>
      </c>
      <c r="BE11" s="537" t="s">
        <v>407</v>
      </c>
    </row>
    <row r="12" spans="1:59" s="47" customFormat="1" x14ac:dyDescent="0.2">
      <c r="A12" s="76">
        <v>5</v>
      </c>
      <c r="B12" s="46"/>
      <c r="C12" s="399"/>
      <c r="D12" s="140"/>
      <c r="E12" s="140"/>
      <c r="F12" s="140"/>
      <c r="G12" s="140"/>
      <c r="H12" s="140"/>
      <c r="I12" s="140"/>
      <c r="J12" s="140"/>
      <c r="K12" s="140"/>
      <c r="L12" s="140"/>
      <c r="M12" s="49" t="s">
        <v>463</v>
      </c>
      <c r="N12" s="49" t="s">
        <v>462</v>
      </c>
      <c r="O12" s="49" t="s">
        <v>618</v>
      </c>
      <c r="P12" s="49" t="s">
        <v>464</v>
      </c>
      <c r="Q12" s="138"/>
      <c r="R12" s="350"/>
      <c r="S12" s="351"/>
      <c r="T12" s="138"/>
      <c r="U12" s="48"/>
      <c r="V12" s="535"/>
      <c r="W12" s="138"/>
      <c r="X12" s="48"/>
      <c r="Y12" s="535"/>
      <c r="Z12" s="138"/>
      <c r="AA12" s="48"/>
      <c r="AB12" s="535"/>
      <c r="AC12" s="48"/>
      <c r="AD12" s="48"/>
      <c r="AE12" s="535"/>
      <c r="AF12" s="48"/>
      <c r="AG12" s="48"/>
      <c r="AH12" s="138"/>
      <c r="AI12" s="138"/>
      <c r="AJ12" s="350"/>
      <c r="AK12" s="351"/>
      <c r="AL12" s="141"/>
      <c r="AM12" s="138"/>
      <c r="AN12" s="1372"/>
      <c r="AO12" s="351"/>
      <c r="AP12" s="138"/>
      <c r="AQ12" s="48"/>
      <c r="AR12" s="535"/>
      <c r="AS12" s="138"/>
      <c r="AT12" s="1372"/>
      <c r="AU12" s="351"/>
      <c r="AV12" s="138"/>
      <c r="AW12" s="1372"/>
      <c r="AX12" s="351"/>
      <c r="AY12" s="138"/>
      <c r="AZ12" s="1372"/>
      <c r="BA12" s="351"/>
      <c r="BB12" s="138"/>
      <c r="BC12" s="350"/>
      <c r="BD12" s="351"/>
      <c r="BE12" s="798"/>
    </row>
    <row r="13" spans="1:59" s="47" customFormat="1" ht="12.75" customHeight="1" x14ac:dyDescent="0.2">
      <c r="A13" s="76">
        <v>6</v>
      </c>
      <c r="B13" s="685" t="s">
        <v>2</v>
      </c>
      <c r="C13" s="811" t="s">
        <v>3</v>
      </c>
      <c r="D13" s="114" t="s">
        <v>35</v>
      </c>
      <c r="E13" s="114" t="s">
        <v>36</v>
      </c>
      <c r="F13" s="114" t="s">
        <v>13</v>
      </c>
      <c r="G13" s="114" t="s">
        <v>37</v>
      </c>
      <c r="H13" s="114" t="s">
        <v>38</v>
      </c>
      <c r="I13" s="114" t="s">
        <v>39</v>
      </c>
      <c r="J13" s="114" t="s">
        <v>40</v>
      </c>
      <c r="K13" s="114" t="s">
        <v>41</v>
      </c>
      <c r="L13" s="667" t="s">
        <v>42</v>
      </c>
      <c r="M13" s="114" t="s">
        <v>109</v>
      </c>
      <c r="N13" s="114" t="s">
        <v>110</v>
      </c>
      <c r="O13" s="667" t="s">
        <v>43</v>
      </c>
      <c r="P13" s="667" t="s">
        <v>111</v>
      </c>
      <c r="Q13" s="142" t="s">
        <v>112</v>
      </c>
      <c r="R13" s="641" t="s">
        <v>113</v>
      </c>
      <c r="S13" s="352" t="s">
        <v>114</v>
      </c>
      <c r="T13" s="142" t="s">
        <v>115</v>
      </c>
      <c r="U13" s="114" t="s">
        <v>71</v>
      </c>
      <c r="V13" s="352" t="s">
        <v>74</v>
      </c>
      <c r="W13" s="142" t="s">
        <v>75</v>
      </c>
      <c r="X13" s="667" t="s">
        <v>76</v>
      </c>
      <c r="Y13" s="352" t="s">
        <v>165</v>
      </c>
      <c r="Z13" s="142" t="s">
        <v>208</v>
      </c>
      <c r="AA13" s="667" t="s">
        <v>203</v>
      </c>
      <c r="AB13" s="352" t="s">
        <v>209</v>
      </c>
      <c r="AC13" s="48" t="s">
        <v>210</v>
      </c>
      <c r="AD13" s="667" t="s">
        <v>211</v>
      </c>
      <c r="AE13" s="352" t="s">
        <v>226</v>
      </c>
      <c r="AF13" s="48" t="s">
        <v>341</v>
      </c>
      <c r="AG13" s="667" t="s">
        <v>227</v>
      </c>
      <c r="AH13" s="142" t="s">
        <v>228</v>
      </c>
      <c r="AI13" s="142" t="s">
        <v>465</v>
      </c>
      <c r="AJ13" s="667" t="s">
        <v>232</v>
      </c>
      <c r="AK13" s="352" t="s">
        <v>387</v>
      </c>
      <c r="AL13" s="142" t="s">
        <v>466</v>
      </c>
      <c r="AM13" s="142" t="s">
        <v>342</v>
      </c>
      <c r="AN13" s="667" t="s">
        <v>388</v>
      </c>
      <c r="AO13" s="352" t="s">
        <v>233</v>
      </c>
      <c r="AP13" s="142" t="s">
        <v>75</v>
      </c>
      <c r="AQ13" s="667" t="s">
        <v>76</v>
      </c>
      <c r="AR13" s="352" t="s">
        <v>165</v>
      </c>
      <c r="AS13" s="142" t="s">
        <v>234</v>
      </c>
      <c r="AT13" s="667" t="s">
        <v>343</v>
      </c>
      <c r="AU13" s="352" t="s">
        <v>619</v>
      </c>
      <c r="AV13" s="142" t="s">
        <v>235</v>
      </c>
      <c r="AW13" s="667" t="s">
        <v>389</v>
      </c>
      <c r="AX13" s="352" t="s">
        <v>344</v>
      </c>
      <c r="AY13" s="142" t="s">
        <v>345</v>
      </c>
      <c r="AZ13" s="667" t="s">
        <v>346</v>
      </c>
      <c r="BA13" s="352" t="s">
        <v>620</v>
      </c>
      <c r="BB13" s="142" t="s">
        <v>621</v>
      </c>
      <c r="BC13" s="114" t="s">
        <v>622</v>
      </c>
      <c r="BD13" s="352" t="s">
        <v>623</v>
      </c>
      <c r="BE13" s="352" t="s">
        <v>624</v>
      </c>
    </row>
    <row r="14" spans="1:59" x14ac:dyDescent="0.2">
      <c r="A14" s="76">
        <v>7</v>
      </c>
      <c r="B14" s="669" t="s">
        <v>246</v>
      </c>
      <c r="C14" s="783" t="s">
        <v>248</v>
      </c>
      <c r="D14" s="353">
        <v>214704.20066131229</v>
      </c>
      <c r="E14" s="353">
        <v>218577.4</v>
      </c>
      <c r="F14" s="354" t="s">
        <v>248</v>
      </c>
      <c r="G14" s="355">
        <v>19.639970000000002</v>
      </c>
      <c r="H14" s="355">
        <v>20</v>
      </c>
      <c r="I14" s="815">
        <v>5.5</v>
      </c>
      <c r="J14" s="356">
        <v>5.5</v>
      </c>
      <c r="K14" s="113">
        <v>1.1525299999999998</v>
      </c>
      <c r="L14" s="113">
        <v>1.3474699999999995</v>
      </c>
      <c r="M14" s="356">
        <v>28.14</v>
      </c>
      <c r="N14" s="356">
        <v>28.55</v>
      </c>
      <c r="O14" s="356">
        <v>31.96</v>
      </c>
      <c r="P14" s="356">
        <v>32.450000000000003</v>
      </c>
      <c r="Q14" s="357">
        <v>1.2545699999999997</v>
      </c>
      <c r="R14" s="356">
        <v>30.14</v>
      </c>
      <c r="S14" s="358">
        <v>7.0999999999999994E-2</v>
      </c>
      <c r="T14" s="357">
        <v>1.2672999999999996</v>
      </c>
      <c r="U14" s="356">
        <v>30.85</v>
      </c>
      <c r="V14" s="563">
        <v>8.1000000000000003E-2</v>
      </c>
      <c r="W14" s="357">
        <v>1.1434299999999997</v>
      </c>
      <c r="X14" s="356">
        <v>27.96</v>
      </c>
      <c r="Y14" s="563">
        <v>-6.0000000000000001E-3</v>
      </c>
      <c r="Z14" s="357">
        <v>1.1362599999999998</v>
      </c>
      <c r="AA14" s="356">
        <v>27.82</v>
      </c>
      <c r="AB14" s="563">
        <v>-1.0999999999999999E-2</v>
      </c>
      <c r="AC14" s="357">
        <v>1.1438799999999998</v>
      </c>
      <c r="AD14" s="356">
        <v>27.97</v>
      </c>
      <c r="AE14" s="563">
        <v>-6.0000000000000001E-3</v>
      </c>
      <c r="AF14" s="357">
        <v>1.1555799999999998</v>
      </c>
      <c r="AG14" s="356">
        <v>28.2</v>
      </c>
      <c r="AH14" s="563">
        <v>2E-3</v>
      </c>
      <c r="AI14" s="357">
        <v>1.3474699999999995</v>
      </c>
      <c r="AJ14" s="356">
        <v>31.96</v>
      </c>
      <c r="AK14" s="358">
        <v>0.13600000000000001</v>
      </c>
      <c r="AL14" s="1492">
        <v>3.8200000000000003</v>
      </c>
      <c r="AM14" s="357">
        <v>1.4091199999999995</v>
      </c>
      <c r="AN14" s="356">
        <v>33.18</v>
      </c>
      <c r="AO14" s="358">
        <v>3.7999999999999999E-2</v>
      </c>
      <c r="AP14" s="357">
        <v>0</v>
      </c>
      <c r="AQ14" s="356">
        <v>5.5</v>
      </c>
      <c r="AR14" s="563">
        <v>-0.83099999999999996</v>
      </c>
      <c r="AS14" s="357">
        <v>1.2318199999999999</v>
      </c>
      <c r="AT14" s="356">
        <v>29.69</v>
      </c>
      <c r="AU14" s="358">
        <v>-7.0999999999999994E-2</v>
      </c>
      <c r="AV14" s="357">
        <v>1.2164299999999999</v>
      </c>
      <c r="AW14" s="356">
        <v>29.39</v>
      </c>
      <c r="AX14" s="358">
        <v>-0.08</v>
      </c>
      <c r="AY14" s="357">
        <v>1.22403</v>
      </c>
      <c r="AZ14" s="356">
        <v>29.54</v>
      </c>
      <c r="BA14" s="358">
        <v>-7.5999999999999998E-2</v>
      </c>
      <c r="BB14" s="357">
        <v>1.4051699999999996</v>
      </c>
      <c r="BC14" s="356">
        <v>33.1</v>
      </c>
      <c r="BD14" s="358">
        <v>3.5999999999999997E-2</v>
      </c>
      <c r="BE14" s="1145">
        <v>1.1400000000000006</v>
      </c>
      <c r="BF14" s="359"/>
      <c r="BG14" s="1331"/>
    </row>
    <row r="15" spans="1:59" x14ac:dyDescent="0.2">
      <c r="A15" s="76">
        <v>8</v>
      </c>
      <c r="B15" s="669" t="s">
        <v>247</v>
      </c>
      <c r="C15" s="783" t="s">
        <v>248</v>
      </c>
      <c r="D15" s="353">
        <v>46539.057144390383</v>
      </c>
      <c r="E15" s="353">
        <v>38726</v>
      </c>
      <c r="F15" s="354" t="s">
        <v>248</v>
      </c>
      <c r="G15" s="355">
        <v>114.06632</v>
      </c>
      <c r="H15" s="355">
        <v>92</v>
      </c>
      <c r="I15" s="815">
        <v>7</v>
      </c>
      <c r="J15" s="356">
        <v>7</v>
      </c>
      <c r="K15" s="113">
        <v>1.18929</v>
      </c>
      <c r="L15" s="113">
        <v>1.36829</v>
      </c>
      <c r="M15" s="356">
        <v>142.66</v>
      </c>
      <c r="N15" s="356">
        <v>116.41</v>
      </c>
      <c r="O15" s="356">
        <v>163.08000000000001</v>
      </c>
      <c r="P15" s="356">
        <v>132.88</v>
      </c>
      <c r="Q15" s="357">
        <v>1.2741400000000001</v>
      </c>
      <c r="R15" s="356">
        <v>152.34</v>
      </c>
      <c r="S15" s="358">
        <v>6.8000000000000005E-2</v>
      </c>
      <c r="T15" s="357">
        <v>1.3016399999999999</v>
      </c>
      <c r="U15" s="356">
        <v>126.75</v>
      </c>
      <c r="V15" s="563">
        <v>8.8999999999999996E-2</v>
      </c>
      <c r="W15" s="357">
        <v>1.1817299999999999</v>
      </c>
      <c r="X15" s="356">
        <v>141.80000000000001</v>
      </c>
      <c r="Y15" s="563">
        <v>-6.0000000000000001E-3</v>
      </c>
      <c r="Z15" s="357">
        <v>1.1757499999999999</v>
      </c>
      <c r="AA15" s="356">
        <v>141.11000000000001</v>
      </c>
      <c r="AB15" s="563">
        <v>-1.0999999999999999E-2</v>
      </c>
      <c r="AC15" s="113">
        <v>1.1820899999999999</v>
      </c>
      <c r="AD15" s="356">
        <v>141.84</v>
      </c>
      <c r="AE15" s="563">
        <v>-6.0000000000000001E-3</v>
      </c>
      <c r="AF15" s="113">
        <v>1.1918299999999999</v>
      </c>
      <c r="AG15" s="356">
        <v>142.94999999999999</v>
      </c>
      <c r="AH15" s="563">
        <v>2E-3</v>
      </c>
      <c r="AI15" s="357">
        <v>1.36829</v>
      </c>
      <c r="AJ15" s="356">
        <v>163.08000000000001</v>
      </c>
      <c r="AK15" s="358">
        <v>0.14299999999999999</v>
      </c>
      <c r="AL15" s="1492">
        <v>20.420000000000016</v>
      </c>
      <c r="AM15" s="357">
        <v>1.4195500000000001</v>
      </c>
      <c r="AN15" s="356">
        <v>168.92</v>
      </c>
      <c r="AO15" s="358">
        <v>3.5999999999999997E-2</v>
      </c>
      <c r="AP15" s="357">
        <v>0</v>
      </c>
      <c r="AQ15" s="356">
        <v>7</v>
      </c>
      <c r="AR15" s="563">
        <v>-0.94699999999999995</v>
      </c>
      <c r="AS15" s="357">
        <v>1.2552099999999999</v>
      </c>
      <c r="AT15" s="356">
        <v>150.18</v>
      </c>
      <c r="AU15" s="358">
        <v>-7.9000000000000001E-2</v>
      </c>
      <c r="AV15" s="357">
        <v>1.2423999999999997</v>
      </c>
      <c r="AW15" s="356">
        <v>148.72</v>
      </c>
      <c r="AX15" s="358">
        <v>-8.7999999999999995E-2</v>
      </c>
      <c r="AY15" s="357">
        <v>1.2487399999999997</v>
      </c>
      <c r="AZ15" s="356">
        <v>149.44</v>
      </c>
      <c r="BA15" s="358">
        <v>-8.4000000000000005E-2</v>
      </c>
      <c r="BB15" s="357">
        <v>1.41628</v>
      </c>
      <c r="BC15" s="356">
        <v>168.55</v>
      </c>
      <c r="BD15" s="358">
        <v>3.4000000000000002E-2</v>
      </c>
      <c r="BE15" s="1145">
        <v>5.4699999999999989</v>
      </c>
      <c r="BF15" s="359"/>
      <c r="BG15" s="359"/>
    </row>
    <row r="16" spans="1:59" x14ac:dyDescent="0.2">
      <c r="A16" s="76">
        <v>9</v>
      </c>
      <c r="B16" s="669" t="s">
        <v>12</v>
      </c>
      <c r="C16" s="783" t="s">
        <v>248</v>
      </c>
      <c r="D16" s="353">
        <v>54953515.785084128</v>
      </c>
      <c r="E16" s="353">
        <v>55009539.100000001</v>
      </c>
      <c r="F16" s="354" t="s">
        <v>248</v>
      </c>
      <c r="G16" s="355">
        <v>56.453600000000002</v>
      </c>
      <c r="H16" s="355">
        <v>57</v>
      </c>
      <c r="I16" s="815">
        <v>8</v>
      </c>
      <c r="J16" s="356">
        <v>8</v>
      </c>
      <c r="K16" s="113">
        <v>0.88947999999999972</v>
      </c>
      <c r="L16" s="113">
        <v>1.0514699999999997</v>
      </c>
      <c r="M16" s="356">
        <v>58.21</v>
      </c>
      <c r="N16" s="356">
        <v>58.7</v>
      </c>
      <c r="O16" s="356">
        <v>67.36</v>
      </c>
      <c r="P16" s="356">
        <v>67.930000000000007</v>
      </c>
      <c r="Q16" s="357">
        <v>0.95405999999999969</v>
      </c>
      <c r="R16" s="356">
        <v>61.86</v>
      </c>
      <c r="S16" s="358">
        <v>6.3E-2</v>
      </c>
      <c r="T16" s="357">
        <v>1.0007299999999999</v>
      </c>
      <c r="U16" s="356">
        <v>65.040000000000006</v>
      </c>
      <c r="V16" s="563">
        <v>0.108</v>
      </c>
      <c r="W16" s="357">
        <v>0.88371999999999973</v>
      </c>
      <c r="X16" s="356">
        <v>57.89</v>
      </c>
      <c r="Y16" s="563">
        <v>-5.0000000000000001E-3</v>
      </c>
      <c r="Z16" s="357">
        <v>0.87917999999999974</v>
      </c>
      <c r="AA16" s="356">
        <v>57.63</v>
      </c>
      <c r="AB16" s="563">
        <v>-0.01</v>
      </c>
      <c r="AC16" s="113">
        <v>0.88400999999999974</v>
      </c>
      <c r="AD16" s="356">
        <v>57.91</v>
      </c>
      <c r="AE16" s="563">
        <v>-5.0000000000000001E-3</v>
      </c>
      <c r="AF16" s="113">
        <v>0.8914099999999997</v>
      </c>
      <c r="AG16" s="356">
        <v>58.32</v>
      </c>
      <c r="AH16" s="563">
        <v>2E-3</v>
      </c>
      <c r="AI16" s="357">
        <v>1.0514699999999997</v>
      </c>
      <c r="AJ16" s="356">
        <v>67.36</v>
      </c>
      <c r="AK16" s="358">
        <v>0.157</v>
      </c>
      <c r="AL16" s="1492">
        <v>9.1499999999999986</v>
      </c>
      <c r="AM16" s="357">
        <v>1.0904899999999997</v>
      </c>
      <c r="AN16" s="356">
        <v>69.56</v>
      </c>
      <c r="AO16" s="358">
        <v>3.3000000000000002E-2</v>
      </c>
      <c r="AP16" s="357">
        <v>0</v>
      </c>
      <c r="AQ16" s="356">
        <v>8</v>
      </c>
      <c r="AR16" s="563">
        <v>-0.88200000000000001</v>
      </c>
      <c r="AS16" s="357">
        <v>0.93965999999999983</v>
      </c>
      <c r="AT16" s="356">
        <v>61.05</v>
      </c>
      <c r="AU16" s="358">
        <v>-9.4E-2</v>
      </c>
      <c r="AV16" s="357">
        <v>0.92991999999999986</v>
      </c>
      <c r="AW16" s="356">
        <v>60.5</v>
      </c>
      <c r="AX16" s="358">
        <v>-0.10199999999999999</v>
      </c>
      <c r="AY16" s="357">
        <v>0.93472999999999984</v>
      </c>
      <c r="AZ16" s="356">
        <v>60.77</v>
      </c>
      <c r="BA16" s="358">
        <v>-9.8000000000000004E-2</v>
      </c>
      <c r="BB16" s="357">
        <v>1.0879799999999997</v>
      </c>
      <c r="BC16" s="356">
        <v>69.42</v>
      </c>
      <c r="BD16" s="358">
        <v>3.1E-2</v>
      </c>
      <c r="BE16" s="1145">
        <v>2.0600000000000023</v>
      </c>
      <c r="BF16" s="359"/>
      <c r="BG16" s="359"/>
    </row>
    <row r="17" spans="1:59" x14ac:dyDescent="0.2">
      <c r="A17" s="76">
        <v>10</v>
      </c>
      <c r="B17" s="669" t="s">
        <v>10</v>
      </c>
      <c r="C17" s="783" t="s">
        <v>248</v>
      </c>
      <c r="D17" s="353">
        <v>17867210.60654201</v>
      </c>
      <c r="E17" s="353">
        <v>18385904.899999999</v>
      </c>
      <c r="F17" s="354" t="s">
        <v>248</v>
      </c>
      <c r="G17" s="355">
        <v>235.66542999999999</v>
      </c>
      <c r="H17" s="355">
        <v>242</v>
      </c>
      <c r="I17" s="815">
        <v>22</v>
      </c>
      <c r="J17" s="356">
        <v>22</v>
      </c>
      <c r="K17" s="113">
        <v>0.86690000000000011</v>
      </c>
      <c r="L17" s="113">
        <v>1.0228199999999998</v>
      </c>
      <c r="M17" s="356">
        <v>226.3</v>
      </c>
      <c r="N17" s="356">
        <v>231.79</v>
      </c>
      <c r="O17" s="356">
        <v>263.04000000000002</v>
      </c>
      <c r="P17" s="356">
        <v>269.52</v>
      </c>
      <c r="Q17" s="357">
        <v>0.9248900000000001</v>
      </c>
      <c r="R17" s="356">
        <v>239.96</v>
      </c>
      <c r="S17" s="358">
        <v>0.06</v>
      </c>
      <c r="T17" s="357">
        <v>0.97725000000000017</v>
      </c>
      <c r="U17" s="356">
        <v>258.49</v>
      </c>
      <c r="V17" s="563">
        <v>0.115</v>
      </c>
      <c r="W17" s="357">
        <v>0.86173000000000011</v>
      </c>
      <c r="X17" s="356">
        <v>225.08</v>
      </c>
      <c r="Y17" s="563">
        <v>-5.0000000000000001E-3</v>
      </c>
      <c r="Z17" s="357">
        <v>0.85766000000000009</v>
      </c>
      <c r="AA17" s="356">
        <v>224.12</v>
      </c>
      <c r="AB17" s="563">
        <v>-0.01</v>
      </c>
      <c r="AC17" s="113">
        <v>0.86199000000000014</v>
      </c>
      <c r="AD17" s="356">
        <v>225.14</v>
      </c>
      <c r="AE17" s="563">
        <v>-5.0000000000000001E-3</v>
      </c>
      <c r="AF17" s="113">
        <v>0.86863000000000012</v>
      </c>
      <c r="AG17" s="356">
        <v>226.71</v>
      </c>
      <c r="AH17" s="563">
        <v>2E-3</v>
      </c>
      <c r="AI17" s="357">
        <v>1.0228199999999998</v>
      </c>
      <c r="AJ17" s="356">
        <v>263.04000000000002</v>
      </c>
      <c r="AK17" s="358">
        <v>0.16200000000000001</v>
      </c>
      <c r="AL17" s="1492">
        <v>36.740000000000009</v>
      </c>
      <c r="AM17" s="357">
        <v>1.0578499999999997</v>
      </c>
      <c r="AN17" s="356">
        <v>271.3</v>
      </c>
      <c r="AO17" s="358">
        <v>3.1E-2</v>
      </c>
      <c r="AP17" s="357">
        <v>0</v>
      </c>
      <c r="AQ17" s="356">
        <v>22</v>
      </c>
      <c r="AR17" s="563">
        <v>-0.91800000000000004</v>
      </c>
      <c r="AS17" s="357">
        <v>0.91197000000000028</v>
      </c>
      <c r="AT17" s="356">
        <v>236.92</v>
      </c>
      <c r="AU17" s="358">
        <v>-9.9000000000000005E-2</v>
      </c>
      <c r="AV17" s="357">
        <v>0.9032300000000002</v>
      </c>
      <c r="AW17" s="356">
        <v>234.86</v>
      </c>
      <c r="AX17" s="358">
        <v>-0.107</v>
      </c>
      <c r="AY17" s="357">
        <v>0.90754000000000024</v>
      </c>
      <c r="AZ17" s="356">
        <v>235.88</v>
      </c>
      <c r="BA17" s="358">
        <v>-0.10299999999999999</v>
      </c>
      <c r="BB17" s="357">
        <v>1.0555999999999999</v>
      </c>
      <c r="BC17" s="356">
        <v>270.77</v>
      </c>
      <c r="BD17" s="358">
        <v>2.9000000000000001E-2</v>
      </c>
      <c r="BE17" s="1145">
        <v>7.7299999999999613</v>
      </c>
      <c r="BF17" s="359"/>
      <c r="BG17" s="359"/>
    </row>
    <row r="18" spans="1:59" x14ac:dyDescent="0.2">
      <c r="A18" s="76">
        <v>11</v>
      </c>
      <c r="B18" s="669" t="s">
        <v>11</v>
      </c>
      <c r="C18" s="783" t="s">
        <v>248</v>
      </c>
      <c r="D18" s="353">
        <v>283651.99999999994</v>
      </c>
      <c r="E18" s="353">
        <v>263842</v>
      </c>
      <c r="F18" s="354" t="s">
        <v>248</v>
      </c>
      <c r="G18" s="355">
        <v>974.74914000000001</v>
      </c>
      <c r="H18" s="355">
        <v>916</v>
      </c>
      <c r="I18" s="815">
        <v>22</v>
      </c>
      <c r="J18" s="356">
        <v>22</v>
      </c>
      <c r="K18" s="113">
        <v>0.82713999999999999</v>
      </c>
      <c r="L18" s="113">
        <v>0.97858000000000012</v>
      </c>
      <c r="M18" s="356">
        <v>828.25</v>
      </c>
      <c r="N18" s="356">
        <v>779.66</v>
      </c>
      <c r="O18" s="356">
        <v>975.87</v>
      </c>
      <c r="P18" s="356">
        <v>918.38</v>
      </c>
      <c r="Q18" s="357">
        <v>0.87966</v>
      </c>
      <c r="R18" s="356">
        <v>879.45</v>
      </c>
      <c r="S18" s="358">
        <v>6.2E-2</v>
      </c>
      <c r="T18" s="357">
        <v>0.92893999999999999</v>
      </c>
      <c r="U18" s="356">
        <v>872.91</v>
      </c>
      <c r="V18" s="563">
        <v>0.12</v>
      </c>
      <c r="W18" s="357">
        <v>0.82245000000000001</v>
      </c>
      <c r="X18" s="356">
        <v>823.68</v>
      </c>
      <c r="Y18" s="563">
        <v>-6.0000000000000001E-3</v>
      </c>
      <c r="Z18" s="357">
        <v>0.82713999999999999</v>
      </c>
      <c r="AA18" s="356">
        <v>828.25</v>
      </c>
      <c r="AB18" s="563">
        <v>0</v>
      </c>
      <c r="AC18" s="113">
        <v>0.82269000000000003</v>
      </c>
      <c r="AD18" s="356">
        <v>823.92</v>
      </c>
      <c r="AE18" s="563">
        <v>-5.0000000000000001E-3</v>
      </c>
      <c r="AF18" s="113">
        <v>0.82870999999999995</v>
      </c>
      <c r="AG18" s="356">
        <v>829.78</v>
      </c>
      <c r="AH18" s="563">
        <v>2E-3</v>
      </c>
      <c r="AI18" s="357">
        <v>0.97858000000000012</v>
      </c>
      <c r="AJ18" s="356">
        <v>975.87</v>
      </c>
      <c r="AK18" s="358">
        <v>0.17799999999999999</v>
      </c>
      <c r="AL18" s="1492">
        <v>147.62</v>
      </c>
      <c r="AM18" s="357">
        <v>1.01031</v>
      </c>
      <c r="AN18" s="356">
        <v>1006.8</v>
      </c>
      <c r="AO18" s="358">
        <v>3.2000000000000001E-2</v>
      </c>
      <c r="AP18" s="357">
        <v>0</v>
      </c>
      <c r="AQ18" s="356">
        <v>22</v>
      </c>
      <c r="AR18" s="563">
        <v>-0.97599999999999998</v>
      </c>
      <c r="AS18" s="357">
        <v>0.87633000000000005</v>
      </c>
      <c r="AT18" s="356">
        <v>876.2</v>
      </c>
      <c r="AU18" s="358">
        <v>-0.10199999999999999</v>
      </c>
      <c r="AV18" s="357">
        <v>0.87678</v>
      </c>
      <c r="AW18" s="356">
        <v>876.64</v>
      </c>
      <c r="AX18" s="358">
        <v>-0.10199999999999999</v>
      </c>
      <c r="AY18" s="357">
        <v>0.87231999999999998</v>
      </c>
      <c r="AZ18" s="356">
        <v>872.29</v>
      </c>
      <c r="BA18" s="358">
        <v>-0.106</v>
      </c>
      <c r="BB18" s="357">
        <v>1.0082800000000001</v>
      </c>
      <c r="BC18" s="356">
        <v>1004.82</v>
      </c>
      <c r="BD18" s="358">
        <v>0.03</v>
      </c>
      <c r="BE18" s="1145">
        <v>28.950000000000045</v>
      </c>
      <c r="BF18" s="359"/>
      <c r="BG18" s="359"/>
    </row>
    <row r="19" spans="1:59" x14ac:dyDescent="0.2">
      <c r="A19" s="76">
        <v>12</v>
      </c>
      <c r="B19" s="669" t="s">
        <v>365</v>
      </c>
      <c r="C19" s="783" t="s">
        <v>248</v>
      </c>
      <c r="D19" s="353">
        <v>461371.76933137607</v>
      </c>
      <c r="E19" s="353">
        <v>591910</v>
      </c>
      <c r="F19" s="354" t="s">
        <v>248</v>
      </c>
      <c r="G19" s="355">
        <v>49.545940000000002</v>
      </c>
      <c r="H19" s="355">
        <v>65</v>
      </c>
      <c r="I19" s="815">
        <v>9</v>
      </c>
      <c r="J19" s="356">
        <v>9</v>
      </c>
      <c r="K19" s="113">
        <v>0.64432999999999974</v>
      </c>
      <c r="L19" s="113">
        <v>0.78956999999999966</v>
      </c>
      <c r="M19" s="356">
        <v>40.92</v>
      </c>
      <c r="N19" s="356">
        <v>50.88</v>
      </c>
      <c r="O19" s="356">
        <v>48.12</v>
      </c>
      <c r="P19" s="356">
        <v>60.32</v>
      </c>
      <c r="Q19" s="357">
        <v>0.69028999999999974</v>
      </c>
      <c r="R19" s="356">
        <v>43.2</v>
      </c>
      <c r="S19" s="358">
        <v>5.6000000000000001E-2</v>
      </c>
      <c r="T19" s="357">
        <v>0.7534599999999998</v>
      </c>
      <c r="U19" s="356">
        <v>57.97</v>
      </c>
      <c r="V19" s="563">
        <v>0.13900000000000001</v>
      </c>
      <c r="W19" s="357">
        <v>0.64022999999999974</v>
      </c>
      <c r="X19" s="356">
        <v>40.72</v>
      </c>
      <c r="Y19" s="563">
        <v>-5.0000000000000001E-3</v>
      </c>
      <c r="Z19" s="357">
        <v>0.63699999999999979</v>
      </c>
      <c r="AA19" s="356">
        <v>40.56</v>
      </c>
      <c r="AB19" s="563">
        <v>-8.9999999999999993E-3</v>
      </c>
      <c r="AC19" s="113">
        <v>0.64043999999999979</v>
      </c>
      <c r="AD19" s="356">
        <v>40.729999999999997</v>
      </c>
      <c r="AE19" s="563">
        <v>-5.0000000000000001E-3</v>
      </c>
      <c r="AF19" s="113">
        <v>0.64569999999999972</v>
      </c>
      <c r="AG19" s="356">
        <v>40.99</v>
      </c>
      <c r="AH19" s="563">
        <v>2E-3</v>
      </c>
      <c r="AI19" s="357">
        <v>0.78956999999999966</v>
      </c>
      <c r="AJ19" s="356">
        <v>48.12</v>
      </c>
      <c r="AK19" s="358">
        <v>0.17599999999999999</v>
      </c>
      <c r="AL19" s="1492">
        <v>7.1999999999999957</v>
      </c>
      <c r="AM19" s="357">
        <v>0.81733999999999962</v>
      </c>
      <c r="AN19" s="356">
        <v>49.5</v>
      </c>
      <c r="AO19" s="358">
        <v>2.9000000000000001E-2</v>
      </c>
      <c r="AP19" s="357">
        <v>0</v>
      </c>
      <c r="AQ19" s="356">
        <v>9</v>
      </c>
      <c r="AR19" s="563">
        <v>-0.85099999999999998</v>
      </c>
      <c r="AS19" s="357">
        <v>0.68003999999999976</v>
      </c>
      <c r="AT19" s="356">
        <v>42.69</v>
      </c>
      <c r="AU19" s="358">
        <v>-0.113</v>
      </c>
      <c r="AV19" s="357">
        <v>0.67310999999999976</v>
      </c>
      <c r="AW19" s="356">
        <v>42.35</v>
      </c>
      <c r="AX19" s="358">
        <v>-0.12</v>
      </c>
      <c r="AY19" s="357">
        <v>0.6765399999999997</v>
      </c>
      <c r="AZ19" s="356">
        <v>42.52</v>
      </c>
      <c r="BA19" s="358">
        <v>-0.11600000000000001</v>
      </c>
      <c r="BB19" s="357">
        <v>0.81555999999999962</v>
      </c>
      <c r="BC19" s="356">
        <v>49.41</v>
      </c>
      <c r="BD19" s="358">
        <v>2.7E-2</v>
      </c>
      <c r="BE19" s="1145">
        <v>1.2899999999999991</v>
      </c>
      <c r="BF19" s="359"/>
      <c r="BG19" s="359"/>
    </row>
    <row r="20" spans="1:59" x14ac:dyDescent="0.2">
      <c r="A20" s="76">
        <v>13</v>
      </c>
      <c r="B20" s="677" t="s">
        <v>249</v>
      </c>
      <c r="C20" s="812" t="s">
        <v>4</v>
      </c>
      <c r="D20" s="288">
        <v>1777065.1510316674</v>
      </c>
      <c r="E20" s="288">
        <v>1992236.2</v>
      </c>
      <c r="F20" s="360">
        <v>2000</v>
      </c>
      <c r="G20" s="289">
        <v>3436</v>
      </c>
      <c r="H20" s="289">
        <v>3745</v>
      </c>
      <c r="I20" s="816">
        <v>250</v>
      </c>
      <c r="J20" s="361">
        <v>250</v>
      </c>
      <c r="K20" s="112">
        <v>0.65150000000000008</v>
      </c>
      <c r="L20" s="112">
        <v>0.79066000000000003</v>
      </c>
      <c r="M20" s="361"/>
      <c r="N20" s="361"/>
      <c r="O20" s="892"/>
      <c r="P20" s="892"/>
      <c r="Q20" s="362">
        <v>0.69755000000000011</v>
      </c>
      <c r="R20" s="361"/>
      <c r="S20" s="363"/>
      <c r="T20" s="362">
        <v>0.75447000000000009</v>
      </c>
      <c r="U20" s="361"/>
      <c r="V20" s="564"/>
      <c r="W20" s="362">
        <v>0.64739000000000013</v>
      </c>
      <c r="X20" s="361"/>
      <c r="Y20" s="564"/>
      <c r="Z20" s="362">
        <v>0.64416000000000007</v>
      </c>
      <c r="AA20" s="361"/>
      <c r="AB20" s="564"/>
      <c r="AC20" s="112">
        <v>0.64760000000000006</v>
      </c>
      <c r="AD20" s="361"/>
      <c r="AE20" s="564"/>
      <c r="AF20" s="112">
        <v>0.65288000000000013</v>
      </c>
      <c r="AG20" s="361"/>
      <c r="AH20" s="564"/>
      <c r="AI20" s="362">
        <v>0.79066000000000003</v>
      </c>
      <c r="AJ20" s="361"/>
      <c r="AK20" s="363"/>
      <c r="AL20" s="1142"/>
      <c r="AM20" s="362">
        <v>0.81847999999999999</v>
      </c>
      <c r="AN20" s="361"/>
      <c r="AO20" s="363"/>
      <c r="AP20" s="362">
        <v>0</v>
      </c>
      <c r="AQ20" s="361"/>
      <c r="AR20" s="564"/>
      <c r="AS20" s="362">
        <v>0.68729000000000018</v>
      </c>
      <c r="AT20" s="361"/>
      <c r="AU20" s="363"/>
      <c r="AV20" s="362">
        <v>0.68035000000000012</v>
      </c>
      <c r="AW20" s="361"/>
      <c r="AX20" s="363"/>
      <c r="AY20" s="362">
        <v>0.68378000000000017</v>
      </c>
      <c r="AZ20" s="361"/>
      <c r="BA20" s="363"/>
      <c r="BB20" s="362">
        <v>0.81668999999999992</v>
      </c>
      <c r="BC20" s="361"/>
      <c r="BD20" s="363"/>
      <c r="BE20" s="564"/>
    </row>
    <row r="21" spans="1:59" x14ac:dyDescent="0.2">
      <c r="A21" s="76">
        <v>14</v>
      </c>
      <c r="B21" s="670"/>
      <c r="C21" s="812" t="s">
        <v>5</v>
      </c>
      <c r="D21" s="288">
        <v>1974656.4658023661</v>
      </c>
      <c r="E21" s="288">
        <v>2142067.7000000002</v>
      </c>
      <c r="F21" s="360" t="s">
        <v>59</v>
      </c>
      <c r="G21" s="289"/>
      <c r="H21" s="289"/>
      <c r="I21" s="816"/>
      <c r="J21" s="361"/>
      <c r="K21" s="112">
        <v>0.60426999999999997</v>
      </c>
      <c r="L21" s="112">
        <v>0.7381899999999999</v>
      </c>
      <c r="M21" s="361"/>
      <c r="N21" s="361"/>
      <c r="O21" s="892"/>
      <c r="P21" s="892"/>
      <c r="Q21" s="362">
        <v>0.64484999999999992</v>
      </c>
      <c r="R21" s="361"/>
      <c r="S21" s="363"/>
      <c r="T21" s="362">
        <v>0.70630999999999999</v>
      </c>
      <c r="U21" s="361"/>
      <c r="V21" s="564"/>
      <c r="W21" s="362">
        <v>0.60065000000000002</v>
      </c>
      <c r="X21" s="361"/>
      <c r="Y21" s="564"/>
      <c r="Z21" s="362">
        <v>0.5978</v>
      </c>
      <c r="AA21" s="361"/>
      <c r="AB21" s="564"/>
      <c r="AC21" s="112">
        <v>0.60082999999999998</v>
      </c>
      <c r="AD21" s="361"/>
      <c r="AE21" s="564"/>
      <c r="AF21" s="112">
        <v>0.60548000000000002</v>
      </c>
      <c r="AG21" s="361"/>
      <c r="AH21" s="564"/>
      <c r="AI21" s="362">
        <v>0.7381899999999999</v>
      </c>
      <c r="AJ21" s="361"/>
      <c r="AK21" s="363"/>
      <c r="AL21" s="1142"/>
      <c r="AM21" s="362">
        <v>0.76269999999999993</v>
      </c>
      <c r="AN21" s="361"/>
      <c r="AO21" s="363"/>
      <c r="AP21" s="362">
        <v>0</v>
      </c>
      <c r="AQ21" s="361"/>
      <c r="AR21" s="564"/>
      <c r="AS21" s="362">
        <v>0.63580000000000003</v>
      </c>
      <c r="AT21" s="361"/>
      <c r="AU21" s="363"/>
      <c r="AV21" s="362">
        <v>0.62968000000000002</v>
      </c>
      <c r="AW21" s="361"/>
      <c r="AX21" s="363"/>
      <c r="AY21" s="362">
        <v>0.63270000000000004</v>
      </c>
      <c r="AZ21" s="361"/>
      <c r="BA21" s="363"/>
      <c r="BB21" s="362">
        <v>0.76112999999999997</v>
      </c>
      <c r="BC21" s="361"/>
      <c r="BD21" s="363"/>
      <c r="BE21" s="564"/>
    </row>
    <row r="22" spans="1:59" x14ac:dyDescent="0.2">
      <c r="A22" s="76">
        <v>15</v>
      </c>
      <c r="B22" s="668"/>
      <c r="C22" s="813" t="s">
        <v>62</v>
      </c>
      <c r="D22" s="364"/>
      <c r="E22" s="364"/>
      <c r="F22" s="365"/>
      <c r="G22" s="366"/>
      <c r="H22" s="366"/>
      <c r="I22" s="817"/>
      <c r="J22" s="368"/>
      <c r="K22" s="367"/>
      <c r="L22" s="367"/>
      <c r="M22" s="368">
        <v>2420.73</v>
      </c>
      <c r="N22" s="368">
        <v>2607.4499999999998</v>
      </c>
      <c r="O22" s="368">
        <v>2891.36</v>
      </c>
      <c r="P22" s="368">
        <v>3119.46</v>
      </c>
      <c r="Q22" s="370"/>
      <c r="R22" s="368">
        <v>2571.1</v>
      </c>
      <c r="S22" s="371">
        <v>6.2E-2</v>
      </c>
      <c r="T22" s="369"/>
      <c r="U22" s="368">
        <v>2991.45</v>
      </c>
      <c r="V22" s="565">
        <v>0.14699999999999999</v>
      </c>
      <c r="W22" s="369"/>
      <c r="X22" s="368">
        <v>2407.31</v>
      </c>
      <c r="Y22" s="565">
        <v>-6.0000000000000001E-3</v>
      </c>
      <c r="Z22" s="369"/>
      <c r="AA22" s="368">
        <v>2396.7600000000002</v>
      </c>
      <c r="AB22" s="565">
        <v>-0.01</v>
      </c>
      <c r="AC22" s="368"/>
      <c r="AD22" s="368">
        <v>2407.9899999999998</v>
      </c>
      <c r="AE22" s="565">
        <v>-5.0000000000000001E-3</v>
      </c>
      <c r="AF22" s="368"/>
      <c r="AG22" s="368">
        <v>2425.23</v>
      </c>
      <c r="AH22" s="565">
        <v>2E-3</v>
      </c>
      <c r="AI22" s="370"/>
      <c r="AJ22" s="368">
        <v>2891.36</v>
      </c>
      <c r="AK22" s="371">
        <v>0.19400000000000001</v>
      </c>
      <c r="AL22" s="368">
        <v>470.63000000000011</v>
      </c>
      <c r="AM22" s="370"/>
      <c r="AN22" s="368">
        <v>2982.2</v>
      </c>
      <c r="AO22" s="371">
        <v>3.1E-2</v>
      </c>
      <c r="AP22" s="369"/>
      <c r="AQ22" s="368">
        <v>250</v>
      </c>
      <c r="AR22" s="565">
        <v>-0.92</v>
      </c>
      <c r="AS22" s="370"/>
      <c r="AT22" s="368">
        <v>2537.59</v>
      </c>
      <c r="AU22" s="371">
        <v>-0.122</v>
      </c>
      <c r="AV22" s="370"/>
      <c r="AW22" s="368">
        <v>2514.92</v>
      </c>
      <c r="AX22" s="371">
        <v>-0.13</v>
      </c>
      <c r="AY22" s="370"/>
      <c r="AZ22" s="368">
        <v>2526.12</v>
      </c>
      <c r="BA22" s="371">
        <v>-0.122</v>
      </c>
      <c r="BB22" s="370"/>
      <c r="BC22" s="368">
        <v>2976.36</v>
      </c>
      <c r="BD22" s="371">
        <v>2.9000000000000001E-2</v>
      </c>
      <c r="BE22" s="1493">
        <v>85</v>
      </c>
      <c r="BF22" s="359"/>
      <c r="BG22" s="359"/>
    </row>
    <row r="23" spans="1:59" x14ac:dyDescent="0.2">
      <c r="A23" s="76">
        <v>16</v>
      </c>
      <c r="B23" s="677" t="s">
        <v>253</v>
      </c>
      <c r="C23" s="812" t="s">
        <v>4</v>
      </c>
      <c r="D23" s="288">
        <v>392890.20000000007</v>
      </c>
      <c r="E23" s="288">
        <v>399967</v>
      </c>
      <c r="F23" s="360">
        <v>2000</v>
      </c>
      <c r="G23" s="289">
        <v>4741</v>
      </c>
      <c r="H23" s="289">
        <v>4770</v>
      </c>
      <c r="I23" s="816">
        <v>250</v>
      </c>
      <c r="J23" s="361">
        <v>250</v>
      </c>
      <c r="K23" s="112">
        <v>0.60577000000000025</v>
      </c>
      <c r="L23" s="112">
        <v>0.71891000000000027</v>
      </c>
      <c r="M23" s="361"/>
      <c r="N23" s="361"/>
      <c r="O23" s="892"/>
      <c r="P23" s="892"/>
      <c r="Q23" s="362">
        <v>0.62490000000000023</v>
      </c>
      <c r="R23" s="361"/>
      <c r="S23" s="363"/>
      <c r="T23" s="362">
        <v>0.70206000000000024</v>
      </c>
      <c r="U23" s="361"/>
      <c r="V23" s="564"/>
      <c r="W23" s="362">
        <v>0.60186000000000028</v>
      </c>
      <c r="X23" s="361"/>
      <c r="Y23" s="564"/>
      <c r="Z23" s="362">
        <v>0.60577000000000025</v>
      </c>
      <c r="AA23" s="361"/>
      <c r="AB23" s="564"/>
      <c r="AC23" s="112">
        <v>0.60225000000000029</v>
      </c>
      <c r="AD23" s="361"/>
      <c r="AE23" s="564"/>
      <c r="AF23" s="112">
        <v>0.60701000000000027</v>
      </c>
      <c r="AG23" s="361"/>
      <c r="AH23" s="564"/>
      <c r="AI23" s="362">
        <v>0.71891000000000027</v>
      </c>
      <c r="AJ23" s="361"/>
      <c r="AK23" s="363"/>
      <c r="AL23" s="1142"/>
      <c r="AM23" s="362">
        <v>0.72764000000000029</v>
      </c>
      <c r="AN23" s="361"/>
      <c r="AO23" s="363"/>
      <c r="AP23" s="362">
        <v>0</v>
      </c>
      <c r="AQ23" s="361"/>
      <c r="AR23" s="564"/>
      <c r="AS23" s="362">
        <v>0.62227000000000021</v>
      </c>
      <c r="AT23" s="361"/>
      <c r="AU23" s="363"/>
      <c r="AV23" s="362">
        <v>0.62262000000000017</v>
      </c>
      <c r="AW23" s="361"/>
      <c r="AX23" s="363"/>
      <c r="AY23" s="362">
        <v>0.61922000000000021</v>
      </c>
      <c r="AZ23" s="361"/>
      <c r="BA23" s="363"/>
      <c r="BB23" s="362">
        <v>0.7261700000000002</v>
      </c>
      <c r="BC23" s="361"/>
      <c r="BD23" s="363"/>
      <c r="BE23" s="564"/>
    </row>
    <row r="24" spans="1:59" x14ac:dyDescent="0.2">
      <c r="A24" s="76">
        <v>17</v>
      </c>
      <c r="B24" s="670"/>
      <c r="C24" s="812" t="s">
        <v>5</v>
      </c>
      <c r="D24" s="288">
        <v>621650.00000000012</v>
      </c>
      <c r="E24" s="288">
        <v>630361</v>
      </c>
      <c r="F24" s="360" t="s">
        <v>59</v>
      </c>
      <c r="G24" s="289"/>
      <c r="H24" s="289"/>
      <c r="I24" s="816"/>
      <c r="J24" s="361"/>
      <c r="K24" s="112">
        <v>0.56396000000000013</v>
      </c>
      <c r="L24" s="112">
        <v>0.67496000000000023</v>
      </c>
      <c r="M24" s="361"/>
      <c r="N24" s="361"/>
      <c r="O24" s="892"/>
      <c r="P24" s="892"/>
      <c r="Q24" s="362">
        <v>0.58082000000000011</v>
      </c>
      <c r="R24" s="361"/>
      <c r="S24" s="363"/>
      <c r="T24" s="362">
        <v>0.6601100000000002</v>
      </c>
      <c r="U24" s="361"/>
      <c r="V24" s="564"/>
      <c r="W24" s="362">
        <v>0.56052000000000013</v>
      </c>
      <c r="X24" s="361"/>
      <c r="Y24" s="564"/>
      <c r="Z24" s="362">
        <v>0.56396000000000013</v>
      </c>
      <c r="AA24" s="361"/>
      <c r="AB24" s="564"/>
      <c r="AC24" s="112">
        <v>0.56086000000000014</v>
      </c>
      <c r="AD24" s="361"/>
      <c r="AE24" s="564"/>
      <c r="AF24" s="112">
        <v>0.56505000000000016</v>
      </c>
      <c r="AG24" s="361"/>
      <c r="AH24" s="564"/>
      <c r="AI24" s="362">
        <v>0.67496000000000023</v>
      </c>
      <c r="AJ24" s="361"/>
      <c r="AK24" s="363"/>
      <c r="AL24" s="1142"/>
      <c r="AM24" s="362">
        <v>0.6826500000000002</v>
      </c>
      <c r="AN24" s="361"/>
      <c r="AO24" s="363"/>
      <c r="AP24" s="362">
        <v>0</v>
      </c>
      <c r="AQ24" s="361"/>
      <c r="AR24" s="564"/>
      <c r="AS24" s="362">
        <v>0.57851000000000008</v>
      </c>
      <c r="AT24" s="361"/>
      <c r="AU24" s="363"/>
      <c r="AV24" s="362">
        <v>0.57881000000000005</v>
      </c>
      <c r="AW24" s="361"/>
      <c r="AX24" s="363"/>
      <c r="AY24" s="362">
        <v>0.57582</v>
      </c>
      <c r="AZ24" s="361"/>
      <c r="BA24" s="363"/>
      <c r="BB24" s="362">
        <v>0.68137000000000014</v>
      </c>
      <c r="BC24" s="361"/>
      <c r="BD24" s="363"/>
      <c r="BE24" s="564"/>
    </row>
    <row r="25" spans="1:59" x14ac:dyDescent="0.2">
      <c r="A25" s="76">
        <v>18</v>
      </c>
      <c r="B25" s="668"/>
      <c r="C25" s="813" t="s">
        <v>62</v>
      </c>
      <c r="D25" s="364"/>
      <c r="E25" s="364"/>
      <c r="F25" s="365"/>
      <c r="G25" s="366"/>
      <c r="H25" s="366"/>
      <c r="I25" s="817"/>
      <c r="J25" s="368"/>
      <c r="K25" s="367"/>
      <c r="L25" s="367"/>
      <c r="M25" s="368">
        <v>3007.35</v>
      </c>
      <c r="N25" s="368">
        <v>3023.71</v>
      </c>
      <c r="O25" s="368">
        <v>3537.89</v>
      </c>
      <c r="P25" s="368">
        <v>3557.46</v>
      </c>
      <c r="Q25" s="370"/>
      <c r="R25" s="368">
        <v>3091.83</v>
      </c>
      <c r="S25" s="371">
        <v>2.8000000000000001E-2</v>
      </c>
      <c r="T25" s="369"/>
      <c r="U25" s="368">
        <v>3482.62</v>
      </c>
      <c r="V25" s="565">
        <v>0.152</v>
      </c>
      <c r="W25" s="369"/>
      <c r="X25" s="368">
        <v>2990.11</v>
      </c>
      <c r="Y25" s="565">
        <v>-6.0000000000000001E-3</v>
      </c>
      <c r="Z25" s="369"/>
      <c r="AA25" s="368">
        <v>3007.35</v>
      </c>
      <c r="AB25" s="565">
        <v>0</v>
      </c>
      <c r="AC25" s="368"/>
      <c r="AD25" s="368">
        <v>2991.82</v>
      </c>
      <c r="AE25" s="565">
        <v>-5.0000000000000001E-3</v>
      </c>
      <c r="AF25" s="368"/>
      <c r="AG25" s="368">
        <v>3012.82</v>
      </c>
      <c r="AH25" s="565">
        <v>2E-3</v>
      </c>
      <c r="AI25" s="370"/>
      <c r="AJ25" s="368">
        <v>3537.89</v>
      </c>
      <c r="AK25" s="371">
        <v>0.17599999999999999</v>
      </c>
      <c r="AL25" s="368">
        <v>530.54</v>
      </c>
      <c r="AM25" s="370"/>
      <c r="AN25" s="368">
        <v>3576.42</v>
      </c>
      <c r="AO25" s="371">
        <v>1.0999999999999999E-2</v>
      </c>
      <c r="AP25" s="369"/>
      <c r="AQ25" s="368">
        <v>250</v>
      </c>
      <c r="AR25" s="565">
        <v>-0.93</v>
      </c>
      <c r="AS25" s="370"/>
      <c r="AT25" s="368">
        <v>3080.24</v>
      </c>
      <c r="AU25" s="371">
        <v>-0.129</v>
      </c>
      <c r="AV25" s="370"/>
      <c r="AW25" s="368">
        <v>3081.76</v>
      </c>
      <c r="AX25" s="371">
        <v>-0.129</v>
      </c>
      <c r="AY25" s="370"/>
      <c r="AZ25" s="368">
        <v>3066.76</v>
      </c>
      <c r="BA25" s="371">
        <v>-0.129</v>
      </c>
      <c r="BB25" s="370"/>
      <c r="BC25" s="368">
        <v>3569.98</v>
      </c>
      <c r="BD25" s="371">
        <v>8.9999999999999993E-3</v>
      </c>
      <c r="BE25" s="1493">
        <v>32.090000000000146</v>
      </c>
      <c r="BF25" s="359"/>
      <c r="BG25" s="359"/>
    </row>
    <row r="26" spans="1:59" x14ac:dyDescent="0.2">
      <c r="A26" s="76">
        <v>19</v>
      </c>
      <c r="B26" s="670" t="s">
        <v>251</v>
      </c>
      <c r="C26" s="812" t="s">
        <v>4</v>
      </c>
      <c r="D26" s="288">
        <v>0</v>
      </c>
      <c r="E26" s="288">
        <v>0</v>
      </c>
      <c r="F26" s="360">
        <v>2000</v>
      </c>
      <c r="G26" s="289">
        <v>0</v>
      </c>
      <c r="H26" s="289">
        <v>0</v>
      </c>
      <c r="I26" s="816">
        <v>250</v>
      </c>
      <c r="J26" s="361">
        <v>250</v>
      </c>
      <c r="K26" s="112">
        <v>0.66024999999999989</v>
      </c>
      <c r="L26" s="112">
        <v>0.81380999999999981</v>
      </c>
      <c r="M26" s="361"/>
      <c r="N26" s="361"/>
      <c r="O26" s="892"/>
      <c r="P26" s="892"/>
      <c r="Q26" s="362">
        <v>0.69311999999999985</v>
      </c>
      <c r="R26" s="361"/>
      <c r="S26" s="363"/>
      <c r="T26" s="362">
        <v>0.78944999999999987</v>
      </c>
      <c r="U26" s="361"/>
      <c r="V26" s="564"/>
      <c r="W26" s="362">
        <v>0.65702999999999989</v>
      </c>
      <c r="X26" s="361"/>
      <c r="Y26" s="564"/>
      <c r="Z26" s="362">
        <v>0.65338999999999992</v>
      </c>
      <c r="AA26" s="361"/>
      <c r="AB26" s="564"/>
      <c r="AC26" s="112">
        <v>0.65721999999999992</v>
      </c>
      <c r="AD26" s="361"/>
      <c r="AE26" s="564"/>
      <c r="AF26" s="112">
        <v>0.66162999999999994</v>
      </c>
      <c r="AG26" s="361"/>
      <c r="AH26" s="564"/>
      <c r="AI26" s="362">
        <v>0.81380999999999981</v>
      </c>
      <c r="AJ26" s="361"/>
      <c r="AK26" s="363"/>
      <c r="AL26" s="1142"/>
      <c r="AM26" s="362">
        <v>0.83542999999999978</v>
      </c>
      <c r="AN26" s="361"/>
      <c r="AO26" s="363"/>
      <c r="AP26" s="362">
        <v>0</v>
      </c>
      <c r="AQ26" s="361"/>
      <c r="AR26" s="564"/>
      <c r="AS26" s="362">
        <v>0.68429999999999991</v>
      </c>
      <c r="AT26" s="361"/>
      <c r="AU26" s="363"/>
      <c r="AV26" s="362">
        <v>0.67782999999999993</v>
      </c>
      <c r="AW26" s="361"/>
      <c r="AX26" s="363"/>
      <c r="AY26" s="362">
        <v>0.6815699999999999</v>
      </c>
      <c r="AZ26" s="361"/>
      <c r="BA26" s="363"/>
      <c r="BB26" s="362">
        <v>0.83380999999999983</v>
      </c>
      <c r="BC26" s="361"/>
      <c r="BD26" s="363"/>
      <c r="BE26" s="564"/>
    </row>
    <row r="27" spans="1:59" x14ac:dyDescent="0.2">
      <c r="A27" s="76">
        <v>20</v>
      </c>
      <c r="B27" s="670"/>
      <c r="C27" s="812" t="s">
        <v>5</v>
      </c>
      <c r="D27" s="288">
        <v>0</v>
      </c>
      <c r="E27" s="288">
        <v>0</v>
      </c>
      <c r="F27" s="360" t="s">
        <v>59</v>
      </c>
      <c r="G27" s="289"/>
      <c r="H27" s="289"/>
      <c r="I27" s="816"/>
      <c r="J27" s="361"/>
      <c r="K27" s="112">
        <v>0.61316999999999988</v>
      </c>
      <c r="L27" s="112">
        <v>0.76286999999999983</v>
      </c>
      <c r="M27" s="361"/>
      <c r="N27" s="361"/>
      <c r="O27" s="892"/>
      <c r="P27" s="892"/>
      <c r="Q27" s="362">
        <v>0.64212999999999987</v>
      </c>
      <c r="R27" s="361"/>
      <c r="S27" s="363"/>
      <c r="T27" s="362">
        <v>0.74141999999999986</v>
      </c>
      <c r="U27" s="361"/>
      <c r="V27" s="564"/>
      <c r="W27" s="362">
        <v>0.61032999999999993</v>
      </c>
      <c r="X27" s="361"/>
      <c r="Y27" s="564"/>
      <c r="Z27" s="362">
        <v>0.60711999999999988</v>
      </c>
      <c r="AA27" s="361"/>
      <c r="AB27" s="564"/>
      <c r="AC27" s="112">
        <v>0.61049999999999993</v>
      </c>
      <c r="AD27" s="361"/>
      <c r="AE27" s="564"/>
      <c r="AF27" s="112">
        <v>0.61437999999999993</v>
      </c>
      <c r="AG27" s="361"/>
      <c r="AH27" s="564"/>
      <c r="AI27" s="362">
        <v>0.76286999999999983</v>
      </c>
      <c r="AJ27" s="361"/>
      <c r="AK27" s="363"/>
      <c r="AL27" s="1142"/>
      <c r="AM27" s="362">
        <v>0.78191999999999984</v>
      </c>
      <c r="AN27" s="361"/>
      <c r="AO27" s="363"/>
      <c r="AP27" s="362">
        <v>0</v>
      </c>
      <c r="AQ27" s="361"/>
      <c r="AR27" s="564"/>
      <c r="AS27" s="362">
        <v>0.63434999999999986</v>
      </c>
      <c r="AT27" s="361"/>
      <c r="AU27" s="363"/>
      <c r="AV27" s="362">
        <v>0.62864999999999982</v>
      </c>
      <c r="AW27" s="361"/>
      <c r="AX27" s="363"/>
      <c r="AY27" s="362">
        <v>0.63193999999999984</v>
      </c>
      <c r="AZ27" s="361"/>
      <c r="BA27" s="363"/>
      <c r="BB27" s="362">
        <v>0.78050999999999982</v>
      </c>
      <c r="BC27" s="361"/>
      <c r="BD27" s="363"/>
      <c r="BE27" s="564"/>
    </row>
    <row r="28" spans="1:59" x14ac:dyDescent="0.2">
      <c r="A28" s="76">
        <v>21</v>
      </c>
      <c r="B28" s="668"/>
      <c r="C28" s="813" t="s">
        <v>62</v>
      </c>
      <c r="D28" s="364"/>
      <c r="E28" s="364"/>
      <c r="F28" s="365"/>
      <c r="G28" s="366"/>
      <c r="H28" s="366"/>
      <c r="I28" s="817"/>
      <c r="J28" s="368"/>
      <c r="K28" s="367"/>
      <c r="L28" s="367"/>
      <c r="M28" s="368">
        <v>250</v>
      </c>
      <c r="N28" s="368">
        <v>250</v>
      </c>
      <c r="O28" s="368">
        <v>250</v>
      </c>
      <c r="P28" s="368">
        <v>250</v>
      </c>
      <c r="Q28" s="370"/>
      <c r="R28" s="368">
        <v>250</v>
      </c>
      <c r="S28" s="371">
        <v>0</v>
      </c>
      <c r="T28" s="369"/>
      <c r="U28" s="368">
        <v>250</v>
      </c>
      <c r="V28" s="565">
        <v>0</v>
      </c>
      <c r="W28" s="369"/>
      <c r="X28" s="368">
        <v>250</v>
      </c>
      <c r="Y28" s="565">
        <v>0</v>
      </c>
      <c r="Z28" s="369"/>
      <c r="AA28" s="368">
        <v>250</v>
      </c>
      <c r="AB28" s="565">
        <v>0</v>
      </c>
      <c r="AC28" s="368"/>
      <c r="AD28" s="368">
        <v>250</v>
      </c>
      <c r="AE28" s="565">
        <v>0</v>
      </c>
      <c r="AF28" s="368"/>
      <c r="AG28" s="368">
        <v>250</v>
      </c>
      <c r="AH28" s="565">
        <v>0</v>
      </c>
      <c r="AI28" s="370"/>
      <c r="AJ28" s="368">
        <v>250</v>
      </c>
      <c r="AK28" s="371">
        <v>0</v>
      </c>
      <c r="AL28" s="368">
        <v>0</v>
      </c>
      <c r="AM28" s="370"/>
      <c r="AN28" s="368">
        <v>250</v>
      </c>
      <c r="AO28" s="371">
        <v>0</v>
      </c>
      <c r="AP28" s="369"/>
      <c r="AQ28" s="368">
        <v>250</v>
      </c>
      <c r="AR28" s="565">
        <v>0</v>
      </c>
      <c r="AS28" s="370"/>
      <c r="AT28" s="368">
        <v>250</v>
      </c>
      <c r="AU28" s="371">
        <v>0</v>
      </c>
      <c r="AV28" s="370"/>
      <c r="AW28" s="368">
        <v>250</v>
      </c>
      <c r="AX28" s="371">
        <v>0</v>
      </c>
      <c r="AY28" s="370"/>
      <c r="AZ28" s="368">
        <v>250</v>
      </c>
      <c r="BA28" s="371">
        <v>0</v>
      </c>
      <c r="BB28" s="370"/>
      <c r="BC28" s="368">
        <v>250</v>
      </c>
      <c r="BD28" s="371">
        <v>0</v>
      </c>
      <c r="BE28" s="1493">
        <v>0</v>
      </c>
      <c r="BF28" s="359"/>
      <c r="BG28" s="359"/>
    </row>
    <row r="29" spans="1:59" x14ac:dyDescent="0.2">
      <c r="A29" s="76">
        <v>22</v>
      </c>
      <c r="B29" s="670" t="s">
        <v>257</v>
      </c>
      <c r="C29" s="812" t="s">
        <v>4</v>
      </c>
      <c r="D29" s="288">
        <v>0</v>
      </c>
      <c r="E29" s="288">
        <v>0</v>
      </c>
      <c r="F29" s="360">
        <v>2000</v>
      </c>
      <c r="G29" s="289">
        <v>0</v>
      </c>
      <c r="H29" s="289">
        <v>0</v>
      </c>
      <c r="I29" s="816">
        <v>250</v>
      </c>
      <c r="J29" s="361">
        <v>250</v>
      </c>
      <c r="K29" s="112">
        <v>0.61580999999999997</v>
      </c>
      <c r="L29" s="112">
        <v>0.74958000000000002</v>
      </c>
      <c r="M29" s="361"/>
      <c r="N29" s="361"/>
      <c r="O29" s="892"/>
      <c r="P29" s="892"/>
      <c r="Q29" s="362">
        <v>0.62834999999999996</v>
      </c>
      <c r="R29" s="361"/>
      <c r="S29" s="363"/>
      <c r="T29" s="362">
        <v>0.73860999999999988</v>
      </c>
      <c r="U29" s="361"/>
      <c r="V29" s="564"/>
      <c r="W29" s="362">
        <v>0.61258999999999997</v>
      </c>
      <c r="X29" s="361"/>
      <c r="Y29" s="564"/>
      <c r="Z29" s="362">
        <v>0.61580999999999997</v>
      </c>
      <c r="AA29" s="361"/>
      <c r="AB29" s="564"/>
      <c r="AC29" s="112">
        <v>0.61293999999999993</v>
      </c>
      <c r="AD29" s="361"/>
      <c r="AE29" s="564"/>
      <c r="AF29" s="112">
        <v>0.61710999999999994</v>
      </c>
      <c r="AG29" s="361"/>
      <c r="AH29" s="564"/>
      <c r="AI29" s="362">
        <v>0.74958000000000002</v>
      </c>
      <c r="AJ29" s="361"/>
      <c r="AK29" s="363"/>
      <c r="AL29" s="1142"/>
      <c r="AM29" s="362">
        <v>0.75670999999999999</v>
      </c>
      <c r="AN29" s="361"/>
      <c r="AO29" s="363"/>
      <c r="AP29" s="362">
        <v>0</v>
      </c>
      <c r="AQ29" s="361"/>
      <c r="AR29" s="564"/>
      <c r="AS29" s="362">
        <v>0.62649999999999995</v>
      </c>
      <c r="AT29" s="361"/>
      <c r="AU29" s="363"/>
      <c r="AV29" s="362">
        <v>0.62677999999999989</v>
      </c>
      <c r="AW29" s="361"/>
      <c r="AX29" s="363"/>
      <c r="AY29" s="362">
        <v>0.62400999999999984</v>
      </c>
      <c r="AZ29" s="361"/>
      <c r="BA29" s="363"/>
      <c r="BB29" s="362">
        <v>0.75522999999999996</v>
      </c>
      <c r="BC29" s="361"/>
      <c r="BD29" s="363"/>
      <c r="BE29" s="564"/>
    </row>
    <row r="30" spans="1:59" x14ac:dyDescent="0.2">
      <c r="A30" s="76">
        <v>23</v>
      </c>
      <c r="B30" s="670"/>
      <c r="C30" s="812" t="s">
        <v>5</v>
      </c>
      <c r="D30" s="288">
        <v>0</v>
      </c>
      <c r="E30" s="288">
        <v>0</v>
      </c>
      <c r="F30" s="360" t="s">
        <v>59</v>
      </c>
      <c r="G30" s="372"/>
      <c r="H30" s="372"/>
      <c r="I30" s="818"/>
      <c r="J30" s="637"/>
      <c r="K30" s="112">
        <v>0.57401999999999986</v>
      </c>
      <c r="L30" s="112">
        <v>0.70627999999999991</v>
      </c>
      <c r="M30" s="361"/>
      <c r="N30" s="361"/>
      <c r="O30" s="892"/>
      <c r="P30" s="892"/>
      <c r="Q30" s="362">
        <v>0.58505999999999991</v>
      </c>
      <c r="R30" s="361"/>
      <c r="S30" s="363"/>
      <c r="T30" s="362">
        <v>0.69661999999999991</v>
      </c>
      <c r="U30" s="361"/>
      <c r="V30" s="564"/>
      <c r="W30" s="362">
        <v>0.57117999999999991</v>
      </c>
      <c r="X30" s="361"/>
      <c r="Y30" s="564"/>
      <c r="Z30" s="362">
        <v>0.57401999999999986</v>
      </c>
      <c r="AA30" s="361"/>
      <c r="AB30" s="564"/>
      <c r="AC30" s="112">
        <v>0.57148999999999983</v>
      </c>
      <c r="AD30" s="361"/>
      <c r="AE30" s="564"/>
      <c r="AF30" s="112">
        <v>0.57516999999999985</v>
      </c>
      <c r="AG30" s="361"/>
      <c r="AH30" s="564"/>
      <c r="AI30" s="362">
        <v>0.70627999999999991</v>
      </c>
      <c r="AJ30" s="361"/>
      <c r="AK30" s="363"/>
      <c r="AL30" s="1142"/>
      <c r="AM30" s="362">
        <v>0.71255999999999986</v>
      </c>
      <c r="AN30" s="361"/>
      <c r="AO30" s="363"/>
      <c r="AP30" s="362">
        <v>0</v>
      </c>
      <c r="AQ30" s="361"/>
      <c r="AR30" s="564"/>
      <c r="AS30" s="362">
        <v>0.58342999999999989</v>
      </c>
      <c r="AT30" s="361"/>
      <c r="AU30" s="363"/>
      <c r="AV30" s="362">
        <v>0.58367999999999987</v>
      </c>
      <c r="AW30" s="361"/>
      <c r="AX30" s="363"/>
      <c r="AY30" s="362">
        <v>0.58123999999999987</v>
      </c>
      <c r="AZ30" s="361"/>
      <c r="BA30" s="363"/>
      <c r="BB30" s="362">
        <v>0.71124999999999994</v>
      </c>
      <c r="BC30" s="361"/>
      <c r="BD30" s="363"/>
      <c r="BE30" s="564"/>
    </row>
    <row r="31" spans="1:59" x14ac:dyDescent="0.2">
      <c r="A31" s="76">
        <v>24</v>
      </c>
      <c r="B31" s="668"/>
      <c r="C31" s="813" t="s">
        <v>62</v>
      </c>
      <c r="D31" s="364"/>
      <c r="E31" s="364"/>
      <c r="F31" s="365"/>
      <c r="G31" s="366"/>
      <c r="H31" s="366"/>
      <c r="I31" s="817"/>
      <c r="J31" s="368"/>
      <c r="K31" s="367"/>
      <c r="L31" s="367"/>
      <c r="M31" s="368">
        <v>250</v>
      </c>
      <c r="N31" s="368">
        <v>250</v>
      </c>
      <c r="O31" s="368">
        <v>250</v>
      </c>
      <c r="P31" s="368">
        <v>250</v>
      </c>
      <c r="Q31" s="370"/>
      <c r="R31" s="368">
        <v>250</v>
      </c>
      <c r="S31" s="371">
        <v>0</v>
      </c>
      <c r="T31" s="369"/>
      <c r="U31" s="368">
        <v>250</v>
      </c>
      <c r="V31" s="565">
        <v>0</v>
      </c>
      <c r="W31" s="369"/>
      <c r="X31" s="368">
        <v>250</v>
      </c>
      <c r="Y31" s="565">
        <v>0</v>
      </c>
      <c r="Z31" s="369"/>
      <c r="AA31" s="368">
        <v>250</v>
      </c>
      <c r="AB31" s="565">
        <v>0</v>
      </c>
      <c r="AC31" s="368"/>
      <c r="AD31" s="368">
        <v>250</v>
      </c>
      <c r="AE31" s="565">
        <v>0</v>
      </c>
      <c r="AF31" s="368"/>
      <c r="AG31" s="368">
        <v>250</v>
      </c>
      <c r="AH31" s="565">
        <v>0</v>
      </c>
      <c r="AI31" s="370"/>
      <c r="AJ31" s="368">
        <v>250</v>
      </c>
      <c r="AK31" s="371">
        <v>0</v>
      </c>
      <c r="AL31" s="368">
        <v>0</v>
      </c>
      <c r="AM31" s="370"/>
      <c r="AN31" s="368">
        <v>250</v>
      </c>
      <c r="AO31" s="371">
        <v>0</v>
      </c>
      <c r="AP31" s="369"/>
      <c r="AQ31" s="368">
        <v>250</v>
      </c>
      <c r="AR31" s="565">
        <v>0</v>
      </c>
      <c r="AS31" s="370"/>
      <c r="AT31" s="368">
        <v>250</v>
      </c>
      <c r="AU31" s="371">
        <v>0</v>
      </c>
      <c r="AV31" s="370"/>
      <c r="AW31" s="368">
        <v>250</v>
      </c>
      <c r="AX31" s="371">
        <v>0</v>
      </c>
      <c r="AY31" s="370"/>
      <c r="AZ31" s="368">
        <v>250</v>
      </c>
      <c r="BA31" s="371">
        <v>0</v>
      </c>
      <c r="BB31" s="370"/>
      <c r="BC31" s="368">
        <v>250</v>
      </c>
      <c r="BD31" s="371">
        <v>0</v>
      </c>
      <c r="BE31" s="1493">
        <v>0</v>
      </c>
      <c r="BF31" s="359"/>
      <c r="BG31" s="359"/>
    </row>
    <row r="32" spans="1:59" x14ac:dyDescent="0.2">
      <c r="A32" s="76">
        <v>25</v>
      </c>
      <c r="B32" s="670" t="s">
        <v>260</v>
      </c>
      <c r="C32" s="812" t="s">
        <v>4</v>
      </c>
      <c r="D32" s="288">
        <v>168721</v>
      </c>
      <c r="E32" s="288">
        <v>169264</v>
      </c>
      <c r="F32" s="360">
        <v>2000</v>
      </c>
      <c r="G32" s="289">
        <v>4648</v>
      </c>
      <c r="H32" s="289">
        <v>4482</v>
      </c>
      <c r="I32" s="816">
        <v>500</v>
      </c>
      <c r="J32" s="361">
        <v>500</v>
      </c>
      <c r="K32" s="112">
        <v>0.34945999999999999</v>
      </c>
      <c r="L32" s="112">
        <v>0.37100000000000005</v>
      </c>
      <c r="M32" s="361"/>
      <c r="N32" s="361"/>
      <c r="O32" s="892"/>
      <c r="P32" s="892"/>
      <c r="Q32" s="362">
        <v>0.37073</v>
      </c>
      <c r="R32" s="361"/>
      <c r="S32" s="363"/>
      <c r="T32" s="362">
        <v>0.35226000000000002</v>
      </c>
      <c r="U32" s="361"/>
      <c r="V32" s="564"/>
      <c r="W32" s="362">
        <v>0.34510999999999997</v>
      </c>
      <c r="X32" s="361"/>
      <c r="Y32" s="564"/>
      <c r="Z32" s="362">
        <v>0.34945999999999999</v>
      </c>
      <c r="AA32" s="361"/>
      <c r="AB32" s="564"/>
      <c r="AC32" s="112">
        <v>0.34554999999999997</v>
      </c>
      <c r="AD32" s="361"/>
      <c r="AE32" s="564"/>
      <c r="AF32" s="112">
        <v>0.35083999999999999</v>
      </c>
      <c r="AG32" s="361"/>
      <c r="AH32" s="564"/>
      <c r="AI32" s="362">
        <v>0.37100000000000005</v>
      </c>
      <c r="AJ32" s="361"/>
      <c r="AK32" s="363"/>
      <c r="AL32" s="1142"/>
      <c r="AM32" s="362">
        <v>0.38071000000000005</v>
      </c>
      <c r="AN32" s="361"/>
      <c r="AO32" s="363"/>
      <c r="AP32" s="362">
        <v>0</v>
      </c>
      <c r="AQ32" s="361"/>
      <c r="AR32" s="564"/>
      <c r="AS32" s="362">
        <v>0.36781999999999998</v>
      </c>
      <c r="AT32" s="361"/>
      <c r="AU32" s="363"/>
      <c r="AV32" s="362">
        <v>0.36819999999999997</v>
      </c>
      <c r="AW32" s="361"/>
      <c r="AX32" s="363"/>
      <c r="AY32" s="362">
        <v>0.36441999999999997</v>
      </c>
      <c r="AZ32" s="361"/>
      <c r="BA32" s="363"/>
      <c r="BB32" s="362">
        <v>0.37908000000000003</v>
      </c>
      <c r="BC32" s="361"/>
      <c r="BD32" s="363"/>
      <c r="BE32" s="564"/>
    </row>
    <row r="33" spans="1:59" x14ac:dyDescent="0.2">
      <c r="A33" s="76">
        <v>26</v>
      </c>
      <c r="B33" s="670"/>
      <c r="C33" s="812" t="s">
        <v>5</v>
      </c>
      <c r="D33" s="288">
        <v>272866</v>
      </c>
      <c r="E33" s="288">
        <v>260994</v>
      </c>
      <c r="F33" s="360" t="s">
        <v>59</v>
      </c>
      <c r="G33" s="372"/>
      <c r="H33" s="372"/>
      <c r="I33" s="818"/>
      <c r="J33" s="637"/>
      <c r="K33" s="112">
        <v>0.30789000000000011</v>
      </c>
      <c r="L33" s="112">
        <v>0.32688000000000006</v>
      </c>
      <c r="M33" s="361"/>
      <c r="N33" s="361"/>
      <c r="O33" s="892"/>
      <c r="P33" s="892"/>
      <c r="Q33" s="362">
        <v>0.32663000000000009</v>
      </c>
      <c r="R33" s="361"/>
      <c r="S33" s="363"/>
      <c r="T33" s="362">
        <v>0.31037000000000009</v>
      </c>
      <c r="U33" s="361"/>
      <c r="V33" s="564"/>
      <c r="W33" s="362">
        <v>0.30406000000000011</v>
      </c>
      <c r="X33" s="361"/>
      <c r="Y33" s="564"/>
      <c r="Z33" s="362">
        <v>0.30789000000000011</v>
      </c>
      <c r="AA33" s="361"/>
      <c r="AB33" s="564"/>
      <c r="AC33" s="112">
        <v>0.30445000000000011</v>
      </c>
      <c r="AD33" s="361"/>
      <c r="AE33" s="564"/>
      <c r="AF33" s="112">
        <v>0.3091000000000001</v>
      </c>
      <c r="AG33" s="361"/>
      <c r="AH33" s="564"/>
      <c r="AI33" s="362">
        <v>0.32688000000000006</v>
      </c>
      <c r="AJ33" s="361"/>
      <c r="AK33" s="363"/>
      <c r="AL33" s="1142"/>
      <c r="AM33" s="362">
        <v>0.33543000000000006</v>
      </c>
      <c r="AN33" s="361"/>
      <c r="AO33" s="363"/>
      <c r="AP33" s="362">
        <v>0</v>
      </c>
      <c r="AQ33" s="361"/>
      <c r="AR33" s="564"/>
      <c r="AS33" s="362">
        <v>0.32406000000000001</v>
      </c>
      <c r="AT33" s="361"/>
      <c r="AU33" s="363"/>
      <c r="AV33" s="362">
        <v>0.32440000000000002</v>
      </c>
      <c r="AW33" s="361"/>
      <c r="AX33" s="363"/>
      <c r="AY33" s="362">
        <v>0.32107000000000002</v>
      </c>
      <c r="AZ33" s="361"/>
      <c r="BA33" s="363"/>
      <c r="BB33" s="362">
        <v>0.33399000000000006</v>
      </c>
      <c r="BC33" s="361"/>
      <c r="BD33" s="363"/>
      <c r="BE33" s="564"/>
    </row>
    <row r="34" spans="1:59" x14ac:dyDescent="0.2">
      <c r="A34" s="76">
        <v>27</v>
      </c>
      <c r="B34" s="668"/>
      <c r="C34" s="813" t="s">
        <v>62</v>
      </c>
      <c r="D34" s="364"/>
      <c r="E34" s="364"/>
      <c r="F34" s="365"/>
      <c r="G34" s="366"/>
      <c r="H34" s="366"/>
      <c r="I34" s="817"/>
      <c r="J34" s="368"/>
      <c r="K34" s="367"/>
      <c r="L34" s="367"/>
      <c r="M34" s="368">
        <v>2014.21</v>
      </c>
      <c r="N34" s="368">
        <v>1963.1</v>
      </c>
      <c r="O34" s="368">
        <v>2107.58</v>
      </c>
      <c r="P34" s="368">
        <v>2053.3199999999997</v>
      </c>
      <c r="Q34" s="370"/>
      <c r="R34" s="368">
        <v>2106.38</v>
      </c>
      <c r="S34" s="371">
        <v>4.5999999999999999E-2</v>
      </c>
      <c r="T34" s="369"/>
      <c r="U34" s="368">
        <v>1974.86</v>
      </c>
      <c r="V34" s="565">
        <v>6.0000000000000001E-3</v>
      </c>
      <c r="W34" s="369"/>
      <c r="X34" s="368">
        <v>1995.37</v>
      </c>
      <c r="Y34" s="565">
        <v>-8.9999999999999993E-3</v>
      </c>
      <c r="Z34" s="369"/>
      <c r="AA34" s="368">
        <v>2014.21</v>
      </c>
      <c r="AB34" s="565">
        <v>0</v>
      </c>
      <c r="AC34" s="368"/>
      <c r="AD34" s="368">
        <v>1997.28</v>
      </c>
      <c r="AE34" s="565">
        <v>-8.0000000000000002E-3</v>
      </c>
      <c r="AF34" s="368"/>
      <c r="AG34" s="368">
        <v>2020.18</v>
      </c>
      <c r="AH34" s="565">
        <v>3.0000000000000001E-3</v>
      </c>
      <c r="AI34" s="370"/>
      <c r="AJ34" s="368">
        <v>2107.58</v>
      </c>
      <c r="AK34" s="371">
        <v>4.5999999999999999E-2</v>
      </c>
      <c r="AL34" s="368">
        <v>93.369999999999891</v>
      </c>
      <c r="AM34" s="370"/>
      <c r="AN34" s="368">
        <v>2149.6400000000003</v>
      </c>
      <c r="AO34" s="371">
        <v>0.02</v>
      </c>
      <c r="AP34" s="369"/>
      <c r="AQ34" s="368">
        <v>500</v>
      </c>
      <c r="AR34" s="565">
        <v>-0.75600000000000001</v>
      </c>
      <c r="AS34" s="370"/>
      <c r="AT34" s="368">
        <v>2093.75</v>
      </c>
      <c r="AU34" s="371">
        <v>-7.0000000000000001E-3</v>
      </c>
      <c r="AV34" s="370"/>
      <c r="AW34" s="368">
        <v>2095.41</v>
      </c>
      <c r="AX34" s="371">
        <v>-6.0000000000000001E-3</v>
      </c>
      <c r="AY34" s="370"/>
      <c r="AZ34" s="368">
        <v>2079.0299999999997</v>
      </c>
      <c r="BA34" s="371">
        <v>-7.0000000000000001E-3</v>
      </c>
      <c r="BB34" s="370"/>
      <c r="BC34" s="368">
        <v>2142.5699999999997</v>
      </c>
      <c r="BD34" s="371">
        <v>1.7000000000000001E-2</v>
      </c>
      <c r="BE34" s="1493">
        <v>34.989999999999782</v>
      </c>
      <c r="BF34" s="359"/>
      <c r="BG34" s="359"/>
    </row>
    <row r="35" spans="1:59" x14ac:dyDescent="0.2">
      <c r="A35" s="76">
        <v>28</v>
      </c>
      <c r="B35" s="670" t="s">
        <v>254</v>
      </c>
      <c r="C35" s="812" t="s">
        <v>4</v>
      </c>
      <c r="D35" s="288">
        <v>0</v>
      </c>
      <c r="E35" s="288">
        <v>0</v>
      </c>
      <c r="F35" s="360">
        <v>2000</v>
      </c>
      <c r="G35" s="289">
        <v>0</v>
      </c>
      <c r="H35" s="289">
        <v>0</v>
      </c>
      <c r="I35" s="816">
        <v>500</v>
      </c>
      <c r="J35" s="361">
        <v>500</v>
      </c>
      <c r="K35" s="112">
        <v>0.34945999999999999</v>
      </c>
      <c r="L35" s="112">
        <v>0.36336999999999997</v>
      </c>
      <c r="M35" s="361"/>
      <c r="N35" s="361"/>
      <c r="O35" s="892"/>
      <c r="P35" s="892"/>
      <c r="Q35" s="362">
        <v>0.36214999999999997</v>
      </c>
      <c r="R35" s="361"/>
      <c r="S35" s="363"/>
      <c r="T35" s="362">
        <v>0.35226000000000002</v>
      </c>
      <c r="U35" s="361"/>
      <c r="V35" s="564"/>
      <c r="W35" s="362">
        <v>0.34620000000000001</v>
      </c>
      <c r="X35" s="361"/>
      <c r="Y35" s="564"/>
      <c r="Z35" s="362">
        <v>0.34945999999999999</v>
      </c>
      <c r="AA35" s="361"/>
      <c r="AB35" s="564"/>
      <c r="AC35" s="112">
        <v>0.34655999999999998</v>
      </c>
      <c r="AD35" s="361"/>
      <c r="AE35" s="564"/>
      <c r="AF35" s="112">
        <v>0.35077999999999998</v>
      </c>
      <c r="AG35" s="361"/>
      <c r="AH35" s="564"/>
      <c r="AI35" s="362">
        <v>0.36336999999999997</v>
      </c>
      <c r="AJ35" s="361"/>
      <c r="AK35" s="363"/>
      <c r="AL35" s="1142"/>
      <c r="AM35" s="362">
        <v>0.37057999999999996</v>
      </c>
      <c r="AN35" s="361"/>
      <c r="AO35" s="363"/>
      <c r="AP35" s="362">
        <v>0</v>
      </c>
      <c r="AQ35" s="361"/>
      <c r="AR35" s="564"/>
      <c r="AS35" s="362">
        <v>0.36027999999999999</v>
      </c>
      <c r="AT35" s="361"/>
      <c r="AU35" s="363"/>
      <c r="AV35" s="362">
        <v>0.36057</v>
      </c>
      <c r="AW35" s="361"/>
      <c r="AX35" s="363"/>
      <c r="AY35" s="362">
        <v>0.35776000000000002</v>
      </c>
      <c r="AZ35" s="361"/>
      <c r="BA35" s="363"/>
      <c r="BB35" s="362">
        <v>0.36906</v>
      </c>
      <c r="BC35" s="361"/>
      <c r="BD35" s="363"/>
      <c r="BE35" s="564"/>
    </row>
    <row r="36" spans="1:59" x14ac:dyDescent="0.2">
      <c r="A36" s="76">
        <v>29</v>
      </c>
      <c r="B36" s="670"/>
      <c r="C36" s="812" t="s">
        <v>5</v>
      </c>
      <c r="D36" s="288">
        <v>0</v>
      </c>
      <c r="E36" s="288">
        <v>0</v>
      </c>
      <c r="F36" s="360" t="s">
        <v>59</v>
      </c>
      <c r="G36" s="289"/>
      <c r="H36" s="289"/>
      <c r="I36" s="816"/>
      <c r="J36" s="361"/>
      <c r="K36" s="112">
        <v>0.30789000000000011</v>
      </c>
      <c r="L36" s="112">
        <v>0.3201500000000001</v>
      </c>
      <c r="M36" s="361"/>
      <c r="N36" s="361"/>
      <c r="O36" s="892"/>
      <c r="P36" s="892"/>
      <c r="Q36" s="362">
        <v>0.31907000000000013</v>
      </c>
      <c r="R36" s="361"/>
      <c r="S36" s="363"/>
      <c r="T36" s="362">
        <v>0.31037000000000009</v>
      </c>
      <c r="U36" s="361"/>
      <c r="V36" s="564"/>
      <c r="W36" s="362">
        <v>0.30502000000000012</v>
      </c>
      <c r="X36" s="361"/>
      <c r="Y36" s="564"/>
      <c r="Z36" s="362">
        <v>0.30789000000000011</v>
      </c>
      <c r="AA36" s="361"/>
      <c r="AB36" s="564"/>
      <c r="AC36" s="112">
        <v>0.3053300000000001</v>
      </c>
      <c r="AD36" s="361"/>
      <c r="AE36" s="564"/>
      <c r="AF36" s="112">
        <v>0.3090500000000001</v>
      </c>
      <c r="AG36" s="361"/>
      <c r="AH36" s="564"/>
      <c r="AI36" s="362">
        <v>0.3201500000000001</v>
      </c>
      <c r="AJ36" s="361"/>
      <c r="AK36" s="363"/>
      <c r="AL36" s="1142"/>
      <c r="AM36" s="362">
        <v>0.32650000000000012</v>
      </c>
      <c r="AN36" s="361"/>
      <c r="AO36" s="363"/>
      <c r="AP36" s="362">
        <v>0</v>
      </c>
      <c r="AQ36" s="361"/>
      <c r="AR36" s="564"/>
      <c r="AS36" s="362">
        <v>0.31742000000000015</v>
      </c>
      <c r="AT36" s="361"/>
      <c r="AU36" s="363"/>
      <c r="AV36" s="362">
        <v>0.31767000000000012</v>
      </c>
      <c r="AW36" s="361"/>
      <c r="AX36" s="363"/>
      <c r="AY36" s="362">
        <v>0.31520000000000015</v>
      </c>
      <c r="AZ36" s="361"/>
      <c r="BA36" s="363"/>
      <c r="BB36" s="362">
        <v>0.32518000000000014</v>
      </c>
      <c r="BC36" s="361"/>
      <c r="BD36" s="363"/>
      <c r="BE36" s="564"/>
    </row>
    <row r="37" spans="1:59" x14ac:dyDescent="0.2">
      <c r="A37" s="76">
        <v>30</v>
      </c>
      <c r="B37" s="668"/>
      <c r="C37" s="813" t="s">
        <v>62</v>
      </c>
      <c r="D37" s="364"/>
      <c r="E37" s="364"/>
      <c r="F37" s="365"/>
      <c r="G37" s="366"/>
      <c r="H37" s="366"/>
      <c r="I37" s="817"/>
      <c r="J37" s="368"/>
      <c r="K37" s="367"/>
      <c r="L37" s="367"/>
      <c r="M37" s="368">
        <v>500</v>
      </c>
      <c r="N37" s="368">
        <v>500</v>
      </c>
      <c r="O37" s="368">
        <v>500</v>
      </c>
      <c r="P37" s="368">
        <v>500</v>
      </c>
      <c r="Q37" s="370"/>
      <c r="R37" s="368">
        <v>500</v>
      </c>
      <c r="S37" s="371">
        <v>0</v>
      </c>
      <c r="T37" s="369"/>
      <c r="U37" s="368">
        <v>500</v>
      </c>
      <c r="V37" s="565">
        <v>0</v>
      </c>
      <c r="W37" s="369"/>
      <c r="X37" s="368">
        <v>500</v>
      </c>
      <c r="Y37" s="565">
        <v>0</v>
      </c>
      <c r="Z37" s="369"/>
      <c r="AA37" s="368">
        <v>500</v>
      </c>
      <c r="AB37" s="565">
        <v>0</v>
      </c>
      <c r="AC37" s="368"/>
      <c r="AD37" s="368">
        <v>500</v>
      </c>
      <c r="AE37" s="565">
        <v>0</v>
      </c>
      <c r="AF37" s="368"/>
      <c r="AG37" s="368">
        <v>500</v>
      </c>
      <c r="AH37" s="565">
        <v>0</v>
      </c>
      <c r="AI37" s="370"/>
      <c r="AJ37" s="368">
        <v>500</v>
      </c>
      <c r="AK37" s="371">
        <v>0</v>
      </c>
      <c r="AL37" s="368">
        <v>0</v>
      </c>
      <c r="AM37" s="370"/>
      <c r="AN37" s="368">
        <v>500</v>
      </c>
      <c r="AO37" s="371">
        <v>0</v>
      </c>
      <c r="AP37" s="369"/>
      <c r="AQ37" s="368">
        <v>500</v>
      </c>
      <c r="AR37" s="565">
        <v>0</v>
      </c>
      <c r="AS37" s="370"/>
      <c r="AT37" s="368">
        <v>500</v>
      </c>
      <c r="AU37" s="371">
        <v>0</v>
      </c>
      <c r="AV37" s="370"/>
      <c r="AW37" s="368">
        <v>500</v>
      </c>
      <c r="AX37" s="371">
        <v>0</v>
      </c>
      <c r="AY37" s="370"/>
      <c r="AZ37" s="368">
        <v>500</v>
      </c>
      <c r="BA37" s="371">
        <v>0</v>
      </c>
      <c r="BB37" s="370"/>
      <c r="BC37" s="368">
        <v>500</v>
      </c>
      <c r="BD37" s="371">
        <v>0</v>
      </c>
      <c r="BE37" s="1493">
        <v>0</v>
      </c>
      <c r="BF37" s="359"/>
      <c r="BG37" s="359"/>
    </row>
    <row r="38" spans="1:59" x14ac:dyDescent="0.2">
      <c r="A38" s="76">
        <v>31</v>
      </c>
      <c r="B38" s="670" t="s">
        <v>250</v>
      </c>
      <c r="C38" s="812" t="s">
        <v>4</v>
      </c>
      <c r="D38" s="288">
        <v>350769.66174469434</v>
      </c>
      <c r="E38" s="288">
        <v>542975.5</v>
      </c>
      <c r="F38" s="288">
        <v>10000</v>
      </c>
      <c r="G38" s="289">
        <v>11949</v>
      </c>
      <c r="H38" s="289">
        <v>18685</v>
      </c>
      <c r="I38" s="816">
        <v>1300</v>
      </c>
      <c r="J38" s="361">
        <v>1300</v>
      </c>
      <c r="K38" s="112">
        <v>0.43535000000000001</v>
      </c>
      <c r="L38" s="112">
        <v>0.56289</v>
      </c>
      <c r="M38" s="361"/>
      <c r="N38" s="361"/>
      <c r="O38" s="892"/>
      <c r="P38" s="892"/>
      <c r="Q38" s="362">
        <v>0.47003</v>
      </c>
      <c r="R38" s="361"/>
      <c r="S38" s="363"/>
      <c r="T38" s="362">
        <v>0.53564000000000001</v>
      </c>
      <c r="U38" s="361"/>
      <c r="V38" s="564"/>
      <c r="W38" s="362">
        <v>0.43226000000000003</v>
      </c>
      <c r="X38" s="361"/>
      <c r="Y38" s="564"/>
      <c r="Z38" s="362">
        <v>0.42982000000000004</v>
      </c>
      <c r="AA38" s="361"/>
      <c r="AB38" s="564"/>
      <c r="AC38" s="112">
        <v>0.43241000000000002</v>
      </c>
      <c r="AD38" s="361"/>
      <c r="AE38" s="564"/>
      <c r="AF38" s="112">
        <v>0.43639</v>
      </c>
      <c r="AG38" s="361"/>
      <c r="AH38" s="564"/>
      <c r="AI38" s="362">
        <v>0.56289</v>
      </c>
      <c r="AJ38" s="361"/>
      <c r="AK38" s="363"/>
      <c r="AL38" s="1142"/>
      <c r="AM38" s="362">
        <v>0.58384000000000003</v>
      </c>
      <c r="AN38" s="361"/>
      <c r="AO38" s="363"/>
      <c r="AP38" s="362">
        <v>0</v>
      </c>
      <c r="AQ38" s="361"/>
      <c r="AR38" s="564"/>
      <c r="AS38" s="362">
        <v>0.46229999999999999</v>
      </c>
      <c r="AT38" s="361"/>
      <c r="AU38" s="363"/>
      <c r="AV38" s="362">
        <v>0.45707000000000003</v>
      </c>
      <c r="AW38" s="361"/>
      <c r="AX38" s="363"/>
      <c r="AY38" s="362">
        <v>0.45966000000000001</v>
      </c>
      <c r="AZ38" s="361"/>
      <c r="BA38" s="363"/>
      <c r="BB38" s="362">
        <v>0.58250000000000002</v>
      </c>
      <c r="BC38" s="361"/>
      <c r="BD38" s="363"/>
      <c r="BE38" s="564"/>
    </row>
    <row r="39" spans="1:59" x14ac:dyDescent="0.2">
      <c r="A39" s="76">
        <v>32</v>
      </c>
      <c r="B39" s="670"/>
      <c r="C39" s="812" t="s">
        <v>5</v>
      </c>
      <c r="D39" s="288">
        <v>303088.75426472601</v>
      </c>
      <c r="E39" s="288">
        <v>474167</v>
      </c>
      <c r="F39" s="288">
        <v>20000</v>
      </c>
      <c r="G39" s="289"/>
      <c r="H39" s="289"/>
      <c r="I39" s="816"/>
      <c r="J39" s="361"/>
      <c r="K39" s="112">
        <v>0.41633999999999971</v>
      </c>
      <c r="L39" s="112">
        <v>0.54045999999999972</v>
      </c>
      <c r="M39" s="361"/>
      <c r="N39" s="361"/>
      <c r="O39" s="892"/>
      <c r="P39" s="892"/>
      <c r="Q39" s="362">
        <v>0.44737999999999972</v>
      </c>
      <c r="R39" s="361"/>
      <c r="S39" s="363"/>
      <c r="T39" s="362">
        <v>0.51606999999999958</v>
      </c>
      <c r="U39" s="361"/>
      <c r="V39" s="564"/>
      <c r="W39" s="362">
        <v>0.41356999999999972</v>
      </c>
      <c r="X39" s="361"/>
      <c r="Y39" s="564"/>
      <c r="Z39" s="362">
        <v>0.4113899999999997</v>
      </c>
      <c r="AA39" s="361"/>
      <c r="AB39" s="564"/>
      <c r="AC39" s="112">
        <v>0.41370999999999969</v>
      </c>
      <c r="AD39" s="361"/>
      <c r="AE39" s="564"/>
      <c r="AF39" s="112">
        <v>0.4172699999999997</v>
      </c>
      <c r="AG39" s="361"/>
      <c r="AH39" s="564"/>
      <c r="AI39" s="362">
        <v>0.54045999999999972</v>
      </c>
      <c r="AJ39" s="361"/>
      <c r="AK39" s="363"/>
      <c r="AL39" s="1142"/>
      <c r="AM39" s="362">
        <v>0.55920999999999976</v>
      </c>
      <c r="AN39" s="361"/>
      <c r="AO39" s="363"/>
      <c r="AP39" s="362">
        <v>0</v>
      </c>
      <c r="AQ39" s="361"/>
      <c r="AR39" s="564"/>
      <c r="AS39" s="362">
        <v>0.44045999999999974</v>
      </c>
      <c r="AT39" s="361"/>
      <c r="AU39" s="363"/>
      <c r="AV39" s="362">
        <v>0.43577999999999972</v>
      </c>
      <c r="AW39" s="361"/>
      <c r="AX39" s="363"/>
      <c r="AY39" s="362">
        <v>0.43808999999999976</v>
      </c>
      <c r="AZ39" s="361"/>
      <c r="BA39" s="363"/>
      <c r="BB39" s="362">
        <v>0.55799999999999983</v>
      </c>
      <c r="BC39" s="361"/>
      <c r="BD39" s="363"/>
      <c r="BE39" s="564"/>
    </row>
    <row r="40" spans="1:59" x14ac:dyDescent="0.2">
      <c r="A40" s="76">
        <v>33</v>
      </c>
      <c r="B40" s="670"/>
      <c r="C40" s="812" t="s">
        <v>6</v>
      </c>
      <c r="D40" s="288">
        <v>59441.942130257296</v>
      </c>
      <c r="E40" s="288">
        <v>97890.5</v>
      </c>
      <c r="F40" s="288">
        <v>20000</v>
      </c>
      <c r="G40" s="289"/>
      <c r="H40" s="289"/>
      <c r="I40" s="816"/>
      <c r="J40" s="361"/>
      <c r="K40" s="112">
        <v>0.37851999999999986</v>
      </c>
      <c r="L40" s="112">
        <v>0.4958599999999998</v>
      </c>
      <c r="M40" s="361"/>
      <c r="N40" s="361"/>
      <c r="O40" s="892"/>
      <c r="P40" s="892"/>
      <c r="Q40" s="362">
        <v>0.40232999999999985</v>
      </c>
      <c r="R40" s="361"/>
      <c r="S40" s="363"/>
      <c r="T40" s="362">
        <v>0.47715999999999981</v>
      </c>
      <c r="U40" s="361"/>
      <c r="V40" s="564"/>
      <c r="W40" s="362">
        <v>0.37639999999999985</v>
      </c>
      <c r="X40" s="361"/>
      <c r="Y40" s="564"/>
      <c r="Z40" s="362">
        <v>0.37471999999999983</v>
      </c>
      <c r="AA40" s="361"/>
      <c r="AB40" s="564"/>
      <c r="AC40" s="112">
        <v>0.37649999999999983</v>
      </c>
      <c r="AD40" s="361"/>
      <c r="AE40" s="564"/>
      <c r="AF40" s="112">
        <v>0.37922999999999984</v>
      </c>
      <c r="AG40" s="361"/>
      <c r="AH40" s="564"/>
      <c r="AI40" s="362">
        <v>0.4958599999999998</v>
      </c>
      <c r="AJ40" s="361"/>
      <c r="AK40" s="363"/>
      <c r="AL40" s="1142"/>
      <c r="AM40" s="362">
        <v>0.5102399999999998</v>
      </c>
      <c r="AN40" s="361"/>
      <c r="AO40" s="363"/>
      <c r="AP40" s="362">
        <v>0</v>
      </c>
      <c r="AQ40" s="361"/>
      <c r="AR40" s="564"/>
      <c r="AS40" s="362">
        <v>0.39700999999999981</v>
      </c>
      <c r="AT40" s="361"/>
      <c r="AU40" s="363"/>
      <c r="AV40" s="362">
        <v>0.39341999999999977</v>
      </c>
      <c r="AW40" s="361"/>
      <c r="AX40" s="363"/>
      <c r="AY40" s="362">
        <v>0.39519999999999977</v>
      </c>
      <c r="AZ40" s="361"/>
      <c r="BA40" s="363"/>
      <c r="BB40" s="362">
        <v>0.50931999999999977</v>
      </c>
      <c r="BC40" s="361"/>
      <c r="BD40" s="363"/>
      <c r="BE40" s="564"/>
    </row>
    <row r="41" spans="1:59" x14ac:dyDescent="0.2">
      <c r="A41" s="76">
        <v>34</v>
      </c>
      <c r="B41" s="670"/>
      <c r="C41" s="812" t="s">
        <v>7</v>
      </c>
      <c r="D41" s="288">
        <v>3614.6071898605187</v>
      </c>
      <c r="E41" s="288">
        <v>6094</v>
      </c>
      <c r="F41" s="288">
        <v>100000</v>
      </c>
      <c r="G41" s="289"/>
      <c r="H41" s="289"/>
      <c r="I41" s="816"/>
      <c r="J41" s="361"/>
      <c r="K41" s="112">
        <v>0.35361000000000004</v>
      </c>
      <c r="L41" s="112">
        <v>0.46651000000000004</v>
      </c>
      <c r="M41" s="361"/>
      <c r="N41" s="361"/>
      <c r="O41" s="892"/>
      <c r="P41" s="892"/>
      <c r="Q41" s="362">
        <v>0.37265000000000004</v>
      </c>
      <c r="R41" s="361"/>
      <c r="S41" s="363"/>
      <c r="T41" s="362">
        <v>0.45155000000000001</v>
      </c>
      <c r="U41" s="361"/>
      <c r="V41" s="564"/>
      <c r="W41" s="362">
        <v>0.35191000000000006</v>
      </c>
      <c r="X41" s="361"/>
      <c r="Y41" s="564"/>
      <c r="Z41" s="362">
        <v>0.35057000000000005</v>
      </c>
      <c r="AA41" s="361"/>
      <c r="AB41" s="564"/>
      <c r="AC41" s="112">
        <v>0.35200000000000004</v>
      </c>
      <c r="AD41" s="361"/>
      <c r="AE41" s="564"/>
      <c r="AF41" s="112">
        <v>0.35418000000000005</v>
      </c>
      <c r="AG41" s="361"/>
      <c r="AH41" s="564"/>
      <c r="AI41" s="362">
        <v>0.46651000000000004</v>
      </c>
      <c r="AJ41" s="361"/>
      <c r="AK41" s="363"/>
      <c r="AL41" s="1142"/>
      <c r="AM41" s="362">
        <v>0.47802000000000006</v>
      </c>
      <c r="AN41" s="361"/>
      <c r="AO41" s="363"/>
      <c r="AP41" s="362">
        <v>0</v>
      </c>
      <c r="AQ41" s="361"/>
      <c r="AR41" s="564"/>
      <c r="AS41" s="362">
        <v>0.36841000000000007</v>
      </c>
      <c r="AT41" s="361"/>
      <c r="AU41" s="363"/>
      <c r="AV41" s="362">
        <v>0.36553000000000008</v>
      </c>
      <c r="AW41" s="361"/>
      <c r="AX41" s="363"/>
      <c r="AY41" s="362">
        <v>0.36695000000000005</v>
      </c>
      <c r="AZ41" s="361"/>
      <c r="BA41" s="363"/>
      <c r="BB41" s="362">
        <v>0.47728000000000004</v>
      </c>
      <c r="BC41" s="361"/>
      <c r="BD41" s="363"/>
      <c r="BE41" s="564"/>
    </row>
    <row r="42" spans="1:59" x14ac:dyDescent="0.2">
      <c r="A42" s="76">
        <v>35</v>
      </c>
      <c r="B42" s="670"/>
      <c r="C42" s="812" t="s">
        <v>8</v>
      </c>
      <c r="D42" s="288">
        <v>0</v>
      </c>
      <c r="E42" s="288">
        <v>0</v>
      </c>
      <c r="F42" s="288">
        <v>600000</v>
      </c>
      <c r="G42" s="289"/>
      <c r="H42" s="289"/>
      <c r="I42" s="816"/>
      <c r="J42" s="361"/>
      <c r="K42" s="112">
        <v>0.32038</v>
      </c>
      <c r="L42" s="112">
        <v>0.42738999999999994</v>
      </c>
      <c r="M42" s="361"/>
      <c r="N42" s="361"/>
      <c r="O42" s="892"/>
      <c r="P42" s="892"/>
      <c r="Q42" s="362">
        <v>0.33307999999999999</v>
      </c>
      <c r="R42" s="361"/>
      <c r="S42" s="363"/>
      <c r="T42" s="362">
        <v>0.41740999999999995</v>
      </c>
      <c r="U42" s="361"/>
      <c r="V42" s="564"/>
      <c r="W42" s="362">
        <v>0.31924999999999998</v>
      </c>
      <c r="X42" s="361"/>
      <c r="Y42" s="564"/>
      <c r="Z42" s="362">
        <v>0.31835999999999998</v>
      </c>
      <c r="AA42" s="361"/>
      <c r="AB42" s="564"/>
      <c r="AC42" s="112">
        <v>0.31929999999999997</v>
      </c>
      <c r="AD42" s="361"/>
      <c r="AE42" s="564"/>
      <c r="AF42" s="112">
        <v>0.32075999999999999</v>
      </c>
      <c r="AG42" s="361"/>
      <c r="AH42" s="564"/>
      <c r="AI42" s="362">
        <v>0.42738999999999994</v>
      </c>
      <c r="AJ42" s="361"/>
      <c r="AK42" s="363"/>
      <c r="AL42" s="1142"/>
      <c r="AM42" s="362">
        <v>0.43505999999999995</v>
      </c>
      <c r="AN42" s="361"/>
      <c r="AO42" s="363"/>
      <c r="AP42" s="362">
        <v>0</v>
      </c>
      <c r="AQ42" s="361"/>
      <c r="AR42" s="564"/>
      <c r="AS42" s="362">
        <v>0.33024999999999999</v>
      </c>
      <c r="AT42" s="361"/>
      <c r="AU42" s="363"/>
      <c r="AV42" s="362">
        <v>0.32833999999999997</v>
      </c>
      <c r="AW42" s="361"/>
      <c r="AX42" s="363"/>
      <c r="AY42" s="362">
        <v>0.32927999999999996</v>
      </c>
      <c r="AZ42" s="361"/>
      <c r="BA42" s="363"/>
      <c r="BB42" s="362">
        <v>0.43456999999999996</v>
      </c>
      <c r="BC42" s="361"/>
      <c r="BD42" s="363"/>
      <c r="BE42" s="564"/>
    </row>
    <row r="43" spans="1:59" x14ac:dyDescent="0.2">
      <c r="A43" s="76">
        <v>36</v>
      </c>
      <c r="B43" s="670"/>
      <c r="C43" s="812" t="s">
        <v>9</v>
      </c>
      <c r="D43" s="288">
        <v>0</v>
      </c>
      <c r="E43" s="288">
        <v>0</v>
      </c>
      <c r="F43" s="360" t="s">
        <v>59</v>
      </c>
      <c r="G43" s="289"/>
      <c r="H43" s="289"/>
      <c r="I43" s="816"/>
      <c r="J43" s="361"/>
      <c r="K43" s="112">
        <v>0.27890000000000004</v>
      </c>
      <c r="L43" s="112">
        <v>0.37845999999999996</v>
      </c>
      <c r="M43" s="361"/>
      <c r="N43" s="361"/>
      <c r="O43" s="892"/>
      <c r="P43" s="892"/>
      <c r="Q43" s="362">
        <v>0.28366000000000002</v>
      </c>
      <c r="R43" s="361"/>
      <c r="S43" s="363"/>
      <c r="T43" s="362">
        <v>0.37472</v>
      </c>
      <c r="U43" s="361"/>
      <c r="V43" s="564"/>
      <c r="W43" s="362">
        <v>0.27848000000000006</v>
      </c>
      <c r="X43" s="361"/>
      <c r="Y43" s="564"/>
      <c r="Z43" s="362">
        <v>0.27814000000000005</v>
      </c>
      <c r="AA43" s="361"/>
      <c r="AB43" s="564"/>
      <c r="AC43" s="112">
        <v>0.27850000000000003</v>
      </c>
      <c r="AD43" s="361"/>
      <c r="AE43" s="564"/>
      <c r="AF43" s="112">
        <v>0.27904000000000001</v>
      </c>
      <c r="AG43" s="361"/>
      <c r="AH43" s="564"/>
      <c r="AI43" s="362">
        <v>0.37845999999999996</v>
      </c>
      <c r="AJ43" s="361"/>
      <c r="AK43" s="363"/>
      <c r="AL43" s="1142"/>
      <c r="AM43" s="362">
        <v>0.38133999999999996</v>
      </c>
      <c r="AN43" s="361"/>
      <c r="AO43" s="363"/>
      <c r="AP43" s="362">
        <v>0</v>
      </c>
      <c r="AQ43" s="361"/>
      <c r="AR43" s="564"/>
      <c r="AS43" s="362">
        <v>0.28260000000000002</v>
      </c>
      <c r="AT43" s="361"/>
      <c r="AU43" s="363"/>
      <c r="AV43" s="362">
        <v>0.28188000000000002</v>
      </c>
      <c r="AW43" s="361"/>
      <c r="AX43" s="363"/>
      <c r="AY43" s="362">
        <v>0.28223999999999999</v>
      </c>
      <c r="AZ43" s="361"/>
      <c r="BA43" s="363"/>
      <c r="BB43" s="362">
        <v>0.38116</v>
      </c>
      <c r="BC43" s="361"/>
      <c r="BD43" s="363"/>
      <c r="BE43" s="564"/>
    </row>
    <row r="44" spans="1:59" x14ac:dyDescent="0.2">
      <c r="A44" s="76">
        <v>37</v>
      </c>
      <c r="B44" s="668"/>
      <c r="C44" s="813" t="s">
        <v>62</v>
      </c>
      <c r="D44" s="364"/>
      <c r="E44" s="364"/>
      <c r="F44" s="365"/>
      <c r="G44" s="366"/>
      <c r="H44" s="366"/>
      <c r="I44" s="817"/>
      <c r="J44" s="368"/>
      <c r="K44" s="367"/>
      <c r="L44" s="367"/>
      <c r="M44" s="368">
        <v>6464.95</v>
      </c>
      <c r="N44" s="368">
        <v>9269.41</v>
      </c>
      <c r="O44" s="368">
        <v>7982.26</v>
      </c>
      <c r="P44" s="368">
        <v>11622.8</v>
      </c>
      <c r="Q44" s="370"/>
      <c r="R44" s="368">
        <v>6872.24</v>
      </c>
      <c r="S44" s="371">
        <v>6.3E-2</v>
      </c>
      <c r="T44" s="369"/>
      <c r="U44" s="368">
        <v>11138.47</v>
      </c>
      <c r="V44" s="565">
        <v>0.20200000000000001</v>
      </c>
      <c r="W44" s="369"/>
      <c r="X44" s="368">
        <v>6428.65</v>
      </c>
      <c r="Y44" s="565">
        <v>-6.0000000000000001E-3</v>
      </c>
      <c r="Z44" s="369"/>
      <c r="AA44" s="368">
        <v>6400</v>
      </c>
      <c r="AB44" s="565">
        <v>-0.01</v>
      </c>
      <c r="AC44" s="368"/>
      <c r="AD44" s="368">
        <v>6430.42</v>
      </c>
      <c r="AE44" s="565">
        <v>-5.0000000000000001E-3</v>
      </c>
      <c r="AF44" s="368"/>
      <c r="AG44" s="368">
        <v>6477.16</v>
      </c>
      <c r="AH44" s="565">
        <v>2E-3</v>
      </c>
      <c r="AI44" s="370"/>
      <c r="AJ44" s="368">
        <v>7982.26</v>
      </c>
      <c r="AK44" s="371">
        <v>0.23499999999999999</v>
      </c>
      <c r="AL44" s="368">
        <v>1517.3100000000004</v>
      </c>
      <c r="AM44" s="370"/>
      <c r="AN44" s="368">
        <v>8228.2999999999993</v>
      </c>
      <c r="AO44" s="371">
        <v>3.1E-2</v>
      </c>
      <c r="AP44" s="369"/>
      <c r="AQ44" s="368">
        <v>1300</v>
      </c>
      <c r="AR44" s="565">
        <v>-0.88800000000000001</v>
      </c>
      <c r="AS44" s="370"/>
      <c r="AT44" s="368">
        <v>6781.46</v>
      </c>
      <c r="AU44" s="371">
        <v>-0.15</v>
      </c>
      <c r="AV44" s="370"/>
      <c r="AW44" s="368">
        <v>6720.04</v>
      </c>
      <c r="AX44" s="371">
        <v>-0.158</v>
      </c>
      <c r="AY44" s="370"/>
      <c r="AZ44" s="368">
        <v>6750.44</v>
      </c>
      <c r="BA44" s="371">
        <v>-0.15</v>
      </c>
      <c r="BB44" s="370"/>
      <c r="BC44" s="368">
        <v>8212.5400000000009</v>
      </c>
      <c r="BD44" s="371">
        <v>2.9000000000000001E-2</v>
      </c>
      <c r="BE44" s="1493">
        <v>230.28000000000065</v>
      </c>
      <c r="BF44" s="359"/>
      <c r="BG44" s="359"/>
    </row>
    <row r="45" spans="1:59" x14ac:dyDescent="0.2">
      <c r="A45" s="76">
        <v>38</v>
      </c>
      <c r="B45" s="670" t="s">
        <v>259</v>
      </c>
      <c r="C45" s="812" t="s">
        <v>4</v>
      </c>
      <c r="D45" s="288">
        <v>1093724.2000000002</v>
      </c>
      <c r="E45" s="288">
        <v>1086353</v>
      </c>
      <c r="F45" s="288">
        <v>10000</v>
      </c>
      <c r="G45" s="289">
        <v>12869</v>
      </c>
      <c r="H45" s="289">
        <v>13593</v>
      </c>
      <c r="I45" s="816">
        <v>1300</v>
      </c>
      <c r="J45" s="361">
        <v>1300</v>
      </c>
      <c r="K45" s="112">
        <v>0.40593000000000001</v>
      </c>
      <c r="L45" s="112">
        <v>0.51346999999999998</v>
      </c>
      <c r="M45" s="361"/>
      <c r="N45" s="361"/>
      <c r="O45" s="892"/>
      <c r="P45" s="892"/>
      <c r="Q45" s="362">
        <v>0.4194</v>
      </c>
      <c r="R45" s="361"/>
      <c r="S45" s="363"/>
      <c r="T45" s="362">
        <v>0.50159999999999993</v>
      </c>
      <c r="U45" s="361"/>
      <c r="V45" s="564"/>
      <c r="W45" s="362">
        <v>0.40318000000000004</v>
      </c>
      <c r="X45" s="361"/>
      <c r="Y45" s="564"/>
      <c r="Z45" s="362">
        <v>0.40593000000000001</v>
      </c>
      <c r="AA45" s="361"/>
      <c r="AB45" s="564"/>
      <c r="AC45" s="112">
        <v>0.40346000000000004</v>
      </c>
      <c r="AD45" s="361"/>
      <c r="AE45" s="564"/>
      <c r="AF45" s="112">
        <v>0.40679999999999999</v>
      </c>
      <c r="AG45" s="361"/>
      <c r="AH45" s="564"/>
      <c r="AI45" s="362">
        <v>0.51346999999999998</v>
      </c>
      <c r="AJ45" s="361"/>
      <c r="AK45" s="363"/>
      <c r="AL45" s="1142"/>
      <c r="AM45" s="362">
        <v>0.51961000000000002</v>
      </c>
      <c r="AN45" s="361"/>
      <c r="AO45" s="363"/>
      <c r="AP45" s="362">
        <v>0</v>
      </c>
      <c r="AQ45" s="361"/>
      <c r="AR45" s="564"/>
      <c r="AS45" s="362">
        <v>0.41756000000000004</v>
      </c>
      <c r="AT45" s="361"/>
      <c r="AU45" s="363"/>
      <c r="AV45" s="362">
        <v>0.41780000000000006</v>
      </c>
      <c r="AW45" s="361"/>
      <c r="AX45" s="363"/>
      <c r="AY45" s="362">
        <v>0.41541000000000006</v>
      </c>
      <c r="AZ45" s="361"/>
      <c r="BA45" s="363"/>
      <c r="BB45" s="362">
        <v>0.51858000000000004</v>
      </c>
      <c r="BC45" s="361"/>
      <c r="BD45" s="363"/>
      <c r="BE45" s="564"/>
    </row>
    <row r="46" spans="1:59" x14ac:dyDescent="0.2">
      <c r="A46" s="76">
        <v>39</v>
      </c>
      <c r="B46" s="670"/>
      <c r="C46" s="812" t="s">
        <v>5</v>
      </c>
      <c r="D46" s="288">
        <v>655939.80000000005</v>
      </c>
      <c r="E46" s="288">
        <v>638955</v>
      </c>
      <c r="F46" s="288">
        <v>20000</v>
      </c>
      <c r="G46" s="289"/>
      <c r="H46" s="289"/>
      <c r="I46" s="816"/>
      <c r="J46" s="361"/>
      <c r="K46" s="112">
        <v>0.38999</v>
      </c>
      <c r="L46" s="112">
        <v>0.49624000000000001</v>
      </c>
      <c r="M46" s="361"/>
      <c r="N46" s="361"/>
      <c r="O46" s="892"/>
      <c r="P46" s="892"/>
      <c r="Q46" s="362">
        <v>0.40205000000000002</v>
      </c>
      <c r="R46" s="361"/>
      <c r="S46" s="363"/>
      <c r="T46" s="362">
        <v>0.48562</v>
      </c>
      <c r="U46" s="361"/>
      <c r="V46" s="564"/>
      <c r="W46" s="362">
        <v>0.38752999999999999</v>
      </c>
      <c r="X46" s="361"/>
      <c r="Y46" s="564"/>
      <c r="Z46" s="362">
        <v>0.38999</v>
      </c>
      <c r="AA46" s="361"/>
      <c r="AB46" s="564"/>
      <c r="AC46" s="112">
        <v>0.38777</v>
      </c>
      <c r="AD46" s="361"/>
      <c r="AE46" s="564"/>
      <c r="AF46" s="112">
        <v>0.39077000000000001</v>
      </c>
      <c r="AG46" s="361"/>
      <c r="AH46" s="564"/>
      <c r="AI46" s="362">
        <v>0.49624000000000001</v>
      </c>
      <c r="AJ46" s="361"/>
      <c r="AK46" s="363"/>
      <c r="AL46" s="1142"/>
      <c r="AM46" s="362">
        <v>0.50173999999999996</v>
      </c>
      <c r="AN46" s="361"/>
      <c r="AO46" s="363"/>
      <c r="AP46" s="362">
        <v>0</v>
      </c>
      <c r="AQ46" s="361"/>
      <c r="AR46" s="564"/>
      <c r="AS46" s="362">
        <v>0.40039000000000002</v>
      </c>
      <c r="AT46" s="361"/>
      <c r="AU46" s="363"/>
      <c r="AV46" s="362">
        <v>0.40061000000000002</v>
      </c>
      <c r="AW46" s="361"/>
      <c r="AX46" s="363"/>
      <c r="AY46" s="362">
        <v>0.39847000000000005</v>
      </c>
      <c r="AZ46" s="361"/>
      <c r="BA46" s="363"/>
      <c r="BB46" s="362">
        <v>0.50082000000000004</v>
      </c>
      <c r="BC46" s="361"/>
      <c r="BD46" s="363"/>
      <c r="BE46" s="564"/>
    </row>
    <row r="47" spans="1:59" x14ac:dyDescent="0.2">
      <c r="A47" s="76">
        <v>40</v>
      </c>
      <c r="B47" s="670"/>
      <c r="C47" s="812" t="s">
        <v>6</v>
      </c>
      <c r="D47" s="288">
        <v>81241.3</v>
      </c>
      <c r="E47" s="288">
        <v>68923</v>
      </c>
      <c r="F47" s="288">
        <v>20000</v>
      </c>
      <c r="G47" s="289"/>
      <c r="H47" s="289"/>
      <c r="I47" s="816"/>
      <c r="J47" s="361"/>
      <c r="K47" s="112">
        <v>0.35830999999999985</v>
      </c>
      <c r="L47" s="112">
        <v>0.46193999999999985</v>
      </c>
      <c r="M47" s="361"/>
      <c r="N47" s="361"/>
      <c r="O47" s="892"/>
      <c r="P47" s="892"/>
      <c r="Q47" s="362">
        <v>0.36754999999999988</v>
      </c>
      <c r="R47" s="361"/>
      <c r="S47" s="363"/>
      <c r="T47" s="362">
        <v>0.45379999999999981</v>
      </c>
      <c r="U47" s="361"/>
      <c r="V47" s="564"/>
      <c r="W47" s="362">
        <v>0.35641999999999985</v>
      </c>
      <c r="X47" s="361"/>
      <c r="Y47" s="564"/>
      <c r="Z47" s="362">
        <v>0.35830999999999985</v>
      </c>
      <c r="AA47" s="361"/>
      <c r="AB47" s="564"/>
      <c r="AC47" s="112">
        <v>0.35660999999999987</v>
      </c>
      <c r="AD47" s="361"/>
      <c r="AE47" s="564"/>
      <c r="AF47" s="112">
        <v>0.35890999999999984</v>
      </c>
      <c r="AG47" s="361"/>
      <c r="AH47" s="564"/>
      <c r="AI47" s="362">
        <v>0.46193999999999985</v>
      </c>
      <c r="AJ47" s="361"/>
      <c r="AK47" s="363"/>
      <c r="AL47" s="1142"/>
      <c r="AM47" s="362">
        <v>0.46615999999999985</v>
      </c>
      <c r="AN47" s="361"/>
      <c r="AO47" s="363"/>
      <c r="AP47" s="362">
        <v>0</v>
      </c>
      <c r="AQ47" s="361"/>
      <c r="AR47" s="564"/>
      <c r="AS47" s="362">
        <v>0.36627999999999983</v>
      </c>
      <c r="AT47" s="361"/>
      <c r="AU47" s="363"/>
      <c r="AV47" s="362">
        <v>0.36644999999999983</v>
      </c>
      <c r="AW47" s="361"/>
      <c r="AX47" s="363"/>
      <c r="AY47" s="362">
        <v>0.36480999999999986</v>
      </c>
      <c r="AZ47" s="361"/>
      <c r="BA47" s="363"/>
      <c r="BB47" s="362">
        <v>0.46544999999999986</v>
      </c>
      <c r="BC47" s="361"/>
      <c r="BD47" s="363"/>
      <c r="BE47" s="564"/>
    </row>
    <row r="48" spans="1:59" x14ac:dyDescent="0.2">
      <c r="A48" s="76">
        <v>41</v>
      </c>
      <c r="B48" s="670"/>
      <c r="C48" s="812" t="s">
        <v>7</v>
      </c>
      <c r="D48" s="288">
        <v>9320.1</v>
      </c>
      <c r="E48" s="288">
        <v>0</v>
      </c>
      <c r="F48" s="288">
        <v>100000</v>
      </c>
      <c r="G48" s="289"/>
      <c r="H48" s="289"/>
      <c r="I48" s="816"/>
      <c r="J48" s="361"/>
      <c r="K48" s="112">
        <v>0.33743999999999996</v>
      </c>
      <c r="L48" s="112">
        <v>0.43937999999999994</v>
      </c>
      <c r="M48" s="361"/>
      <c r="N48" s="361"/>
      <c r="O48" s="892"/>
      <c r="P48" s="892"/>
      <c r="Q48" s="362">
        <v>0.34483999999999998</v>
      </c>
      <c r="R48" s="361"/>
      <c r="S48" s="363"/>
      <c r="T48" s="362">
        <v>0.43285999999999991</v>
      </c>
      <c r="U48" s="361"/>
      <c r="V48" s="564"/>
      <c r="W48" s="362">
        <v>0.33592999999999995</v>
      </c>
      <c r="X48" s="361"/>
      <c r="Y48" s="564"/>
      <c r="Z48" s="362">
        <v>0.33743999999999996</v>
      </c>
      <c r="AA48" s="361"/>
      <c r="AB48" s="564"/>
      <c r="AC48" s="112">
        <v>0.33607999999999993</v>
      </c>
      <c r="AD48" s="361"/>
      <c r="AE48" s="564"/>
      <c r="AF48" s="112">
        <v>0.33791999999999994</v>
      </c>
      <c r="AG48" s="361"/>
      <c r="AH48" s="564"/>
      <c r="AI48" s="362">
        <v>0.43937999999999994</v>
      </c>
      <c r="AJ48" s="361"/>
      <c r="AK48" s="363"/>
      <c r="AL48" s="1142"/>
      <c r="AM48" s="362">
        <v>0.44274999999999992</v>
      </c>
      <c r="AN48" s="361"/>
      <c r="AO48" s="363"/>
      <c r="AP48" s="362">
        <v>0</v>
      </c>
      <c r="AQ48" s="361"/>
      <c r="AR48" s="564"/>
      <c r="AS48" s="362">
        <v>0.34382999999999991</v>
      </c>
      <c r="AT48" s="361"/>
      <c r="AU48" s="363"/>
      <c r="AV48" s="362">
        <v>0.34395999999999993</v>
      </c>
      <c r="AW48" s="361"/>
      <c r="AX48" s="363"/>
      <c r="AY48" s="362">
        <v>0.34264999999999995</v>
      </c>
      <c r="AZ48" s="361"/>
      <c r="BA48" s="363"/>
      <c r="BB48" s="362">
        <v>0.44218999999999992</v>
      </c>
      <c r="BC48" s="361"/>
      <c r="BD48" s="363"/>
      <c r="BE48" s="564"/>
    </row>
    <row r="49" spans="1:59" x14ac:dyDescent="0.2">
      <c r="A49" s="76">
        <v>42</v>
      </c>
      <c r="B49" s="670"/>
      <c r="C49" s="812" t="s">
        <v>8</v>
      </c>
      <c r="D49" s="288">
        <v>0</v>
      </c>
      <c r="E49" s="288">
        <v>0</v>
      </c>
      <c r="F49" s="288">
        <v>600000</v>
      </c>
      <c r="G49" s="289"/>
      <c r="H49" s="289"/>
      <c r="I49" s="816"/>
      <c r="J49" s="361"/>
      <c r="K49" s="112">
        <v>0.30965000000000004</v>
      </c>
      <c r="L49" s="112">
        <v>0.40932000000000002</v>
      </c>
      <c r="M49" s="361"/>
      <c r="N49" s="361"/>
      <c r="O49" s="892"/>
      <c r="P49" s="892"/>
      <c r="Q49" s="362">
        <v>0.31458000000000003</v>
      </c>
      <c r="R49" s="361"/>
      <c r="S49" s="363"/>
      <c r="T49" s="362">
        <v>0.40498000000000001</v>
      </c>
      <c r="U49" s="361"/>
      <c r="V49" s="564"/>
      <c r="W49" s="362">
        <v>0.30864000000000003</v>
      </c>
      <c r="X49" s="361"/>
      <c r="Y49" s="564"/>
      <c r="Z49" s="362">
        <v>0.30965000000000004</v>
      </c>
      <c r="AA49" s="361"/>
      <c r="AB49" s="564"/>
      <c r="AC49" s="112">
        <v>0.30874000000000001</v>
      </c>
      <c r="AD49" s="361"/>
      <c r="AE49" s="564"/>
      <c r="AF49" s="112">
        <v>0.30997000000000002</v>
      </c>
      <c r="AG49" s="361"/>
      <c r="AH49" s="564"/>
      <c r="AI49" s="362">
        <v>0.40932000000000002</v>
      </c>
      <c r="AJ49" s="361"/>
      <c r="AK49" s="363"/>
      <c r="AL49" s="1142"/>
      <c r="AM49" s="362">
        <v>0.41156999999999999</v>
      </c>
      <c r="AN49" s="361"/>
      <c r="AO49" s="363"/>
      <c r="AP49" s="362">
        <v>0</v>
      </c>
      <c r="AQ49" s="361"/>
      <c r="AR49" s="564"/>
      <c r="AS49" s="362">
        <v>0.31390000000000007</v>
      </c>
      <c r="AT49" s="361"/>
      <c r="AU49" s="363"/>
      <c r="AV49" s="362">
        <v>0.31399000000000005</v>
      </c>
      <c r="AW49" s="361"/>
      <c r="AX49" s="363"/>
      <c r="AY49" s="362">
        <v>0.31311000000000005</v>
      </c>
      <c r="AZ49" s="361"/>
      <c r="BA49" s="363"/>
      <c r="BB49" s="362">
        <v>0.41118999999999994</v>
      </c>
      <c r="BC49" s="361"/>
      <c r="BD49" s="363"/>
      <c r="BE49" s="564"/>
    </row>
    <row r="50" spans="1:59" x14ac:dyDescent="0.2">
      <c r="A50" s="76">
        <v>43</v>
      </c>
      <c r="B50" s="670"/>
      <c r="C50" s="812" t="s">
        <v>9</v>
      </c>
      <c r="D50" s="288">
        <v>0</v>
      </c>
      <c r="E50" s="288">
        <v>0</v>
      </c>
      <c r="F50" s="360" t="s">
        <v>59</v>
      </c>
      <c r="G50" s="289"/>
      <c r="H50" s="289"/>
      <c r="I50" s="816"/>
      <c r="J50" s="361"/>
      <c r="K50" s="112">
        <v>0.27485999999999999</v>
      </c>
      <c r="L50" s="112">
        <v>0.37169999999999997</v>
      </c>
      <c r="M50" s="361"/>
      <c r="N50" s="361"/>
      <c r="O50" s="892"/>
      <c r="P50" s="892"/>
      <c r="Q50" s="362">
        <v>0.27671000000000001</v>
      </c>
      <c r="R50" s="361"/>
      <c r="S50" s="363"/>
      <c r="T50" s="362">
        <v>0.37006999999999995</v>
      </c>
      <c r="U50" s="361"/>
      <c r="V50" s="564"/>
      <c r="W50" s="362">
        <v>0.27448</v>
      </c>
      <c r="X50" s="361"/>
      <c r="Y50" s="564"/>
      <c r="Z50" s="362">
        <v>0.27485999999999999</v>
      </c>
      <c r="AA50" s="361"/>
      <c r="AB50" s="564"/>
      <c r="AC50" s="112">
        <v>0.27451999999999999</v>
      </c>
      <c r="AD50" s="361"/>
      <c r="AE50" s="564"/>
      <c r="AF50" s="112">
        <v>0.27498</v>
      </c>
      <c r="AG50" s="361"/>
      <c r="AH50" s="564"/>
      <c r="AI50" s="362">
        <v>0.37169999999999997</v>
      </c>
      <c r="AJ50" s="361"/>
      <c r="AK50" s="363"/>
      <c r="AL50" s="1142"/>
      <c r="AM50" s="362">
        <v>0.37253999999999998</v>
      </c>
      <c r="AN50" s="361"/>
      <c r="AO50" s="363"/>
      <c r="AP50" s="362">
        <v>0</v>
      </c>
      <c r="AQ50" s="361"/>
      <c r="AR50" s="564"/>
      <c r="AS50" s="362">
        <v>0.27645999999999998</v>
      </c>
      <c r="AT50" s="361"/>
      <c r="AU50" s="363"/>
      <c r="AV50" s="362">
        <v>0.27648999999999996</v>
      </c>
      <c r="AW50" s="361"/>
      <c r="AX50" s="363"/>
      <c r="AY50" s="362">
        <v>0.27615999999999996</v>
      </c>
      <c r="AZ50" s="361"/>
      <c r="BA50" s="363"/>
      <c r="BB50" s="362">
        <v>0.37239999999999995</v>
      </c>
      <c r="BC50" s="361"/>
      <c r="BD50" s="363"/>
      <c r="BE50" s="564"/>
    </row>
    <row r="51" spans="1:59" x14ac:dyDescent="0.2">
      <c r="A51" s="76">
        <v>44</v>
      </c>
      <c r="B51" s="668"/>
      <c r="C51" s="813" t="s">
        <v>62</v>
      </c>
      <c r="D51" s="364"/>
      <c r="E51" s="364"/>
      <c r="F51" s="365"/>
      <c r="G51" s="366"/>
      <c r="H51" s="366"/>
      <c r="I51" s="817"/>
      <c r="J51" s="368"/>
      <c r="K51" s="367"/>
      <c r="L51" s="367"/>
      <c r="M51" s="368">
        <v>6478.18</v>
      </c>
      <c r="N51" s="368">
        <v>6760.53</v>
      </c>
      <c r="O51" s="368">
        <v>7858.41</v>
      </c>
      <c r="P51" s="368">
        <v>8217.6899999999987</v>
      </c>
      <c r="Q51" s="370"/>
      <c r="R51" s="368">
        <v>6647.48</v>
      </c>
      <c r="S51" s="371">
        <v>2.5999999999999999E-2</v>
      </c>
      <c r="T51" s="369"/>
      <c r="U51" s="368">
        <v>8060.83</v>
      </c>
      <c r="V51" s="565">
        <v>0.192</v>
      </c>
      <c r="W51" s="369"/>
      <c r="X51" s="368">
        <v>6443.62</v>
      </c>
      <c r="Y51" s="565">
        <v>-5.0000000000000001E-3</v>
      </c>
      <c r="Z51" s="369"/>
      <c r="AA51" s="368">
        <v>6478.18</v>
      </c>
      <c r="AB51" s="565">
        <v>0</v>
      </c>
      <c r="AC51" s="368"/>
      <c r="AD51" s="368">
        <v>6447.11</v>
      </c>
      <c r="AE51" s="565">
        <v>-5.0000000000000001E-3</v>
      </c>
      <c r="AF51" s="368"/>
      <c r="AG51" s="368">
        <v>6489.12</v>
      </c>
      <c r="AH51" s="565">
        <v>2E-3</v>
      </c>
      <c r="AI51" s="370"/>
      <c r="AJ51" s="368">
        <v>7858.41</v>
      </c>
      <c r="AK51" s="371">
        <v>0.21299999999999999</v>
      </c>
      <c r="AL51" s="368">
        <v>1380.2299999999996</v>
      </c>
      <c r="AM51" s="370"/>
      <c r="AN51" s="368">
        <v>7935.59</v>
      </c>
      <c r="AO51" s="371">
        <v>0.01</v>
      </c>
      <c r="AP51" s="369"/>
      <c r="AQ51" s="368">
        <v>1300</v>
      </c>
      <c r="AR51" s="565">
        <v>-0.84199999999999997</v>
      </c>
      <c r="AS51" s="370"/>
      <c r="AT51" s="368">
        <v>6624.32</v>
      </c>
      <c r="AU51" s="371">
        <v>-0.157</v>
      </c>
      <c r="AV51" s="370"/>
      <c r="AW51" s="368">
        <v>6627.35</v>
      </c>
      <c r="AX51" s="371">
        <v>-0.157</v>
      </c>
      <c r="AY51" s="370"/>
      <c r="AZ51" s="368">
        <v>6597.31</v>
      </c>
      <c r="BA51" s="371">
        <v>-0.157</v>
      </c>
      <c r="BB51" s="370"/>
      <c r="BC51" s="368">
        <v>7922.65</v>
      </c>
      <c r="BD51" s="371">
        <v>8.0000000000000002E-3</v>
      </c>
      <c r="BE51" s="1493">
        <v>64.239999999999782</v>
      </c>
      <c r="BF51" s="359"/>
      <c r="BG51" s="359"/>
    </row>
    <row r="52" spans="1:59" x14ac:dyDescent="0.2">
      <c r="A52" s="76">
        <v>45</v>
      </c>
      <c r="B52" s="670" t="s">
        <v>255</v>
      </c>
      <c r="C52" s="812" t="s">
        <v>4</v>
      </c>
      <c r="D52" s="288">
        <v>480000</v>
      </c>
      <c r="E52" s="288">
        <v>479847</v>
      </c>
      <c r="F52" s="288">
        <v>10000</v>
      </c>
      <c r="G52" s="289">
        <v>51470</v>
      </c>
      <c r="H52" s="289">
        <v>48994</v>
      </c>
      <c r="I52" s="816">
        <v>1550</v>
      </c>
      <c r="J52" s="361">
        <v>1550</v>
      </c>
      <c r="K52" s="112">
        <v>0.13851999999999998</v>
      </c>
      <c r="L52" s="112">
        <v>0.14960999999999997</v>
      </c>
      <c r="M52" s="361"/>
      <c r="N52" s="361"/>
      <c r="O52" s="892"/>
      <c r="P52" s="892"/>
      <c r="Q52" s="362">
        <v>0.14971999999999996</v>
      </c>
      <c r="R52" s="361"/>
      <c r="S52" s="363"/>
      <c r="T52" s="362">
        <v>0.13943999999999998</v>
      </c>
      <c r="U52" s="361"/>
      <c r="V52" s="564"/>
      <c r="W52" s="362">
        <v>0.13676999999999997</v>
      </c>
      <c r="X52" s="361"/>
      <c r="Y52" s="564"/>
      <c r="Z52" s="362">
        <v>0.13851999999999998</v>
      </c>
      <c r="AA52" s="361"/>
      <c r="AB52" s="564"/>
      <c r="AC52" s="112">
        <v>0.13692999999999997</v>
      </c>
      <c r="AD52" s="361"/>
      <c r="AE52" s="564"/>
      <c r="AF52" s="112">
        <v>0.13907999999999998</v>
      </c>
      <c r="AG52" s="361"/>
      <c r="AH52" s="564"/>
      <c r="AI52" s="362">
        <v>0.14960999999999997</v>
      </c>
      <c r="AJ52" s="361"/>
      <c r="AK52" s="363"/>
      <c r="AL52" s="1142"/>
      <c r="AM52" s="362">
        <v>0.15554999999999997</v>
      </c>
      <c r="AN52" s="361"/>
      <c r="AO52" s="363"/>
      <c r="AP52" s="362">
        <v>0</v>
      </c>
      <c r="AQ52" s="361"/>
      <c r="AR52" s="564"/>
      <c r="AS52" s="362">
        <v>0.14852999999999997</v>
      </c>
      <c r="AT52" s="361"/>
      <c r="AU52" s="363"/>
      <c r="AV52" s="362">
        <v>0.14868999999999996</v>
      </c>
      <c r="AW52" s="361"/>
      <c r="AX52" s="363"/>
      <c r="AY52" s="362">
        <v>0.14712999999999996</v>
      </c>
      <c r="AZ52" s="361"/>
      <c r="BA52" s="363"/>
      <c r="BB52" s="362">
        <v>0.15485999999999997</v>
      </c>
      <c r="BC52" s="361"/>
      <c r="BD52" s="363"/>
      <c r="BE52" s="564"/>
    </row>
    <row r="53" spans="1:59" x14ac:dyDescent="0.2">
      <c r="A53" s="76">
        <v>46</v>
      </c>
      <c r="B53" s="670"/>
      <c r="C53" s="812" t="s">
        <v>5</v>
      </c>
      <c r="D53" s="288">
        <v>807846</v>
      </c>
      <c r="E53" s="288">
        <v>792463</v>
      </c>
      <c r="F53" s="288">
        <v>20000</v>
      </c>
      <c r="G53" s="289"/>
      <c r="H53" s="289"/>
      <c r="I53" s="816"/>
      <c r="J53" s="361"/>
      <c r="K53" s="112">
        <v>0.12399999999999999</v>
      </c>
      <c r="L53" s="112">
        <v>0.13391999999999998</v>
      </c>
      <c r="M53" s="361"/>
      <c r="N53" s="361"/>
      <c r="O53" s="892"/>
      <c r="P53" s="892"/>
      <c r="Q53" s="362">
        <v>0.13401999999999997</v>
      </c>
      <c r="R53" s="361"/>
      <c r="S53" s="363"/>
      <c r="T53" s="362">
        <v>0.12482999999999998</v>
      </c>
      <c r="U53" s="361"/>
      <c r="V53" s="564"/>
      <c r="W53" s="362">
        <v>0.12242999999999998</v>
      </c>
      <c r="X53" s="361"/>
      <c r="Y53" s="564"/>
      <c r="Z53" s="362">
        <v>0.12399999999999999</v>
      </c>
      <c r="AA53" s="361"/>
      <c r="AB53" s="564"/>
      <c r="AC53" s="112">
        <v>0.12256999999999998</v>
      </c>
      <c r="AD53" s="361"/>
      <c r="AE53" s="564"/>
      <c r="AF53" s="112">
        <v>0.12449999999999999</v>
      </c>
      <c r="AG53" s="361"/>
      <c r="AH53" s="564"/>
      <c r="AI53" s="362">
        <v>0.13391999999999998</v>
      </c>
      <c r="AJ53" s="361"/>
      <c r="AK53" s="363"/>
      <c r="AL53" s="1142"/>
      <c r="AM53" s="362">
        <v>0.13922999999999999</v>
      </c>
      <c r="AN53" s="361"/>
      <c r="AO53" s="363"/>
      <c r="AP53" s="362">
        <v>0</v>
      </c>
      <c r="AQ53" s="361"/>
      <c r="AR53" s="564"/>
      <c r="AS53" s="362">
        <v>0.13295000000000001</v>
      </c>
      <c r="AT53" s="361"/>
      <c r="AU53" s="363"/>
      <c r="AV53" s="362">
        <v>0.13309000000000001</v>
      </c>
      <c r="AW53" s="361"/>
      <c r="AX53" s="363"/>
      <c r="AY53" s="362">
        <v>0.13170000000000001</v>
      </c>
      <c r="AZ53" s="361"/>
      <c r="BA53" s="363"/>
      <c r="BB53" s="362">
        <v>0.13862999999999998</v>
      </c>
      <c r="BC53" s="361"/>
      <c r="BD53" s="363"/>
      <c r="BE53" s="564"/>
    </row>
    <row r="54" spans="1:59" x14ac:dyDescent="0.2">
      <c r="A54" s="76">
        <v>47</v>
      </c>
      <c r="B54" s="670"/>
      <c r="C54" s="812" t="s">
        <v>6</v>
      </c>
      <c r="D54" s="288">
        <v>583779</v>
      </c>
      <c r="E54" s="288">
        <v>542281</v>
      </c>
      <c r="F54" s="288">
        <v>20000</v>
      </c>
      <c r="G54" s="289"/>
      <c r="H54" s="289"/>
      <c r="I54" s="816"/>
      <c r="J54" s="361"/>
      <c r="K54" s="112">
        <v>9.5079999999999998E-2</v>
      </c>
      <c r="L54" s="112">
        <v>0.1027</v>
      </c>
      <c r="M54" s="361"/>
      <c r="N54" s="361"/>
      <c r="O54" s="892"/>
      <c r="P54" s="892"/>
      <c r="Q54" s="362">
        <v>0.10277</v>
      </c>
      <c r="R54" s="361"/>
      <c r="S54" s="363"/>
      <c r="T54" s="362">
        <v>9.5710000000000003E-2</v>
      </c>
      <c r="U54" s="361"/>
      <c r="V54" s="564"/>
      <c r="W54" s="362">
        <v>9.3879999999999991E-2</v>
      </c>
      <c r="X54" s="361"/>
      <c r="Y54" s="564"/>
      <c r="Z54" s="362">
        <v>9.5079999999999998E-2</v>
      </c>
      <c r="AA54" s="361"/>
      <c r="AB54" s="564"/>
      <c r="AC54" s="112">
        <v>9.3990000000000004E-2</v>
      </c>
      <c r="AD54" s="361"/>
      <c r="AE54" s="564"/>
      <c r="AF54" s="112">
        <v>9.5469999999999999E-2</v>
      </c>
      <c r="AG54" s="361"/>
      <c r="AH54" s="564"/>
      <c r="AI54" s="362">
        <v>0.1027</v>
      </c>
      <c r="AJ54" s="361"/>
      <c r="AK54" s="363"/>
      <c r="AL54" s="1142"/>
      <c r="AM54" s="362">
        <v>0.10677</v>
      </c>
      <c r="AN54" s="361"/>
      <c r="AO54" s="363"/>
      <c r="AP54" s="362">
        <v>0</v>
      </c>
      <c r="AQ54" s="361"/>
      <c r="AR54" s="564"/>
      <c r="AS54" s="362">
        <v>0.10195999999999998</v>
      </c>
      <c r="AT54" s="361"/>
      <c r="AU54" s="363"/>
      <c r="AV54" s="362">
        <v>0.10206999999999998</v>
      </c>
      <c r="AW54" s="361"/>
      <c r="AX54" s="363"/>
      <c r="AY54" s="362">
        <v>0.10099999999999998</v>
      </c>
      <c r="AZ54" s="361"/>
      <c r="BA54" s="363"/>
      <c r="BB54" s="362">
        <v>0.10629000000000001</v>
      </c>
      <c r="BC54" s="361"/>
      <c r="BD54" s="363"/>
      <c r="BE54" s="564"/>
    </row>
    <row r="55" spans="1:59" x14ac:dyDescent="0.2">
      <c r="A55" s="76">
        <v>48</v>
      </c>
      <c r="B55" s="670"/>
      <c r="C55" s="812" t="s">
        <v>7</v>
      </c>
      <c r="D55" s="288">
        <v>598933</v>
      </c>
      <c r="E55" s="288">
        <v>537117</v>
      </c>
      <c r="F55" s="288">
        <v>100000</v>
      </c>
      <c r="G55" s="289"/>
      <c r="H55" s="289"/>
      <c r="I55" s="816"/>
      <c r="J55" s="361"/>
      <c r="K55" s="112">
        <v>7.6070000000000013E-2</v>
      </c>
      <c r="L55" s="112">
        <v>8.2170000000000021E-2</v>
      </c>
      <c r="M55" s="361"/>
      <c r="N55" s="361"/>
      <c r="O55" s="892"/>
      <c r="P55" s="892"/>
      <c r="Q55" s="362">
        <v>8.2220000000000015E-2</v>
      </c>
      <c r="R55" s="361"/>
      <c r="S55" s="363"/>
      <c r="T55" s="362">
        <v>7.6590000000000019E-2</v>
      </c>
      <c r="U55" s="361"/>
      <c r="V55" s="564"/>
      <c r="W55" s="362">
        <v>7.511000000000001E-2</v>
      </c>
      <c r="X55" s="361"/>
      <c r="Y55" s="564"/>
      <c r="Z55" s="362">
        <v>7.6070000000000013E-2</v>
      </c>
      <c r="AA55" s="361"/>
      <c r="AB55" s="564"/>
      <c r="AC55" s="112">
        <v>7.5190000000000007E-2</v>
      </c>
      <c r="AD55" s="361"/>
      <c r="AE55" s="564"/>
      <c r="AF55" s="112">
        <v>7.6380000000000017E-2</v>
      </c>
      <c r="AG55" s="361"/>
      <c r="AH55" s="564"/>
      <c r="AI55" s="362">
        <v>8.2170000000000021E-2</v>
      </c>
      <c r="AJ55" s="361"/>
      <c r="AK55" s="363"/>
      <c r="AL55" s="1142"/>
      <c r="AM55" s="362">
        <v>8.543000000000002E-2</v>
      </c>
      <c r="AN55" s="361"/>
      <c r="AO55" s="363"/>
      <c r="AP55" s="362">
        <v>0</v>
      </c>
      <c r="AQ55" s="361"/>
      <c r="AR55" s="564"/>
      <c r="AS55" s="362">
        <v>8.1560000000000007E-2</v>
      </c>
      <c r="AT55" s="361"/>
      <c r="AU55" s="363"/>
      <c r="AV55" s="362">
        <v>8.1650000000000014E-2</v>
      </c>
      <c r="AW55" s="361"/>
      <c r="AX55" s="363"/>
      <c r="AY55" s="362">
        <v>8.0800000000000011E-2</v>
      </c>
      <c r="AZ55" s="361"/>
      <c r="BA55" s="363"/>
      <c r="BB55" s="362">
        <v>8.5060000000000024E-2</v>
      </c>
      <c r="BC55" s="361"/>
      <c r="BD55" s="363"/>
      <c r="BE55" s="564"/>
    </row>
    <row r="56" spans="1:59" x14ac:dyDescent="0.2">
      <c r="A56" s="76">
        <v>49</v>
      </c>
      <c r="B56" s="670"/>
      <c r="C56" s="812" t="s">
        <v>8</v>
      </c>
      <c r="D56" s="288">
        <v>0</v>
      </c>
      <c r="E56" s="288">
        <v>0</v>
      </c>
      <c r="F56" s="288">
        <v>600000</v>
      </c>
      <c r="G56" s="289"/>
      <c r="H56" s="289"/>
      <c r="I56" s="816"/>
      <c r="J56" s="361"/>
      <c r="K56" s="112">
        <v>5.0710000000000005E-2</v>
      </c>
      <c r="L56" s="112">
        <v>5.4790000000000005E-2</v>
      </c>
      <c r="M56" s="361"/>
      <c r="N56" s="361"/>
      <c r="O56" s="892"/>
      <c r="P56" s="892"/>
      <c r="Q56" s="362">
        <v>5.4810000000000005E-2</v>
      </c>
      <c r="R56" s="361"/>
      <c r="S56" s="363"/>
      <c r="T56" s="362">
        <v>5.1060000000000008E-2</v>
      </c>
      <c r="U56" s="361"/>
      <c r="V56" s="564"/>
      <c r="W56" s="362">
        <v>5.0070000000000003E-2</v>
      </c>
      <c r="X56" s="361"/>
      <c r="Y56" s="564"/>
      <c r="Z56" s="362">
        <v>5.0710000000000005E-2</v>
      </c>
      <c r="AA56" s="361"/>
      <c r="AB56" s="564"/>
      <c r="AC56" s="112">
        <v>5.0130000000000008E-2</v>
      </c>
      <c r="AD56" s="361"/>
      <c r="AE56" s="564"/>
      <c r="AF56" s="112">
        <v>5.0920000000000007E-2</v>
      </c>
      <c r="AG56" s="361"/>
      <c r="AH56" s="564"/>
      <c r="AI56" s="362">
        <v>5.4790000000000005E-2</v>
      </c>
      <c r="AJ56" s="361"/>
      <c r="AK56" s="363"/>
      <c r="AL56" s="1142"/>
      <c r="AM56" s="362">
        <v>5.6960000000000004E-2</v>
      </c>
      <c r="AN56" s="361"/>
      <c r="AO56" s="363"/>
      <c r="AP56" s="362">
        <v>0</v>
      </c>
      <c r="AQ56" s="361"/>
      <c r="AR56" s="564"/>
      <c r="AS56" s="362">
        <v>5.4380000000000005E-2</v>
      </c>
      <c r="AT56" s="361"/>
      <c r="AU56" s="363"/>
      <c r="AV56" s="362">
        <v>5.4440000000000002E-2</v>
      </c>
      <c r="AW56" s="361"/>
      <c r="AX56" s="363"/>
      <c r="AY56" s="362">
        <v>5.3870000000000001E-2</v>
      </c>
      <c r="AZ56" s="361"/>
      <c r="BA56" s="363"/>
      <c r="BB56" s="362">
        <v>5.6700000000000007E-2</v>
      </c>
      <c r="BC56" s="361"/>
      <c r="BD56" s="363"/>
      <c r="BE56" s="564"/>
    </row>
    <row r="57" spans="1:59" x14ac:dyDescent="0.2">
      <c r="A57" s="76">
        <v>50</v>
      </c>
      <c r="B57" s="670"/>
      <c r="C57" s="812" t="s">
        <v>9</v>
      </c>
      <c r="D57" s="288">
        <v>0</v>
      </c>
      <c r="E57" s="288">
        <v>0</v>
      </c>
      <c r="F57" s="360" t="s">
        <v>59</v>
      </c>
      <c r="G57" s="289"/>
      <c r="H57" s="289"/>
      <c r="I57" s="816"/>
      <c r="J57" s="361"/>
      <c r="K57" s="112">
        <v>1.9009999999999999E-2</v>
      </c>
      <c r="L57" s="112">
        <v>2.0539999999999999E-2</v>
      </c>
      <c r="M57" s="361"/>
      <c r="N57" s="361"/>
      <c r="O57" s="892"/>
      <c r="P57" s="892"/>
      <c r="Q57" s="362">
        <v>2.0549999999999999E-2</v>
      </c>
      <c r="R57" s="361"/>
      <c r="S57" s="363"/>
      <c r="T57" s="362">
        <v>1.9140000000000001E-2</v>
      </c>
      <c r="U57" s="361"/>
      <c r="V57" s="564"/>
      <c r="W57" s="362">
        <v>1.8769999999999998E-2</v>
      </c>
      <c r="X57" s="361"/>
      <c r="Y57" s="564"/>
      <c r="Z57" s="362">
        <v>1.9009999999999999E-2</v>
      </c>
      <c r="AA57" s="361"/>
      <c r="AB57" s="564"/>
      <c r="AC57" s="112">
        <v>1.8789999999999998E-2</v>
      </c>
      <c r="AD57" s="361"/>
      <c r="AE57" s="564"/>
      <c r="AF57" s="112">
        <v>1.9089999999999999E-2</v>
      </c>
      <c r="AG57" s="361"/>
      <c r="AH57" s="564"/>
      <c r="AI57" s="362">
        <v>2.0539999999999999E-2</v>
      </c>
      <c r="AJ57" s="361"/>
      <c r="AK57" s="363"/>
      <c r="AL57" s="1142"/>
      <c r="AM57" s="362">
        <v>2.1350000000000001E-2</v>
      </c>
      <c r="AN57" s="361"/>
      <c r="AO57" s="363"/>
      <c r="AP57" s="362">
        <v>0</v>
      </c>
      <c r="AQ57" s="361"/>
      <c r="AR57" s="564"/>
      <c r="AS57" s="362">
        <v>2.0389999999999998E-2</v>
      </c>
      <c r="AT57" s="361"/>
      <c r="AU57" s="363"/>
      <c r="AV57" s="362">
        <v>2.0409999999999998E-2</v>
      </c>
      <c r="AW57" s="361"/>
      <c r="AX57" s="363"/>
      <c r="AY57" s="362">
        <v>2.0199999999999999E-2</v>
      </c>
      <c r="AZ57" s="361"/>
      <c r="BA57" s="363"/>
      <c r="BB57" s="362">
        <v>2.1260000000000001E-2</v>
      </c>
      <c r="BC57" s="361"/>
      <c r="BD57" s="363"/>
      <c r="BE57" s="564"/>
    </row>
    <row r="58" spans="1:59" x14ac:dyDescent="0.2">
      <c r="A58" s="76">
        <v>51</v>
      </c>
      <c r="B58" s="668"/>
      <c r="C58" s="813" t="s">
        <v>62</v>
      </c>
      <c r="D58" s="364"/>
      <c r="E58" s="364"/>
      <c r="F58" s="365"/>
      <c r="G58" s="366"/>
      <c r="H58" s="366"/>
      <c r="I58" s="817"/>
      <c r="J58" s="368"/>
      <c r="K58" s="367"/>
      <c r="L58" s="367"/>
      <c r="M58" s="368">
        <v>7428.62</v>
      </c>
      <c r="N58" s="368">
        <v>7221.15</v>
      </c>
      <c r="O58" s="368">
        <v>7899.29</v>
      </c>
      <c r="P58" s="368">
        <v>7675.18</v>
      </c>
      <c r="Q58" s="370"/>
      <c r="R58" s="368">
        <v>7903.86</v>
      </c>
      <c r="S58" s="371">
        <v>6.4000000000000001E-2</v>
      </c>
      <c r="T58" s="369"/>
      <c r="U58" s="368">
        <v>7258.92</v>
      </c>
      <c r="V58" s="565">
        <v>5.0000000000000001E-3</v>
      </c>
      <c r="W58" s="369"/>
      <c r="X58" s="368">
        <v>7354.31</v>
      </c>
      <c r="Y58" s="565">
        <v>-0.01</v>
      </c>
      <c r="Z58" s="369"/>
      <c r="AA58" s="368">
        <v>7428.62</v>
      </c>
      <c r="AB58" s="565">
        <v>0</v>
      </c>
      <c r="AC58" s="368"/>
      <c r="AD58" s="368">
        <v>7361.03</v>
      </c>
      <c r="AE58" s="565">
        <v>-8.9999999999999993E-3</v>
      </c>
      <c r="AF58" s="368"/>
      <c r="AG58" s="368">
        <v>7452.48</v>
      </c>
      <c r="AH58" s="565">
        <v>3.0000000000000001E-3</v>
      </c>
      <c r="AI58" s="370"/>
      <c r="AJ58" s="368">
        <v>7899.29</v>
      </c>
      <c r="AK58" s="371">
        <v>6.3E-2</v>
      </c>
      <c r="AL58" s="368">
        <v>470.67000000000007</v>
      </c>
      <c r="AM58" s="370"/>
      <c r="AN58" s="368">
        <v>8151.08</v>
      </c>
      <c r="AO58" s="371">
        <v>3.2000000000000001E-2</v>
      </c>
      <c r="AP58" s="369"/>
      <c r="AQ58" s="368">
        <v>1550</v>
      </c>
      <c r="AR58" s="565">
        <v>-0.79800000000000004</v>
      </c>
      <c r="AS58" s="370"/>
      <c r="AT58" s="368">
        <v>7853.39</v>
      </c>
      <c r="AU58" s="371">
        <v>-6.0000000000000001E-3</v>
      </c>
      <c r="AV58" s="370"/>
      <c r="AW58" s="368">
        <v>7860.13</v>
      </c>
      <c r="AX58" s="371">
        <v>-5.0000000000000001E-3</v>
      </c>
      <c r="AY58" s="370"/>
      <c r="AZ58" s="368">
        <v>7794.08</v>
      </c>
      <c r="BA58" s="371">
        <v>-6.0000000000000001E-3</v>
      </c>
      <c r="BB58" s="370"/>
      <c r="BC58" s="368">
        <v>8122.04</v>
      </c>
      <c r="BD58" s="371">
        <v>2.8000000000000001E-2</v>
      </c>
      <c r="BE58" s="1493">
        <v>222.75</v>
      </c>
      <c r="BF58" s="359"/>
      <c r="BG58" s="359"/>
    </row>
    <row r="59" spans="1:59" x14ac:dyDescent="0.2">
      <c r="A59" s="76">
        <v>52</v>
      </c>
      <c r="B59" s="670" t="s">
        <v>256</v>
      </c>
      <c r="C59" s="812" t="s">
        <v>4</v>
      </c>
      <c r="D59" s="288">
        <v>924395</v>
      </c>
      <c r="E59" s="288">
        <v>901597</v>
      </c>
      <c r="F59" s="288">
        <v>10000</v>
      </c>
      <c r="G59" s="289">
        <v>63374</v>
      </c>
      <c r="H59" s="289">
        <v>63120</v>
      </c>
      <c r="I59" s="816">
        <v>1550</v>
      </c>
      <c r="J59" s="361">
        <v>1550</v>
      </c>
      <c r="K59" s="112">
        <v>0.14000000000000001</v>
      </c>
      <c r="L59" s="112">
        <v>0.14867000000000002</v>
      </c>
      <c r="M59" s="361"/>
      <c r="N59" s="361"/>
      <c r="O59" s="892"/>
      <c r="P59" s="892"/>
      <c r="Q59" s="362">
        <v>0.14867000000000002</v>
      </c>
      <c r="R59" s="361"/>
      <c r="S59" s="363"/>
      <c r="T59" s="362">
        <v>0.14103000000000002</v>
      </c>
      <c r="U59" s="361"/>
      <c r="V59" s="564"/>
      <c r="W59" s="362">
        <v>0.13823000000000002</v>
      </c>
      <c r="X59" s="361"/>
      <c r="Y59" s="564"/>
      <c r="Z59" s="362">
        <v>0.14000000000000001</v>
      </c>
      <c r="AA59" s="361"/>
      <c r="AB59" s="564"/>
      <c r="AC59" s="112">
        <v>0.13841000000000001</v>
      </c>
      <c r="AD59" s="361"/>
      <c r="AE59" s="564"/>
      <c r="AF59" s="112">
        <v>0.14056000000000002</v>
      </c>
      <c r="AG59" s="361"/>
      <c r="AH59" s="564"/>
      <c r="AI59" s="362">
        <v>0.14867000000000002</v>
      </c>
      <c r="AJ59" s="361"/>
      <c r="AK59" s="363"/>
      <c r="AL59" s="1142"/>
      <c r="AM59" s="362">
        <v>0.15263000000000002</v>
      </c>
      <c r="AN59" s="361"/>
      <c r="AO59" s="363"/>
      <c r="AP59" s="362">
        <v>0</v>
      </c>
      <c r="AQ59" s="361"/>
      <c r="AR59" s="564"/>
      <c r="AS59" s="362">
        <v>0.14748000000000003</v>
      </c>
      <c r="AT59" s="361"/>
      <c r="AU59" s="363"/>
      <c r="AV59" s="362">
        <v>0.14764000000000002</v>
      </c>
      <c r="AW59" s="361"/>
      <c r="AX59" s="363"/>
      <c r="AY59" s="362">
        <v>0.14610000000000001</v>
      </c>
      <c r="AZ59" s="361"/>
      <c r="BA59" s="363"/>
      <c r="BB59" s="362">
        <v>0.15196000000000001</v>
      </c>
      <c r="BC59" s="361"/>
      <c r="BD59" s="363"/>
      <c r="BE59" s="564"/>
    </row>
    <row r="60" spans="1:59" x14ac:dyDescent="0.2">
      <c r="A60" s="76">
        <v>53</v>
      </c>
      <c r="B60" s="670"/>
      <c r="C60" s="812" t="s">
        <v>5</v>
      </c>
      <c r="D60" s="288">
        <v>1036796</v>
      </c>
      <c r="E60" s="288">
        <v>1041722</v>
      </c>
      <c r="F60" s="288">
        <v>20000</v>
      </c>
      <c r="G60" s="289"/>
      <c r="H60" s="289"/>
      <c r="I60" s="816"/>
      <c r="J60" s="361"/>
      <c r="K60" s="112">
        <v>0.12530999999999998</v>
      </c>
      <c r="L60" s="112">
        <v>0.13306999999999997</v>
      </c>
      <c r="M60" s="361"/>
      <c r="N60" s="361"/>
      <c r="O60" s="892"/>
      <c r="P60" s="892"/>
      <c r="Q60" s="362">
        <v>0.13306999999999997</v>
      </c>
      <c r="R60" s="361"/>
      <c r="S60" s="363"/>
      <c r="T60" s="362">
        <v>0.12623999999999996</v>
      </c>
      <c r="U60" s="361"/>
      <c r="V60" s="564"/>
      <c r="W60" s="362">
        <v>0.12371999999999998</v>
      </c>
      <c r="X60" s="361"/>
      <c r="Y60" s="564"/>
      <c r="Z60" s="362">
        <v>0.12530999999999998</v>
      </c>
      <c r="AA60" s="361"/>
      <c r="AB60" s="564"/>
      <c r="AC60" s="112">
        <v>0.12387999999999998</v>
      </c>
      <c r="AD60" s="361"/>
      <c r="AE60" s="564"/>
      <c r="AF60" s="112">
        <v>0.12580999999999998</v>
      </c>
      <c r="AG60" s="361"/>
      <c r="AH60" s="564"/>
      <c r="AI60" s="362">
        <v>0.13306999999999997</v>
      </c>
      <c r="AJ60" s="361"/>
      <c r="AK60" s="363"/>
      <c r="AL60" s="1142"/>
      <c r="AM60" s="362">
        <v>0.13660999999999995</v>
      </c>
      <c r="AN60" s="361"/>
      <c r="AO60" s="363"/>
      <c r="AP60" s="362">
        <v>0</v>
      </c>
      <c r="AQ60" s="361"/>
      <c r="AR60" s="564"/>
      <c r="AS60" s="362">
        <v>0.13199999999999998</v>
      </c>
      <c r="AT60" s="361"/>
      <c r="AU60" s="363"/>
      <c r="AV60" s="362">
        <v>0.13213999999999998</v>
      </c>
      <c r="AW60" s="361"/>
      <c r="AX60" s="363"/>
      <c r="AY60" s="362">
        <v>0.13075999999999999</v>
      </c>
      <c r="AZ60" s="361"/>
      <c r="BA60" s="363"/>
      <c r="BB60" s="362">
        <v>0.13601999999999995</v>
      </c>
      <c r="BC60" s="361"/>
      <c r="BD60" s="363"/>
      <c r="BE60" s="564"/>
    </row>
    <row r="61" spans="1:59" x14ac:dyDescent="0.2">
      <c r="A61" s="76">
        <v>54</v>
      </c>
      <c r="B61" s="670"/>
      <c r="C61" s="812" t="s">
        <v>6</v>
      </c>
      <c r="D61" s="288">
        <v>937215</v>
      </c>
      <c r="E61" s="288">
        <v>957215</v>
      </c>
      <c r="F61" s="288">
        <v>20000</v>
      </c>
      <c r="G61" s="289"/>
      <c r="H61" s="289"/>
      <c r="I61" s="816"/>
      <c r="J61" s="361"/>
      <c r="K61" s="112">
        <v>9.6100000000000005E-2</v>
      </c>
      <c r="L61" s="112">
        <v>0.10205</v>
      </c>
      <c r="M61" s="361"/>
      <c r="N61" s="361"/>
      <c r="O61" s="892"/>
      <c r="P61" s="892"/>
      <c r="Q61" s="362">
        <v>0.10205</v>
      </c>
      <c r="R61" s="361"/>
      <c r="S61" s="363"/>
      <c r="T61" s="362">
        <v>9.6800000000000011E-2</v>
      </c>
      <c r="U61" s="361"/>
      <c r="V61" s="564"/>
      <c r="W61" s="362">
        <v>9.4880000000000006E-2</v>
      </c>
      <c r="X61" s="361"/>
      <c r="Y61" s="564"/>
      <c r="Z61" s="362">
        <v>9.6100000000000005E-2</v>
      </c>
      <c r="AA61" s="361"/>
      <c r="AB61" s="564"/>
      <c r="AC61" s="112">
        <v>9.5010000000000011E-2</v>
      </c>
      <c r="AD61" s="361"/>
      <c r="AE61" s="564"/>
      <c r="AF61" s="112">
        <v>9.6490000000000006E-2</v>
      </c>
      <c r="AG61" s="361"/>
      <c r="AH61" s="564"/>
      <c r="AI61" s="362">
        <v>0.10205</v>
      </c>
      <c r="AJ61" s="361"/>
      <c r="AK61" s="363"/>
      <c r="AL61" s="1142"/>
      <c r="AM61" s="362">
        <v>0.10477</v>
      </c>
      <c r="AN61" s="361"/>
      <c r="AO61" s="363"/>
      <c r="AP61" s="362">
        <v>0</v>
      </c>
      <c r="AQ61" s="361"/>
      <c r="AR61" s="564"/>
      <c r="AS61" s="362">
        <v>0.10124</v>
      </c>
      <c r="AT61" s="361"/>
      <c r="AU61" s="363"/>
      <c r="AV61" s="362">
        <v>0.10135</v>
      </c>
      <c r="AW61" s="361"/>
      <c r="AX61" s="363"/>
      <c r="AY61" s="362">
        <v>0.10028999999999999</v>
      </c>
      <c r="AZ61" s="361"/>
      <c r="BA61" s="363"/>
      <c r="BB61" s="362">
        <v>0.1043</v>
      </c>
      <c r="BC61" s="361"/>
      <c r="BD61" s="363"/>
      <c r="BE61" s="564"/>
    </row>
    <row r="62" spans="1:59" x14ac:dyDescent="0.2">
      <c r="A62" s="76">
        <v>55</v>
      </c>
      <c r="B62" s="670"/>
      <c r="C62" s="812" t="s">
        <v>7</v>
      </c>
      <c r="D62" s="288">
        <v>2390318</v>
      </c>
      <c r="E62" s="288">
        <v>2490044</v>
      </c>
      <c r="F62" s="288">
        <v>100000</v>
      </c>
      <c r="G62" s="289"/>
      <c r="H62" s="289"/>
      <c r="I62" s="816"/>
      <c r="J62" s="361"/>
      <c r="K62" s="112">
        <v>7.6880000000000018E-2</v>
      </c>
      <c r="L62" s="112">
        <v>8.1650000000000014E-2</v>
      </c>
      <c r="M62" s="361"/>
      <c r="N62" s="361"/>
      <c r="O62" s="892"/>
      <c r="P62" s="892"/>
      <c r="Q62" s="362">
        <v>8.1640000000000018E-2</v>
      </c>
      <c r="R62" s="361"/>
      <c r="S62" s="363"/>
      <c r="T62" s="362">
        <v>7.7450000000000019E-2</v>
      </c>
      <c r="U62" s="361"/>
      <c r="V62" s="564"/>
      <c r="W62" s="362">
        <v>7.5910000000000019E-2</v>
      </c>
      <c r="X62" s="361"/>
      <c r="Y62" s="564"/>
      <c r="Z62" s="362">
        <v>7.6880000000000018E-2</v>
      </c>
      <c r="AA62" s="361"/>
      <c r="AB62" s="564"/>
      <c r="AC62" s="112">
        <v>7.6010000000000022E-2</v>
      </c>
      <c r="AD62" s="361"/>
      <c r="AE62" s="564"/>
      <c r="AF62" s="112">
        <v>7.7190000000000022E-2</v>
      </c>
      <c r="AG62" s="361"/>
      <c r="AH62" s="564"/>
      <c r="AI62" s="362">
        <v>8.1650000000000014E-2</v>
      </c>
      <c r="AJ62" s="361"/>
      <c r="AK62" s="363"/>
      <c r="AL62" s="1142"/>
      <c r="AM62" s="362">
        <v>8.3820000000000019E-2</v>
      </c>
      <c r="AN62" s="361"/>
      <c r="AO62" s="363"/>
      <c r="AP62" s="362">
        <v>0</v>
      </c>
      <c r="AQ62" s="361"/>
      <c r="AR62" s="564"/>
      <c r="AS62" s="362">
        <v>8.0990000000000006E-2</v>
      </c>
      <c r="AT62" s="361"/>
      <c r="AU62" s="363"/>
      <c r="AV62" s="362">
        <v>8.1080000000000013E-2</v>
      </c>
      <c r="AW62" s="361"/>
      <c r="AX62" s="363"/>
      <c r="AY62" s="362">
        <v>8.023000000000001E-2</v>
      </c>
      <c r="AZ62" s="361"/>
      <c r="BA62" s="363"/>
      <c r="BB62" s="362">
        <v>8.3440000000000028E-2</v>
      </c>
      <c r="BC62" s="361"/>
      <c r="BD62" s="363"/>
      <c r="BE62" s="564"/>
    </row>
    <row r="63" spans="1:59" x14ac:dyDescent="0.2">
      <c r="A63" s="76">
        <v>56</v>
      </c>
      <c r="B63" s="670"/>
      <c r="C63" s="812" t="s">
        <v>8</v>
      </c>
      <c r="D63" s="288">
        <v>1492257</v>
      </c>
      <c r="E63" s="288">
        <v>1426372</v>
      </c>
      <c r="F63" s="288">
        <v>600000</v>
      </c>
      <c r="G63" s="289"/>
      <c r="H63" s="289"/>
      <c r="I63" s="816"/>
      <c r="J63" s="361"/>
      <c r="K63" s="112">
        <v>5.1250000000000004E-2</v>
      </c>
      <c r="L63" s="112">
        <v>5.4429999999999999E-2</v>
      </c>
      <c r="M63" s="361"/>
      <c r="N63" s="361"/>
      <c r="O63" s="892"/>
      <c r="P63" s="892"/>
      <c r="Q63" s="362">
        <v>5.4420000000000003E-2</v>
      </c>
      <c r="R63" s="361"/>
      <c r="S63" s="363"/>
      <c r="T63" s="362">
        <v>5.1630000000000002E-2</v>
      </c>
      <c r="U63" s="361"/>
      <c r="V63" s="564"/>
      <c r="W63" s="362">
        <v>5.0600000000000006E-2</v>
      </c>
      <c r="X63" s="361"/>
      <c r="Y63" s="564"/>
      <c r="Z63" s="362">
        <v>5.1250000000000004E-2</v>
      </c>
      <c r="AA63" s="361"/>
      <c r="AB63" s="564"/>
      <c r="AC63" s="112">
        <v>5.0670000000000007E-2</v>
      </c>
      <c r="AD63" s="361"/>
      <c r="AE63" s="564"/>
      <c r="AF63" s="112">
        <v>5.1460000000000006E-2</v>
      </c>
      <c r="AG63" s="361"/>
      <c r="AH63" s="564"/>
      <c r="AI63" s="362">
        <v>5.4429999999999999E-2</v>
      </c>
      <c r="AJ63" s="361"/>
      <c r="AK63" s="363"/>
      <c r="AL63" s="1142"/>
      <c r="AM63" s="362">
        <v>5.5879999999999999E-2</v>
      </c>
      <c r="AN63" s="361"/>
      <c r="AO63" s="363"/>
      <c r="AP63" s="362">
        <v>0</v>
      </c>
      <c r="AQ63" s="361"/>
      <c r="AR63" s="564"/>
      <c r="AS63" s="362">
        <v>5.3990000000000003E-2</v>
      </c>
      <c r="AT63" s="361"/>
      <c r="AU63" s="363"/>
      <c r="AV63" s="362">
        <v>5.4050000000000001E-2</v>
      </c>
      <c r="AW63" s="361"/>
      <c r="AX63" s="363"/>
      <c r="AY63" s="362">
        <v>5.3490000000000003E-2</v>
      </c>
      <c r="AZ63" s="361"/>
      <c r="BA63" s="363"/>
      <c r="BB63" s="362">
        <v>5.5629999999999999E-2</v>
      </c>
      <c r="BC63" s="361"/>
      <c r="BD63" s="363"/>
      <c r="BE63" s="564"/>
    </row>
    <row r="64" spans="1:59" x14ac:dyDescent="0.2">
      <c r="A64" s="76">
        <v>57</v>
      </c>
      <c r="B64" s="670"/>
      <c r="C64" s="812" t="s">
        <v>9</v>
      </c>
      <c r="D64" s="288">
        <v>0</v>
      </c>
      <c r="E64" s="288">
        <v>0</v>
      </c>
      <c r="F64" s="360" t="s">
        <v>59</v>
      </c>
      <c r="G64" s="289"/>
      <c r="H64" s="289"/>
      <c r="I64" s="816"/>
      <c r="J64" s="361"/>
      <c r="K64" s="112">
        <v>1.9220000000000001E-2</v>
      </c>
      <c r="L64" s="112">
        <v>2.0410000000000001E-2</v>
      </c>
      <c r="M64" s="361"/>
      <c r="N64" s="361"/>
      <c r="O64" s="892"/>
      <c r="P64" s="892"/>
      <c r="Q64" s="362">
        <v>2.0410000000000001E-2</v>
      </c>
      <c r="R64" s="361"/>
      <c r="S64" s="363"/>
      <c r="T64" s="362">
        <v>1.9360000000000002E-2</v>
      </c>
      <c r="U64" s="361"/>
      <c r="V64" s="564"/>
      <c r="W64" s="362">
        <v>1.898E-2</v>
      </c>
      <c r="X64" s="361"/>
      <c r="Y64" s="564"/>
      <c r="Z64" s="362">
        <v>1.9220000000000001E-2</v>
      </c>
      <c r="AA64" s="361"/>
      <c r="AB64" s="564"/>
      <c r="AC64" s="112">
        <v>1.9E-2</v>
      </c>
      <c r="AD64" s="361"/>
      <c r="AE64" s="564"/>
      <c r="AF64" s="112">
        <v>1.9300000000000001E-2</v>
      </c>
      <c r="AG64" s="361"/>
      <c r="AH64" s="564"/>
      <c r="AI64" s="362">
        <v>2.0410000000000001E-2</v>
      </c>
      <c r="AJ64" s="361"/>
      <c r="AK64" s="363"/>
      <c r="AL64" s="1142"/>
      <c r="AM64" s="362">
        <v>2.095E-2</v>
      </c>
      <c r="AN64" s="361"/>
      <c r="AO64" s="363"/>
      <c r="AP64" s="362">
        <v>0</v>
      </c>
      <c r="AQ64" s="361"/>
      <c r="AR64" s="564"/>
      <c r="AS64" s="362">
        <v>2.0250000000000001E-2</v>
      </c>
      <c r="AT64" s="361"/>
      <c r="AU64" s="363"/>
      <c r="AV64" s="362">
        <v>2.027E-2</v>
      </c>
      <c r="AW64" s="361"/>
      <c r="AX64" s="363"/>
      <c r="AY64" s="362">
        <v>2.0060000000000001E-2</v>
      </c>
      <c r="AZ64" s="361"/>
      <c r="BA64" s="363"/>
      <c r="BB64" s="362">
        <v>2.086E-2</v>
      </c>
      <c r="BC64" s="361"/>
      <c r="BD64" s="363"/>
      <c r="BE64" s="564"/>
    </row>
    <row r="65" spans="1:59" x14ac:dyDescent="0.2">
      <c r="A65" s="76">
        <v>58</v>
      </c>
      <c r="B65" s="668"/>
      <c r="C65" s="813" t="s">
        <v>62</v>
      </c>
      <c r="D65" s="364"/>
      <c r="E65" s="364"/>
      <c r="F65" s="365"/>
      <c r="G65" s="366"/>
      <c r="H65" s="366"/>
      <c r="I65" s="817"/>
      <c r="J65" s="368"/>
      <c r="K65" s="367"/>
      <c r="L65" s="367"/>
      <c r="M65" s="368">
        <v>8406.39</v>
      </c>
      <c r="N65" s="368">
        <v>8386.869999999999</v>
      </c>
      <c r="O65" s="368">
        <v>8831.09</v>
      </c>
      <c r="P65" s="368">
        <v>8810.35</v>
      </c>
      <c r="Q65" s="370"/>
      <c r="R65" s="368">
        <v>8830.9500000000007</v>
      </c>
      <c r="S65" s="371">
        <v>5.0999999999999997E-2</v>
      </c>
      <c r="T65" s="369"/>
      <c r="U65" s="368">
        <v>8437.24</v>
      </c>
      <c r="V65" s="565">
        <v>6.0000000000000001E-3</v>
      </c>
      <c r="W65" s="369"/>
      <c r="X65" s="368">
        <v>8300.24</v>
      </c>
      <c r="Y65" s="565">
        <v>-1.2999999999999999E-2</v>
      </c>
      <c r="Z65" s="369"/>
      <c r="AA65" s="368">
        <v>8386.869999999999</v>
      </c>
      <c r="AB65" s="565">
        <v>-2E-3</v>
      </c>
      <c r="AC65" s="368"/>
      <c r="AD65" s="368">
        <v>8309.15</v>
      </c>
      <c r="AE65" s="565">
        <v>-1.2E-2</v>
      </c>
      <c r="AF65" s="368"/>
      <c r="AG65" s="368">
        <v>8414.33</v>
      </c>
      <c r="AH65" s="565">
        <v>1E-3</v>
      </c>
      <c r="AI65" s="370"/>
      <c r="AJ65" s="368">
        <v>8831.09</v>
      </c>
      <c r="AK65" s="371">
        <v>5.0999999999999997E-2</v>
      </c>
      <c r="AL65" s="368">
        <v>424.70000000000073</v>
      </c>
      <c r="AM65" s="370"/>
      <c r="AN65" s="368">
        <v>9024.91</v>
      </c>
      <c r="AO65" s="371">
        <v>2.1999999999999999E-2</v>
      </c>
      <c r="AP65" s="369"/>
      <c r="AQ65" s="368">
        <v>1550</v>
      </c>
      <c r="AR65" s="565">
        <v>-0.82399999999999995</v>
      </c>
      <c r="AS65" s="370"/>
      <c r="AT65" s="368">
        <v>8752.1899999999987</v>
      </c>
      <c r="AU65" s="371">
        <v>-8.9999999999999993E-3</v>
      </c>
      <c r="AV65" s="370"/>
      <c r="AW65" s="368">
        <v>8780.5600000000013</v>
      </c>
      <c r="AX65" s="371">
        <v>-6.0000000000000001E-3</v>
      </c>
      <c r="AY65" s="370"/>
      <c r="AZ65" s="368">
        <v>8705</v>
      </c>
      <c r="BA65" s="371">
        <v>-8.9999999999999993E-3</v>
      </c>
      <c r="BB65" s="370"/>
      <c r="BC65" s="368">
        <v>8991.93</v>
      </c>
      <c r="BD65" s="371">
        <v>1.7999999999999999E-2</v>
      </c>
      <c r="BE65" s="1493">
        <v>160.84000000000015</v>
      </c>
      <c r="BF65" s="359"/>
      <c r="BG65" s="359"/>
    </row>
    <row r="66" spans="1:59" x14ac:dyDescent="0.2">
      <c r="A66" s="76">
        <v>59</v>
      </c>
      <c r="B66" s="670" t="s">
        <v>252</v>
      </c>
      <c r="C66" s="812" t="s">
        <v>4</v>
      </c>
      <c r="D66" s="288">
        <v>240000</v>
      </c>
      <c r="E66" s="288">
        <v>239999</v>
      </c>
      <c r="F66" s="288">
        <v>10000</v>
      </c>
      <c r="G66" s="289">
        <v>39322</v>
      </c>
      <c r="H66" s="289">
        <v>39641</v>
      </c>
      <c r="I66" s="816">
        <v>1300</v>
      </c>
      <c r="J66" s="361">
        <v>1300</v>
      </c>
      <c r="K66" s="112">
        <v>0.42349000000000003</v>
      </c>
      <c r="L66" s="112">
        <v>0.56372</v>
      </c>
      <c r="M66" s="361"/>
      <c r="N66" s="361"/>
      <c r="O66" s="892"/>
      <c r="P66" s="892"/>
      <c r="Q66" s="362">
        <v>0.44409000000000004</v>
      </c>
      <c r="R66" s="361"/>
      <c r="S66" s="363"/>
      <c r="T66" s="362">
        <v>0.54753000000000007</v>
      </c>
      <c r="U66" s="361"/>
      <c r="V66" s="564"/>
      <c r="W66" s="362">
        <v>0.42165000000000002</v>
      </c>
      <c r="X66" s="361"/>
      <c r="Y66" s="564"/>
      <c r="Z66" s="362">
        <v>0.42021000000000003</v>
      </c>
      <c r="AA66" s="361"/>
      <c r="AB66" s="564"/>
      <c r="AC66" s="112">
        <v>0.42174000000000006</v>
      </c>
      <c r="AD66" s="361"/>
      <c r="AE66" s="564"/>
      <c r="AF66" s="112">
        <v>0.42411000000000004</v>
      </c>
      <c r="AG66" s="361"/>
      <c r="AH66" s="564"/>
      <c r="AI66" s="362">
        <v>0.56372</v>
      </c>
      <c r="AJ66" s="361"/>
      <c r="AK66" s="363"/>
      <c r="AL66" s="1142"/>
      <c r="AM66" s="362">
        <v>0.57616999999999996</v>
      </c>
      <c r="AN66" s="361"/>
      <c r="AO66" s="363"/>
      <c r="AP66" s="362">
        <v>0</v>
      </c>
      <c r="AQ66" s="361"/>
      <c r="AR66" s="564"/>
      <c r="AS66" s="362">
        <v>0.43949999999999995</v>
      </c>
      <c r="AT66" s="361"/>
      <c r="AU66" s="363"/>
      <c r="AV66" s="362">
        <v>0.43639999999999995</v>
      </c>
      <c r="AW66" s="361"/>
      <c r="AX66" s="363"/>
      <c r="AY66" s="362">
        <v>0.43792999999999999</v>
      </c>
      <c r="AZ66" s="361"/>
      <c r="BA66" s="363"/>
      <c r="BB66" s="362">
        <v>0.57536999999999994</v>
      </c>
      <c r="BC66" s="361"/>
      <c r="BD66" s="363"/>
      <c r="BE66" s="564"/>
    </row>
    <row r="67" spans="1:59" x14ac:dyDescent="0.2">
      <c r="A67" s="76">
        <v>60</v>
      </c>
      <c r="B67" s="670"/>
      <c r="C67" s="812" t="s">
        <v>5</v>
      </c>
      <c r="D67" s="288">
        <v>467511</v>
      </c>
      <c r="E67" s="288">
        <v>454151</v>
      </c>
      <c r="F67" s="288">
        <v>20000</v>
      </c>
      <c r="G67" s="372"/>
      <c r="H67" s="372"/>
      <c r="I67" s="818"/>
      <c r="J67" s="637"/>
      <c r="K67" s="112">
        <v>0.40679999999999994</v>
      </c>
      <c r="L67" s="112">
        <v>0.5450299999999999</v>
      </c>
      <c r="M67" s="361"/>
      <c r="N67" s="361"/>
      <c r="O67" s="892"/>
      <c r="P67" s="892"/>
      <c r="Q67" s="362">
        <v>0.42524999999999996</v>
      </c>
      <c r="R67" s="361"/>
      <c r="S67" s="363"/>
      <c r="T67" s="362">
        <v>0.53052999999999995</v>
      </c>
      <c r="U67" s="361"/>
      <c r="V67" s="564"/>
      <c r="W67" s="362">
        <v>0.40515999999999996</v>
      </c>
      <c r="X67" s="361"/>
      <c r="Y67" s="564"/>
      <c r="Z67" s="362">
        <v>0.40385999999999994</v>
      </c>
      <c r="AA67" s="361"/>
      <c r="AB67" s="564"/>
      <c r="AC67" s="112">
        <v>0.40523999999999993</v>
      </c>
      <c r="AD67" s="361"/>
      <c r="AE67" s="564"/>
      <c r="AF67" s="112">
        <v>0.40734999999999993</v>
      </c>
      <c r="AG67" s="361"/>
      <c r="AH67" s="564"/>
      <c r="AI67" s="362">
        <v>0.5450299999999999</v>
      </c>
      <c r="AJ67" s="361"/>
      <c r="AK67" s="363"/>
      <c r="AL67" s="1142"/>
      <c r="AM67" s="362">
        <v>0.55616999999999994</v>
      </c>
      <c r="AN67" s="361"/>
      <c r="AO67" s="363"/>
      <c r="AP67" s="362">
        <v>0</v>
      </c>
      <c r="AQ67" s="361"/>
      <c r="AR67" s="564"/>
      <c r="AS67" s="362">
        <v>0.42113999999999996</v>
      </c>
      <c r="AT67" s="361"/>
      <c r="AU67" s="363"/>
      <c r="AV67" s="362">
        <v>0.41835999999999995</v>
      </c>
      <c r="AW67" s="361"/>
      <c r="AX67" s="363"/>
      <c r="AY67" s="362">
        <v>0.41972999999999994</v>
      </c>
      <c r="AZ67" s="361"/>
      <c r="BA67" s="363"/>
      <c r="BB67" s="362">
        <v>0.55545</v>
      </c>
      <c r="BC67" s="361"/>
      <c r="BD67" s="363"/>
      <c r="BE67" s="564"/>
    </row>
    <row r="68" spans="1:59" x14ac:dyDescent="0.2">
      <c r="A68" s="76">
        <v>61</v>
      </c>
      <c r="B68" s="670"/>
      <c r="C68" s="812" t="s">
        <v>6</v>
      </c>
      <c r="D68" s="288">
        <v>218004</v>
      </c>
      <c r="E68" s="288">
        <v>230285</v>
      </c>
      <c r="F68" s="288">
        <v>20000</v>
      </c>
      <c r="G68" s="372"/>
      <c r="H68" s="372"/>
      <c r="I68" s="818"/>
      <c r="J68" s="637"/>
      <c r="K68" s="112">
        <v>0.37361</v>
      </c>
      <c r="L68" s="112">
        <v>0.50780999999999998</v>
      </c>
      <c r="M68" s="361"/>
      <c r="N68" s="361"/>
      <c r="O68" s="892"/>
      <c r="P68" s="892"/>
      <c r="Q68" s="362">
        <v>0.38774999999999998</v>
      </c>
      <c r="R68" s="361"/>
      <c r="S68" s="363"/>
      <c r="T68" s="362">
        <v>0.49669999999999997</v>
      </c>
      <c r="U68" s="361"/>
      <c r="V68" s="564"/>
      <c r="W68" s="362">
        <v>0.37235000000000001</v>
      </c>
      <c r="X68" s="361"/>
      <c r="Y68" s="564"/>
      <c r="Z68" s="362">
        <v>0.37136000000000002</v>
      </c>
      <c r="AA68" s="361"/>
      <c r="AB68" s="564"/>
      <c r="AC68" s="112">
        <v>0.37241000000000002</v>
      </c>
      <c r="AD68" s="361"/>
      <c r="AE68" s="564"/>
      <c r="AF68" s="112">
        <v>0.37402999999999997</v>
      </c>
      <c r="AG68" s="361"/>
      <c r="AH68" s="564"/>
      <c r="AI68" s="362">
        <v>0.50780999999999998</v>
      </c>
      <c r="AJ68" s="361"/>
      <c r="AK68" s="363"/>
      <c r="AL68" s="1142"/>
      <c r="AM68" s="362">
        <v>0.51634999999999998</v>
      </c>
      <c r="AN68" s="361"/>
      <c r="AO68" s="363"/>
      <c r="AP68" s="362">
        <v>0</v>
      </c>
      <c r="AQ68" s="361"/>
      <c r="AR68" s="564"/>
      <c r="AS68" s="362">
        <v>0.3846</v>
      </c>
      <c r="AT68" s="361"/>
      <c r="AU68" s="363"/>
      <c r="AV68" s="362">
        <v>0.38247000000000003</v>
      </c>
      <c r="AW68" s="361"/>
      <c r="AX68" s="363"/>
      <c r="AY68" s="362">
        <v>0.38352000000000003</v>
      </c>
      <c r="AZ68" s="361"/>
      <c r="BA68" s="363"/>
      <c r="BB68" s="362">
        <v>0.51580999999999999</v>
      </c>
      <c r="BC68" s="361"/>
      <c r="BD68" s="363"/>
      <c r="BE68" s="564"/>
    </row>
    <row r="69" spans="1:59" x14ac:dyDescent="0.2">
      <c r="A69" s="76">
        <v>62</v>
      </c>
      <c r="B69" s="670"/>
      <c r="C69" s="812" t="s">
        <v>7</v>
      </c>
      <c r="D69" s="288">
        <v>18208</v>
      </c>
      <c r="E69" s="288">
        <v>26942</v>
      </c>
      <c r="F69" s="288">
        <v>100000</v>
      </c>
      <c r="G69" s="372"/>
      <c r="H69" s="372"/>
      <c r="I69" s="818"/>
      <c r="J69" s="637"/>
      <c r="K69" s="112">
        <v>0.35180000000000006</v>
      </c>
      <c r="L69" s="112">
        <v>0.48334000000000005</v>
      </c>
      <c r="M69" s="361"/>
      <c r="N69" s="361"/>
      <c r="O69" s="892"/>
      <c r="P69" s="892"/>
      <c r="Q69" s="362">
        <v>0.36311000000000004</v>
      </c>
      <c r="R69" s="361"/>
      <c r="S69" s="363"/>
      <c r="T69" s="362">
        <v>0.47445000000000004</v>
      </c>
      <c r="U69" s="361"/>
      <c r="V69" s="564"/>
      <c r="W69" s="362">
        <v>0.35079000000000005</v>
      </c>
      <c r="X69" s="361"/>
      <c r="Y69" s="564"/>
      <c r="Z69" s="362">
        <v>0.35000000000000003</v>
      </c>
      <c r="AA69" s="361"/>
      <c r="AB69" s="564"/>
      <c r="AC69" s="112">
        <v>0.35084000000000004</v>
      </c>
      <c r="AD69" s="361"/>
      <c r="AE69" s="564"/>
      <c r="AF69" s="112">
        <v>0.35214000000000006</v>
      </c>
      <c r="AG69" s="361"/>
      <c r="AH69" s="564"/>
      <c r="AI69" s="362">
        <v>0.48334000000000005</v>
      </c>
      <c r="AJ69" s="361"/>
      <c r="AK69" s="363"/>
      <c r="AL69" s="1142"/>
      <c r="AM69" s="362">
        <v>0.49017000000000005</v>
      </c>
      <c r="AN69" s="361"/>
      <c r="AO69" s="363"/>
      <c r="AP69" s="362">
        <v>0</v>
      </c>
      <c r="AQ69" s="361"/>
      <c r="AR69" s="564"/>
      <c r="AS69" s="362">
        <v>0.36059000000000008</v>
      </c>
      <c r="AT69" s="361"/>
      <c r="AU69" s="363"/>
      <c r="AV69" s="362">
        <v>0.35889000000000004</v>
      </c>
      <c r="AW69" s="361"/>
      <c r="AX69" s="363"/>
      <c r="AY69" s="362">
        <v>0.35973000000000005</v>
      </c>
      <c r="AZ69" s="361"/>
      <c r="BA69" s="363"/>
      <c r="BB69" s="362">
        <v>0.48973000000000005</v>
      </c>
      <c r="BC69" s="361"/>
      <c r="BD69" s="363"/>
      <c r="BE69" s="564"/>
    </row>
    <row r="70" spans="1:59" x14ac:dyDescent="0.2">
      <c r="A70" s="76">
        <v>63</v>
      </c>
      <c r="B70" s="670"/>
      <c r="C70" s="812" t="s">
        <v>8</v>
      </c>
      <c r="D70" s="288">
        <v>0</v>
      </c>
      <c r="E70" s="288">
        <v>0</v>
      </c>
      <c r="F70" s="288">
        <v>600000</v>
      </c>
      <c r="G70" s="372"/>
      <c r="H70" s="372"/>
      <c r="I70" s="818"/>
      <c r="J70" s="637"/>
      <c r="K70" s="112">
        <v>0.32268999999999998</v>
      </c>
      <c r="L70" s="112">
        <v>0.45072999999999996</v>
      </c>
      <c r="M70" s="361"/>
      <c r="N70" s="361"/>
      <c r="O70" s="892"/>
      <c r="P70" s="892"/>
      <c r="Q70" s="362">
        <v>0.33023999999999998</v>
      </c>
      <c r="R70" s="361"/>
      <c r="S70" s="363"/>
      <c r="T70" s="362">
        <v>0.44478999999999996</v>
      </c>
      <c r="U70" s="361"/>
      <c r="V70" s="564"/>
      <c r="W70" s="362">
        <v>0.32201999999999997</v>
      </c>
      <c r="X70" s="361"/>
      <c r="Y70" s="564"/>
      <c r="Z70" s="362">
        <v>0.32149</v>
      </c>
      <c r="AA70" s="361"/>
      <c r="AB70" s="564"/>
      <c r="AC70" s="112">
        <v>0.32205</v>
      </c>
      <c r="AD70" s="361"/>
      <c r="AE70" s="564"/>
      <c r="AF70" s="112">
        <v>0.32291999999999998</v>
      </c>
      <c r="AG70" s="361"/>
      <c r="AH70" s="564"/>
      <c r="AI70" s="362">
        <v>0.45072999999999996</v>
      </c>
      <c r="AJ70" s="361"/>
      <c r="AK70" s="363"/>
      <c r="AL70" s="1142"/>
      <c r="AM70" s="362">
        <v>0.45528999999999997</v>
      </c>
      <c r="AN70" s="361"/>
      <c r="AO70" s="363"/>
      <c r="AP70" s="362">
        <v>0</v>
      </c>
      <c r="AQ70" s="361"/>
      <c r="AR70" s="564"/>
      <c r="AS70" s="362">
        <v>0.32855999999999996</v>
      </c>
      <c r="AT70" s="361"/>
      <c r="AU70" s="363"/>
      <c r="AV70" s="362">
        <v>0.32743</v>
      </c>
      <c r="AW70" s="361"/>
      <c r="AX70" s="363"/>
      <c r="AY70" s="362">
        <v>0.32799</v>
      </c>
      <c r="AZ70" s="361"/>
      <c r="BA70" s="363"/>
      <c r="BB70" s="362">
        <v>0.45498999999999995</v>
      </c>
      <c r="BC70" s="361"/>
      <c r="BD70" s="363"/>
      <c r="BE70" s="564"/>
    </row>
    <row r="71" spans="1:59" x14ac:dyDescent="0.2">
      <c r="A71" s="76">
        <v>64</v>
      </c>
      <c r="B71" s="670"/>
      <c r="C71" s="812" t="s">
        <v>9</v>
      </c>
      <c r="D71" s="288">
        <v>0</v>
      </c>
      <c r="E71" s="288">
        <v>0</v>
      </c>
      <c r="F71" s="360" t="s">
        <v>59</v>
      </c>
      <c r="G71" s="372"/>
      <c r="H71" s="372"/>
      <c r="I71" s="818"/>
      <c r="J71" s="637"/>
      <c r="K71" s="112">
        <v>0.28632000000000002</v>
      </c>
      <c r="L71" s="112">
        <v>0.40994999999999998</v>
      </c>
      <c r="M71" s="361"/>
      <c r="N71" s="361"/>
      <c r="O71" s="892"/>
      <c r="P71" s="892"/>
      <c r="Q71" s="362">
        <v>0.28915000000000002</v>
      </c>
      <c r="R71" s="361"/>
      <c r="S71" s="363"/>
      <c r="T71" s="362">
        <v>0.40772999999999998</v>
      </c>
      <c r="U71" s="361"/>
      <c r="V71" s="564"/>
      <c r="W71" s="362">
        <v>0.28607000000000005</v>
      </c>
      <c r="X71" s="361"/>
      <c r="Y71" s="564"/>
      <c r="Z71" s="362">
        <v>0.28587000000000001</v>
      </c>
      <c r="AA71" s="361"/>
      <c r="AB71" s="564"/>
      <c r="AC71" s="112">
        <v>0.28608</v>
      </c>
      <c r="AD71" s="361"/>
      <c r="AE71" s="564"/>
      <c r="AF71" s="112">
        <v>0.28640000000000004</v>
      </c>
      <c r="AG71" s="361"/>
      <c r="AH71" s="564"/>
      <c r="AI71" s="362">
        <v>0.40994999999999998</v>
      </c>
      <c r="AJ71" s="361"/>
      <c r="AK71" s="363"/>
      <c r="AL71" s="1142"/>
      <c r="AM71" s="362">
        <v>0.41165999999999997</v>
      </c>
      <c r="AN71" s="361"/>
      <c r="AO71" s="363"/>
      <c r="AP71" s="362">
        <v>0</v>
      </c>
      <c r="AQ71" s="361"/>
      <c r="AR71" s="564"/>
      <c r="AS71" s="362">
        <v>0.28852</v>
      </c>
      <c r="AT71" s="361"/>
      <c r="AU71" s="363"/>
      <c r="AV71" s="362">
        <v>0.28809000000000001</v>
      </c>
      <c r="AW71" s="361"/>
      <c r="AX71" s="363"/>
      <c r="AY71" s="362">
        <v>0.2883</v>
      </c>
      <c r="AZ71" s="361"/>
      <c r="BA71" s="363"/>
      <c r="BB71" s="362">
        <v>0.41155999999999998</v>
      </c>
      <c r="BC71" s="361"/>
      <c r="BD71" s="363"/>
      <c r="BE71" s="564"/>
    </row>
    <row r="72" spans="1:59" x14ac:dyDescent="0.2">
      <c r="A72" s="76">
        <v>65</v>
      </c>
      <c r="B72" s="668"/>
      <c r="C72" s="813" t="s">
        <v>62</v>
      </c>
      <c r="D72" s="364"/>
      <c r="E72" s="364"/>
      <c r="F72" s="365"/>
      <c r="G72" s="366"/>
      <c r="H72" s="366"/>
      <c r="I72" s="817"/>
      <c r="J72" s="368"/>
      <c r="K72" s="367"/>
      <c r="L72" s="367"/>
      <c r="M72" s="368">
        <v>17153.690000000002</v>
      </c>
      <c r="N72" s="368">
        <v>17272.870000000003</v>
      </c>
      <c r="O72" s="368">
        <v>22571.599999999999</v>
      </c>
      <c r="P72" s="368">
        <v>22733.599999999999</v>
      </c>
      <c r="Q72" s="370"/>
      <c r="R72" s="368">
        <v>17860.509999999998</v>
      </c>
      <c r="S72" s="371">
        <v>4.1000000000000002E-2</v>
      </c>
      <c r="T72" s="369"/>
      <c r="U72" s="368">
        <v>22174.58</v>
      </c>
      <c r="V72" s="565">
        <v>0.28399999999999997</v>
      </c>
      <c r="W72" s="369"/>
      <c r="X72" s="368">
        <v>17090.75</v>
      </c>
      <c r="Y72" s="565">
        <v>-4.0000000000000001E-3</v>
      </c>
      <c r="Z72" s="369"/>
      <c r="AA72" s="368">
        <v>17041.120000000003</v>
      </c>
      <c r="AB72" s="565">
        <v>-7.0000000000000001E-3</v>
      </c>
      <c r="AC72" s="368"/>
      <c r="AD72" s="368">
        <v>17093.809999999998</v>
      </c>
      <c r="AE72" s="565">
        <v>-3.0000000000000001E-3</v>
      </c>
      <c r="AF72" s="368"/>
      <c r="AG72" s="368">
        <v>17174.809999999998</v>
      </c>
      <c r="AH72" s="565">
        <v>1E-3</v>
      </c>
      <c r="AI72" s="370"/>
      <c r="AJ72" s="368">
        <v>22571.599999999999</v>
      </c>
      <c r="AK72" s="371">
        <v>0.316</v>
      </c>
      <c r="AL72" s="368">
        <v>5417.9099999999962</v>
      </c>
      <c r="AM72" s="370"/>
      <c r="AN72" s="368">
        <v>22998.51</v>
      </c>
      <c r="AO72" s="371">
        <v>1.9E-2</v>
      </c>
      <c r="AP72" s="369"/>
      <c r="AQ72" s="368">
        <v>1300</v>
      </c>
      <c r="AR72" s="565">
        <v>-0.94299999999999995</v>
      </c>
      <c r="AS72" s="370"/>
      <c r="AT72" s="368">
        <v>17703.04</v>
      </c>
      <c r="AU72" s="371">
        <v>-0.216</v>
      </c>
      <c r="AV72" s="370"/>
      <c r="AW72" s="368">
        <v>17596.59</v>
      </c>
      <c r="AX72" s="371">
        <v>-0.22</v>
      </c>
      <c r="AY72" s="370"/>
      <c r="AZ72" s="368">
        <v>17649.07</v>
      </c>
      <c r="BA72" s="371">
        <v>-0.216</v>
      </c>
      <c r="BB72" s="370"/>
      <c r="BC72" s="368">
        <v>22971.08</v>
      </c>
      <c r="BD72" s="371">
        <v>1.7999999999999999E-2</v>
      </c>
      <c r="BE72" s="1493">
        <v>399.4800000000032</v>
      </c>
      <c r="BF72" s="359"/>
      <c r="BG72" s="359"/>
    </row>
    <row r="73" spans="1:59" x14ac:dyDescent="0.2">
      <c r="A73" s="76">
        <v>66</v>
      </c>
      <c r="B73" s="670" t="s">
        <v>258</v>
      </c>
      <c r="C73" s="812" t="s">
        <v>4</v>
      </c>
      <c r="D73" s="288">
        <v>156740</v>
      </c>
      <c r="E73" s="288">
        <v>160966</v>
      </c>
      <c r="F73" s="288">
        <v>10000</v>
      </c>
      <c r="G73" s="289">
        <v>13758</v>
      </c>
      <c r="H73" s="289">
        <v>8520</v>
      </c>
      <c r="I73" s="816">
        <v>1300</v>
      </c>
      <c r="J73" s="361">
        <v>1300</v>
      </c>
      <c r="K73" s="112">
        <v>0.4161399999999999</v>
      </c>
      <c r="L73" s="112">
        <v>0.54884999999999984</v>
      </c>
      <c r="M73" s="361"/>
      <c r="N73" s="361"/>
      <c r="O73" s="892"/>
      <c r="P73" s="892"/>
      <c r="Q73" s="362">
        <v>0.42854999999999988</v>
      </c>
      <c r="R73" s="361"/>
      <c r="S73" s="363"/>
      <c r="T73" s="362">
        <v>0.53791999999999984</v>
      </c>
      <c r="U73" s="361"/>
      <c r="V73" s="564"/>
      <c r="W73" s="362">
        <v>0.41359999999999991</v>
      </c>
      <c r="X73" s="361"/>
      <c r="Y73" s="564"/>
      <c r="Z73" s="362">
        <v>0.4161399999999999</v>
      </c>
      <c r="AA73" s="361"/>
      <c r="AB73" s="564"/>
      <c r="AC73" s="112">
        <v>0.41385999999999989</v>
      </c>
      <c r="AD73" s="361"/>
      <c r="AE73" s="564"/>
      <c r="AF73" s="112">
        <v>0.41693999999999992</v>
      </c>
      <c r="AG73" s="361"/>
      <c r="AH73" s="564"/>
      <c r="AI73" s="362">
        <v>0.54884999999999984</v>
      </c>
      <c r="AJ73" s="361"/>
      <c r="AK73" s="363"/>
      <c r="AL73" s="1142"/>
      <c r="AM73" s="362">
        <v>0.55450999999999984</v>
      </c>
      <c r="AN73" s="361"/>
      <c r="AO73" s="363"/>
      <c r="AP73" s="362">
        <v>0</v>
      </c>
      <c r="AQ73" s="361"/>
      <c r="AR73" s="564"/>
      <c r="AS73" s="362">
        <v>0.42684999999999984</v>
      </c>
      <c r="AT73" s="361"/>
      <c r="AU73" s="363"/>
      <c r="AV73" s="362">
        <v>0.42706999999999984</v>
      </c>
      <c r="AW73" s="361"/>
      <c r="AX73" s="363"/>
      <c r="AY73" s="362">
        <v>0.42485999999999985</v>
      </c>
      <c r="AZ73" s="361"/>
      <c r="BA73" s="363"/>
      <c r="BB73" s="362">
        <v>0.55355999999999983</v>
      </c>
      <c r="BC73" s="361"/>
      <c r="BD73" s="363"/>
      <c r="BE73" s="564"/>
    </row>
    <row r="74" spans="1:59" x14ac:dyDescent="0.2">
      <c r="A74" s="76">
        <v>67</v>
      </c>
      <c r="B74" s="670"/>
      <c r="C74" s="812" t="s">
        <v>5</v>
      </c>
      <c r="D74" s="288">
        <v>159690</v>
      </c>
      <c r="E74" s="288">
        <v>145741</v>
      </c>
      <c r="F74" s="288">
        <v>20000</v>
      </c>
      <c r="G74" s="289"/>
      <c r="H74" s="289"/>
      <c r="I74" s="816"/>
      <c r="J74" s="361"/>
      <c r="K74" s="112">
        <v>0.40022999999999992</v>
      </c>
      <c r="L74" s="112">
        <v>0.53171999999999986</v>
      </c>
      <c r="M74" s="361"/>
      <c r="N74" s="361"/>
      <c r="O74" s="892"/>
      <c r="P74" s="892"/>
      <c r="Q74" s="362">
        <v>0.41133999999999993</v>
      </c>
      <c r="R74" s="361"/>
      <c r="S74" s="363"/>
      <c r="T74" s="362">
        <v>0.52192999999999989</v>
      </c>
      <c r="U74" s="361"/>
      <c r="V74" s="564"/>
      <c r="W74" s="362">
        <v>0.39795999999999992</v>
      </c>
      <c r="X74" s="361"/>
      <c r="Y74" s="564"/>
      <c r="Z74" s="362">
        <v>0.40022999999999992</v>
      </c>
      <c r="AA74" s="361"/>
      <c r="AB74" s="564"/>
      <c r="AC74" s="112">
        <v>0.39818999999999993</v>
      </c>
      <c r="AD74" s="361"/>
      <c r="AE74" s="564"/>
      <c r="AF74" s="112">
        <v>0.40094999999999992</v>
      </c>
      <c r="AG74" s="361"/>
      <c r="AH74" s="564"/>
      <c r="AI74" s="362">
        <v>0.53171999999999986</v>
      </c>
      <c r="AJ74" s="361"/>
      <c r="AK74" s="363"/>
      <c r="AL74" s="1142"/>
      <c r="AM74" s="362">
        <v>0.53678999999999988</v>
      </c>
      <c r="AN74" s="361"/>
      <c r="AO74" s="363"/>
      <c r="AP74" s="362">
        <v>0</v>
      </c>
      <c r="AQ74" s="361"/>
      <c r="AR74" s="564"/>
      <c r="AS74" s="362">
        <v>0.40981999999999996</v>
      </c>
      <c r="AT74" s="361"/>
      <c r="AU74" s="363"/>
      <c r="AV74" s="362">
        <v>0.41001999999999994</v>
      </c>
      <c r="AW74" s="361"/>
      <c r="AX74" s="363"/>
      <c r="AY74" s="362">
        <v>0.40804999999999991</v>
      </c>
      <c r="AZ74" s="361"/>
      <c r="BA74" s="363"/>
      <c r="BB74" s="362">
        <v>0.53593999999999986</v>
      </c>
      <c r="BC74" s="361"/>
      <c r="BD74" s="363"/>
      <c r="BE74" s="564"/>
    </row>
    <row r="75" spans="1:59" x14ac:dyDescent="0.2">
      <c r="A75" s="76">
        <v>68</v>
      </c>
      <c r="B75" s="670"/>
      <c r="C75" s="812" t="s">
        <v>6</v>
      </c>
      <c r="D75" s="288">
        <v>0</v>
      </c>
      <c r="E75" s="288">
        <v>0</v>
      </c>
      <c r="F75" s="288">
        <v>20000</v>
      </c>
      <c r="G75" s="289"/>
      <c r="H75" s="289"/>
      <c r="I75" s="816"/>
      <c r="J75" s="361"/>
      <c r="K75" s="112">
        <v>0.36857999999999996</v>
      </c>
      <c r="L75" s="112">
        <v>0.49761999999999995</v>
      </c>
      <c r="M75" s="361"/>
      <c r="N75" s="361"/>
      <c r="O75" s="892"/>
      <c r="P75" s="892"/>
      <c r="Q75" s="362">
        <v>0.37709999999999999</v>
      </c>
      <c r="R75" s="361"/>
      <c r="S75" s="363"/>
      <c r="T75" s="362">
        <v>0.49010999999999993</v>
      </c>
      <c r="U75" s="361"/>
      <c r="V75" s="564"/>
      <c r="W75" s="362">
        <v>0.36683999999999994</v>
      </c>
      <c r="X75" s="361"/>
      <c r="Y75" s="564"/>
      <c r="Z75" s="362">
        <v>0.36857999999999996</v>
      </c>
      <c r="AA75" s="361"/>
      <c r="AB75" s="564"/>
      <c r="AC75" s="112">
        <v>0.36701999999999996</v>
      </c>
      <c r="AD75" s="361"/>
      <c r="AE75" s="564"/>
      <c r="AF75" s="112">
        <v>0.36912999999999996</v>
      </c>
      <c r="AG75" s="361"/>
      <c r="AH75" s="564"/>
      <c r="AI75" s="362">
        <v>0.49761999999999995</v>
      </c>
      <c r="AJ75" s="361"/>
      <c r="AK75" s="363"/>
      <c r="AL75" s="1142"/>
      <c r="AM75" s="362">
        <v>0.5015099999999999</v>
      </c>
      <c r="AN75" s="361"/>
      <c r="AO75" s="363"/>
      <c r="AP75" s="362">
        <v>0</v>
      </c>
      <c r="AQ75" s="361"/>
      <c r="AR75" s="564"/>
      <c r="AS75" s="362">
        <v>0.37593999999999994</v>
      </c>
      <c r="AT75" s="361"/>
      <c r="AU75" s="363"/>
      <c r="AV75" s="362">
        <v>0.37608999999999992</v>
      </c>
      <c r="AW75" s="361"/>
      <c r="AX75" s="363"/>
      <c r="AY75" s="362">
        <v>0.37457999999999991</v>
      </c>
      <c r="AZ75" s="361"/>
      <c r="BA75" s="363"/>
      <c r="BB75" s="362">
        <v>0.50085999999999986</v>
      </c>
      <c r="BC75" s="361"/>
      <c r="BD75" s="363"/>
      <c r="BE75" s="564"/>
    </row>
    <row r="76" spans="1:59" x14ac:dyDescent="0.2">
      <c r="A76" s="76">
        <v>69</v>
      </c>
      <c r="B76" s="670"/>
      <c r="C76" s="812" t="s">
        <v>7</v>
      </c>
      <c r="D76" s="288">
        <v>0</v>
      </c>
      <c r="E76" s="288">
        <v>0</v>
      </c>
      <c r="F76" s="288">
        <v>100000</v>
      </c>
      <c r="G76" s="289"/>
      <c r="H76" s="289"/>
      <c r="I76" s="816"/>
      <c r="J76" s="361"/>
      <c r="K76" s="112">
        <v>0.34777000000000002</v>
      </c>
      <c r="L76" s="112">
        <v>0.47520000000000001</v>
      </c>
      <c r="M76" s="361"/>
      <c r="N76" s="361"/>
      <c r="O76" s="892"/>
      <c r="P76" s="892"/>
      <c r="Q76" s="362">
        <v>0.35459000000000002</v>
      </c>
      <c r="R76" s="361"/>
      <c r="S76" s="363"/>
      <c r="T76" s="362">
        <v>0.46919</v>
      </c>
      <c r="U76" s="361"/>
      <c r="V76" s="564"/>
      <c r="W76" s="362">
        <v>0.34638000000000002</v>
      </c>
      <c r="X76" s="361"/>
      <c r="Y76" s="564"/>
      <c r="Z76" s="362">
        <v>0.34777000000000002</v>
      </c>
      <c r="AA76" s="361"/>
      <c r="AB76" s="564"/>
      <c r="AC76" s="112">
        <v>0.34652000000000005</v>
      </c>
      <c r="AD76" s="361"/>
      <c r="AE76" s="564"/>
      <c r="AF76" s="112">
        <v>0.34821000000000002</v>
      </c>
      <c r="AG76" s="361"/>
      <c r="AH76" s="564"/>
      <c r="AI76" s="362">
        <v>0.47520000000000001</v>
      </c>
      <c r="AJ76" s="361"/>
      <c r="AK76" s="363"/>
      <c r="AL76" s="1142"/>
      <c r="AM76" s="362">
        <v>0.47831000000000001</v>
      </c>
      <c r="AN76" s="361"/>
      <c r="AO76" s="363"/>
      <c r="AP76" s="362">
        <v>0</v>
      </c>
      <c r="AQ76" s="361"/>
      <c r="AR76" s="564"/>
      <c r="AS76" s="362">
        <v>0.35366000000000003</v>
      </c>
      <c r="AT76" s="361"/>
      <c r="AU76" s="363"/>
      <c r="AV76" s="362">
        <v>0.35378000000000004</v>
      </c>
      <c r="AW76" s="361"/>
      <c r="AX76" s="363"/>
      <c r="AY76" s="362">
        <v>0.35257000000000005</v>
      </c>
      <c r="AZ76" s="361"/>
      <c r="BA76" s="363"/>
      <c r="BB76" s="362">
        <v>0.47778999999999999</v>
      </c>
      <c r="BC76" s="361"/>
      <c r="BD76" s="363"/>
      <c r="BE76" s="564"/>
    </row>
    <row r="77" spans="1:59" x14ac:dyDescent="0.2">
      <c r="A77" s="76">
        <v>70</v>
      </c>
      <c r="B77" s="670"/>
      <c r="C77" s="812" t="s">
        <v>8</v>
      </c>
      <c r="D77" s="288">
        <v>0</v>
      </c>
      <c r="E77" s="288">
        <v>0</v>
      </c>
      <c r="F77" s="288">
        <v>600000</v>
      </c>
      <c r="G77" s="289"/>
      <c r="H77" s="289"/>
      <c r="I77" s="816"/>
      <c r="J77" s="361"/>
      <c r="K77" s="112">
        <v>0.32002000000000003</v>
      </c>
      <c r="L77" s="112">
        <v>0.44528000000000001</v>
      </c>
      <c r="M77" s="361"/>
      <c r="N77" s="361"/>
      <c r="O77" s="892"/>
      <c r="P77" s="892"/>
      <c r="Q77" s="362">
        <v>0.32456000000000002</v>
      </c>
      <c r="R77" s="361"/>
      <c r="S77" s="363"/>
      <c r="T77" s="362">
        <v>0.44128000000000001</v>
      </c>
      <c r="U77" s="361"/>
      <c r="V77" s="564"/>
      <c r="W77" s="362">
        <v>0.31909000000000004</v>
      </c>
      <c r="X77" s="361"/>
      <c r="Y77" s="564"/>
      <c r="Z77" s="362">
        <v>0.32002000000000003</v>
      </c>
      <c r="AA77" s="361"/>
      <c r="AB77" s="564"/>
      <c r="AC77" s="112">
        <v>0.31919000000000003</v>
      </c>
      <c r="AD77" s="361"/>
      <c r="AE77" s="564"/>
      <c r="AF77" s="112">
        <v>0.32031000000000004</v>
      </c>
      <c r="AG77" s="361"/>
      <c r="AH77" s="564"/>
      <c r="AI77" s="362">
        <v>0.44528000000000001</v>
      </c>
      <c r="AJ77" s="361"/>
      <c r="AK77" s="363"/>
      <c r="AL77" s="1142"/>
      <c r="AM77" s="362">
        <v>0.44735000000000003</v>
      </c>
      <c r="AN77" s="361"/>
      <c r="AO77" s="363"/>
      <c r="AP77" s="362">
        <v>0</v>
      </c>
      <c r="AQ77" s="361"/>
      <c r="AR77" s="564"/>
      <c r="AS77" s="362">
        <v>0.32394000000000006</v>
      </c>
      <c r="AT77" s="361"/>
      <c r="AU77" s="363"/>
      <c r="AV77" s="362">
        <v>0.32402000000000009</v>
      </c>
      <c r="AW77" s="361"/>
      <c r="AX77" s="363"/>
      <c r="AY77" s="362">
        <v>0.32321000000000011</v>
      </c>
      <c r="AZ77" s="361"/>
      <c r="BA77" s="363"/>
      <c r="BB77" s="362">
        <v>0.44700000000000001</v>
      </c>
      <c r="BC77" s="361"/>
      <c r="BD77" s="363"/>
      <c r="BE77" s="564"/>
    </row>
    <row r="78" spans="1:59" x14ac:dyDescent="0.2">
      <c r="A78" s="76">
        <v>71</v>
      </c>
      <c r="B78" s="670"/>
      <c r="C78" s="812" t="s">
        <v>9</v>
      </c>
      <c r="D78" s="288">
        <v>0</v>
      </c>
      <c r="E78" s="288">
        <v>0</v>
      </c>
      <c r="F78" s="360" t="s">
        <v>59</v>
      </c>
      <c r="G78" s="289"/>
      <c r="H78" s="289"/>
      <c r="I78" s="816"/>
      <c r="J78" s="361"/>
      <c r="K78" s="112">
        <v>0.2853</v>
      </c>
      <c r="L78" s="112">
        <v>0.40789999999999998</v>
      </c>
      <c r="M78" s="361"/>
      <c r="N78" s="361"/>
      <c r="O78" s="892"/>
      <c r="P78" s="892"/>
      <c r="Q78" s="362">
        <v>0.28699999999999998</v>
      </c>
      <c r="R78" s="361"/>
      <c r="S78" s="363"/>
      <c r="T78" s="362">
        <v>0.40639999999999998</v>
      </c>
      <c r="U78" s="361"/>
      <c r="V78" s="564"/>
      <c r="W78" s="362">
        <v>0.28494999999999998</v>
      </c>
      <c r="X78" s="361"/>
      <c r="Y78" s="564"/>
      <c r="Z78" s="362">
        <v>0.2853</v>
      </c>
      <c r="AA78" s="361"/>
      <c r="AB78" s="564"/>
      <c r="AC78" s="112">
        <v>0.28499000000000002</v>
      </c>
      <c r="AD78" s="361"/>
      <c r="AE78" s="564"/>
      <c r="AF78" s="112">
        <v>0.28541</v>
      </c>
      <c r="AG78" s="361"/>
      <c r="AH78" s="564"/>
      <c r="AI78" s="362">
        <v>0.40789999999999998</v>
      </c>
      <c r="AJ78" s="361"/>
      <c r="AK78" s="363"/>
      <c r="AL78" s="1142"/>
      <c r="AM78" s="362">
        <v>0.40867999999999999</v>
      </c>
      <c r="AN78" s="361"/>
      <c r="AO78" s="363"/>
      <c r="AP78" s="362">
        <v>0</v>
      </c>
      <c r="AQ78" s="361"/>
      <c r="AR78" s="564"/>
      <c r="AS78" s="362">
        <v>0.28677000000000002</v>
      </c>
      <c r="AT78" s="361"/>
      <c r="AU78" s="363"/>
      <c r="AV78" s="362">
        <v>0.2868</v>
      </c>
      <c r="AW78" s="361"/>
      <c r="AX78" s="363"/>
      <c r="AY78" s="362">
        <v>0.28649999999999998</v>
      </c>
      <c r="AZ78" s="361"/>
      <c r="BA78" s="363"/>
      <c r="BB78" s="362">
        <v>0.40854999999999997</v>
      </c>
      <c r="BC78" s="361"/>
      <c r="BD78" s="363"/>
      <c r="BE78" s="564"/>
    </row>
    <row r="79" spans="1:59" x14ac:dyDescent="0.2">
      <c r="A79" s="76">
        <v>72</v>
      </c>
      <c r="B79" s="668"/>
      <c r="C79" s="813" t="s">
        <v>62</v>
      </c>
      <c r="D79" s="364"/>
      <c r="E79" s="364"/>
      <c r="F79" s="365"/>
      <c r="G79" s="366"/>
      <c r="H79" s="366"/>
      <c r="I79" s="817"/>
      <c r="J79" s="368"/>
      <c r="K79" s="367"/>
      <c r="L79" s="367"/>
      <c r="M79" s="368">
        <v>6965.46</v>
      </c>
      <c r="N79" s="368">
        <v>4845.51</v>
      </c>
      <c r="O79" s="368">
        <v>8786.7000000000007</v>
      </c>
      <c r="P79" s="368">
        <v>5976.2</v>
      </c>
      <c r="Q79" s="370"/>
      <c r="R79" s="368">
        <v>7131.32</v>
      </c>
      <c r="S79" s="371">
        <v>2.4E-2</v>
      </c>
      <c r="T79" s="369"/>
      <c r="U79" s="368">
        <v>5883.08</v>
      </c>
      <c r="V79" s="565">
        <v>0.214</v>
      </c>
      <c r="W79" s="369"/>
      <c r="X79" s="368">
        <v>6931.53</v>
      </c>
      <c r="Y79" s="565">
        <v>-5.0000000000000001E-3</v>
      </c>
      <c r="Z79" s="369"/>
      <c r="AA79" s="368">
        <v>6965.46</v>
      </c>
      <c r="AB79" s="565">
        <v>0</v>
      </c>
      <c r="AC79" s="368"/>
      <c r="AD79" s="368">
        <v>6935</v>
      </c>
      <c r="AE79" s="565">
        <v>-4.0000000000000001E-3</v>
      </c>
      <c r="AF79" s="368"/>
      <c r="AG79" s="368">
        <v>6976.17</v>
      </c>
      <c r="AH79" s="565">
        <v>2E-3</v>
      </c>
      <c r="AI79" s="370"/>
      <c r="AJ79" s="368">
        <v>8786.7000000000007</v>
      </c>
      <c r="AK79" s="371">
        <v>0.26100000000000001</v>
      </c>
      <c r="AL79" s="368">
        <v>1821.2400000000007</v>
      </c>
      <c r="AM79" s="370"/>
      <c r="AN79" s="368">
        <v>8862.36</v>
      </c>
      <c r="AO79" s="371">
        <v>8.9999999999999993E-3</v>
      </c>
      <c r="AP79" s="369"/>
      <c r="AQ79" s="368">
        <v>1300</v>
      </c>
      <c r="AR79" s="565">
        <v>-0.78200000000000003</v>
      </c>
      <c r="AS79" s="370"/>
      <c r="AT79" s="368">
        <v>7108.6</v>
      </c>
      <c r="AU79" s="371">
        <v>-0.191</v>
      </c>
      <c r="AV79" s="370"/>
      <c r="AW79" s="368">
        <v>7111.56</v>
      </c>
      <c r="AX79" s="371">
        <v>-0.191</v>
      </c>
      <c r="AY79" s="370"/>
      <c r="AZ79" s="368">
        <v>7082.05</v>
      </c>
      <c r="BA79" s="371">
        <v>-0.191</v>
      </c>
      <c r="BB79" s="370"/>
      <c r="BC79" s="368">
        <v>8849.66</v>
      </c>
      <c r="BD79" s="371">
        <v>7.0000000000000001E-3</v>
      </c>
      <c r="BE79" s="1493">
        <v>62.959999999999127</v>
      </c>
      <c r="BF79" s="359"/>
      <c r="BG79" s="359"/>
    </row>
    <row r="80" spans="1:59" x14ac:dyDescent="0.2">
      <c r="A80" s="76">
        <v>73</v>
      </c>
      <c r="B80" s="670" t="s">
        <v>261</v>
      </c>
      <c r="C80" s="812" t="s">
        <v>4</v>
      </c>
      <c r="D80" s="373">
        <v>0</v>
      </c>
      <c r="E80" s="373">
        <v>0</v>
      </c>
      <c r="F80" s="288">
        <v>10000</v>
      </c>
      <c r="G80" s="374">
        <v>0</v>
      </c>
      <c r="H80" s="531">
        <v>0</v>
      </c>
      <c r="I80" s="816">
        <v>1550</v>
      </c>
      <c r="J80" s="361">
        <v>1550</v>
      </c>
      <c r="K80" s="375">
        <v>0.13459999999999997</v>
      </c>
      <c r="L80" s="375">
        <v>0.13989999999999997</v>
      </c>
      <c r="M80" s="361"/>
      <c r="N80" s="361"/>
      <c r="O80" s="892"/>
      <c r="P80" s="892"/>
      <c r="Q80" s="376">
        <v>0.13947999999999997</v>
      </c>
      <c r="R80" s="361"/>
      <c r="S80" s="363"/>
      <c r="T80" s="362">
        <v>0.13562999999999997</v>
      </c>
      <c r="U80" s="361"/>
      <c r="V80" s="564"/>
      <c r="W80" s="362">
        <v>0.13333999999999996</v>
      </c>
      <c r="X80" s="361"/>
      <c r="Y80" s="564"/>
      <c r="Z80" s="362">
        <v>0.13459999999999997</v>
      </c>
      <c r="AA80" s="361"/>
      <c r="AB80" s="564"/>
      <c r="AC80" s="112">
        <v>0.13347999999999996</v>
      </c>
      <c r="AD80" s="361"/>
      <c r="AE80" s="564"/>
      <c r="AF80" s="112">
        <v>0.13510999999999998</v>
      </c>
      <c r="AG80" s="361"/>
      <c r="AH80" s="564"/>
      <c r="AI80" s="362">
        <v>0.13989999999999997</v>
      </c>
      <c r="AJ80" s="361"/>
      <c r="AK80" s="363"/>
      <c r="AL80" s="1142"/>
      <c r="AM80" s="362">
        <v>0.14267999999999997</v>
      </c>
      <c r="AN80" s="361"/>
      <c r="AO80" s="363"/>
      <c r="AP80" s="362">
        <v>0</v>
      </c>
      <c r="AQ80" s="361"/>
      <c r="AR80" s="564"/>
      <c r="AS80" s="362">
        <v>0.13875999999999997</v>
      </c>
      <c r="AT80" s="361"/>
      <c r="AU80" s="363"/>
      <c r="AV80" s="362">
        <v>0.13886999999999997</v>
      </c>
      <c r="AW80" s="361"/>
      <c r="AX80" s="363"/>
      <c r="AY80" s="362">
        <v>0.13778999999999997</v>
      </c>
      <c r="AZ80" s="361"/>
      <c r="BA80" s="363"/>
      <c r="BB80" s="362">
        <v>0.14209999999999998</v>
      </c>
      <c r="BC80" s="361"/>
      <c r="BD80" s="363"/>
      <c r="BE80" s="564"/>
    </row>
    <row r="81" spans="1:59" x14ac:dyDescent="0.2">
      <c r="A81" s="76">
        <v>74</v>
      </c>
      <c r="B81" s="670"/>
      <c r="C81" s="812" t="s">
        <v>5</v>
      </c>
      <c r="D81" s="373">
        <v>0</v>
      </c>
      <c r="E81" s="373">
        <v>0</v>
      </c>
      <c r="F81" s="288">
        <v>20000</v>
      </c>
      <c r="G81" s="374"/>
      <c r="H81" s="374"/>
      <c r="I81" s="819"/>
      <c r="J81" s="638"/>
      <c r="K81" s="375">
        <v>0.12048999999999999</v>
      </c>
      <c r="L81" s="375">
        <v>0.12523999999999999</v>
      </c>
      <c r="M81" s="361"/>
      <c r="N81" s="361"/>
      <c r="O81" s="892"/>
      <c r="P81" s="892"/>
      <c r="Q81" s="376">
        <v>0.12486999999999998</v>
      </c>
      <c r="R81" s="361"/>
      <c r="S81" s="363"/>
      <c r="T81" s="362">
        <v>0.12140999999999999</v>
      </c>
      <c r="U81" s="361"/>
      <c r="V81" s="564"/>
      <c r="W81" s="362">
        <v>0.11936999999999999</v>
      </c>
      <c r="X81" s="361"/>
      <c r="Y81" s="564"/>
      <c r="Z81" s="362">
        <v>0.12048999999999999</v>
      </c>
      <c r="AA81" s="361"/>
      <c r="AB81" s="564"/>
      <c r="AC81" s="112">
        <v>0.11948999999999999</v>
      </c>
      <c r="AD81" s="361"/>
      <c r="AE81" s="564"/>
      <c r="AF81" s="112">
        <v>0.12093999999999999</v>
      </c>
      <c r="AG81" s="361"/>
      <c r="AH81" s="564"/>
      <c r="AI81" s="362">
        <v>0.12523999999999999</v>
      </c>
      <c r="AJ81" s="361"/>
      <c r="AK81" s="363"/>
      <c r="AL81" s="1142"/>
      <c r="AM81" s="362">
        <v>0.12772999999999998</v>
      </c>
      <c r="AN81" s="361"/>
      <c r="AO81" s="363"/>
      <c r="AP81" s="362">
        <v>0</v>
      </c>
      <c r="AQ81" s="361"/>
      <c r="AR81" s="564"/>
      <c r="AS81" s="362">
        <v>0.12421999999999998</v>
      </c>
      <c r="AT81" s="361"/>
      <c r="AU81" s="363"/>
      <c r="AV81" s="362">
        <v>0.12431999999999999</v>
      </c>
      <c r="AW81" s="361"/>
      <c r="AX81" s="363"/>
      <c r="AY81" s="362">
        <v>0.12334999999999999</v>
      </c>
      <c r="AZ81" s="361"/>
      <c r="BA81" s="363"/>
      <c r="BB81" s="362">
        <v>0.12720999999999999</v>
      </c>
      <c r="BC81" s="361"/>
      <c r="BD81" s="363"/>
      <c r="BE81" s="564"/>
    </row>
    <row r="82" spans="1:59" x14ac:dyDescent="0.2">
      <c r="A82" s="76">
        <v>75</v>
      </c>
      <c r="B82" s="670"/>
      <c r="C82" s="812" t="s">
        <v>6</v>
      </c>
      <c r="D82" s="373">
        <v>0</v>
      </c>
      <c r="E82" s="373">
        <v>0</v>
      </c>
      <c r="F82" s="288">
        <v>20000</v>
      </c>
      <c r="G82" s="374"/>
      <c r="H82" s="374"/>
      <c r="I82" s="819"/>
      <c r="J82" s="638"/>
      <c r="K82" s="375">
        <v>9.2380000000000004E-2</v>
      </c>
      <c r="L82" s="375">
        <v>9.604E-2</v>
      </c>
      <c r="M82" s="361"/>
      <c r="N82" s="361"/>
      <c r="O82" s="892"/>
      <c r="P82" s="892"/>
      <c r="Q82" s="376">
        <v>9.5740000000000006E-2</v>
      </c>
      <c r="R82" s="361"/>
      <c r="S82" s="363"/>
      <c r="T82" s="362">
        <v>9.3100000000000002E-2</v>
      </c>
      <c r="U82" s="361"/>
      <c r="V82" s="564"/>
      <c r="W82" s="362">
        <v>9.1520000000000004E-2</v>
      </c>
      <c r="X82" s="361"/>
      <c r="Y82" s="564"/>
      <c r="Z82" s="362">
        <v>9.2380000000000004E-2</v>
      </c>
      <c r="AA82" s="361"/>
      <c r="AB82" s="564"/>
      <c r="AC82" s="112">
        <v>9.1609999999999997E-2</v>
      </c>
      <c r="AD82" s="361"/>
      <c r="AE82" s="564"/>
      <c r="AF82" s="112">
        <v>9.2730000000000007E-2</v>
      </c>
      <c r="AG82" s="361"/>
      <c r="AH82" s="564"/>
      <c r="AI82" s="362">
        <v>9.604E-2</v>
      </c>
      <c r="AJ82" s="361"/>
      <c r="AK82" s="363"/>
      <c r="AL82" s="1142"/>
      <c r="AM82" s="362">
        <v>9.7949999999999995E-2</v>
      </c>
      <c r="AN82" s="361"/>
      <c r="AO82" s="363"/>
      <c r="AP82" s="362">
        <v>0</v>
      </c>
      <c r="AQ82" s="361"/>
      <c r="AR82" s="564"/>
      <c r="AS82" s="362">
        <v>9.5240000000000005E-2</v>
      </c>
      <c r="AT82" s="361"/>
      <c r="AU82" s="363"/>
      <c r="AV82" s="362">
        <v>9.5320000000000002E-2</v>
      </c>
      <c r="AW82" s="361"/>
      <c r="AX82" s="363"/>
      <c r="AY82" s="362">
        <v>9.4579999999999997E-2</v>
      </c>
      <c r="AZ82" s="361"/>
      <c r="BA82" s="363"/>
      <c r="BB82" s="362">
        <v>9.7549999999999998E-2</v>
      </c>
      <c r="BC82" s="361"/>
      <c r="BD82" s="363"/>
      <c r="BE82" s="564"/>
    </row>
    <row r="83" spans="1:59" x14ac:dyDescent="0.2">
      <c r="A83" s="76">
        <v>76</v>
      </c>
      <c r="B83" s="670"/>
      <c r="C83" s="812" t="s">
        <v>7</v>
      </c>
      <c r="D83" s="373">
        <v>0</v>
      </c>
      <c r="E83" s="373">
        <v>0</v>
      </c>
      <c r="F83" s="288">
        <v>100000</v>
      </c>
      <c r="G83" s="374"/>
      <c r="H83" s="374"/>
      <c r="I83" s="819"/>
      <c r="J83" s="638"/>
      <c r="K83" s="375">
        <v>7.392E-2</v>
      </c>
      <c r="L83" s="375">
        <v>7.6840000000000006E-2</v>
      </c>
      <c r="M83" s="361"/>
      <c r="N83" s="361"/>
      <c r="O83" s="892"/>
      <c r="P83" s="892"/>
      <c r="Q83" s="376">
        <v>7.6600000000000001E-2</v>
      </c>
      <c r="R83" s="361"/>
      <c r="S83" s="363"/>
      <c r="T83" s="362">
        <v>7.4490000000000001E-2</v>
      </c>
      <c r="U83" s="361"/>
      <c r="V83" s="564"/>
      <c r="W83" s="362">
        <v>7.3230000000000003E-2</v>
      </c>
      <c r="X83" s="361"/>
      <c r="Y83" s="564"/>
      <c r="Z83" s="362">
        <v>7.392E-2</v>
      </c>
      <c r="AA83" s="361"/>
      <c r="AB83" s="564"/>
      <c r="AC83" s="112">
        <v>7.331E-2</v>
      </c>
      <c r="AD83" s="361"/>
      <c r="AE83" s="564"/>
      <c r="AF83" s="112">
        <v>7.4200000000000002E-2</v>
      </c>
      <c r="AG83" s="361"/>
      <c r="AH83" s="564"/>
      <c r="AI83" s="362">
        <v>7.6840000000000006E-2</v>
      </c>
      <c r="AJ83" s="361"/>
      <c r="AK83" s="363"/>
      <c r="AL83" s="1142"/>
      <c r="AM83" s="362">
        <v>7.8370000000000009E-2</v>
      </c>
      <c r="AN83" s="361"/>
      <c r="AO83" s="363"/>
      <c r="AP83" s="362">
        <v>0</v>
      </c>
      <c r="AQ83" s="361"/>
      <c r="AR83" s="564"/>
      <c r="AS83" s="362">
        <v>7.621E-2</v>
      </c>
      <c r="AT83" s="361"/>
      <c r="AU83" s="363"/>
      <c r="AV83" s="362">
        <v>7.6270000000000004E-2</v>
      </c>
      <c r="AW83" s="361"/>
      <c r="AX83" s="363"/>
      <c r="AY83" s="362">
        <v>7.5680000000000011E-2</v>
      </c>
      <c r="AZ83" s="361"/>
      <c r="BA83" s="363"/>
      <c r="BB83" s="362">
        <v>7.8050000000000008E-2</v>
      </c>
      <c r="BC83" s="361"/>
      <c r="BD83" s="363"/>
      <c r="BE83" s="564"/>
    </row>
    <row r="84" spans="1:59" x14ac:dyDescent="0.2">
      <c r="A84" s="76">
        <v>77</v>
      </c>
      <c r="B84" s="670"/>
      <c r="C84" s="812" t="s">
        <v>8</v>
      </c>
      <c r="D84" s="373">
        <v>0</v>
      </c>
      <c r="E84" s="373">
        <v>0</v>
      </c>
      <c r="F84" s="288">
        <v>600000</v>
      </c>
      <c r="G84" s="374"/>
      <c r="H84" s="374"/>
      <c r="I84" s="819"/>
      <c r="J84" s="638"/>
      <c r="K84" s="375">
        <v>4.929E-2</v>
      </c>
      <c r="L84" s="375">
        <v>5.1240000000000001E-2</v>
      </c>
      <c r="M84" s="361"/>
      <c r="N84" s="361"/>
      <c r="O84" s="892"/>
      <c r="P84" s="892"/>
      <c r="Q84" s="376">
        <v>5.108E-2</v>
      </c>
      <c r="R84" s="361"/>
      <c r="S84" s="363"/>
      <c r="T84" s="362">
        <v>4.9669999999999999E-2</v>
      </c>
      <c r="U84" s="361"/>
      <c r="V84" s="564"/>
      <c r="W84" s="362">
        <v>4.8829999999999998E-2</v>
      </c>
      <c r="X84" s="361"/>
      <c r="Y84" s="564"/>
      <c r="Z84" s="362">
        <v>4.929E-2</v>
      </c>
      <c r="AA84" s="361"/>
      <c r="AB84" s="564"/>
      <c r="AC84" s="112">
        <v>4.888E-2</v>
      </c>
      <c r="AD84" s="361"/>
      <c r="AE84" s="564"/>
      <c r="AF84" s="112">
        <v>4.9480000000000003E-2</v>
      </c>
      <c r="AG84" s="361"/>
      <c r="AH84" s="564"/>
      <c r="AI84" s="362">
        <v>5.1240000000000001E-2</v>
      </c>
      <c r="AJ84" s="361"/>
      <c r="AK84" s="363"/>
      <c r="AL84" s="1142"/>
      <c r="AM84" s="362">
        <v>5.2260000000000001E-2</v>
      </c>
      <c r="AN84" s="361"/>
      <c r="AO84" s="363"/>
      <c r="AP84" s="362">
        <v>0</v>
      </c>
      <c r="AQ84" s="361"/>
      <c r="AR84" s="564"/>
      <c r="AS84" s="362">
        <v>5.0820000000000004E-2</v>
      </c>
      <c r="AT84" s="361"/>
      <c r="AU84" s="363"/>
      <c r="AV84" s="362">
        <v>5.0860000000000002E-2</v>
      </c>
      <c r="AW84" s="361"/>
      <c r="AX84" s="363"/>
      <c r="AY84" s="362">
        <v>5.0460000000000005E-2</v>
      </c>
      <c r="AZ84" s="361"/>
      <c r="BA84" s="363"/>
      <c r="BB84" s="362">
        <v>5.2039999999999996E-2</v>
      </c>
      <c r="BC84" s="361"/>
      <c r="BD84" s="363"/>
      <c r="BE84" s="564"/>
    </row>
    <row r="85" spans="1:59" x14ac:dyDescent="0.2">
      <c r="A85" s="76">
        <v>78</v>
      </c>
      <c r="B85" s="670"/>
      <c r="C85" s="812" t="s">
        <v>9</v>
      </c>
      <c r="D85" s="373">
        <v>0</v>
      </c>
      <c r="E85" s="373">
        <v>0</v>
      </c>
      <c r="F85" s="360" t="s">
        <v>59</v>
      </c>
      <c r="G85" s="374"/>
      <c r="H85" s="374"/>
      <c r="I85" s="819"/>
      <c r="J85" s="638"/>
      <c r="K85" s="375">
        <v>1.8460000000000001E-2</v>
      </c>
      <c r="L85" s="375">
        <v>1.9200000000000002E-2</v>
      </c>
      <c r="M85" s="361"/>
      <c r="N85" s="361"/>
      <c r="O85" s="892"/>
      <c r="P85" s="892"/>
      <c r="Q85" s="376">
        <v>1.9130000000000001E-2</v>
      </c>
      <c r="R85" s="361"/>
      <c r="S85" s="363"/>
      <c r="T85" s="362">
        <v>1.8610000000000002E-2</v>
      </c>
      <c r="U85" s="361"/>
      <c r="V85" s="564"/>
      <c r="W85" s="362">
        <v>1.8290000000000001E-2</v>
      </c>
      <c r="X85" s="361"/>
      <c r="Y85" s="564"/>
      <c r="Z85" s="362">
        <v>1.8460000000000001E-2</v>
      </c>
      <c r="AA85" s="361"/>
      <c r="AB85" s="564"/>
      <c r="AC85" s="112">
        <v>1.831E-2</v>
      </c>
      <c r="AD85" s="361"/>
      <c r="AE85" s="564"/>
      <c r="AF85" s="112">
        <v>1.8530000000000001E-2</v>
      </c>
      <c r="AG85" s="361"/>
      <c r="AH85" s="564"/>
      <c r="AI85" s="362">
        <v>1.9200000000000002E-2</v>
      </c>
      <c r="AJ85" s="361"/>
      <c r="AK85" s="363"/>
      <c r="AL85" s="1142"/>
      <c r="AM85" s="362">
        <v>1.958E-2</v>
      </c>
      <c r="AN85" s="361"/>
      <c r="AO85" s="363"/>
      <c r="AP85" s="362">
        <v>0</v>
      </c>
      <c r="AQ85" s="361"/>
      <c r="AR85" s="564"/>
      <c r="AS85" s="362">
        <v>1.9030000000000002E-2</v>
      </c>
      <c r="AT85" s="361"/>
      <c r="AU85" s="363"/>
      <c r="AV85" s="362">
        <v>1.9050000000000001E-2</v>
      </c>
      <c r="AW85" s="361"/>
      <c r="AX85" s="363"/>
      <c r="AY85" s="362">
        <v>1.89E-2</v>
      </c>
      <c r="AZ85" s="361"/>
      <c r="BA85" s="363"/>
      <c r="BB85" s="362">
        <v>1.949E-2</v>
      </c>
      <c r="BC85" s="361"/>
      <c r="BD85" s="363"/>
      <c r="BE85" s="564"/>
    </row>
    <row r="86" spans="1:59" x14ac:dyDescent="0.2">
      <c r="A86" s="76">
        <v>79</v>
      </c>
      <c r="B86" s="668"/>
      <c r="C86" s="813" t="s">
        <v>62</v>
      </c>
      <c r="D86" s="364"/>
      <c r="E86" s="364"/>
      <c r="F86" s="365"/>
      <c r="G86" s="366"/>
      <c r="H86" s="366"/>
      <c r="I86" s="817"/>
      <c r="J86" s="368"/>
      <c r="K86" s="367"/>
      <c r="L86" s="367"/>
      <c r="M86" s="368">
        <v>1550</v>
      </c>
      <c r="N86" s="368">
        <v>1550</v>
      </c>
      <c r="O86" s="368">
        <v>1550</v>
      </c>
      <c r="P86" s="368">
        <v>1550</v>
      </c>
      <c r="Q86" s="370"/>
      <c r="R86" s="368">
        <v>1550</v>
      </c>
      <c r="S86" s="371">
        <v>0</v>
      </c>
      <c r="T86" s="369"/>
      <c r="U86" s="368">
        <v>1550</v>
      </c>
      <c r="V86" s="565">
        <v>0</v>
      </c>
      <c r="W86" s="369"/>
      <c r="X86" s="368">
        <v>1550</v>
      </c>
      <c r="Y86" s="565">
        <v>0</v>
      </c>
      <c r="Z86" s="369"/>
      <c r="AA86" s="368">
        <v>1550</v>
      </c>
      <c r="AB86" s="565">
        <v>0</v>
      </c>
      <c r="AC86" s="368"/>
      <c r="AD86" s="368">
        <v>1550</v>
      </c>
      <c r="AE86" s="565">
        <v>0</v>
      </c>
      <c r="AF86" s="368"/>
      <c r="AG86" s="368">
        <v>1550</v>
      </c>
      <c r="AH86" s="565">
        <v>0</v>
      </c>
      <c r="AI86" s="370"/>
      <c r="AJ86" s="368">
        <v>1550</v>
      </c>
      <c r="AK86" s="371">
        <v>0</v>
      </c>
      <c r="AL86" s="368">
        <v>0</v>
      </c>
      <c r="AM86" s="370"/>
      <c r="AN86" s="368">
        <v>1550</v>
      </c>
      <c r="AO86" s="371">
        <v>0</v>
      </c>
      <c r="AP86" s="369"/>
      <c r="AQ86" s="368">
        <v>1550</v>
      </c>
      <c r="AR86" s="565">
        <v>0</v>
      </c>
      <c r="AS86" s="370"/>
      <c r="AT86" s="368">
        <v>1550</v>
      </c>
      <c r="AU86" s="371">
        <v>0</v>
      </c>
      <c r="AV86" s="370"/>
      <c r="AW86" s="368">
        <v>1550</v>
      </c>
      <c r="AX86" s="371">
        <v>0</v>
      </c>
      <c r="AY86" s="370"/>
      <c r="AZ86" s="368">
        <v>1550</v>
      </c>
      <c r="BA86" s="371">
        <v>0</v>
      </c>
      <c r="BB86" s="370"/>
      <c r="BC86" s="368">
        <v>1550</v>
      </c>
      <c r="BD86" s="371">
        <v>0</v>
      </c>
      <c r="BE86" s="1493">
        <v>0</v>
      </c>
      <c r="BF86" s="359"/>
      <c r="BG86" s="359"/>
    </row>
    <row r="87" spans="1:59" x14ac:dyDescent="0.2">
      <c r="A87" s="76">
        <v>80</v>
      </c>
      <c r="B87" s="670" t="s">
        <v>262</v>
      </c>
      <c r="C87" s="812" t="s">
        <v>4</v>
      </c>
      <c r="D87" s="373">
        <v>844078</v>
      </c>
      <c r="E87" s="373">
        <v>861932</v>
      </c>
      <c r="F87" s="288">
        <v>10000</v>
      </c>
      <c r="G87" s="374">
        <v>95634</v>
      </c>
      <c r="H87" s="531">
        <v>63670</v>
      </c>
      <c r="I87" s="816">
        <v>1550</v>
      </c>
      <c r="J87" s="361">
        <v>1550</v>
      </c>
      <c r="K87" s="375">
        <v>0.13459999999999997</v>
      </c>
      <c r="L87" s="375">
        <v>0.14205999999999996</v>
      </c>
      <c r="M87" s="361"/>
      <c r="N87" s="361"/>
      <c r="O87" s="892"/>
      <c r="P87" s="892"/>
      <c r="Q87" s="376">
        <v>0.14189999999999997</v>
      </c>
      <c r="R87" s="361"/>
      <c r="S87" s="363"/>
      <c r="T87" s="362">
        <v>0.13562999999999997</v>
      </c>
      <c r="U87" s="361"/>
      <c r="V87" s="564"/>
      <c r="W87" s="362">
        <v>0.13310999999999998</v>
      </c>
      <c r="X87" s="361"/>
      <c r="Y87" s="564"/>
      <c r="Z87" s="362">
        <v>0.13459999999999997</v>
      </c>
      <c r="AA87" s="361"/>
      <c r="AB87" s="564"/>
      <c r="AC87" s="112">
        <v>0.13325999999999996</v>
      </c>
      <c r="AD87" s="361"/>
      <c r="AE87" s="564"/>
      <c r="AF87" s="112">
        <v>0.13506999999999997</v>
      </c>
      <c r="AG87" s="361"/>
      <c r="AH87" s="564"/>
      <c r="AI87" s="362">
        <v>0.14205999999999996</v>
      </c>
      <c r="AJ87" s="361"/>
      <c r="AK87" s="363"/>
      <c r="AL87" s="1142"/>
      <c r="AM87" s="362">
        <v>0.14538999999999996</v>
      </c>
      <c r="AN87" s="361"/>
      <c r="AO87" s="363"/>
      <c r="AP87" s="362">
        <v>0</v>
      </c>
      <c r="AQ87" s="361"/>
      <c r="AR87" s="564"/>
      <c r="AS87" s="362">
        <v>0.14089999999999997</v>
      </c>
      <c r="AT87" s="361"/>
      <c r="AU87" s="363"/>
      <c r="AV87" s="362">
        <v>0.14102999999999996</v>
      </c>
      <c r="AW87" s="361"/>
      <c r="AX87" s="363"/>
      <c r="AY87" s="362">
        <v>0.13972999999999997</v>
      </c>
      <c r="AZ87" s="361"/>
      <c r="BA87" s="363"/>
      <c r="BB87" s="362">
        <v>0.14482999999999999</v>
      </c>
      <c r="BC87" s="361"/>
      <c r="BD87" s="363"/>
      <c r="BE87" s="564">
        <v>0</v>
      </c>
    </row>
    <row r="88" spans="1:59" x14ac:dyDescent="0.2">
      <c r="A88" s="76">
        <v>81</v>
      </c>
      <c r="B88" s="670"/>
      <c r="C88" s="812" t="s">
        <v>5</v>
      </c>
      <c r="D88" s="373">
        <v>1445175</v>
      </c>
      <c r="E88" s="373">
        <v>1453508</v>
      </c>
      <c r="F88" s="288">
        <v>20000</v>
      </c>
      <c r="G88" s="374"/>
      <c r="H88" s="374"/>
      <c r="I88" s="819"/>
      <c r="J88" s="638"/>
      <c r="K88" s="375">
        <v>0.12048999999999999</v>
      </c>
      <c r="L88" s="375">
        <v>0.12716</v>
      </c>
      <c r="M88" s="361"/>
      <c r="N88" s="361"/>
      <c r="O88" s="892"/>
      <c r="P88" s="892"/>
      <c r="Q88" s="376">
        <v>0.12701999999999999</v>
      </c>
      <c r="R88" s="361"/>
      <c r="S88" s="363"/>
      <c r="T88" s="362">
        <v>0.12140999999999999</v>
      </c>
      <c r="U88" s="361"/>
      <c r="V88" s="564"/>
      <c r="W88" s="362">
        <v>0.11915999999999999</v>
      </c>
      <c r="X88" s="361"/>
      <c r="Y88" s="564"/>
      <c r="Z88" s="362">
        <v>0.12048999999999999</v>
      </c>
      <c r="AA88" s="361"/>
      <c r="AB88" s="564"/>
      <c r="AC88" s="112">
        <v>0.11928999999999998</v>
      </c>
      <c r="AD88" s="361"/>
      <c r="AE88" s="564"/>
      <c r="AF88" s="112">
        <v>0.12090999999999999</v>
      </c>
      <c r="AG88" s="361"/>
      <c r="AH88" s="564"/>
      <c r="AI88" s="362">
        <v>0.12716</v>
      </c>
      <c r="AJ88" s="361"/>
      <c r="AK88" s="363"/>
      <c r="AL88" s="1142"/>
      <c r="AM88" s="362">
        <v>0.13014000000000001</v>
      </c>
      <c r="AN88" s="361"/>
      <c r="AO88" s="363"/>
      <c r="AP88" s="362">
        <v>0</v>
      </c>
      <c r="AQ88" s="361"/>
      <c r="AR88" s="564"/>
      <c r="AS88" s="362">
        <v>0.12611999999999998</v>
      </c>
      <c r="AT88" s="361"/>
      <c r="AU88" s="363"/>
      <c r="AV88" s="362">
        <v>0.12623999999999999</v>
      </c>
      <c r="AW88" s="361"/>
      <c r="AX88" s="363"/>
      <c r="AY88" s="362">
        <v>0.12508</v>
      </c>
      <c r="AZ88" s="361"/>
      <c r="BA88" s="363"/>
      <c r="BB88" s="362">
        <v>0.12964000000000001</v>
      </c>
      <c r="BC88" s="361"/>
      <c r="BD88" s="363"/>
      <c r="BE88" s="564"/>
    </row>
    <row r="89" spans="1:59" x14ac:dyDescent="0.2">
      <c r="A89" s="76">
        <v>82</v>
      </c>
      <c r="B89" s="670"/>
      <c r="C89" s="812" t="s">
        <v>6</v>
      </c>
      <c r="D89" s="373">
        <v>1034978</v>
      </c>
      <c r="E89" s="373">
        <v>976710</v>
      </c>
      <c r="F89" s="288">
        <v>20000</v>
      </c>
      <c r="G89" s="374"/>
      <c r="H89" s="374"/>
      <c r="I89" s="819"/>
      <c r="J89" s="638"/>
      <c r="K89" s="375">
        <v>9.2380000000000004E-2</v>
      </c>
      <c r="L89" s="375">
        <v>9.7509999999999999E-2</v>
      </c>
      <c r="M89" s="361"/>
      <c r="N89" s="361"/>
      <c r="O89" s="892"/>
      <c r="P89" s="892"/>
      <c r="Q89" s="376">
        <v>9.7390000000000004E-2</v>
      </c>
      <c r="R89" s="361"/>
      <c r="S89" s="363"/>
      <c r="T89" s="362">
        <v>9.3100000000000002E-2</v>
      </c>
      <c r="U89" s="361"/>
      <c r="V89" s="564"/>
      <c r="W89" s="362">
        <v>9.1359999999999997E-2</v>
      </c>
      <c r="X89" s="361"/>
      <c r="Y89" s="564"/>
      <c r="Z89" s="362">
        <v>9.2380000000000004E-2</v>
      </c>
      <c r="AA89" s="361"/>
      <c r="AB89" s="564"/>
      <c r="AC89" s="112">
        <v>9.146E-2</v>
      </c>
      <c r="AD89" s="361"/>
      <c r="AE89" s="564"/>
      <c r="AF89" s="112">
        <v>9.2700000000000005E-2</v>
      </c>
      <c r="AG89" s="361"/>
      <c r="AH89" s="564"/>
      <c r="AI89" s="362">
        <v>9.7509999999999999E-2</v>
      </c>
      <c r="AJ89" s="361"/>
      <c r="AK89" s="363"/>
      <c r="AL89" s="1142"/>
      <c r="AM89" s="362">
        <v>9.9790000000000004E-2</v>
      </c>
      <c r="AN89" s="361"/>
      <c r="AO89" s="363"/>
      <c r="AP89" s="362">
        <v>0</v>
      </c>
      <c r="AQ89" s="361"/>
      <c r="AR89" s="564"/>
      <c r="AS89" s="362">
        <v>9.669999999999998E-2</v>
      </c>
      <c r="AT89" s="361"/>
      <c r="AU89" s="363"/>
      <c r="AV89" s="362">
        <v>9.6789999999999987E-2</v>
      </c>
      <c r="AW89" s="361"/>
      <c r="AX89" s="363"/>
      <c r="AY89" s="362">
        <v>9.5899999999999985E-2</v>
      </c>
      <c r="AZ89" s="361"/>
      <c r="BA89" s="363"/>
      <c r="BB89" s="362">
        <v>9.9410000000000012E-2</v>
      </c>
      <c r="BC89" s="361"/>
      <c r="BD89" s="363"/>
      <c r="BE89" s="564"/>
    </row>
    <row r="90" spans="1:59" x14ac:dyDescent="0.2">
      <c r="A90" s="76">
        <v>83</v>
      </c>
      <c r="B90" s="670"/>
      <c r="C90" s="812" t="s">
        <v>7</v>
      </c>
      <c r="D90" s="373">
        <v>3359916</v>
      </c>
      <c r="E90" s="373">
        <v>3078834</v>
      </c>
      <c r="F90" s="288">
        <v>100000</v>
      </c>
      <c r="G90" s="374"/>
      <c r="H90" s="374"/>
      <c r="I90" s="819"/>
      <c r="J90" s="638"/>
      <c r="K90" s="375">
        <v>7.392E-2</v>
      </c>
      <c r="L90" s="375">
        <v>7.8020000000000006E-2</v>
      </c>
      <c r="M90" s="361"/>
      <c r="N90" s="361"/>
      <c r="O90" s="892"/>
      <c r="P90" s="892"/>
      <c r="Q90" s="376">
        <v>7.7929999999999999E-2</v>
      </c>
      <c r="R90" s="361"/>
      <c r="S90" s="363"/>
      <c r="T90" s="362">
        <v>7.4490000000000001E-2</v>
      </c>
      <c r="U90" s="361"/>
      <c r="V90" s="564"/>
      <c r="W90" s="362">
        <v>7.3099999999999998E-2</v>
      </c>
      <c r="X90" s="361"/>
      <c r="Y90" s="564"/>
      <c r="Z90" s="362">
        <v>7.392E-2</v>
      </c>
      <c r="AA90" s="361"/>
      <c r="AB90" s="564"/>
      <c r="AC90" s="112">
        <v>7.3179999999999995E-2</v>
      </c>
      <c r="AD90" s="361"/>
      <c r="AE90" s="564"/>
      <c r="AF90" s="112">
        <v>7.4179999999999996E-2</v>
      </c>
      <c r="AG90" s="361"/>
      <c r="AH90" s="564"/>
      <c r="AI90" s="362">
        <v>7.8020000000000006E-2</v>
      </c>
      <c r="AJ90" s="361"/>
      <c r="AK90" s="363"/>
      <c r="AL90" s="1142"/>
      <c r="AM90" s="362">
        <v>7.9850000000000004E-2</v>
      </c>
      <c r="AN90" s="361"/>
      <c r="AO90" s="363"/>
      <c r="AP90" s="362">
        <v>0</v>
      </c>
      <c r="AQ90" s="361"/>
      <c r="AR90" s="564"/>
      <c r="AS90" s="362">
        <v>7.7380000000000004E-2</v>
      </c>
      <c r="AT90" s="361"/>
      <c r="AU90" s="363"/>
      <c r="AV90" s="362">
        <v>7.7450000000000005E-2</v>
      </c>
      <c r="AW90" s="361"/>
      <c r="AX90" s="363"/>
      <c r="AY90" s="362">
        <v>7.6740000000000003E-2</v>
      </c>
      <c r="AZ90" s="361"/>
      <c r="BA90" s="363"/>
      <c r="BB90" s="362">
        <v>7.9549999999999996E-2</v>
      </c>
      <c r="BC90" s="361"/>
      <c r="BD90" s="363"/>
      <c r="BE90" s="564"/>
    </row>
    <row r="91" spans="1:59" x14ac:dyDescent="0.2">
      <c r="A91" s="76">
        <v>84</v>
      </c>
      <c r="B91" s="670"/>
      <c r="C91" s="812" t="s">
        <v>8</v>
      </c>
      <c r="D91" s="373">
        <v>1349120</v>
      </c>
      <c r="E91" s="373">
        <v>1269411</v>
      </c>
      <c r="F91" s="288">
        <v>600000</v>
      </c>
      <c r="G91" s="374"/>
      <c r="H91" s="374"/>
      <c r="I91" s="819"/>
      <c r="J91" s="638"/>
      <c r="K91" s="375">
        <v>4.929E-2</v>
      </c>
      <c r="L91" s="375">
        <v>5.2019999999999997E-2</v>
      </c>
      <c r="M91" s="361"/>
      <c r="N91" s="361"/>
      <c r="O91" s="892"/>
      <c r="P91" s="892"/>
      <c r="Q91" s="376">
        <v>5.1959999999999999E-2</v>
      </c>
      <c r="R91" s="361"/>
      <c r="S91" s="363"/>
      <c r="T91" s="362">
        <v>4.9669999999999999E-2</v>
      </c>
      <c r="U91" s="361"/>
      <c r="V91" s="564"/>
      <c r="W91" s="362">
        <v>4.8739999999999999E-2</v>
      </c>
      <c r="X91" s="361"/>
      <c r="Y91" s="564"/>
      <c r="Z91" s="362">
        <v>4.929E-2</v>
      </c>
      <c r="AA91" s="361"/>
      <c r="AB91" s="564"/>
      <c r="AC91" s="112">
        <v>4.8800000000000003E-2</v>
      </c>
      <c r="AD91" s="361"/>
      <c r="AE91" s="564"/>
      <c r="AF91" s="112">
        <v>4.9460000000000004E-2</v>
      </c>
      <c r="AG91" s="361"/>
      <c r="AH91" s="564"/>
      <c r="AI91" s="362">
        <v>5.2019999999999997E-2</v>
      </c>
      <c r="AJ91" s="361"/>
      <c r="AK91" s="363"/>
      <c r="AL91" s="1142"/>
      <c r="AM91" s="362">
        <v>5.3239999999999996E-2</v>
      </c>
      <c r="AN91" s="361"/>
      <c r="AO91" s="363"/>
      <c r="AP91" s="362">
        <v>0</v>
      </c>
      <c r="AQ91" s="361"/>
      <c r="AR91" s="564"/>
      <c r="AS91" s="362">
        <v>5.1589999999999997E-2</v>
      </c>
      <c r="AT91" s="361"/>
      <c r="AU91" s="363"/>
      <c r="AV91" s="362">
        <v>5.1639999999999998E-2</v>
      </c>
      <c r="AW91" s="361"/>
      <c r="AX91" s="363"/>
      <c r="AY91" s="362">
        <v>5.117E-2</v>
      </c>
      <c r="AZ91" s="361"/>
      <c r="BA91" s="363"/>
      <c r="BB91" s="362">
        <v>5.3039999999999997E-2</v>
      </c>
      <c r="BC91" s="361"/>
      <c r="BD91" s="363"/>
      <c r="BE91" s="564"/>
    </row>
    <row r="92" spans="1:59" x14ac:dyDescent="0.2">
      <c r="A92" s="76">
        <v>85</v>
      </c>
      <c r="B92" s="670"/>
      <c r="C92" s="812" t="s">
        <v>9</v>
      </c>
      <c r="D92" s="373">
        <v>0</v>
      </c>
      <c r="E92" s="373">
        <v>0</v>
      </c>
      <c r="F92" s="360" t="s">
        <v>59</v>
      </c>
      <c r="G92" s="374"/>
      <c r="H92" s="374"/>
      <c r="I92" s="819"/>
      <c r="J92" s="638"/>
      <c r="K92" s="375">
        <v>1.8460000000000001E-2</v>
      </c>
      <c r="L92" s="375">
        <v>1.9500000000000003E-2</v>
      </c>
      <c r="M92" s="361"/>
      <c r="N92" s="361"/>
      <c r="O92" s="892"/>
      <c r="P92" s="892"/>
      <c r="Q92" s="376">
        <v>1.9470000000000001E-2</v>
      </c>
      <c r="R92" s="361"/>
      <c r="S92" s="363"/>
      <c r="T92" s="362">
        <v>1.8610000000000002E-2</v>
      </c>
      <c r="U92" s="361"/>
      <c r="V92" s="564"/>
      <c r="W92" s="362">
        <v>1.8260000000000002E-2</v>
      </c>
      <c r="X92" s="361"/>
      <c r="Y92" s="564"/>
      <c r="Z92" s="362">
        <v>1.8460000000000001E-2</v>
      </c>
      <c r="AA92" s="361"/>
      <c r="AB92" s="564"/>
      <c r="AC92" s="112">
        <v>1.8280000000000001E-2</v>
      </c>
      <c r="AD92" s="361"/>
      <c r="AE92" s="564"/>
      <c r="AF92" s="112">
        <v>1.8520000000000002E-2</v>
      </c>
      <c r="AG92" s="361"/>
      <c r="AH92" s="564"/>
      <c r="AI92" s="362">
        <v>1.9500000000000003E-2</v>
      </c>
      <c r="AJ92" s="361"/>
      <c r="AK92" s="363"/>
      <c r="AL92" s="1142"/>
      <c r="AM92" s="362">
        <v>1.9960000000000002E-2</v>
      </c>
      <c r="AN92" s="361"/>
      <c r="AO92" s="363"/>
      <c r="AP92" s="362">
        <v>0</v>
      </c>
      <c r="AQ92" s="361"/>
      <c r="AR92" s="564"/>
      <c r="AS92" s="362">
        <v>1.9330000000000003E-2</v>
      </c>
      <c r="AT92" s="361"/>
      <c r="AU92" s="363"/>
      <c r="AV92" s="362">
        <v>1.9350000000000003E-2</v>
      </c>
      <c r="AW92" s="361"/>
      <c r="AX92" s="363"/>
      <c r="AY92" s="362">
        <v>1.9170000000000003E-2</v>
      </c>
      <c r="AZ92" s="361"/>
      <c r="BA92" s="363"/>
      <c r="BB92" s="362">
        <v>1.9880000000000002E-2</v>
      </c>
      <c r="BC92" s="361"/>
      <c r="BD92" s="363"/>
      <c r="BE92" s="564"/>
    </row>
    <row r="93" spans="1:59" x14ac:dyDescent="0.2">
      <c r="A93" s="76">
        <v>86</v>
      </c>
      <c r="B93" s="668"/>
      <c r="C93" s="813" t="s">
        <v>62</v>
      </c>
      <c r="D93" s="364"/>
      <c r="E93" s="364"/>
      <c r="F93" s="365"/>
      <c r="G93" s="366"/>
      <c r="H93" s="366"/>
      <c r="I93" s="817"/>
      <c r="J93" s="368"/>
      <c r="K93" s="367"/>
      <c r="L93" s="367"/>
      <c r="M93" s="368">
        <v>10526.67</v>
      </c>
      <c r="N93" s="368">
        <v>8163.89</v>
      </c>
      <c r="O93" s="368">
        <v>11024.36</v>
      </c>
      <c r="P93" s="368">
        <v>8530.5299999999988</v>
      </c>
      <c r="Q93" s="370"/>
      <c r="R93" s="368">
        <v>11013.46</v>
      </c>
      <c r="S93" s="371">
        <v>4.5999999999999999E-2</v>
      </c>
      <c r="T93" s="369"/>
      <c r="U93" s="368">
        <v>8214.7799999999988</v>
      </c>
      <c r="V93" s="565">
        <v>6.0000000000000001E-3</v>
      </c>
      <c r="W93" s="369"/>
      <c r="X93" s="368">
        <v>10427.35</v>
      </c>
      <c r="Y93" s="565">
        <v>-8.9999999999999993E-3</v>
      </c>
      <c r="Z93" s="369"/>
      <c r="AA93" s="368">
        <v>10526.67</v>
      </c>
      <c r="AB93" s="565">
        <v>0</v>
      </c>
      <c r="AC93" s="368"/>
      <c r="AD93" s="368">
        <v>10437.1</v>
      </c>
      <c r="AE93" s="565">
        <v>-8.9999999999999993E-3</v>
      </c>
      <c r="AF93" s="368"/>
      <c r="AG93" s="368">
        <v>10558.03</v>
      </c>
      <c r="AH93" s="565">
        <v>3.0000000000000001E-3</v>
      </c>
      <c r="AI93" s="377"/>
      <c r="AJ93" s="368">
        <v>11024.36</v>
      </c>
      <c r="AK93" s="371">
        <v>4.7E-2</v>
      </c>
      <c r="AL93" s="368">
        <v>497.69000000000051</v>
      </c>
      <c r="AM93" s="370"/>
      <c r="AN93" s="368">
        <v>11246.37</v>
      </c>
      <c r="AO93" s="371">
        <v>0.02</v>
      </c>
      <c r="AP93" s="369"/>
      <c r="AQ93" s="368">
        <v>1550</v>
      </c>
      <c r="AR93" s="565">
        <v>-0.81799999999999995</v>
      </c>
      <c r="AS93" s="370"/>
      <c r="AT93" s="368">
        <v>10946.56</v>
      </c>
      <c r="AU93" s="371">
        <v>-7.0000000000000001E-3</v>
      </c>
      <c r="AV93" s="370"/>
      <c r="AW93" s="368">
        <v>10955.25</v>
      </c>
      <c r="AX93" s="371">
        <v>-6.0000000000000001E-3</v>
      </c>
      <c r="AY93" s="370"/>
      <c r="AZ93" s="368">
        <v>10868.85</v>
      </c>
      <c r="BA93" s="371">
        <v>-7.0000000000000001E-3</v>
      </c>
      <c r="BB93" s="377"/>
      <c r="BC93" s="368">
        <v>11209.48</v>
      </c>
      <c r="BD93" s="371">
        <v>1.7000000000000001E-2</v>
      </c>
      <c r="BE93" s="1493">
        <v>185.11999999999898</v>
      </c>
      <c r="BF93" s="359"/>
      <c r="BG93" s="359"/>
    </row>
    <row r="94" spans="1:59" x14ac:dyDescent="0.2">
      <c r="A94" s="76">
        <v>87</v>
      </c>
      <c r="B94" s="668" t="s">
        <v>263</v>
      </c>
      <c r="C94" s="814" t="s">
        <v>248</v>
      </c>
      <c r="D94" s="378">
        <v>0</v>
      </c>
      <c r="E94" s="378">
        <v>0</v>
      </c>
      <c r="F94" s="379" t="s">
        <v>248</v>
      </c>
      <c r="G94" s="380">
        <v>0</v>
      </c>
      <c r="H94" s="380">
        <v>0</v>
      </c>
      <c r="I94" s="820">
        <v>38000</v>
      </c>
      <c r="J94" s="639">
        <v>38000</v>
      </c>
      <c r="K94" s="381">
        <v>4.919999999999999E-3</v>
      </c>
      <c r="L94" s="381">
        <v>4.9499999999999987E-3</v>
      </c>
      <c r="M94" s="356">
        <v>38000</v>
      </c>
      <c r="N94" s="356">
        <v>38000</v>
      </c>
      <c r="O94" s="356">
        <v>38000</v>
      </c>
      <c r="P94" s="453">
        <v>38000</v>
      </c>
      <c r="Q94" s="382">
        <v>4.919999999999999E-3</v>
      </c>
      <c r="R94" s="356">
        <v>38000</v>
      </c>
      <c r="S94" s="383">
        <v>0</v>
      </c>
      <c r="T94" s="357">
        <v>4.9699999999999987E-3</v>
      </c>
      <c r="U94" s="356">
        <v>38000</v>
      </c>
      <c r="V94" s="563">
        <v>0</v>
      </c>
      <c r="W94" s="357">
        <v>4.919999999999999E-3</v>
      </c>
      <c r="X94" s="356">
        <v>38000</v>
      </c>
      <c r="Y94" s="563">
        <v>0</v>
      </c>
      <c r="Z94" s="357">
        <v>4.919999999999999E-3</v>
      </c>
      <c r="AA94" s="356">
        <v>38000</v>
      </c>
      <c r="AB94" s="563">
        <v>0</v>
      </c>
      <c r="AC94" s="113">
        <v>4.8799999999999989E-3</v>
      </c>
      <c r="AD94" s="356">
        <v>38000</v>
      </c>
      <c r="AE94" s="563">
        <v>0</v>
      </c>
      <c r="AF94" s="113">
        <v>4.9399999999999991E-3</v>
      </c>
      <c r="AG94" s="356">
        <v>38000</v>
      </c>
      <c r="AH94" s="563">
        <v>0</v>
      </c>
      <c r="AI94" s="384">
        <v>4.9499999999999987E-3</v>
      </c>
      <c r="AJ94" s="356">
        <v>38000</v>
      </c>
      <c r="AK94" s="383">
        <v>0</v>
      </c>
      <c r="AL94" s="356">
        <v>0</v>
      </c>
      <c r="AM94" s="357">
        <v>4.9499999999999987E-3</v>
      </c>
      <c r="AN94" s="356">
        <v>38000</v>
      </c>
      <c r="AO94" s="383">
        <v>0</v>
      </c>
      <c r="AP94" s="357">
        <v>0</v>
      </c>
      <c r="AQ94" s="356">
        <v>38000</v>
      </c>
      <c r="AR94" s="563">
        <v>0</v>
      </c>
      <c r="AS94" s="357">
        <v>4.899999999999999E-3</v>
      </c>
      <c r="AT94" s="356">
        <v>38000</v>
      </c>
      <c r="AU94" s="383">
        <v>0</v>
      </c>
      <c r="AV94" s="357">
        <v>0</v>
      </c>
      <c r="AW94" s="356">
        <v>38000</v>
      </c>
      <c r="AX94" s="383">
        <v>0</v>
      </c>
      <c r="AY94" s="357">
        <v>0</v>
      </c>
      <c r="AZ94" s="356">
        <v>38000</v>
      </c>
      <c r="BA94" s="383">
        <v>0</v>
      </c>
      <c r="BB94" s="384">
        <v>4.9299999999999986E-3</v>
      </c>
      <c r="BC94" s="356">
        <v>38000</v>
      </c>
      <c r="BD94" s="383">
        <v>0</v>
      </c>
      <c r="BE94" s="1145">
        <v>0</v>
      </c>
    </row>
    <row r="95" spans="1:59" x14ac:dyDescent="0.2">
      <c r="A95" s="76">
        <v>88</v>
      </c>
      <c r="B95" s="668" t="s">
        <v>265</v>
      </c>
      <c r="C95" s="783" t="s">
        <v>248</v>
      </c>
      <c r="D95" s="378">
        <v>0</v>
      </c>
      <c r="E95" s="378">
        <v>0</v>
      </c>
      <c r="F95" s="379" t="s">
        <v>248</v>
      </c>
      <c r="G95" s="380">
        <v>0</v>
      </c>
      <c r="H95" s="380">
        <v>0</v>
      </c>
      <c r="I95" s="820">
        <v>38000</v>
      </c>
      <c r="J95" s="639">
        <v>38000</v>
      </c>
      <c r="K95" s="381">
        <v>4.919999999999999E-3</v>
      </c>
      <c r="L95" s="381">
        <v>4.9499999999999987E-3</v>
      </c>
      <c r="M95" s="356">
        <v>38000</v>
      </c>
      <c r="N95" s="356">
        <v>38000</v>
      </c>
      <c r="O95" s="356">
        <v>38000</v>
      </c>
      <c r="P95" s="453">
        <v>38000</v>
      </c>
      <c r="Q95" s="382">
        <v>4.919999999999999E-3</v>
      </c>
      <c r="R95" s="356">
        <v>38000</v>
      </c>
      <c r="S95" s="383">
        <v>0</v>
      </c>
      <c r="T95" s="357">
        <v>4.9699999999999987E-3</v>
      </c>
      <c r="U95" s="356">
        <v>38000</v>
      </c>
      <c r="V95" s="563">
        <v>0</v>
      </c>
      <c r="W95" s="357">
        <v>4.919999999999999E-3</v>
      </c>
      <c r="X95" s="356">
        <v>38000</v>
      </c>
      <c r="Y95" s="563">
        <v>0</v>
      </c>
      <c r="Z95" s="357">
        <v>4.919999999999999E-3</v>
      </c>
      <c r="AA95" s="356">
        <v>38000</v>
      </c>
      <c r="AB95" s="563">
        <v>0</v>
      </c>
      <c r="AC95" s="113">
        <v>4.8799999999999989E-3</v>
      </c>
      <c r="AD95" s="356">
        <v>38000</v>
      </c>
      <c r="AE95" s="563">
        <v>0</v>
      </c>
      <c r="AF95" s="113">
        <v>4.9399999999999991E-3</v>
      </c>
      <c r="AG95" s="356">
        <v>38000</v>
      </c>
      <c r="AH95" s="563">
        <v>0</v>
      </c>
      <c r="AI95" s="384">
        <v>4.9499999999999987E-3</v>
      </c>
      <c r="AJ95" s="356">
        <v>38000</v>
      </c>
      <c r="AK95" s="383">
        <v>0</v>
      </c>
      <c r="AL95" s="356">
        <v>0</v>
      </c>
      <c r="AM95" s="357">
        <v>4.9499999999999987E-3</v>
      </c>
      <c r="AN95" s="356">
        <v>38000</v>
      </c>
      <c r="AO95" s="383">
        <v>0</v>
      </c>
      <c r="AP95" s="357">
        <v>0</v>
      </c>
      <c r="AQ95" s="356">
        <v>38000</v>
      </c>
      <c r="AR95" s="563">
        <v>0</v>
      </c>
      <c r="AS95" s="357">
        <v>4.899999999999999E-3</v>
      </c>
      <c r="AT95" s="356">
        <v>38000</v>
      </c>
      <c r="AU95" s="383">
        <v>0</v>
      </c>
      <c r="AV95" s="357">
        <v>0</v>
      </c>
      <c r="AW95" s="356">
        <v>38000</v>
      </c>
      <c r="AX95" s="383">
        <v>0</v>
      </c>
      <c r="AY95" s="357">
        <v>0</v>
      </c>
      <c r="AZ95" s="356">
        <v>38000</v>
      </c>
      <c r="BA95" s="383">
        <v>0</v>
      </c>
      <c r="BB95" s="384">
        <v>4.9299999999999986E-3</v>
      </c>
      <c r="BC95" s="356">
        <v>38000</v>
      </c>
      <c r="BD95" s="383">
        <v>0</v>
      </c>
      <c r="BE95" s="1145">
        <v>0</v>
      </c>
    </row>
    <row r="96" spans="1:59" x14ac:dyDescent="0.2">
      <c r="A96" s="76">
        <v>89</v>
      </c>
      <c r="B96" s="670" t="s">
        <v>282</v>
      </c>
      <c r="C96" s="926" t="s">
        <v>248</v>
      </c>
      <c r="D96" s="927">
        <v>2895114</v>
      </c>
      <c r="E96" s="927">
        <v>0</v>
      </c>
      <c r="F96" s="928" t="s">
        <v>248</v>
      </c>
      <c r="G96" s="652">
        <v>241259.5</v>
      </c>
      <c r="H96" s="652">
        <v>0</v>
      </c>
      <c r="I96" s="819">
        <v>0</v>
      </c>
      <c r="J96" s="638">
        <v>0</v>
      </c>
      <c r="K96" s="929">
        <v>0</v>
      </c>
      <c r="L96" s="929">
        <v>0</v>
      </c>
      <c r="M96" s="361">
        <v>0</v>
      </c>
      <c r="N96" s="361">
        <v>0</v>
      </c>
      <c r="O96" s="361">
        <v>0</v>
      </c>
      <c r="P96" s="361">
        <v>0</v>
      </c>
      <c r="Q96" s="382">
        <v>0</v>
      </c>
      <c r="R96" s="356">
        <v>0</v>
      </c>
      <c r="S96" s="383">
        <v>0</v>
      </c>
      <c r="T96" s="357">
        <v>0</v>
      </c>
      <c r="U96" s="356">
        <v>0</v>
      </c>
      <c r="V96" s="563">
        <v>0</v>
      </c>
      <c r="W96" s="357">
        <v>0</v>
      </c>
      <c r="X96" s="356">
        <v>0</v>
      </c>
      <c r="Y96" s="563">
        <v>0</v>
      </c>
      <c r="Z96" s="357">
        <v>0</v>
      </c>
      <c r="AA96" s="356">
        <v>0</v>
      </c>
      <c r="AB96" s="563">
        <v>0</v>
      </c>
      <c r="AC96" s="113">
        <v>0</v>
      </c>
      <c r="AD96" s="356">
        <v>0</v>
      </c>
      <c r="AE96" s="563">
        <v>0</v>
      </c>
      <c r="AF96" s="113">
        <v>0</v>
      </c>
      <c r="AG96" s="356">
        <v>0</v>
      </c>
      <c r="AH96" s="563">
        <v>0</v>
      </c>
      <c r="AI96" s="384">
        <v>0</v>
      </c>
      <c r="AJ96" s="356">
        <v>0</v>
      </c>
      <c r="AK96" s="383">
        <v>0</v>
      </c>
      <c r="AL96" s="356">
        <v>0</v>
      </c>
      <c r="AM96" s="357">
        <v>0</v>
      </c>
      <c r="AN96" s="356">
        <v>0</v>
      </c>
      <c r="AO96" s="383">
        <v>0</v>
      </c>
      <c r="AP96" s="357">
        <v>0</v>
      </c>
      <c r="AQ96" s="356">
        <v>0</v>
      </c>
      <c r="AR96" s="563">
        <v>0</v>
      </c>
      <c r="AS96" s="357">
        <v>0</v>
      </c>
      <c r="AT96" s="356">
        <v>0</v>
      </c>
      <c r="AU96" s="383">
        <v>0</v>
      </c>
      <c r="AV96" s="357">
        <v>0</v>
      </c>
      <c r="AW96" s="356">
        <v>0</v>
      </c>
      <c r="AX96" s="383">
        <v>0</v>
      </c>
      <c r="AY96" s="357">
        <v>0</v>
      </c>
      <c r="AZ96" s="356">
        <v>0</v>
      </c>
      <c r="BA96" s="383">
        <v>0</v>
      </c>
      <c r="BB96" s="384">
        <v>0</v>
      </c>
      <c r="BC96" s="356">
        <v>0</v>
      </c>
      <c r="BD96" s="383">
        <v>0</v>
      </c>
      <c r="BE96" s="1145">
        <v>0</v>
      </c>
    </row>
    <row r="97" spans="1:57" ht="13.5" thickBot="1" x14ac:dyDescent="0.25">
      <c r="A97" s="76">
        <v>90</v>
      </c>
      <c r="B97" s="594" t="s">
        <v>62</v>
      </c>
      <c r="C97" s="848"/>
      <c r="D97" s="930">
        <v>103032055.6009268</v>
      </c>
      <c r="E97" s="930">
        <v>101085884.30000001</v>
      </c>
      <c r="F97" s="689"/>
      <c r="G97" s="930">
        <v>543910.62040000001</v>
      </c>
      <c r="H97" s="930">
        <v>270612</v>
      </c>
      <c r="I97" s="931"/>
      <c r="J97" s="931"/>
      <c r="K97" s="932"/>
      <c r="L97" s="932"/>
      <c r="M97" s="933"/>
      <c r="N97" s="933"/>
      <c r="O97" s="933"/>
      <c r="P97" s="934"/>
      <c r="Q97" s="156"/>
      <c r="R97" s="387"/>
      <c r="S97" s="389"/>
      <c r="T97" s="386"/>
      <c r="U97" s="387"/>
      <c r="V97" s="566"/>
      <c r="W97" s="386"/>
      <c r="X97" s="387"/>
      <c r="Y97" s="566"/>
      <c r="Z97" s="386"/>
      <c r="AA97" s="387"/>
      <c r="AB97" s="566"/>
      <c r="AC97" s="387"/>
      <c r="AD97" s="387"/>
      <c r="AE97" s="566"/>
      <c r="AF97" s="387"/>
      <c r="AG97" s="387"/>
      <c r="AH97" s="566"/>
      <c r="AI97" s="386"/>
      <c r="AJ97" s="387"/>
      <c r="AK97" s="389"/>
      <c r="AL97" s="386"/>
      <c r="AM97" s="388"/>
      <c r="AN97" s="387"/>
      <c r="AO97" s="389"/>
      <c r="AP97" s="386"/>
      <c r="AQ97" s="387"/>
      <c r="AR97" s="566"/>
      <c r="AS97" s="388"/>
      <c r="AT97" s="387"/>
      <c r="AU97" s="389"/>
      <c r="AV97" s="388"/>
      <c r="AW97" s="387"/>
      <c r="AX97" s="389"/>
      <c r="AY97" s="388"/>
      <c r="AZ97" s="387"/>
      <c r="BA97" s="389"/>
      <c r="BB97" s="386"/>
      <c r="BC97" s="387"/>
      <c r="BD97" s="389"/>
      <c r="BE97" s="566"/>
    </row>
    <row r="98" spans="1:57" ht="12.6" customHeight="1" x14ac:dyDescent="0.2">
      <c r="A98" s="76">
        <v>91</v>
      </c>
      <c r="B98" s="1648" t="s">
        <v>286</v>
      </c>
      <c r="C98" s="1648"/>
      <c r="D98" s="1648"/>
      <c r="E98" s="1648"/>
      <c r="F98" s="1648"/>
      <c r="G98" s="1648"/>
      <c r="H98" s="1648"/>
      <c r="I98" s="1648"/>
      <c r="J98" s="1648"/>
      <c r="K98" s="400"/>
      <c r="L98" s="400"/>
      <c r="M98" s="400"/>
      <c r="N98" s="400"/>
      <c r="O98" s="400"/>
      <c r="P98" s="400"/>
      <c r="T98" s="400"/>
      <c r="U98" s="400"/>
      <c r="V98" s="400"/>
      <c r="W98" s="400"/>
      <c r="X98" s="400"/>
      <c r="Y98" s="400"/>
      <c r="Z98" s="400"/>
      <c r="AA98" s="400"/>
      <c r="AB98" s="400"/>
      <c r="AC98" s="400"/>
      <c r="AD98" s="400"/>
      <c r="AE98" s="400"/>
      <c r="AF98" s="400"/>
      <c r="AG98" s="400"/>
      <c r="AH98" s="400"/>
      <c r="AI98" s="45"/>
      <c r="AJ98" s="45"/>
      <c r="AK98" s="45"/>
      <c r="AL98" s="45"/>
      <c r="AP98" s="400"/>
      <c r="AQ98" s="400"/>
      <c r="AR98" s="400"/>
      <c r="AS98" s="400"/>
      <c r="AT98" s="400"/>
      <c r="AU98" s="400"/>
      <c r="AV98" s="400"/>
      <c r="AW98" s="400"/>
      <c r="AX98" s="400"/>
      <c r="AY98" s="400"/>
      <c r="AZ98" s="400"/>
      <c r="BA98" s="400"/>
      <c r="BB98" s="45"/>
      <c r="BC98" s="45"/>
      <c r="BD98" s="45"/>
    </row>
    <row r="99" spans="1:57" ht="12.6" customHeight="1" x14ac:dyDescent="0.2">
      <c r="A99" s="76">
        <v>92</v>
      </c>
      <c r="B99" s="1648"/>
      <c r="C99" s="1648"/>
      <c r="D99" s="1648"/>
      <c r="E99" s="1648"/>
      <c r="F99" s="1648"/>
      <c r="G99" s="1648"/>
      <c r="H99" s="1648"/>
      <c r="I99" s="1648"/>
      <c r="J99" s="1648"/>
      <c r="K99" s="401"/>
      <c r="L99" s="401"/>
      <c r="M99" s="401"/>
      <c r="N99" s="401"/>
      <c r="O99" s="401"/>
      <c r="P99" s="401"/>
      <c r="T99" s="401"/>
      <c r="U99" s="401"/>
      <c r="V99" s="401"/>
      <c r="W99" s="401"/>
      <c r="X99" s="401"/>
      <c r="Y99" s="401"/>
      <c r="Z99" s="401"/>
      <c r="AA99" s="401"/>
      <c r="AB99" s="401"/>
      <c r="AC99" s="401"/>
      <c r="AD99" s="401"/>
      <c r="AE99" s="401"/>
      <c r="AF99" s="401"/>
      <c r="AG99" s="401"/>
      <c r="AH99" s="401"/>
      <c r="AI99" s="45"/>
      <c r="AJ99" s="45"/>
      <c r="AK99" s="45"/>
      <c r="AL99" s="45"/>
      <c r="AP99" s="401"/>
      <c r="AQ99" s="401"/>
      <c r="AR99" s="401"/>
      <c r="AS99" s="401"/>
      <c r="AT99" s="401"/>
      <c r="AU99" s="401"/>
      <c r="AV99" s="401"/>
      <c r="AW99" s="401"/>
      <c r="AX99" s="401"/>
      <c r="AY99" s="401"/>
      <c r="AZ99" s="401"/>
      <c r="BA99" s="401"/>
      <c r="BB99" s="45"/>
      <c r="BC99" s="45"/>
      <c r="BD99" s="45"/>
    </row>
    <row r="100" spans="1:57" x14ac:dyDescent="0.2">
      <c r="A100" s="76">
        <v>93</v>
      </c>
      <c r="B100" s="688"/>
      <c r="C100" s="688"/>
      <c r="D100" s="688"/>
      <c r="E100" s="688"/>
      <c r="F100" s="688"/>
      <c r="G100" s="688"/>
      <c r="H100" s="688"/>
      <c r="I100" s="688"/>
      <c r="J100" s="402"/>
      <c r="K100" s="402"/>
      <c r="L100" s="402"/>
      <c r="M100" s="402"/>
      <c r="N100" s="402"/>
      <c r="O100" s="402"/>
      <c r="P100" s="402"/>
      <c r="Q100" s="340"/>
      <c r="R100" s="340"/>
      <c r="S100" s="340"/>
      <c r="T100" s="402"/>
      <c r="U100" s="402"/>
      <c r="V100" s="402"/>
      <c r="W100" s="402"/>
      <c r="X100" s="402"/>
      <c r="Y100" s="402"/>
      <c r="Z100" s="402"/>
      <c r="AA100" s="402"/>
      <c r="AB100" s="402"/>
      <c r="AC100" s="402"/>
      <c r="AD100" s="402"/>
      <c r="AE100" s="402"/>
      <c r="AF100" s="402"/>
      <c r="AG100" s="402"/>
      <c r="AH100" s="402"/>
      <c r="AI100" s="390"/>
      <c r="AJ100" s="390"/>
      <c r="AK100" s="390"/>
      <c r="AL100" s="390"/>
      <c r="AM100" s="340"/>
      <c r="AN100" s="340"/>
      <c r="AO100" s="340"/>
      <c r="AP100" s="402"/>
      <c r="AQ100" s="402"/>
      <c r="AR100" s="402"/>
      <c r="AS100" s="402"/>
      <c r="AT100" s="402"/>
      <c r="AU100" s="402"/>
      <c r="AV100" s="402"/>
      <c r="AW100" s="402"/>
      <c r="AX100" s="402"/>
      <c r="AY100" s="402"/>
      <c r="AZ100" s="402"/>
      <c r="BA100" s="402"/>
      <c r="BB100" s="390"/>
      <c r="BC100" s="390"/>
      <c r="BD100" s="390"/>
    </row>
    <row r="101" spans="1:57" x14ac:dyDescent="0.2">
      <c r="A101" s="76">
        <v>94</v>
      </c>
      <c r="B101" s="688"/>
      <c r="C101" s="688"/>
      <c r="D101" s="688"/>
      <c r="E101" s="688"/>
      <c r="F101" s="688"/>
      <c r="G101" s="688"/>
      <c r="H101" s="688"/>
      <c r="I101" s="688"/>
      <c r="J101" s="402"/>
      <c r="K101" s="402"/>
      <c r="L101" s="402"/>
      <c r="M101" s="402"/>
      <c r="N101" s="402"/>
      <c r="O101" s="402"/>
      <c r="P101" s="402"/>
      <c r="T101" s="402"/>
      <c r="U101" s="402"/>
      <c r="V101" s="402"/>
      <c r="W101" s="402"/>
      <c r="X101" s="402"/>
      <c r="Y101" s="402"/>
      <c r="Z101" s="402"/>
      <c r="AA101" s="402"/>
      <c r="AB101" s="402"/>
      <c r="AC101" s="402"/>
      <c r="AD101" s="402"/>
      <c r="AE101" s="402"/>
      <c r="AF101" s="402"/>
      <c r="AG101" s="402"/>
      <c r="AH101" s="402"/>
      <c r="AP101" s="402"/>
      <c r="AQ101" s="402"/>
      <c r="AR101" s="402"/>
      <c r="AS101" s="402"/>
      <c r="AT101" s="402"/>
      <c r="AU101" s="402"/>
      <c r="AV101" s="402"/>
      <c r="AW101" s="402"/>
      <c r="AX101" s="402"/>
      <c r="AY101" s="402"/>
      <c r="AZ101" s="402"/>
      <c r="BA101" s="402"/>
    </row>
    <row r="102" spans="1:57" x14ac:dyDescent="0.2">
      <c r="A102" s="76">
        <v>95</v>
      </c>
      <c r="B102" s="402"/>
      <c r="C102" s="402"/>
      <c r="D102" s="402"/>
      <c r="E102" s="402"/>
      <c r="F102" s="402"/>
      <c r="G102" s="402"/>
      <c r="H102" s="402"/>
      <c r="I102" s="402"/>
      <c r="J102" s="402"/>
      <c r="K102" s="402"/>
      <c r="L102" s="402"/>
      <c r="M102" s="402"/>
      <c r="N102" s="402"/>
      <c r="O102" s="402"/>
      <c r="P102" s="402"/>
      <c r="T102" s="402"/>
      <c r="U102" s="402"/>
      <c r="V102" s="402"/>
      <c r="W102" s="402"/>
      <c r="X102" s="402"/>
      <c r="Y102" s="402"/>
      <c r="Z102" s="402"/>
      <c r="AA102" s="402"/>
      <c r="AB102" s="402"/>
      <c r="AC102" s="402"/>
      <c r="AD102" s="402"/>
      <c r="AE102" s="402"/>
      <c r="AF102" s="402"/>
      <c r="AG102" s="402"/>
      <c r="AH102" s="402"/>
      <c r="AP102" s="402"/>
      <c r="AQ102" s="402"/>
      <c r="AR102" s="402"/>
      <c r="AS102" s="402"/>
      <c r="AT102" s="402"/>
      <c r="AU102" s="402"/>
      <c r="AV102" s="402"/>
      <c r="AW102" s="402"/>
      <c r="AX102" s="402"/>
      <c r="AY102" s="402"/>
      <c r="AZ102" s="402"/>
      <c r="BA102" s="402"/>
    </row>
    <row r="103" spans="1:57" x14ac:dyDescent="0.2">
      <c r="A103" s="76">
        <v>96</v>
      </c>
      <c r="B103" s="391" t="s">
        <v>45</v>
      </c>
      <c r="C103" s="137"/>
      <c r="D103" s="137"/>
      <c r="E103" s="137"/>
      <c r="F103" s="137"/>
      <c r="G103" s="137"/>
      <c r="H103" s="137"/>
      <c r="I103" s="137"/>
      <c r="J103" s="137"/>
    </row>
    <row r="104" spans="1:57" x14ac:dyDescent="0.2">
      <c r="A104" s="76">
        <v>97</v>
      </c>
      <c r="B104" s="821" t="s">
        <v>46</v>
      </c>
      <c r="C104" s="822"/>
      <c r="D104" s="823"/>
      <c r="E104" s="823"/>
      <c r="F104" s="824" t="s">
        <v>61</v>
      </c>
      <c r="G104" s="823"/>
      <c r="H104" s="823"/>
      <c r="I104" s="824"/>
      <c r="J104" s="824" t="s">
        <v>61</v>
      </c>
      <c r="K104" s="823"/>
      <c r="L104" s="881"/>
      <c r="M104" s="823"/>
      <c r="N104" s="823"/>
      <c r="O104" s="881"/>
      <c r="P104" s="881"/>
      <c r="Q104" s="823"/>
      <c r="R104" s="823"/>
      <c r="S104" s="823"/>
      <c r="T104" s="823"/>
      <c r="U104" s="823"/>
      <c r="V104" s="823"/>
      <c r="W104" s="823"/>
      <c r="X104" s="823"/>
      <c r="Y104" s="823"/>
      <c r="Z104" s="823"/>
      <c r="AA104" s="823"/>
      <c r="AB104" s="823"/>
      <c r="AC104" s="823"/>
      <c r="AD104" s="823"/>
      <c r="AE104" s="823"/>
      <c r="AF104" s="823"/>
      <c r="AG104" s="823"/>
      <c r="AH104" s="823"/>
      <c r="AI104" s="823"/>
      <c r="AJ104" s="823"/>
      <c r="AK104" s="825"/>
      <c r="AL104" s="823"/>
      <c r="AM104" s="881"/>
      <c r="AN104" s="881"/>
      <c r="AO104" s="881"/>
      <c r="AP104" s="823"/>
      <c r="AQ104" s="823"/>
      <c r="AR104" s="823"/>
      <c r="AS104" s="823"/>
      <c r="AT104" s="823"/>
      <c r="AU104" s="823"/>
      <c r="AV104" s="823"/>
      <c r="AW104" s="823"/>
      <c r="AX104" s="823"/>
      <c r="AY104" s="823"/>
      <c r="AZ104" s="823"/>
      <c r="BA104" s="823"/>
      <c r="BB104" s="823"/>
      <c r="BC104" s="823"/>
      <c r="BD104" s="825"/>
    </row>
    <row r="105" spans="1:57" x14ac:dyDescent="0.2">
      <c r="A105" s="76">
        <v>98</v>
      </c>
    </row>
    <row r="106" spans="1:57" x14ac:dyDescent="0.2">
      <c r="A106" s="76">
        <v>99</v>
      </c>
      <c r="B106" s="821" t="s">
        <v>50</v>
      </c>
      <c r="C106" s="822"/>
      <c r="D106" s="822"/>
      <c r="E106" s="822"/>
      <c r="F106" s="824"/>
      <c r="G106" s="824"/>
      <c r="H106" s="824"/>
      <c r="I106" s="822"/>
      <c r="J106" s="822"/>
      <c r="K106" s="824" t="s">
        <v>34</v>
      </c>
      <c r="L106" s="925" t="s">
        <v>34</v>
      </c>
      <c r="M106" s="822"/>
      <c r="N106" s="822"/>
      <c r="O106" s="882"/>
      <c r="P106" s="88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6"/>
      <c r="AL106" s="822"/>
      <c r="AM106" s="882"/>
      <c r="AN106" s="882"/>
      <c r="AO106" s="882"/>
      <c r="AP106" s="822"/>
      <c r="AQ106" s="822"/>
      <c r="AR106" s="822"/>
      <c r="AS106" s="822"/>
      <c r="AT106" s="822"/>
      <c r="AU106" s="822"/>
      <c r="AV106" s="822"/>
      <c r="AW106" s="822"/>
      <c r="AX106" s="822"/>
      <c r="AY106" s="822"/>
      <c r="AZ106" s="822"/>
      <c r="BA106" s="822"/>
      <c r="BB106" s="822"/>
      <c r="BC106" s="822"/>
      <c r="BD106" s="826"/>
    </row>
    <row r="107" spans="1:57" x14ac:dyDescent="0.2">
      <c r="A107" s="76"/>
    </row>
    <row r="108" spans="1:57" x14ac:dyDescent="0.2">
      <c r="A108" s="76"/>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16">
    <mergeCell ref="B98:J99"/>
    <mergeCell ref="AM5:BD5"/>
    <mergeCell ref="W6:Y6"/>
    <mergeCell ref="Z6:AB6"/>
    <mergeCell ref="AC6:AE6"/>
    <mergeCell ref="AS6:AU6"/>
    <mergeCell ref="Q5:AK5"/>
    <mergeCell ref="Q6:S6"/>
    <mergeCell ref="AM6:AO6"/>
    <mergeCell ref="BB6:BD6"/>
    <mergeCell ref="T6:V6"/>
    <mergeCell ref="AP6:AR6"/>
    <mergeCell ref="AI6:AK6"/>
    <mergeCell ref="AF6:AH6"/>
    <mergeCell ref="AY6:BA6"/>
    <mergeCell ref="AV6:AX6"/>
  </mergeCells>
  <phoneticPr fontId="7" type="noConversion"/>
  <pageMargins left="0.5" right="0.5" top="0.5" bottom="0.5" header="0.25" footer="0.25"/>
  <pageSetup scale="51" orientation="portrait" r:id="rId3"/>
  <headerFooter alignWithMargins="0">
    <oddHeader>&amp;RUG-200994 et al. / NWN WUTC Advice 21-09A
WP1/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zoomScale="90" zoomScaleNormal="90" workbookViewId="0">
      <pane xSplit="3" ySplit="15" topLeftCell="D16" activePane="bottomRight" state="frozen"/>
      <selection activeCell="G12" sqref="G12"/>
      <selection pane="topRight" activeCell="G12" sqref="G12"/>
      <selection pane="bottomLeft" activeCell="G12" sqref="G12"/>
      <selection pane="bottomRight" activeCell="G12" sqref="G12"/>
    </sheetView>
  </sheetViews>
  <sheetFormatPr defaultColWidth="9.33203125" defaultRowHeight="12.75" x14ac:dyDescent="0.2"/>
  <cols>
    <col min="1" max="1" width="3.1640625" style="46" customWidth="1"/>
    <col min="2" max="2" width="7.6640625" style="46" customWidth="1"/>
    <col min="3" max="3" width="11.33203125" style="46" bestFit="1" customWidth="1"/>
    <col min="4" max="5" width="18.1640625" style="46" customWidth="1"/>
    <col min="6" max="6" width="21.6640625" style="46" customWidth="1"/>
    <col min="7" max="7" width="21.1640625" style="46" customWidth="1"/>
    <col min="8" max="9" width="18.1640625" style="46" customWidth="1"/>
    <col min="10" max="12" width="11.1640625" style="46" customWidth="1"/>
    <col min="13" max="13" width="3.33203125" style="46" customWidth="1"/>
    <col min="14" max="14" width="18" style="46" customWidth="1"/>
    <col min="15" max="15" width="15.83203125" style="46" customWidth="1"/>
    <col min="16" max="16" width="22.33203125" style="46" bestFit="1" customWidth="1"/>
    <col min="17" max="17" width="17.6640625" style="46" customWidth="1"/>
    <col min="18" max="18" width="17" style="46" customWidth="1"/>
    <col min="19" max="21" width="11.5" style="46" customWidth="1"/>
    <col min="22" max="16384" width="9.33203125" style="46"/>
  </cols>
  <sheetData>
    <row r="1" spans="2:21" x14ac:dyDescent="0.2">
      <c r="B1" s="827" t="s">
        <v>0</v>
      </c>
      <c r="C1" s="828"/>
      <c r="D1" s="828"/>
      <c r="E1" s="828"/>
      <c r="F1" s="828"/>
      <c r="G1" s="828"/>
      <c r="H1" s="828"/>
      <c r="I1" s="828"/>
      <c r="N1" s="827" t="s">
        <v>0</v>
      </c>
    </row>
    <row r="2" spans="2:21" x14ac:dyDescent="0.2">
      <c r="B2" s="827" t="s">
        <v>242</v>
      </c>
      <c r="C2" s="828"/>
      <c r="D2" s="828"/>
      <c r="E2" s="828"/>
      <c r="F2" s="828"/>
      <c r="G2" s="828"/>
      <c r="H2" s="828"/>
      <c r="I2" s="828"/>
      <c r="N2" s="827" t="s">
        <v>242</v>
      </c>
    </row>
    <row r="3" spans="2:21" x14ac:dyDescent="0.2">
      <c r="B3" s="827" t="s">
        <v>243</v>
      </c>
      <c r="C3" s="828"/>
      <c r="D3" s="828"/>
      <c r="E3" s="828"/>
      <c r="F3" s="828"/>
      <c r="G3" s="828"/>
      <c r="H3" s="828"/>
      <c r="I3" s="828"/>
      <c r="N3" s="827" t="s">
        <v>243</v>
      </c>
    </row>
    <row r="4" spans="2:21" x14ac:dyDescent="0.2">
      <c r="B4" s="827" t="s">
        <v>504</v>
      </c>
      <c r="C4" s="828"/>
      <c r="D4" s="828"/>
      <c r="E4" s="828"/>
      <c r="F4" s="828"/>
      <c r="G4" s="828"/>
      <c r="H4" s="828"/>
      <c r="I4" s="828"/>
      <c r="N4" s="827" t="s">
        <v>504</v>
      </c>
    </row>
    <row r="5" spans="2:21" x14ac:dyDescent="0.2">
      <c r="B5" s="827" t="s">
        <v>505</v>
      </c>
      <c r="C5" s="828"/>
      <c r="D5" s="828"/>
      <c r="E5" s="828"/>
      <c r="F5" s="828"/>
      <c r="G5" s="828"/>
      <c r="H5" s="828"/>
      <c r="I5" s="828"/>
      <c r="N5" s="827" t="s">
        <v>505</v>
      </c>
    </row>
    <row r="6" spans="2:21" x14ac:dyDescent="0.2">
      <c r="C6" s="828"/>
      <c r="D6" s="828"/>
      <c r="E6" s="828"/>
      <c r="F6" s="828"/>
      <c r="G6" s="828"/>
      <c r="H6" s="828"/>
      <c r="I6" s="828"/>
    </row>
    <row r="7" spans="2:21" x14ac:dyDescent="0.2">
      <c r="B7" s="158" t="s">
        <v>429</v>
      </c>
      <c r="C7" s="828"/>
      <c r="D7" s="828"/>
      <c r="E7" s="828"/>
      <c r="F7" s="828"/>
      <c r="G7" s="828"/>
      <c r="H7" s="828"/>
      <c r="I7" s="828"/>
      <c r="N7" s="158" t="s">
        <v>430</v>
      </c>
    </row>
    <row r="8" spans="2:21" ht="12.95" customHeight="1" x14ac:dyDescent="0.2">
      <c r="B8" s="586" t="s">
        <v>557</v>
      </c>
      <c r="C8" s="1371"/>
      <c r="D8" s="1371"/>
      <c r="E8" s="1371"/>
      <c r="F8" s="1371"/>
      <c r="G8" s="1371"/>
      <c r="H8" s="1371"/>
      <c r="I8" s="1371"/>
      <c r="J8" s="1371"/>
      <c r="K8" s="1371"/>
      <c r="L8" s="1371"/>
      <c r="N8" s="586" t="s">
        <v>525</v>
      </c>
      <c r="O8" s="1371"/>
      <c r="P8" s="1371"/>
      <c r="Q8" s="1371"/>
      <c r="R8" s="1371"/>
      <c r="S8" s="1371"/>
      <c r="T8" s="1371"/>
      <c r="U8" s="1371"/>
    </row>
    <row r="9" spans="2:21" x14ac:dyDescent="0.2">
      <c r="B9" s="586" t="s">
        <v>558</v>
      </c>
      <c r="C9" s="1371"/>
      <c r="D9" s="1371"/>
      <c r="E9" s="1371"/>
      <c r="F9" s="1371"/>
      <c r="G9" s="1371"/>
      <c r="H9" s="1371"/>
      <c r="I9" s="1371"/>
      <c r="J9" s="1371"/>
      <c r="K9" s="1371"/>
      <c r="L9" s="1371"/>
      <c r="N9" s="586" t="s">
        <v>526</v>
      </c>
      <c r="O9" s="1371"/>
      <c r="P9" s="1371"/>
      <c r="Q9" s="1371"/>
      <c r="R9" s="1371"/>
      <c r="S9" s="1371"/>
      <c r="T9" s="1371"/>
      <c r="U9" s="1371"/>
    </row>
    <row r="10" spans="2:21" ht="13.5" thickBot="1" x14ac:dyDescent="0.25">
      <c r="C10" s="828"/>
      <c r="D10" s="828"/>
      <c r="E10" s="828"/>
      <c r="F10" s="828"/>
      <c r="G10" s="828"/>
      <c r="H10" s="828"/>
      <c r="I10" s="828"/>
    </row>
    <row r="11" spans="2:21" ht="13.5" thickBot="1" x14ac:dyDescent="0.25">
      <c r="B11" s="829"/>
      <c r="C11" s="828"/>
      <c r="D11" s="1661" t="s">
        <v>431</v>
      </c>
      <c r="E11" s="1662"/>
      <c r="F11" s="1662"/>
      <c r="G11" s="1662"/>
      <c r="H11" s="1662"/>
      <c r="I11" s="1662"/>
      <c r="J11" s="1662"/>
      <c r="K11" s="1662"/>
      <c r="L11" s="1663"/>
      <c r="M11" s="959"/>
      <c r="N11" s="1618" t="s">
        <v>432</v>
      </c>
      <c r="O11" s="1619"/>
      <c r="P11" s="1619"/>
      <c r="Q11" s="1619"/>
      <c r="R11" s="1619"/>
      <c r="S11" s="1619"/>
      <c r="T11" s="1619"/>
      <c r="U11" s="1620"/>
    </row>
    <row r="12" spans="2:21" ht="13.5" customHeight="1" thickBot="1" x14ac:dyDescent="0.25">
      <c r="B12" s="935"/>
      <c r="C12" s="936"/>
      <c r="D12" s="936"/>
      <c r="E12" s="936"/>
      <c r="F12" s="890" t="s">
        <v>157</v>
      </c>
      <c r="G12" s="890" t="s">
        <v>380</v>
      </c>
      <c r="H12" s="936"/>
      <c r="I12" s="936"/>
      <c r="J12" s="1626" t="s">
        <v>192</v>
      </c>
      <c r="K12" s="1627"/>
      <c r="L12" s="1628"/>
      <c r="M12" s="959"/>
      <c r="N12" s="935"/>
      <c r="O12" s="936"/>
      <c r="P12" s="890" t="s">
        <v>157</v>
      </c>
      <c r="Q12" s="936"/>
      <c r="R12" s="936"/>
      <c r="S12" s="1626" t="s">
        <v>192</v>
      </c>
      <c r="T12" s="1627"/>
      <c r="U12" s="1628"/>
    </row>
    <row r="13" spans="2:21" ht="51" x14ac:dyDescent="0.2">
      <c r="B13" s="958" t="s">
        <v>152</v>
      </c>
      <c r="C13" s="59" t="s">
        <v>138</v>
      </c>
      <c r="D13" s="59" t="s">
        <v>186</v>
      </c>
      <c r="E13" s="59" t="s">
        <v>187</v>
      </c>
      <c r="F13" s="57" t="s">
        <v>180</v>
      </c>
      <c r="G13" s="1085" t="s">
        <v>391</v>
      </c>
      <c r="H13" s="59" t="s">
        <v>563</v>
      </c>
      <c r="I13" s="59" t="s">
        <v>564</v>
      </c>
      <c r="J13" s="58" t="s">
        <v>183</v>
      </c>
      <c r="K13" s="59" t="s">
        <v>184</v>
      </c>
      <c r="L13" s="60" t="s">
        <v>185</v>
      </c>
      <c r="M13" s="959"/>
      <c r="N13" s="948" t="s">
        <v>563</v>
      </c>
      <c r="O13" s="59" t="s">
        <v>565</v>
      </c>
      <c r="P13" s="57" t="s">
        <v>180</v>
      </c>
      <c r="Q13" s="59" t="s">
        <v>566</v>
      </c>
      <c r="R13" s="59" t="s">
        <v>567</v>
      </c>
      <c r="S13" s="58" t="s">
        <v>183</v>
      </c>
      <c r="T13" s="59" t="s">
        <v>184</v>
      </c>
      <c r="U13" s="60" t="s">
        <v>185</v>
      </c>
    </row>
    <row r="14" spans="2:21" x14ac:dyDescent="0.2">
      <c r="B14" s="61"/>
      <c r="C14" s="62"/>
      <c r="D14" s="62"/>
      <c r="E14" s="62"/>
      <c r="F14" s="1315" t="s">
        <v>176</v>
      </c>
      <c r="G14" s="1315" t="s">
        <v>177</v>
      </c>
      <c r="H14" s="62"/>
      <c r="I14" s="62"/>
      <c r="J14" s="63"/>
      <c r="K14" s="62"/>
      <c r="L14" s="64"/>
      <c r="M14" s="959"/>
      <c r="N14" s="946"/>
      <c r="O14" s="62"/>
      <c r="P14" s="1315" t="s">
        <v>381</v>
      </c>
      <c r="Q14" s="62"/>
      <c r="R14" s="62"/>
      <c r="S14" s="63"/>
      <c r="T14" s="62"/>
      <c r="U14" s="64"/>
    </row>
    <row r="15" spans="2:21" ht="13.5" thickBot="1" x14ac:dyDescent="0.25">
      <c r="B15" s="65"/>
      <c r="C15" s="66"/>
      <c r="D15" s="99" t="s">
        <v>35</v>
      </c>
      <c r="E15" s="99" t="s">
        <v>36</v>
      </c>
      <c r="F15" s="119" t="s">
        <v>13</v>
      </c>
      <c r="G15" s="119" t="s">
        <v>37</v>
      </c>
      <c r="H15" s="99" t="s">
        <v>395</v>
      </c>
      <c r="I15" s="99" t="s">
        <v>382</v>
      </c>
      <c r="J15" s="115" t="s">
        <v>40</v>
      </c>
      <c r="K15" s="99" t="s">
        <v>41</v>
      </c>
      <c r="L15" s="116" t="s">
        <v>42</v>
      </c>
      <c r="M15" s="959"/>
      <c r="N15" s="947" t="s">
        <v>35</v>
      </c>
      <c r="O15" s="99" t="s">
        <v>36</v>
      </c>
      <c r="P15" s="119" t="s">
        <v>13</v>
      </c>
      <c r="Q15" s="99" t="s">
        <v>193</v>
      </c>
      <c r="R15" s="99" t="s">
        <v>194</v>
      </c>
      <c r="S15" s="115" t="s">
        <v>39</v>
      </c>
      <c r="T15" s="99" t="s">
        <v>40</v>
      </c>
      <c r="U15" s="116" t="s">
        <v>41</v>
      </c>
    </row>
    <row r="16" spans="2:21" ht="12" customHeight="1" thickTop="1" x14ac:dyDescent="0.2">
      <c r="B16" s="67"/>
      <c r="C16" s="59"/>
      <c r="D16" s="59"/>
      <c r="E16" s="59"/>
      <c r="F16" s="57"/>
      <c r="G16" s="57"/>
      <c r="H16" s="59"/>
      <c r="I16" s="59"/>
      <c r="J16" s="58"/>
      <c r="K16" s="59"/>
      <c r="L16" s="60"/>
      <c r="M16" s="959"/>
      <c r="N16" s="948"/>
      <c r="O16" s="59"/>
      <c r="P16" s="57"/>
      <c r="Q16" s="59"/>
      <c r="R16" s="59"/>
      <c r="S16" s="58"/>
      <c r="T16" s="59"/>
      <c r="U16" s="60"/>
    </row>
    <row r="17" spans="2:21" x14ac:dyDescent="0.2">
      <c r="B17" s="67">
        <v>1</v>
      </c>
      <c r="C17" s="69" t="s">
        <v>246</v>
      </c>
      <c r="D17" s="70">
        <f>'Rate Spread SETTLEMENT'!E$15</f>
        <v>208635.1321174161</v>
      </c>
      <c r="E17" s="71">
        <f>'Rate Spread SETTLEMENT'!E$14</f>
        <v>283691.13211741613</v>
      </c>
      <c r="F17" s="72" t="e">
        <f>SUM('Rev Req Proof Yr1'!AF14:AH14)</f>
        <v>#REF!</v>
      </c>
      <c r="G17" s="72" t="e">
        <f>SUM('Rev Req Proof Yr1'!AM14:AO14)</f>
        <v>#REF!</v>
      </c>
      <c r="H17" s="71" t="e">
        <f>D17+F17+G17</f>
        <v>#REF!</v>
      </c>
      <c r="I17" s="71" t="e">
        <f>E17+F17+G17</f>
        <v>#REF!</v>
      </c>
      <c r="J17" s="73">
        <f>IFERROR((F17+G17)/D17,0)</f>
        <v>0</v>
      </c>
      <c r="K17" s="74">
        <f>IFERROR((F17+G17)/E17,0)</f>
        <v>0</v>
      </c>
      <c r="L17" s="1174">
        <f>'Avg Bill by RS'!S14</f>
        <v>7.0999999999999994E-2</v>
      </c>
      <c r="M17" s="959"/>
      <c r="N17" s="1088" t="e">
        <f>H17</f>
        <v>#REF!</v>
      </c>
      <c r="O17" s="71" t="e">
        <f>I17</f>
        <v>#REF!</v>
      </c>
      <c r="P17" s="72" t="e">
        <f>SUM('Rev Req Proof Yr2'!AF14:AH14)</f>
        <v>#REF!</v>
      </c>
      <c r="Q17" s="71" t="e">
        <f>N17+P17</f>
        <v>#REF!</v>
      </c>
      <c r="R17" s="71" t="e">
        <f>O17+P17</f>
        <v>#REF!</v>
      </c>
      <c r="S17" s="73">
        <f>IFERROR((P17)/N17,0)</f>
        <v>0</v>
      </c>
      <c r="T17" s="74">
        <f>IFERROR((P17)/O17,0)</f>
        <v>0</v>
      </c>
      <c r="U17" s="576">
        <f>'Avg Bill by RS'!AO14</f>
        <v>3.7999999999999999E-2</v>
      </c>
    </row>
    <row r="18" spans="2:21" x14ac:dyDescent="0.2">
      <c r="B18" s="67">
        <v>2</v>
      </c>
      <c r="C18" s="76" t="s">
        <v>247</v>
      </c>
      <c r="D18" s="70">
        <f>'Rate Spread SETTLEMENT'!F$15</f>
        <v>37604.380821902283</v>
      </c>
      <c r="E18" s="71">
        <f>'Rate Spread SETTLEMENT'!F$14</f>
        <v>53871.380821902283</v>
      </c>
      <c r="F18" s="72" t="e">
        <f>SUM('Rev Req Proof Yr1'!AF15:AH15)</f>
        <v>#REF!</v>
      </c>
      <c r="G18" s="72" t="e">
        <f>SUM('Rev Req Proof Yr1'!AM15:AO15)</f>
        <v>#REF!</v>
      </c>
      <c r="H18" s="71" t="e">
        <f t="shared" ref="H18:H39" si="0">D18+F18+G18</f>
        <v>#REF!</v>
      </c>
      <c r="I18" s="71" t="e">
        <f t="shared" ref="I18:I39" si="1">E18+F18+G18</f>
        <v>#REF!</v>
      </c>
      <c r="J18" s="73">
        <f t="shared" ref="J18:J39" si="2">IFERROR((F18+G18)/D18,0)</f>
        <v>0</v>
      </c>
      <c r="K18" s="74">
        <f t="shared" ref="K18:K39" si="3">IFERROR((F18+G18)/E18,0)</f>
        <v>0</v>
      </c>
      <c r="L18" s="1174">
        <f>'Avg Bill by RS'!S15</f>
        <v>6.8000000000000005E-2</v>
      </c>
      <c r="M18" s="959"/>
      <c r="N18" s="1088" t="e">
        <f t="shared" ref="N18:N39" si="4">H18</f>
        <v>#REF!</v>
      </c>
      <c r="O18" s="71" t="e">
        <f t="shared" ref="O18:O39" si="5">I18</f>
        <v>#REF!</v>
      </c>
      <c r="P18" s="72" t="e">
        <f>SUM('Rev Req Proof Yr2'!AF15:AH15)</f>
        <v>#REF!</v>
      </c>
      <c r="Q18" s="71" t="e">
        <f t="shared" ref="Q18:Q39" si="6">N18+P18</f>
        <v>#REF!</v>
      </c>
      <c r="R18" s="71" t="e">
        <f t="shared" ref="R18:R39" si="7">O18+P18</f>
        <v>#REF!</v>
      </c>
      <c r="S18" s="73">
        <f t="shared" ref="S18:S38" si="8">IFERROR((P18)/N18,0)</f>
        <v>0</v>
      </c>
      <c r="T18" s="74">
        <f>IFERROR((P18)/O18,0)</f>
        <v>0</v>
      </c>
      <c r="U18" s="576">
        <f>'Avg Bill by RS'!AO15</f>
        <v>3.5999999999999997E-2</v>
      </c>
    </row>
    <row r="19" spans="2:21" x14ac:dyDescent="0.2">
      <c r="B19" s="67">
        <v>3</v>
      </c>
      <c r="C19" s="76" t="s">
        <v>12</v>
      </c>
      <c r="D19" s="70">
        <f>'Rate Spread SETTLEMENT'!G$15</f>
        <v>33798099.589697547</v>
      </c>
      <c r="E19" s="71">
        <f>'Rate Spread SETTLEMENT'!G$14</f>
        <v>53008197.589697547</v>
      </c>
      <c r="F19" s="72" t="e">
        <f>SUM('Rev Req Proof Yr1'!AF16:AH16)</f>
        <v>#REF!</v>
      </c>
      <c r="G19" s="72" t="e">
        <f>SUM('Rev Req Proof Yr1'!AM16:AO16)</f>
        <v>#REF!</v>
      </c>
      <c r="H19" s="71" t="e">
        <f t="shared" si="0"/>
        <v>#REF!</v>
      </c>
      <c r="I19" s="71" t="e">
        <f t="shared" si="1"/>
        <v>#REF!</v>
      </c>
      <c r="J19" s="73">
        <f t="shared" si="2"/>
        <v>0</v>
      </c>
      <c r="K19" s="74">
        <f t="shared" si="3"/>
        <v>0</v>
      </c>
      <c r="L19" s="1174">
        <f>'Avg Bill by RS'!S16</f>
        <v>6.3E-2</v>
      </c>
      <c r="M19" s="959"/>
      <c r="N19" s="1088" t="e">
        <f t="shared" si="4"/>
        <v>#REF!</v>
      </c>
      <c r="O19" s="71" t="e">
        <f t="shared" si="5"/>
        <v>#REF!</v>
      </c>
      <c r="P19" s="72" t="e">
        <f>SUM('Rev Req Proof Yr2'!AF16:AH16)</f>
        <v>#REF!</v>
      </c>
      <c r="Q19" s="71" t="e">
        <f t="shared" si="6"/>
        <v>#REF!</v>
      </c>
      <c r="R19" s="71" t="e">
        <f t="shared" si="7"/>
        <v>#REF!</v>
      </c>
      <c r="S19" s="73">
        <f t="shared" si="8"/>
        <v>0</v>
      </c>
      <c r="T19" s="74">
        <f t="shared" ref="T19:T38" si="9">IFERROR((P19)/O19,0)</f>
        <v>0</v>
      </c>
      <c r="U19" s="576">
        <f>'Avg Bill by RS'!AO16</f>
        <v>3.3000000000000002E-2</v>
      </c>
    </row>
    <row r="20" spans="2:21" x14ac:dyDescent="0.2">
      <c r="B20" s="67">
        <v>4</v>
      </c>
      <c r="C20" s="76" t="s">
        <v>10</v>
      </c>
      <c r="D20" s="70">
        <f>'Rate Spread SETTLEMENT'!H$15</f>
        <v>9866168.0688334089</v>
      </c>
      <c r="E20" s="71">
        <f>'Rate Spread SETTLEMENT'!H$14</f>
        <v>16112007.068833409</v>
      </c>
      <c r="F20" s="72" t="e">
        <f>SUM('Rev Req Proof Yr1'!AF17:AH17)</f>
        <v>#REF!</v>
      </c>
      <c r="G20" s="72" t="e">
        <f>SUM('Rev Req Proof Yr1'!AM17:AO17)</f>
        <v>#REF!</v>
      </c>
      <c r="H20" s="71" t="e">
        <f t="shared" si="0"/>
        <v>#REF!</v>
      </c>
      <c r="I20" s="71" t="e">
        <f t="shared" si="1"/>
        <v>#REF!</v>
      </c>
      <c r="J20" s="73">
        <f t="shared" si="2"/>
        <v>0</v>
      </c>
      <c r="K20" s="74">
        <f t="shared" si="3"/>
        <v>0</v>
      </c>
      <c r="L20" s="1174">
        <f>'Avg Bill by RS'!S17</f>
        <v>0.06</v>
      </c>
      <c r="M20" s="959"/>
      <c r="N20" s="1088" t="e">
        <f t="shared" si="4"/>
        <v>#REF!</v>
      </c>
      <c r="O20" s="71" t="e">
        <f t="shared" si="5"/>
        <v>#REF!</v>
      </c>
      <c r="P20" s="72" t="e">
        <f>SUM('Rev Req Proof Yr2'!AF17:AH17)</f>
        <v>#REF!</v>
      </c>
      <c r="Q20" s="71" t="e">
        <f t="shared" si="6"/>
        <v>#REF!</v>
      </c>
      <c r="R20" s="71" t="e">
        <f t="shared" si="7"/>
        <v>#REF!</v>
      </c>
      <c r="S20" s="73">
        <f t="shared" si="8"/>
        <v>0</v>
      </c>
      <c r="T20" s="74">
        <f t="shared" si="9"/>
        <v>0</v>
      </c>
      <c r="U20" s="576">
        <f>'Avg Bill by RS'!AO17</f>
        <v>3.1E-2</v>
      </c>
    </row>
    <row r="21" spans="2:21" x14ac:dyDescent="0.2">
      <c r="B21" s="67">
        <v>5</v>
      </c>
      <c r="C21" s="76" t="s">
        <v>11</v>
      </c>
      <c r="D21" s="70">
        <f>'Rate Spread SETTLEMENT'!I$15</f>
        <v>141888.72505190157</v>
      </c>
      <c r="E21" s="71">
        <f>'Rate Spread SETTLEMENT'!I$14</f>
        <v>241043.72505190157</v>
      </c>
      <c r="F21" s="72" t="e">
        <f>SUM('Rev Req Proof Yr1'!AF18:AH18)</f>
        <v>#REF!</v>
      </c>
      <c r="G21" s="72" t="e">
        <f>SUM('Rev Req Proof Yr1'!AM18:AO18)</f>
        <v>#REF!</v>
      </c>
      <c r="H21" s="71" t="e">
        <f t="shared" si="0"/>
        <v>#REF!</v>
      </c>
      <c r="I21" s="71" t="e">
        <f t="shared" si="1"/>
        <v>#REF!</v>
      </c>
      <c r="J21" s="73">
        <f t="shared" si="2"/>
        <v>0</v>
      </c>
      <c r="K21" s="74">
        <f t="shared" si="3"/>
        <v>0</v>
      </c>
      <c r="L21" s="1174">
        <f>'Avg Bill by RS'!S18</f>
        <v>6.2E-2</v>
      </c>
      <c r="M21" s="959"/>
      <c r="N21" s="1088" t="e">
        <f t="shared" si="4"/>
        <v>#REF!</v>
      </c>
      <c r="O21" s="71" t="e">
        <f t="shared" si="5"/>
        <v>#REF!</v>
      </c>
      <c r="P21" s="72" t="e">
        <f>SUM('Rev Req Proof Yr2'!AF18:AH18)</f>
        <v>#REF!</v>
      </c>
      <c r="Q21" s="71" t="e">
        <f t="shared" si="6"/>
        <v>#REF!</v>
      </c>
      <c r="R21" s="71" t="e">
        <f t="shared" si="7"/>
        <v>#REF!</v>
      </c>
      <c r="S21" s="73">
        <f t="shared" si="8"/>
        <v>0</v>
      </c>
      <c r="T21" s="74">
        <f t="shared" si="9"/>
        <v>0</v>
      </c>
      <c r="U21" s="576">
        <f>'Avg Bill by RS'!AO18</f>
        <v>3.2000000000000001E-2</v>
      </c>
    </row>
    <row r="22" spans="2:21" x14ac:dyDescent="0.2">
      <c r="B22" s="67">
        <v>6</v>
      </c>
      <c r="C22" s="76" t="s">
        <v>365</v>
      </c>
      <c r="D22" s="70">
        <f>'Rate Spread SETTLEMENT'!J$15</f>
        <v>201938.20437801833</v>
      </c>
      <c r="E22" s="71">
        <f>'Rate Spread SETTLEMENT'!J$14</f>
        <v>363218.20437801839</v>
      </c>
      <c r="F22" s="72" t="e">
        <f>SUM('Rev Req Proof Yr1'!AF19:AH19)</f>
        <v>#REF!</v>
      </c>
      <c r="G22" s="72" t="e">
        <f>SUM('Rev Req Proof Yr1'!AM19:AO19)</f>
        <v>#REF!</v>
      </c>
      <c r="H22" s="71" t="e">
        <f t="shared" si="0"/>
        <v>#REF!</v>
      </c>
      <c r="I22" s="71" t="e">
        <f t="shared" si="1"/>
        <v>#REF!</v>
      </c>
      <c r="J22" s="73">
        <f t="shared" si="2"/>
        <v>0</v>
      </c>
      <c r="K22" s="74">
        <f t="shared" si="3"/>
        <v>0</v>
      </c>
      <c r="L22" s="1174">
        <f>'Avg Bill by RS'!S19</f>
        <v>5.6000000000000001E-2</v>
      </c>
      <c r="M22" s="959"/>
      <c r="N22" s="1088" t="e">
        <f t="shared" si="4"/>
        <v>#REF!</v>
      </c>
      <c r="O22" s="71" t="e">
        <f t="shared" si="5"/>
        <v>#REF!</v>
      </c>
      <c r="P22" s="72" t="e">
        <f>SUM('Rev Req Proof Yr2'!AF19:AH19)</f>
        <v>#REF!</v>
      </c>
      <c r="Q22" s="71" t="e">
        <f t="shared" si="6"/>
        <v>#REF!</v>
      </c>
      <c r="R22" s="71" t="e">
        <f t="shared" si="7"/>
        <v>#REF!</v>
      </c>
      <c r="S22" s="73">
        <f t="shared" si="8"/>
        <v>0</v>
      </c>
      <c r="T22" s="74">
        <f t="shared" si="9"/>
        <v>0</v>
      </c>
      <c r="U22" s="576">
        <f>'Avg Bill by RS'!AO19</f>
        <v>2.9000000000000001E-2</v>
      </c>
    </row>
    <row r="23" spans="2:21" x14ac:dyDescent="0.2">
      <c r="B23" s="67">
        <v>7</v>
      </c>
      <c r="C23" s="76" t="s">
        <v>266</v>
      </c>
      <c r="D23" s="70">
        <f>'Rate Spread SETTLEMENT'!K$15</f>
        <v>1542348.175315036</v>
      </c>
      <c r="E23" s="71">
        <f>'Rate Spread SETTLEMENT'!K$14</f>
        <v>2853836.1753150364</v>
      </c>
      <c r="F23" s="72" t="e">
        <f>SUM('Rev Req Proof Yr1'!AF22:AH22)</f>
        <v>#REF!</v>
      </c>
      <c r="G23" s="72" t="e">
        <f>SUM('Rev Req Proof Yr1'!AM22:AO22)</f>
        <v>#REF!</v>
      </c>
      <c r="H23" s="71" t="e">
        <f t="shared" si="0"/>
        <v>#REF!</v>
      </c>
      <c r="I23" s="71" t="e">
        <f t="shared" si="1"/>
        <v>#REF!</v>
      </c>
      <c r="J23" s="73">
        <f t="shared" si="2"/>
        <v>0</v>
      </c>
      <c r="K23" s="74">
        <f t="shared" si="3"/>
        <v>0</v>
      </c>
      <c r="L23" s="1174">
        <f>'Avg Bill by RS'!S22</f>
        <v>6.2E-2</v>
      </c>
      <c r="M23" s="959"/>
      <c r="N23" s="1088" t="e">
        <f t="shared" si="4"/>
        <v>#REF!</v>
      </c>
      <c r="O23" s="71" t="e">
        <f t="shared" si="5"/>
        <v>#REF!</v>
      </c>
      <c r="P23" s="72" t="e">
        <f>SUM('Rev Req Proof Yr2'!AF22:AH22)</f>
        <v>#REF!</v>
      </c>
      <c r="Q23" s="71" t="e">
        <f t="shared" si="6"/>
        <v>#REF!</v>
      </c>
      <c r="R23" s="71" t="e">
        <f t="shared" si="7"/>
        <v>#REF!</v>
      </c>
      <c r="S23" s="73">
        <f t="shared" si="8"/>
        <v>0</v>
      </c>
      <c r="T23" s="74">
        <f t="shared" si="9"/>
        <v>0</v>
      </c>
      <c r="U23" s="576">
        <f>'Avg Bill by RS'!AO22</f>
        <v>3.1E-2</v>
      </c>
    </row>
    <row r="24" spans="2:21" x14ac:dyDescent="0.2">
      <c r="B24" s="67">
        <v>8</v>
      </c>
      <c r="C24" s="76" t="s">
        <v>267</v>
      </c>
      <c r="D24" s="70">
        <f>'Rate Spread SETTLEMENT'!L$15</f>
        <v>392614.2804678994</v>
      </c>
      <c r="E24" s="71">
        <f>'Rate Spread SETTLEMENT'!L$14</f>
        <v>747266.28046789952</v>
      </c>
      <c r="F24" s="72" t="e">
        <f>SUM('Rev Req Proof Yr1'!AF25:AH25)</f>
        <v>#REF!</v>
      </c>
      <c r="G24" s="72" t="e">
        <f>SUM('Rev Req Proof Yr1'!AM25:AO25)</f>
        <v>#REF!</v>
      </c>
      <c r="H24" s="71" t="e">
        <f t="shared" si="0"/>
        <v>#REF!</v>
      </c>
      <c r="I24" s="71" t="e">
        <f t="shared" si="1"/>
        <v>#REF!</v>
      </c>
      <c r="J24" s="73">
        <f t="shared" si="2"/>
        <v>0</v>
      </c>
      <c r="K24" s="74">
        <f t="shared" si="3"/>
        <v>0</v>
      </c>
      <c r="L24" s="1174">
        <f>'Avg Bill by RS'!S25</f>
        <v>2.8000000000000001E-2</v>
      </c>
      <c r="M24" s="959"/>
      <c r="N24" s="1088" t="e">
        <f t="shared" si="4"/>
        <v>#REF!</v>
      </c>
      <c r="O24" s="71" t="e">
        <f t="shared" si="5"/>
        <v>#REF!</v>
      </c>
      <c r="P24" s="72" t="e">
        <f>SUM('Rev Req Proof Yr2'!AF25:AH25)</f>
        <v>#REF!</v>
      </c>
      <c r="Q24" s="71" t="e">
        <f t="shared" si="6"/>
        <v>#REF!</v>
      </c>
      <c r="R24" s="71" t="e">
        <f t="shared" si="7"/>
        <v>#REF!</v>
      </c>
      <c r="S24" s="73">
        <f t="shared" si="8"/>
        <v>0</v>
      </c>
      <c r="T24" s="74">
        <f t="shared" si="9"/>
        <v>0</v>
      </c>
      <c r="U24" s="576">
        <f>'Avg Bill by RS'!AO25</f>
        <v>1.0999999999999999E-2</v>
      </c>
    </row>
    <row r="25" spans="2:21" x14ac:dyDescent="0.2">
      <c r="B25" s="67">
        <v>9</v>
      </c>
      <c r="C25" s="76" t="s">
        <v>269</v>
      </c>
      <c r="D25" s="70">
        <f>'Rate Spread SETTLEMENT'!M$15</f>
        <v>0</v>
      </c>
      <c r="E25" s="71">
        <f>'Rate Spread SETTLEMENT'!M$14</f>
        <v>0</v>
      </c>
      <c r="F25" s="72" t="e">
        <f>SUM('Rev Req Proof Yr1'!AF28:AH28)</f>
        <v>#REF!</v>
      </c>
      <c r="G25" s="72" t="e">
        <f>SUM('Rev Req Proof Yr1'!AM28:AO28)</f>
        <v>#REF!</v>
      </c>
      <c r="H25" s="71" t="e">
        <f t="shared" si="0"/>
        <v>#REF!</v>
      </c>
      <c r="I25" s="71" t="e">
        <f t="shared" si="1"/>
        <v>#REF!</v>
      </c>
      <c r="J25" s="73">
        <f t="shared" si="2"/>
        <v>0</v>
      </c>
      <c r="K25" s="74">
        <f t="shared" si="3"/>
        <v>0</v>
      </c>
      <c r="L25" s="1174">
        <f>'Avg Bill by RS'!S28</f>
        <v>0</v>
      </c>
      <c r="M25" s="959"/>
      <c r="N25" s="1088" t="e">
        <f t="shared" si="4"/>
        <v>#REF!</v>
      </c>
      <c r="O25" s="71" t="e">
        <f t="shared" si="5"/>
        <v>#REF!</v>
      </c>
      <c r="P25" s="72" t="e">
        <f>SUM('Rev Req Proof Yr2'!AF28:AH28)</f>
        <v>#REF!</v>
      </c>
      <c r="Q25" s="71" t="e">
        <f t="shared" si="6"/>
        <v>#REF!</v>
      </c>
      <c r="R25" s="71" t="e">
        <f t="shared" si="7"/>
        <v>#REF!</v>
      </c>
      <c r="S25" s="73">
        <f t="shared" si="8"/>
        <v>0</v>
      </c>
      <c r="T25" s="74">
        <f t="shared" si="9"/>
        <v>0</v>
      </c>
      <c r="U25" s="576">
        <f>'Avg Bill by RS'!AO28</f>
        <v>0</v>
      </c>
    </row>
    <row r="26" spans="2:21" x14ac:dyDescent="0.2">
      <c r="B26" s="67">
        <v>10</v>
      </c>
      <c r="C26" s="76" t="s">
        <v>270</v>
      </c>
      <c r="D26" s="70">
        <f>'Rate Spread SETTLEMENT'!N$15</f>
        <v>0</v>
      </c>
      <c r="E26" s="71">
        <f>'Rate Spread SETTLEMENT'!N$14</f>
        <v>0</v>
      </c>
      <c r="F26" s="72" t="e">
        <f>SUM('Rev Req Proof Yr1'!AF31:AH31)</f>
        <v>#REF!</v>
      </c>
      <c r="G26" s="72" t="e">
        <f>SUM('Rev Req Proof Yr1'!AM31:AO31)</f>
        <v>#REF!</v>
      </c>
      <c r="H26" s="71" t="e">
        <f t="shared" si="0"/>
        <v>#REF!</v>
      </c>
      <c r="I26" s="71" t="e">
        <f t="shared" si="1"/>
        <v>#REF!</v>
      </c>
      <c r="J26" s="73">
        <f t="shared" si="2"/>
        <v>0</v>
      </c>
      <c r="K26" s="74">
        <f t="shared" si="3"/>
        <v>0</v>
      </c>
      <c r="L26" s="1174">
        <f>'Avg Bill by RS'!S31</f>
        <v>0</v>
      </c>
      <c r="M26" s="959"/>
      <c r="N26" s="1088" t="e">
        <f t="shared" si="4"/>
        <v>#REF!</v>
      </c>
      <c r="O26" s="71" t="e">
        <f t="shared" si="5"/>
        <v>#REF!</v>
      </c>
      <c r="P26" s="72" t="e">
        <f>SUM('Rev Req Proof Yr2'!AF31:AH31)</f>
        <v>#REF!</v>
      </c>
      <c r="Q26" s="71" t="e">
        <f t="shared" si="6"/>
        <v>#REF!</v>
      </c>
      <c r="R26" s="71" t="e">
        <f t="shared" si="7"/>
        <v>#REF!</v>
      </c>
      <c r="S26" s="73">
        <f t="shared" si="8"/>
        <v>0</v>
      </c>
      <c r="T26" s="74">
        <f t="shared" si="9"/>
        <v>0</v>
      </c>
      <c r="U26" s="576">
        <f>'Avg Bill by RS'!AO31</f>
        <v>0</v>
      </c>
    </row>
    <row r="27" spans="2:21" x14ac:dyDescent="0.2">
      <c r="B27" s="67">
        <v>11</v>
      </c>
      <c r="C27" s="76" t="s">
        <v>271</v>
      </c>
      <c r="D27" s="70">
        <f>'Rate Spread SETTLEMENT'!O$15</f>
        <v>189841.33809000003</v>
      </c>
      <c r="E27" s="71">
        <f>'Rate Spread SETTLEMENT'!O$14</f>
        <v>189841.33809000003</v>
      </c>
      <c r="F27" s="72" t="e">
        <f>SUM('Rev Req Proof Yr1'!AF34:AH34)</f>
        <v>#REF!</v>
      </c>
      <c r="G27" s="72" t="e">
        <f>SUM('Rev Req Proof Yr1'!AM34:AO34)</f>
        <v>#REF!</v>
      </c>
      <c r="H27" s="71" t="e">
        <f t="shared" si="0"/>
        <v>#REF!</v>
      </c>
      <c r="I27" s="71" t="e">
        <f t="shared" si="1"/>
        <v>#REF!</v>
      </c>
      <c r="J27" s="73">
        <f t="shared" si="2"/>
        <v>0</v>
      </c>
      <c r="K27" s="74">
        <f t="shared" si="3"/>
        <v>0</v>
      </c>
      <c r="L27" s="1174">
        <f>'Avg Bill by RS'!S34</f>
        <v>4.5999999999999999E-2</v>
      </c>
      <c r="M27" s="959"/>
      <c r="N27" s="1088" t="e">
        <f t="shared" si="4"/>
        <v>#REF!</v>
      </c>
      <c r="O27" s="71" t="e">
        <f t="shared" si="5"/>
        <v>#REF!</v>
      </c>
      <c r="P27" s="72" t="e">
        <f>SUM('Rev Req Proof Yr2'!AF34:AH34)</f>
        <v>#REF!</v>
      </c>
      <c r="Q27" s="71" t="e">
        <f t="shared" si="6"/>
        <v>#REF!</v>
      </c>
      <c r="R27" s="71" t="e">
        <f t="shared" si="7"/>
        <v>#REF!</v>
      </c>
      <c r="S27" s="73">
        <f>IFERROR((P27)/N27,0)</f>
        <v>0</v>
      </c>
      <c r="T27" s="74">
        <f t="shared" si="9"/>
        <v>0</v>
      </c>
      <c r="U27" s="576">
        <f>'Avg Bill by RS'!AO34</f>
        <v>0.02</v>
      </c>
    </row>
    <row r="28" spans="2:21" x14ac:dyDescent="0.2">
      <c r="B28" s="67">
        <v>12</v>
      </c>
      <c r="C28" s="76" t="s">
        <v>272</v>
      </c>
      <c r="D28" s="70">
        <f>'Rate Spread SETTLEMENT'!P$15</f>
        <v>0</v>
      </c>
      <c r="E28" s="71">
        <f>'Rate Spread SETTLEMENT'!P$14</f>
        <v>0</v>
      </c>
      <c r="F28" s="72" t="e">
        <f>SUM('Rev Req Proof Yr1'!AF37:AH37)</f>
        <v>#REF!</v>
      </c>
      <c r="G28" s="72" t="e">
        <f>SUM('Rev Req Proof Yr1'!AM37:AO37)</f>
        <v>#REF!</v>
      </c>
      <c r="H28" s="71" t="e">
        <f t="shared" si="0"/>
        <v>#REF!</v>
      </c>
      <c r="I28" s="71" t="e">
        <f t="shared" si="1"/>
        <v>#REF!</v>
      </c>
      <c r="J28" s="73">
        <f t="shared" si="2"/>
        <v>0</v>
      </c>
      <c r="K28" s="74">
        <f t="shared" si="3"/>
        <v>0</v>
      </c>
      <c r="L28" s="1174">
        <f>'Avg Bill by RS'!S37</f>
        <v>0</v>
      </c>
      <c r="M28" s="959"/>
      <c r="N28" s="1088" t="e">
        <f t="shared" si="4"/>
        <v>#REF!</v>
      </c>
      <c r="O28" s="71" t="e">
        <f t="shared" si="5"/>
        <v>#REF!</v>
      </c>
      <c r="P28" s="72" t="e">
        <f>SUM('Rev Req Proof Yr2'!AF37:AH37)</f>
        <v>#REF!</v>
      </c>
      <c r="Q28" s="71" t="e">
        <f t="shared" si="6"/>
        <v>#REF!</v>
      </c>
      <c r="R28" s="71" t="e">
        <f t="shared" si="7"/>
        <v>#REF!</v>
      </c>
      <c r="S28" s="73">
        <f t="shared" si="8"/>
        <v>0</v>
      </c>
      <c r="T28" s="74">
        <f t="shared" si="9"/>
        <v>0</v>
      </c>
      <c r="U28" s="576">
        <f>'Avg Bill by RS'!AO37</f>
        <v>0</v>
      </c>
    </row>
    <row r="29" spans="2:21" x14ac:dyDescent="0.2">
      <c r="B29" s="67">
        <v>13</v>
      </c>
      <c r="C29" s="76" t="s">
        <v>273</v>
      </c>
      <c r="D29" s="70">
        <f>'Rate Spread SETTLEMENT'!Q$15</f>
        <v>219574.60083981926</v>
      </c>
      <c r="E29" s="71">
        <f>'Rate Spread SETTLEMENT'!Q$14</f>
        <v>470188.60083981924</v>
      </c>
      <c r="F29" s="72" t="e">
        <f>SUM('Rev Req Proof Yr1'!AF44:AH44)</f>
        <v>#REF!</v>
      </c>
      <c r="G29" s="72" t="e">
        <f>SUM('Rev Req Proof Yr1'!AM44:AO44)</f>
        <v>#REF!</v>
      </c>
      <c r="H29" s="71" t="e">
        <f t="shared" si="0"/>
        <v>#REF!</v>
      </c>
      <c r="I29" s="71" t="e">
        <f t="shared" si="1"/>
        <v>#REF!</v>
      </c>
      <c r="J29" s="73">
        <f t="shared" si="2"/>
        <v>0</v>
      </c>
      <c r="K29" s="74">
        <f t="shared" si="3"/>
        <v>0</v>
      </c>
      <c r="L29" s="1174">
        <f>'Avg Bill by RS'!S44</f>
        <v>6.3E-2</v>
      </c>
      <c r="M29" s="959"/>
      <c r="N29" s="1088" t="e">
        <f t="shared" si="4"/>
        <v>#REF!</v>
      </c>
      <c r="O29" s="71" t="e">
        <f t="shared" si="5"/>
        <v>#REF!</v>
      </c>
      <c r="P29" s="72" t="e">
        <f>SUM('Rev Req Proof Yr2'!AF44:AH44)</f>
        <v>#REF!</v>
      </c>
      <c r="Q29" s="71" t="e">
        <f t="shared" si="6"/>
        <v>#REF!</v>
      </c>
      <c r="R29" s="71" t="e">
        <f t="shared" si="7"/>
        <v>#REF!</v>
      </c>
      <c r="S29" s="73">
        <f t="shared" si="8"/>
        <v>0</v>
      </c>
      <c r="T29" s="74">
        <f t="shared" si="9"/>
        <v>0</v>
      </c>
      <c r="U29" s="576">
        <f>'Avg Bill by RS'!AO44</f>
        <v>3.1E-2</v>
      </c>
    </row>
    <row r="30" spans="2:21" x14ac:dyDescent="0.2">
      <c r="B30" s="67">
        <v>14</v>
      </c>
      <c r="C30" s="76" t="s">
        <v>274</v>
      </c>
      <c r="D30" s="70">
        <f>'Rate Spread SETTLEMENT'!R$15</f>
        <v>511672.37933789124</v>
      </c>
      <c r="E30" s="71">
        <f>'Rate Spread SETTLEMENT'!R$14</f>
        <v>1154958.3793378912</v>
      </c>
      <c r="F30" s="72" t="e">
        <f>SUM('Rev Req Proof Yr1'!AF51:AH51)</f>
        <v>#REF!</v>
      </c>
      <c r="G30" s="72" t="e">
        <f>SUM('Rev Req Proof Yr1'!AM51:AO51)</f>
        <v>#REF!</v>
      </c>
      <c r="H30" s="71" t="e">
        <f t="shared" si="0"/>
        <v>#REF!</v>
      </c>
      <c r="I30" s="71" t="e">
        <f t="shared" si="1"/>
        <v>#REF!</v>
      </c>
      <c r="J30" s="73">
        <f t="shared" si="2"/>
        <v>0</v>
      </c>
      <c r="K30" s="74">
        <f t="shared" si="3"/>
        <v>0</v>
      </c>
      <c r="L30" s="1174">
        <f>'Avg Bill by RS'!S51</f>
        <v>2.5999999999999999E-2</v>
      </c>
      <c r="M30" s="959"/>
      <c r="N30" s="1088" t="e">
        <f t="shared" si="4"/>
        <v>#REF!</v>
      </c>
      <c r="O30" s="71" t="e">
        <f t="shared" si="5"/>
        <v>#REF!</v>
      </c>
      <c r="P30" s="72" t="e">
        <f>SUM('Rev Req Proof Yr2'!AF51:AH51)</f>
        <v>#REF!</v>
      </c>
      <c r="Q30" s="71" t="e">
        <f t="shared" si="6"/>
        <v>#REF!</v>
      </c>
      <c r="R30" s="71" t="e">
        <f t="shared" si="7"/>
        <v>#REF!</v>
      </c>
      <c r="S30" s="73">
        <f t="shared" si="8"/>
        <v>0</v>
      </c>
      <c r="T30" s="74">
        <f t="shared" si="9"/>
        <v>0</v>
      </c>
      <c r="U30" s="576">
        <f>'Avg Bill by RS'!AO51</f>
        <v>0.01</v>
      </c>
    </row>
    <row r="31" spans="2:21" x14ac:dyDescent="0.2">
      <c r="B31" s="67">
        <v>15</v>
      </c>
      <c r="C31" s="76" t="s">
        <v>275</v>
      </c>
      <c r="D31" s="70">
        <f>'Rate Spread SETTLEMENT'!S$15</f>
        <v>360784.67333999998</v>
      </c>
      <c r="E31" s="71">
        <f>'Rate Spread SETTLEMENT'!S$14</f>
        <v>360784.67333999998</v>
      </c>
      <c r="F31" s="72" t="e">
        <f>SUM('Rev Req Proof Yr1'!AF58:AH58)</f>
        <v>#REF!</v>
      </c>
      <c r="G31" s="72" t="e">
        <f>SUM('Rev Req Proof Yr1'!AM58:AO58)</f>
        <v>#REF!</v>
      </c>
      <c r="H31" s="71" t="e">
        <f t="shared" si="0"/>
        <v>#REF!</v>
      </c>
      <c r="I31" s="71" t="e">
        <f t="shared" si="1"/>
        <v>#REF!</v>
      </c>
      <c r="J31" s="73">
        <f t="shared" si="2"/>
        <v>0</v>
      </c>
      <c r="K31" s="74">
        <f t="shared" si="3"/>
        <v>0</v>
      </c>
      <c r="L31" s="1174">
        <f>'Avg Bill by RS'!S58</f>
        <v>6.4000000000000001E-2</v>
      </c>
      <c r="M31" s="959"/>
      <c r="N31" s="1088" t="e">
        <f t="shared" si="4"/>
        <v>#REF!</v>
      </c>
      <c r="O31" s="71" t="e">
        <f t="shared" si="5"/>
        <v>#REF!</v>
      </c>
      <c r="P31" s="72" t="e">
        <f>SUM('Rev Req Proof Yr2'!AF58:AH58)</f>
        <v>#REF!</v>
      </c>
      <c r="Q31" s="71" t="e">
        <f t="shared" si="6"/>
        <v>#REF!</v>
      </c>
      <c r="R31" s="71" t="e">
        <f t="shared" si="7"/>
        <v>#REF!</v>
      </c>
      <c r="S31" s="73">
        <f t="shared" si="8"/>
        <v>0</v>
      </c>
      <c r="T31" s="74">
        <f t="shared" si="9"/>
        <v>0</v>
      </c>
      <c r="U31" s="576">
        <f>'Avg Bill by RS'!AO58</f>
        <v>3.2000000000000001E-2</v>
      </c>
    </row>
    <row r="32" spans="2:21" x14ac:dyDescent="0.2">
      <c r="B32" s="67">
        <v>16</v>
      </c>
      <c r="C32" s="76" t="s">
        <v>276</v>
      </c>
      <c r="D32" s="70">
        <f>'Rate Spread SETTLEMENT'!T$15</f>
        <v>823615.79209999996</v>
      </c>
      <c r="E32" s="71">
        <f>'Rate Spread SETTLEMENT'!T$14</f>
        <v>823615.79209999996</v>
      </c>
      <c r="F32" s="72" t="e">
        <f>SUM('Rev Req Proof Yr1'!AF65:AH65)</f>
        <v>#REF!</v>
      </c>
      <c r="G32" s="72" t="e">
        <f>SUM('Rev Req Proof Yr1'!AM65:AO65)</f>
        <v>#REF!</v>
      </c>
      <c r="H32" s="71" t="e">
        <f t="shared" si="0"/>
        <v>#REF!</v>
      </c>
      <c r="I32" s="71" t="e">
        <f t="shared" si="1"/>
        <v>#REF!</v>
      </c>
      <c r="J32" s="73">
        <f t="shared" si="2"/>
        <v>0</v>
      </c>
      <c r="K32" s="74">
        <f t="shared" si="3"/>
        <v>0</v>
      </c>
      <c r="L32" s="1174">
        <f>'Avg Bill by RS'!S65</f>
        <v>5.0999999999999997E-2</v>
      </c>
      <c r="M32" s="959"/>
      <c r="N32" s="1088" t="e">
        <f t="shared" si="4"/>
        <v>#REF!</v>
      </c>
      <c r="O32" s="71" t="e">
        <f t="shared" si="5"/>
        <v>#REF!</v>
      </c>
      <c r="P32" s="72" t="e">
        <f>SUM('Rev Req Proof Yr2'!AF65:AH65)</f>
        <v>#REF!</v>
      </c>
      <c r="Q32" s="71" t="e">
        <f t="shared" si="6"/>
        <v>#REF!</v>
      </c>
      <c r="R32" s="71" t="e">
        <f t="shared" si="7"/>
        <v>#REF!</v>
      </c>
      <c r="S32" s="73">
        <f t="shared" si="8"/>
        <v>0</v>
      </c>
      <c r="T32" s="74">
        <f t="shared" si="9"/>
        <v>0</v>
      </c>
      <c r="U32" s="576">
        <f>'Avg Bill by RS'!AO65</f>
        <v>2.1999999999999999E-2</v>
      </c>
    </row>
    <row r="33" spans="2:21" x14ac:dyDescent="0.2">
      <c r="B33" s="67">
        <v>17</v>
      </c>
      <c r="C33" s="76" t="s">
        <v>277</v>
      </c>
      <c r="D33" s="70">
        <f>'Rate Spread SETTLEMENT'!U$15</f>
        <v>160512.61187958997</v>
      </c>
      <c r="E33" s="71">
        <f>'Rate Spread SETTLEMENT'!U$14</f>
        <v>430728.61187958985</v>
      </c>
      <c r="F33" s="72" t="e">
        <f>SUM('Rev Req Proof Yr1'!AF72:AH72)</f>
        <v>#REF!</v>
      </c>
      <c r="G33" s="72" t="e">
        <f>SUM('Rev Req Proof Yr1'!AM72:AO72)</f>
        <v>#REF!</v>
      </c>
      <c r="H33" s="71" t="e">
        <f t="shared" si="0"/>
        <v>#REF!</v>
      </c>
      <c r="I33" s="71" t="e">
        <f t="shared" si="1"/>
        <v>#REF!</v>
      </c>
      <c r="J33" s="73">
        <f t="shared" si="2"/>
        <v>0</v>
      </c>
      <c r="K33" s="74">
        <f t="shared" si="3"/>
        <v>0</v>
      </c>
      <c r="L33" s="1174">
        <f>'Avg Bill by RS'!S72</f>
        <v>4.1000000000000002E-2</v>
      </c>
      <c r="M33" s="959"/>
      <c r="N33" s="1088" t="e">
        <f t="shared" si="4"/>
        <v>#REF!</v>
      </c>
      <c r="O33" s="71" t="e">
        <f t="shared" si="5"/>
        <v>#REF!</v>
      </c>
      <c r="P33" s="72" t="e">
        <f>SUM('Rev Req Proof Yr2'!AF72:AH72)</f>
        <v>#REF!</v>
      </c>
      <c r="Q33" s="71" t="e">
        <f t="shared" si="6"/>
        <v>#REF!</v>
      </c>
      <c r="R33" s="71" t="e">
        <f t="shared" si="7"/>
        <v>#REF!</v>
      </c>
      <c r="S33" s="73">
        <f t="shared" si="8"/>
        <v>0</v>
      </c>
      <c r="T33" s="74">
        <f t="shared" si="9"/>
        <v>0</v>
      </c>
      <c r="U33" s="576">
        <f>'Avg Bill by RS'!AO72</f>
        <v>1.9E-2</v>
      </c>
    </row>
    <row r="34" spans="2:21" x14ac:dyDescent="0.2">
      <c r="B34" s="67">
        <v>18</v>
      </c>
      <c r="C34" s="76" t="s">
        <v>278</v>
      </c>
      <c r="D34" s="70">
        <f>'Rate Spread SETTLEMENT'!V$15</f>
        <v>81130.03459599179</v>
      </c>
      <c r="E34" s="71">
        <f>'Rate Spread SETTLEMENT'!V$14</f>
        <v>171731.03459599178</v>
      </c>
      <c r="F34" s="72" t="e">
        <f>SUM('Rev Req Proof Yr1'!AF79:AH79)</f>
        <v>#REF!</v>
      </c>
      <c r="G34" s="72" t="e">
        <f>SUM('Rev Req Proof Yr1'!AM79:AO79)</f>
        <v>#REF!</v>
      </c>
      <c r="H34" s="71" t="e">
        <f t="shared" si="0"/>
        <v>#REF!</v>
      </c>
      <c r="I34" s="71" t="e">
        <f t="shared" si="1"/>
        <v>#REF!</v>
      </c>
      <c r="J34" s="73">
        <f t="shared" si="2"/>
        <v>0</v>
      </c>
      <c r="K34" s="74">
        <f t="shared" si="3"/>
        <v>0</v>
      </c>
      <c r="L34" s="1174">
        <f>'Avg Bill by RS'!S79</f>
        <v>2.4E-2</v>
      </c>
      <c r="M34" s="959"/>
      <c r="N34" s="1088" t="e">
        <f t="shared" si="4"/>
        <v>#REF!</v>
      </c>
      <c r="O34" s="71" t="e">
        <f t="shared" si="5"/>
        <v>#REF!</v>
      </c>
      <c r="P34" s="72" t="e">
        <f>SUM('Rev Req Proof Yr2'!AF79:AH79)</f>
        <v>#REF!</v>
      </c>
      <c r="Q34" s="71" t="e">
        <f t="shared" si="6"/>
        <v>#REF!</v>
      </c>
      <c r="R34" s="71" t="e">
        <f t="shared" si="7"/>
        <v>#REF!</v>
      </c>
      <c r="S34" s="73">
        <f t="shared" si="8"/>
        <v>0</v>
      </c>
      <c r="T34" s="74">
        <f t="shared" si="9"/>
        <v>0</v>
      </c>
      <c r="U34" s="576">
        <f>'Avg Bill by RS'!AO79</f>
        <v>8.9999999999999993E-3</v>
      </c>
    </row>
    <row r="35" spans="2:21" x14ac:dyDescent="0.2">
      <c r="B35" s="67">
        <v>19</v>
      </c>
      <c r="C35" s="76" t="s">
        <v>280</v>
      </c>
      <c r="D35" s="70">
        <f>'Rate Spread SETTLEMENT'!W$15</f>
        <v>0</v>
      </c>
      <c r="E35" s="71">
        <f>'Rate Spread SETTLEMENT'!W$14</f>
        <v>0</v>
      </c>
      <c r="F35" s="72" t="e">
        <f>SUM('Rev Req Proof Yr1'!AF86:AH86)</f>
        <v>#REF!</v>
      </c>
      <c r="G35" s="72" t="e">
        <f>SUM('Rev Req Proof Yr1'!AM86:AO86)</f>
        <v>#REF!</v>
      </c>
      <c r="H35" s="71" t="e">
        <f t="shared" si="0"/>
        <v>#REF!</v>
      </c>
      <c r="I35" s="71" t="e">
        <f t="shared" si="1"/>
        <v>#REF!</v>
      </c>
      <c r="J35" s="73">
        <f t="shared" si="2"/>
        <v>0</v>
      </c>
      <c r="K35" s="74">
        <f t="shared" si="3"/>
        <v>0</v>
      </c>
      <c r="L35" s="1174">
        <f>'Avg Bill by RS'!S86</f>
        <v>0</v>
      </c>
      <c r="M35" s="959"/>
      <c r="N35" s="1088" t="e">
        <f t="shared" si="4"/>
        <v>#REF!</v>
      </c>
      <c r="O35" s="71" t="e">
        <f t="shared" si="5"/>
        <v>#REF!</v>
      </c>
      <c r="P35" s="72" t="e">
        <f>SUM('Rev Req Proof Yr2'!AF86:AH86)</f>
        <v>#REF!</v>
      </c>
      <c r="Q35" s="71" t="e">
        <f t="shared" si="6"/>
        <v>#REF!</v>
      </c>
      <c r="R35" s="71" t="e">
        <f t="shared" si="7"/>
        <v>#REF!</v>
      </c>
      <c r="S35" s="73">
        <f t="shared" si="8"/>
        <v>0</v>
      </c>
      <c r="T35" s="74">
        <f t="shared" si="9"/>
        <v>0</v>
      </c>
      <c r="U35" s="576">
        <f>'Avg Bill by RS'!AO86</f>
        <v>0</v>
      </c>
    </row>
    <row r="36" spans="2:21" x14ac:dyDescent="0.2">
      <c r="B36" s="67">
        <v>20</v>
      </c>
      <c r="C36" s="76" t="s">
        <v>281</v>
      </c>
      <c r="D36" s="70">
        <f>'Rate Spread SETTLEMENT'!X$15</f>
        <v>825480.07319999998</v>
      </c>
      <c r="E36" s="71">
        <f>'Rate Spread SETTLEMENT'!X$14</f>
        <v>825480.07319999998</v>
      </c>
      <c r="F36" s="72" t="e">
        <f>SUM('Rev Req Proof Yr1'!AF93:AH93)</f>
        <v>#REF!</v>
      </c>
      <c r="G36" s="72" t="e">
        <f>SUM('Rev Req Proof Yr1'!AM93:AO93)</f>
        <v>#REF!</v>
      </c>
      <c r="H36" s="71" t="e">
        <f t="shared" si="0"/>
        <v>#REF!</v>
      </c>
      <c r="I36" s="71" t="e">
        <f t="shared" si="1"/>
        <v>#REF!</v>
      </c>
      <c r="J36" s="73">
        <f t="shared" si="2"/>
        <v>0</v>
      </c>
      <c r="K36" s="74">
        <f t="shared" si="3"/>
        <v>0</v>
      </c>
      <c r="L36" s="1174">
        <f>'Avg Bill by RS'!S93</f>
        <v>4.5999999999999999E-2</v>
      </c>
      <c r="M36" s="959"/>
      <c r="N36" s="1088" t="e">
        <f t="shared" si="4"/>
        <v>#REF!</v>
      </c>
      <c r="O36" s="71" t="e">
        <f t="shared" si="5"/>
        <v>#REF!</v>
      </c>
      <c r="P36" s="72" t="e">
        <f>SUM('Rev Req Proof Yr2'!AF93:AH93)</f>
        <v>#REF!</v>
      </c>
      <c r="Q36" s="71" t="e">
        <f t="shared" si="6"/>
        <v>#REF!</v>
      </c>
      <c r="R36" s="71" t="e">
        <f t="shared" si="7"/>
        <v>#REF!</v>
      </c>
      <c r="S36" s="73">
        <f t="shared" si="8"/>
        <v>0</v>
      </c>
      <c r="T36" s="74">
        <f t="shared" si="9"/>
        <v>0</v>
      </c>
      <c r="U36" s="576">
        <f>'Avg Bill by RS'!AO93</f>
        <v>0.02</v>
      </c>
    </row>
    <row r="37" spans="2:21" x14ac:dyDescent="0.2">
      <c r="B37" s="67">
        <v>21</v>
      </c>
      <c r="C37" s="76" t="s">
        <v>44</v>
      </c>
      <c r="D37" s="70">
        <f>'Rate Spread SETTLEMENT'!Y$15</f>
        <v>0</v>
      </c>
      <c r="E37" s="71">
        <f>'Rate Spread SETTLEMENT'!Y$14</f>
        <v>0</v>
      </c>
      <c r="F37" s="72" t="e">
        <f>SUM('Rev Req Proof Yr1'!AF94:AH94)</f>
        <v>#REF!</v>
      </c>
      <c r="G37" s="72" t="e">
        <f>SUM('Rev Req Proof Yr1'!AM94:AO94)</f>
        <v>#REF!</v>
      </c>
      <c r="H37" s="71" t="e">
        <f t="shared" si="0"/>
        <v>#REF!</v>
      </c>
      <c r="I37" s="71" t="e">
        <f t="shared" si="1"/>
        <v>#REF!</v>
      </c>
      <c r="J37" s="73">
        <f t="shared" si="2"/>
        <v>0</v>
      </c>
      <c r="K37" s="74">
        <f t="shared" si="3"/>
        <v>0</v>
      </c>
      <c r="L37" s="1174">
        <f>'Avg Bill by RS'!S94</f>
        <v>0</v>
      </c>
      <c r="M37" s="959"/>
      <c r="N37" s="1088" t="e">
        <f t="shared" si="4"/>
        <v>#REF!</v>
      </c>
      <c r="O37" s="71" t="e">
        <f t="shared" si="5"/>
        <v>#REF!</v>
      </c>
      <c r="P37" s="72" t="e">
        <f>SUM('Rev Req Proof Yr2'!AF94:AH94)</f>
        <v>#REF!</v>
      </c>
      <c r="Q37" s="71" t="e">
        <f t="shared" si="6"/>
        <v>#REF!</v>
      </c>
      <c r="R37" s="71" t="e">
        <f t="shared" si="7"/>
        <v>#REF!</v>
      </c>
      <c r="S37" s="73">
        <f t="shared" si="8"/>
        <v>0</v>
      </c>
      <c r="T37" s="74">
        <f t="shared" si="9"/>
        <v>0</v>
      </c>
      <c r="U37" s="576">
        <f>'Avg Bill by RS'!AO94</f>
        <v>0</v>
      </c>
    </row>
    <row r="38" spans="2:21" x14ac:dyDescent="0.2">
      <c r="B38" s="67">
        <v>22</v>
      </c>
      <c r="C38" s="76" t="s">
        <v>264</v>
      </c>
      <c r="D38" s="70">
        <f>'Rate Spread SETTLEMENT'!Z$15</f>
        <v>0</v>
      </c>
      <c r="E38" s="71">
        <f>'Rate Spread SETTLEMENT'!Z$14</f>
        <v>0</v>
      </c>
      <c r="F38" s="72" t="e">
        <f>SUM('Rev Req Proof Yr1'!AF95:AH95)</f>
        <v>#REF!</v>
      </c>
      <c r="G38" s="72" t="e">
        <f>SUM('Rev Req Proof Yr1'!AM95:AO95)</f>
        <v>#REF!</v>
      </c>
      <c r="H38" s="71" t="e">
        <f t="shared" si="0"/>
        <v>#REF!</v>
      </c>
      <c r="I38" s="71" t="e">
        <f t="shared" si="1"/>
        <v>#REF!</v>
      </c>
      <c r="J38" s="73">
        <f t="shared" si="2"/>
        <v>0</v>
      </c>
      <c r="K38" s="74">
        <f t="shared" si="3"/>
        <v>0</v>
      </c>
      <c r="L38" s="1174">
        <f>'Avg Bill by RS'!S95</f>
        <v>0</v>
      </c>
      <c r="M38" s="959"/>
      <c r="N38" s="1088" t="e">
        <f t="shared" si="4"/>
        <v>#REF!</v>
      </c>
      <c r="O38" s="71" t="e">
        <f t="shared" si="5"/>
        <v>#REF!</v>
      </c>
      <c r="P38" s="72" t="e">
        <f>SUM('Rev Req Proof Yr2'!AF95:AH95)</f>
        <v>#REF!</v>
      </c>
      <c r="Q38" s="71" t="e">
        <f t="shared" si="6"/>
        <v>#REF!</v>
      </c>
      <c r="R38" s="71" t="e">
        <f t="shared" si="7"/>
        <v>#REF!</v>
      </c>
      <c r="S38" s="73">
        <f t="shared" si="8"/>
        <v>0</v>
      </c>
      <c r="T38" s="74">
        <f t="shared" si="9"/>
        <v>0</v>
      </c>
      <c r="U38" s="576">
        <f>'Avg Bill by RS'!AO95</f>
        <v>0</v>
      </c>
    </row>
    <row r="39" spans="2:21" x14ac:dyDescent="0.2">
      <c r="B39" s="67">
        <v>23</v>
      </c>
      <c r="C39" s="76" t="s">
        <v>304</v>
      </c>
      <c r="D39" s="70">
        <f>'Rate Spread SETTLEMENT'!AA$15</f>
        <v>242994.60207180592</v>
      </c>
      <c r="E39" s="71">
        <f>'Rate Spread SETTLEMENT'!AA$14</f>
        <v>242994.60207180592</v>
      </c>
      <c r="F39" s="72" t="e">
        <f>SUM('Rev Req Proof Yr1'!AF96:AH96)</f>
        <v>#REF!</v>
      </c>
      <c r="G39" s="72" t="e">
        <f>SUM('Rev Req Proof Yr1'!AM96:AO96)</f>
        <v>#REF!</v>
      </c>
      <c r="H39" s="71" t="e">
        <f t="shared" si="0"/>
        <v>#REF!</v>
      </c>
      <c r="I39" s="71" t="e">
        <f t="shared" si="1"/>
        <v>#REF!</v>
      </c>
      <c r="J39" s="73">
        <f t="shared" si="2"/>
        <v>0</v>
      </c>
      <c r="K39" s="74">
        <f t="shared" si="3"/>
        <v>0</v>
      </c>
      <c r="L39" s="1174">
        <f>'Avg Bill by RS'!S96</f>
        <v>0</v>
      </c>
      <c r="M39" s="959"/>
      <c r="N39" s="1088" t="e">
        <f t="shared" si="4"/>
        <v>#REF!</v>
      </c>
      <c r="O39" s="71" t="e">
        <f t="shared" si="5"/>
        <v>#REF!</v>
      </c>
      <c r="P39" s="72" t="e">
        <f>SUM('Rev Req Proof Yr2'!AF96:AH96)</f>
        <v>#REF!</v>
      </c>
      <c r="Q39" s="71" t="e">
        <f t="shared" si="6"/>
        <v>#REF!</v>
      </c>
      <c r="R39" s="71" t="e">
        <f t="shared" si="7"/>
        <v>#REF!</v>
      </c>
      <c r="S39" s="73">
        <f>IFERROR((P39)/N39,0)</f>
        <v>0</v>
      </c>
      <c r="T39" s="74">
        <f>IFERROR((P39)/O39,0)</f>
        <v>0</v>
      </c>
      <c r="U39" s="576">
        <f>'Avg Bill by RS'!AO96</f>
        <v>0</v>
      </c>
    </row>
    <row r="40" spans="2:21" ht="13.5" thickBot="1" x14ac:dyDescent="0.25">
      <c r="B40" s="398"/>
      <c r="C40" s="45"/>
      <c r="D40" s="45"/>
      <c r="E40" s="45"/>
      <c r="F40" s="796"/>
      <c r="G40" s="1086"/>
      <c r="H40" s="45"/>
      <c r="I40" s="45"/>
      <c r="J40" s="411"/>
      <c r="K40" s="76"/>
      <c r="L40" s="720"/>
      <c r="M40" s="959"/>
      <c r="N40" s="398"/>
      <c r="O40" s="45"/>
      <c r="P40" s="796"/>
      <c r="Q40" s="45"/>
      <c r="R40" s="45"/>
      <c r="S40" s="411"/>
      <c r="T40" s="76"/>
      <c r="U40" s="720"/>
    </row>
    <row r="41" spans="2:21" s="50" customFormat="1" x14ac:dyDescent="0.2">
      <c r="B41" s="956"/>
      <c r="C41" s="350" t="s">
        <v>32</v>
      </c>
      <c r="D41" s="949">
        <f t="shared" ref="D41:I41" si="10">SUM(D17:D39)</f>
        <v>49604902.662138224</v>
      </c>
      <c r="E41" s="950">
        <f t="shared" si="10"/>
        <v>78333454.662138224</v>
      </c>
      <c r="F41" s="951" t="e">
        <f>SUM(F17:F39)</f>
        <v>#REF!</v>
      </c>
      <c r="G41" s="951" t="e">
        <f t="shared" si="10"/>
        <v>#REF!</v>
      </c>
      <c r="H41" s="949" t="e">
        <f t="shared" si="10"/>
        <v>#REF!</v>
      </c>
      <c r="I41" s="950" t="e">
        <f t="shared" si="10"/>
        <v>#REF!</v>
      </c>
      <c r="J41" s="952" t="e">
        <f>(F41+G41)/(D41-D39)</f>
        <v>#REF!</v>
      </c>
      <c r="K41" s="953" t="e">
        <f>(F41+G41)/(E41-E39)</f>
        <v>#REF!</v>
      </c>
      <c r="L41" s="954"/>
      <c r="M41" s="960"/>
      <c r="N41" s="955" t="e">
        <f>SUM(N17:N39)</f>
        <v>#REF!</v>
      </c>
      <c r="O41" s="950" t="e">
        <f>SUM(O17:O39)</f>
        <v>#REF!</v>
      </c>
      <c r="P41" s="951" t="e">
        <f>SUM(P17:P39)</f>
        <v>#REF!</v>
      </c>
      <c r="Q41" s="949" t="e">
        <f>SUM(Q17:Q39)</f>
        <v>#REF!</v>
      </c>
      <c r="R41" s="950" t="e">
        <f>SUM(R17:R39)</f>
        <v>#REF!</v>
      </c>
      <c r="S41" s="952">
        <f>IFERROR((P41)/(N41-N39),0)</f>
        <v>0</v>
      </c>
      <c r="T41" s="953">
        <f>IFERROR((P41)/(O41-O39),0)</f>
        <v>0</v>
      </c>
      <c r="U41" s="954"/>
    </row>
    <row r="42" spans="2:21" ht="13.5" thickBot="1" x14ac:dyDescent="0.25">
      <c r="B42" s="957"/>
      <c r="C42" s="543"/>
      <c r="D42" s="543"/>
      <c r="E42" s="543"/>
      <c r="F42" s="1136" t="s">
        <v>381</v>
      </c>
      <c r="G42" s="1413" t="s">
        <v>381</v>
      </c>
      <c r="H42" s="543"/>
      <c r="I42" s="543"/>
      <c r="J42" s="542"/>
      <c r="K42" s="543"/>
      <c r="L42" s="1314" t="s">
        <v>390</v>
      </c>
      <c r="M42" s="959"/>
      <c r="N42" s="542"/>
      <c r="O42" s="543"/>
      <c r="P42" s="1087" t="s">
        <v>177</v>
      </c>
      <c r="Q42" s="543"/>
      <c r="R42" s="543"/>
      <c r="S42" s="542"/>
      <c r="T42" s="543"/>
      <c r="U42" s="1314" t="s">
        <v>381</v>
      </c>
    </row>
    <row r="43" spans="2:21" ht="6" customHeight="1" x14ac:dyDescent="0.2">
      <c r="D43" s="462"/>
      <c r="E43" s="462"/>
      <c r="F43" s="462"/>
      <c r="G43" s="462"/>
      <c r="H43" s="462"/>
    </row>
    <row r="44" spans="2:21" ht="12" customHeight="1" x14ac:dyDescent="0.2">
      <c r="B44" s="834" t="s">
        <v>527</v>
      </c>
      <c r="C44" s="830"/>
      <c r="D44" s="1179"/>
      <c r="E44" s="827"/>
      <c r="N44" s="834" t="s">
        <v>527</v>
      </c>
      <c r="O44" s="830"/>
    </row>
    <row r="45" spans="2:21" ht="12" customHeight="1" x14ac:dyDescent="0.2">
      <c r="B45" s="834" t="s">
        <v>442</v>
      </c>
      <c r="C45" s="835"/>
      <c r="D45" s="1179"/>
      <c r="E45" s="827"/>
      <c r="F45" s="422"/>
      <c r="G45" s="422"/>
      <c r="N45" s="834" t="s">
        <v>436</v>
      </c>
      <c r="O45" s="830"/>
    </row>
    <row r="46" spans="2:21" ht="12" customHeight="1" x14ac:dyDescent="0.2">
      <c r="B46" s="834" t="s">
        <v>433</v>
      </c>
      <c r="C46" s="830"/>
      <c r="D46" s="1179"/>
      <c r="E46" s="827"/>
      <c r="N46" s="834" t="s">
        <v>528</v>
      </c>
      <c r="O46" s="835"/>
    </row>
    <row r="47" spans="2:21" ht="12" customHeight="1" x14ac:dyDescent="0.2">
      <c r="B47" s="834" t="s">
        <v>528</v>
      </c>
      <c r="C47" s="835"/>
      <c r="D47" s="1179"/>
      <c r="E47" s="827"/>
      <c r="N47" s="834" t="s">
        <v>437</v>
      </c>
      <c r="O47" s="835"/>
    </row>
    <row r="48" spans="2:21" x14ac:dyDescent="0.2">
      <c r="B48" s="834" t="s">
        <v>434</v>
      </c>
      <c r="C48" s="835"/>
      <c r="D48" s="1178"/>
      <c r="N48" s="834" t="s">
        <v>438</v>
      </c>
    </row>
    <row r="49" spans="2:7" ht="12.95" customHeight="1" x14ac:dyDescent="0.2">
      <c r="B49" s="834" t="s">
        <v>435</v>
      </c>
      <c r="D49" s="830"/>
    </row>
    <row r="50" spans="2:7" ht="12" customHeight="1" x14ac:dyDescent="0.2">
      <c r="D50" s="830"/>
      <c r="F50" s="831"/>
      <c r="G50" s="831"/>
    </row>
    <row r="51" spans="2:7" ht="12" customHeight="1" x14ac:dyDescent="0.2">
      <c r="B51" s="834"/>
      <c r="C51" s="835"/>
      <c r="F51" s="831"/>
      <c r="G51" s="831"/>
    </row>
    <row r="52" spans="2:7" x14ac:dyDescent="0.2">
      <c r="F52" s="831"/>
      <c r="G52" s="831"/>
    </row>
    <row r="53" spans="2:7" x14ac:dyDescent="0.2">
      <c r="F53" s="832"/>
      <c r="G53" s="832"/>
    </row>
    <row r="54" spans="2:7" x14ac:dyDescent="0.2">
      <c r="F54" s="833"/>
      <c r="G54" s="833"/>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9" orientation="landscape" r:id="rId3"/>
  <headerFooter alignWithMargins="0">
    <oddHeader>&amp;RUG 388 - NW Natural/2500
Wyman/WP02</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T71"/>
  <sheetViews>
    <sheetView zoomScale="90" zoomScaleNormal="90" workbookViewId="0">
      <pane xSplit="3" ySplit="14" topLeftCell="D15" activePane="bottomRight" state="frozen"/>
      <selection activeCell="G12" sqref="G12"/>
      <selection pane="topRight" activeCell="G12" sqref="G12"/>
      <selection pane="bottomLeft" activeCell="G12" sqref="G12"/>
      <selection pane="bottomRight" activeCell="G12" sqref="G12"/>
    </sheetView>
  </sheetViews>
  <sheetFormatPr defaultColWidth="9.33203125" defaultRowHeight="12.75" outlineLevelCol="1" x14ac:dyDescent="0.2"/>
  <cols>
    <col min="1" max="1" width="3.1640625" style="42" customWidth="1"/>
    <col min="2" max="2" width="7.6640625" style="42" customWidth="1"/>
    <col min="3" max="3" width="11.33203125" style="42" bestFit="1" customWidth="1"/>
    <col min="4" max="4" width="17.5" style="42" customWidth="1"/>
    <col min="5" max="6" width="16.33203125" style="42" customWidth="1"/>
    <col min="7" max="7" width="12.1640625" style="42" customWidth="1"/>
    <col min="8" max="8" width="16.33203125" style="42" customWidth="1"/>
    <col min="9" max="9" width="12.1640625" style="42" customWidth="1"/>
    <col min="10" max="10" width="14.83203125" style="42" customWidth="1"/>
    <col min="11" max="11" width="12.1640625" style="42" customWidth="1"/>
    <col min="12" max="12" width="15.33203125" style="42" customWidth="1"/>
    <col min="13" max="13" width="12.1640625" style="42" customWidth="1"/>
    <col min="14" max="14" width="15.33203125" style="42" customWidth="1"/>
    <col min="15" max="15" width="12.1640625" style="42" customWidth="1"/>
    <col min="16" max="16" width="17.33203125" style="42" customWidth="1"/>
    <col min="17" max="17" width="12.1640625" style="42" customWidth="1"/>
    <col min="18" max="18" width="15.83203125" style="42" customWidth="1"/>
    <col min="19" max="19" width="12.1640625" style="42" customWidth="1"/>
    <col min="20" max="21" width="16.33203125" style="42" hidden="1" customWidth="1" outlineLevel="1"/>
    <col min="22" max="22" width="17.5" style="42" customWidth="1" collapsed="1"/>
    <col min="23" max="23" width="20.5" style="42" customWidth="1"/>
    <col min="24" max="24" width="17.5" style="42" bestFit="1" customWidth="1"/>
    <col min="25" max="25" width="12.6640625" style="42" customWidth="1"/>
    <col min="26" max="26" width="11.1640625" style="42" customWidth="1"/>
    <col min="27" max="27" width="2.83203125" style="42" customWidth="1"/>
    <col min="28" max="28" width="17.1640625" style="42" customWidth="1"/>
    <col min="29" max="29" width="16.33203125" style="42" customWidth="1"/>
    <col min="30" max="30" width="17.33203125" style="42" customWidth="1"/>
    <col min="31" max="31" width="18.5" style="42" customWidth="1"/>
    <col min="32" max="32" width="14.1640625" style="42" customWidth="1"/>
    <col min="33" max="33" width="16.33203125" style="42" bestFit="1" customWidth="1"/>
    <col min="34" max="34" width="18.33203125" style="42" customWidth="1" outlineLevel="1"/>
    <col min="35" max="37" width="13.33203125" style="42" customWidth="1" outlineLevel="1"/>
    <col min="38" max="39" width="13.1640625" style="42" customWidth="1"/>
    <col min="40" max="41" width="13.1640625" style="42" hidden="1" customWidth="1" outlineLevel="1"/>
    <col min="42" max="42" width="17.1640625" style="42" customWidth="1" collapsed="1"/>
    <col min="43" max="43" width="17.1640625" style="42" customWidth="1"/>
    <col min="44" max="44" width="12.6640625" style="42" customWidth="1"/>
    <col min="45" max="46" width="11" style="42" customWidth="1"/>
    <col min="47" max="16384" width="9.33203125" style="42"/>
  </cols>
  <sheetData>
    <row r="1" spans="2:46" x14ac:dyDescent="0.2">
      <c r="B1" s="827" t="s">
        <v>0</v>
      </c>
      <c r="AB1" s="827" t="s">
        <v>0</v>
      </c>
    </row>
    <row r="2" spans="2:46" x14ac:dyDescent="0.2">
      <c r="B2" s="827" t="s">
        <v>242</v>
      </c>
      <c r="C2" s="53"/>
      <c r="D2" s="53"/>
      <c r="E2" s="53"/>
      <c r="F2" s="53"/>
      <c r="G2" s="53"/>
      <c r="H2" s="53"/>
      <c r="I2" s="53"/>
      <c r="J2" s="53"/>
      <c r="K2" s="53"/>
      <c r="L2" s="53"/>
      <c r="M2" s="53"/>
      <c r="N2" s="53"/>
      <c r="O2" s="53"/>
      <c r="P2" s="53"/>
      <c r="Q2" s="53"/>
      <c r="R2" s="53"/>
      <c r="S2" s="53"/>
      <c r="T2" s="53"/>
      <c r="U2" s="53"/>
      <c r="V2" s="53"/>
      <c r="W2" s="1681" t="s">
        <v>339</v>
      </c>
      <c r="X2" s="1681"/>
      <c r="Y2" s="1681"/>
      <c r="AB2" s="827" t="s">
        <v>242</v>
      </c>
      <c r="AP2" s="53"/>
      <c r="AQ2" s="1681" t="s">
        <v>399</v>
      </c>
      <c r="AR2" s="1681"/>
      <c r="AS2" s="1681"/>
    </row>
    <row r="3" spans="2:46" x14ac:dyDescent="0.2">
      <c r="B3" s="827" t="s">
        <v>243</v>
      </c>
      <c r="C3" s="53"/>
      <c r="D3" s="53"/>
      <c r="E3" s="53"/>
      <c r="F3" s="53"/>
      <c r="G3" s="53"/>
      <c r="H3" s="53"/>
      <c r="I3" s="53"/>
      <c r="J3" s="53"/>
      <c r="K3" s="53"/>
      <c r="L3" s="53"/>
      <c r="M3" s="53"/>
      <c r="N3" s="53"/>
      <c r="O3" s="53"/>
      <c r="P3" s="53"/>
      <c r="Q3" s="53"/>
      <c r="R3" s="53"/>
      <c r="S3" s="53"/>
      <c r="T3" s="53"/>
      <c r="U3" s="53"/>
      <c r="V3" s="421"/>
      <c r="W3" s="1682" t="s">
        <v>238</v>
      </c>
      <c r="X3" s="1682" t="s">
        <v>397</v>
      </c>
      <c r="Y3" s="1682" t="s">
        <v>398</v>
      </c>
      <c r="Z3" s="46"/>
      <c r="AB3" s="827" t="s">
        <v>243</v>
      </c>
      <c r="AP3" s="421"/>
      <c r="AQ3" s="1682" t="s">
        <v>238</v>
      </c>
      <c r="AR3" s="1682" t="s">
        <v>397</v>
      </c>
      <c r="AS3" s="1682" t="s">
        <v>398</v>
      </c>
    </row>
    <row r="4" spans="2:46" ht="15" customHeight="1" x14ac:dyDescent="0.2">
      <c r="B4" s="827" t="s">
        <v>504</v>
      </c>
      <c r="C4" s="53"/>
      <c r="D4" s="53"/>
      <c r="E4" s="53"/>
      <c r="F4" s="53"/>
      <c r="G4" s="53"/>
      <c r="H4" s="53"/>
      <c r="I4" s="53"/>
      <c r="J4" s="53"/>
      <c r="K4" s="53"/>
      <c r="L4" s="53"/>
      <c r="M4" s="53"/>
      <c r="N4" s="53"/>
      <c r="O4" s="53"/>
      <c r="P4" s="53"/>
      <c r="Q4" s="53"/>
      <c r="R4" s="53"/>
      <c r="S4" s="53"/>
      <c r="T4" s="53"/>
      <c r="U4" s="53"/>
      <c r="V4" s="46"/>
      <c r="W4" s="1683"/>
      <c r="X4" s="1683"/>
      <c r="Y4" s="1683"/>
      <c r="Z4" s="46"/>
      <c r="AB4" s="827" t="s">
        <v>504</v>
      </c>
      <c r="AP4" s="46"/>
      <c r="AQ4" s="1683"/>
      <c r="AR4" s="1683"/>
      <c r="AS4" s="1683"/>
    </row>
    <row r="5" spans="2:46" x14ac:dyDescent="0.2">
      <c r="B5" s="827" t="s">
        <v>506</v>
      </c>
      <c r="C5" s="53"/>
      <c r="D5" s="53"/>
      <c r="E5" s="53"/>
      <c r="F5" s="53"/>
      <c r="G5" s="53"/>
      <c r="H5" s="53"/>
      <c r="I5" s="53"/>
      <c r="J5" s="53"/>
      <c r="K5" s="53"/>
      <c r="L5" s="53"/>
      <c r="M5" s="53"/>
      <c r="N5" s="53"/>
      <c r="O5" s="53"/>
      <c r="P5" s="53"/>
      <c r="Q5" s="53"/>
      <c r="R5" s="53"/>
      <c r="S5" s="53"/>
      <c r="T5" s="53"/>
      <c r="U5" s="53"/>
      <c r="V5" s="46" t="s">
        <v>236</v>
      </c>
      <c r="W5" s="1132" t="e">
        <f>SUM(W16,W18)/1000-SUM(E16,E18)/1000</f>
        <v>#REF!</v>
      </c>
      <c r="X5" s="1127" t="e">
        <f>W5/(E16+E18)*1000</f>
        <v>#REF!</v>
      </c>
      <c r="Y5" s="1132" t="e">
        <f>W5*1000/#REF!/12</f>
        <v>#REF!</v>
      </c>
      <c r="Z5" s="46"/>
      <c r="AB5" s="827" t="s">
        <v>506</v>
      </c>
      <c r="AP5" s="46" t="s">
        <v>236</v>
      </c>
      <c r="AQ5" s="1128" t="e">
        <f>SUM(AQ16,AQ18)/1000-SUM(AC16,AC18)/1000</f>
        <v>#REF!</v>
      </c>
      <c r="AR5" s="1127" t="e">
        <f>AQ5/(AC16+AC18)*1000</f>
        <v>#REF!</v>
      </c>
      <c r="AS5" s="1128" t="e">
        <f>AQ5*1000/#REF!/12</f>
        <v>#REF!</v>
      </c>
    </row>
    <row r="6" spans="2:46" x14ac:dyDescent="0.2">
      <c r="C6" s="53"/>
      <c r="D6" s="53"/>
      <c r="E6" s="53"/>
      <c r="F6" s="53"/>
      <c r="G6" s="53"/>
      <c r="H6" s="53"/>
      <c r="I6" s="53"/>
      <c r="J6" s="53"/>
      <c r="K6" s="53"/>
      <c r="L6" s="53"/>
      <c r="M6" s="53"/>
      <c r="N6" s="53"/>
      <c r="O6" s="53"/>
      <c r="P6" s="53"/>
      <c r="Q6" s="53"/>
      <c r="R6" s="53"/>
      <c r="S6" s="53"/>
      <c r="T6" s="53"/>
      <c r="U6" s="53"/>
      <c r="V6" s="46" t="s">
        <v>26</v>
      </c>
      <c r="W6" s="1132" t="e">
        <f>SUM(W17,W19,W21,W22,W24,W26,W28,W30,W32,W34)/1000-SUM(E17,E19,E21,E22,E24,E26,E28,E30,E32,E34)/1000</f>
        <v>#REF!</v>
      </c>
      <c r="X6" s="1127" t="e">
        <f>(W6)/SUM(E17,E19,E21,E22,E24,E26,E28,E30,E32,E34)*1000</f>
        <v>#REF!</v>
      </c>
      <c r="Y6" s="1132" t="e">
        <f>W6*1000/#REF!/12</f>
        <v>#REF!</v>
      </c>
      <c r="Z6" s="46"/>
      <c r="AP6" s="46" t="s">
        <v>26</v>
      </c>
      <c r="AQ6" s="1128" t="e">
        <f>SUM(AQ17,AQ19,AQ21,AQ22,AQ24,AQ26,AQ28,AQ30,AQ32,AQ34)/1000-SUM(AC17,AC19,AC21,AC22,AC24,AC26,AC28,AC30,AC32,AC34)/1000</f>
        <v>#REF!</v>
      </c>
      <c r="AR6" s="1127" t="e">
        <f>(AQ6)/SUM(AC17,AC19,AC21,AC22,AC24,AC26,AC28,AC30,AC32,AC34)*1000</f>
        <v>#REF!</v>
      </c>
      <c r="AS6" s="1128" t="e">
        <f>AQ6*1000/#REF!/12</f>
        <v>#REF!</v>
      </c>
    </row>
    <row r="7" spans="2:46" x14ac:dyDescent="0.2">
      <c r="B7" s="158" t="s">
        <v>429</v>
      </c>
      <c r="C7" s="53"/>
      <c r="D7" s="53"/>
      <c r="F7" s="53"/>
      <c r="G7" s="53"/>
      <c r="H7" s="53"/>
      <c r="I7" s="53"/>
      <c r="J7" s="53"/>
      <c r="K7" s="53"/>
      <c r="L7" s="53"/>
      <c r="M7" s="53"/>
      <c r="N7" s="53"/>
      <c r="O7" s="53"/>
      <c r="P7" s="53"/>
      <c r="Q7" s="53"/>
      <c r="R7" s="53"/>
      <c r="S7" s="53"/>
      <c r="T7" s="53"/>
      <c r="U7" s="53"/>
      <c r="V7" s="46" t="s">
        <v>125</v>
      </c>
      <c r="W7" s="1132" t="e">
        <f>SUM(W20,W23,W25,W27,W29,W31,W33,W35,W36,W37,W38)/1000-SUM(E20,E23,E25,E27,E29,E31,E33,E35,E36,E37,E38)/1000</f>
        <v>#REF!</v>
      </c>
      <c r="X7" s="1127" t="e">
        <f>(W7)/SUM(E20,E23,E25,E27,E29,E31,E33,E35,E36,E37,E38)*1000</f>
        <v>#REF!</v>
      </c>
      <c r="Y7" s="1132" t="e">
        <f>W7*1000/#REF!/12</f>
        <v>#REF!</v>
      </c>
      <c r="Z7" s="46"/>
      <c r="AB7" s="158" t="s">
        <v>430</v>
      </c>
      <c r="AP7" s="46" t="s">
        <v>125</v>
      </c>
      <c r="AQ7" s="1128" t="e">
        <f>SUM(AQ20,AQ23,AQ25,AQ27,AQ29,AQ31,AQ33,AQ35,AQ36,AQ37,AQ38)/1000-SUM(AC20,AC23,AC25,AC27,AC29,AC31,AC33,AC35,AC36,AC37,AC38)/1000</f>
        <v>#REF!</v>
      </c>
      <c r="AR7" s="1127" t="e">
        <f>(AQ7)/SUM(AC20,AC23,AC25,AC27,AC29,AC31,AC33,AC35,AC36,AC37,AC38)*1000</f>
        <v>#REF!</v>
      </c>
      <c r="AS7" s="1128" t="e">
        <f>AQ7*1000/#REF!/12</f>
        <v>#REF!</v>
      </c>
    </row>
    <row r="8" spans="2:46" ht="12.75" customHeight="1" x14ac:dyDescent="0.2">
      <c r="B8" s="586" t="s">
        <v>561</v>
      </c>
      <c r="C8" s="53"/>
      <c r="D8" s="1316"/>
      <c r="F8" s="1316"/>
      <c r="G8" s="1316"/>
      <c r="H8" s="1316"/>
      <c r="I8" s="1316"/>
      <c r="J8" s="1316"/>
      <c r="K8" s="1316"/>
      <c r="L8" s="1316"/>
      <c r="M8" s="1316"/>
      <c r="N8" s="1316"/>
      <c r="O8" s="1316"/>
      <c r="P8" s="1316"/>
      <c r="Q8" s="1316"/>
      <c r="R8" s="1316"/>
      <c r="S8" s="53"/>
      <c r="T8" s="53"/>
      <c r="U8" s="53"/>
      <c r="V8" s="1109" t="s">
        <v>237</v>
      </c>
      <c r="W8" s="1133" t="e">
        <f>SUM(W5:W7)</f>
        <v>#REF!</v>
      </c>
      <c r="X8" s="1130" t="e">
        <f>(W40-E40)/E40</f>
        <v>#REF!</v>
      </c>
      <c r="Y8" s="1133" t="e">
        <f>W8*1000/#REF!/12</f>
        <v>#REF!</v>
      </c>
      <c r="Z8" s="46"/>
      <c r="AB8" s="586" t="s">
        <v>529</v>
      </c>
      <c r="AC8" s="1316"/>
      <c r="AD8" s="1316"/>
      <c r="AE8" s="1316"/>
      <c r="AF8" s="1316"/>
      <c r="AG8" s="1316"/>
      <c r="AH8" s="1316"/>
      <c r="AI8" s="1316"/>
      <c r="AJ8" s="1316"/>
      <c r="AK8" s="1316"/>
      <c r="AL8" s="1316"/>
      <c r="AM8" s="1316"/>
      <c r="AN8" s="1316"/>
      <c r="AP8" s="1109" t="s">
        <v>237</v>
      </c>
      <c r="AQ8" s="1129" t="e">
        <f>SUM(AQ5:AQ7)</f>
        <v>#REF!</v>
      </c>
      <c r="AR8" s="1130" t="e">
        <f>(AQ40-AC40)/AC40</f>
        <v>#REF!</v>
      </c>
      <c r="AS8" s="1131" t="e">
        <f>AQ8*1000/#REF!/12</f>
        <v>#REF!</v>
      </c>
    </row>
    <row r="9" spans="2:46" ht="13.5" thickBot="1" x14ac:dyDescent="0.25">
      <c r="B9" s="586" t="s">
        <v>559</v>
      </c>
      <c r="C9" s="53"/>
      <c r="D9" s="1317"/>
      <c r="F9" s="1317"/>
      <c r="G9" s="1317"/>
      <c r="H9" s="1317"/>
      <c r="I9" s="1317"/>
      <c r="J9" s="1317"/>
      <c r="K9" s="1317"/>
      <c r="L9" s="1317"/>
      <c r="M9" s="1317"/>
      <c r="N9" s="1317"/>
      <c r="O9" s="1317"/>
      <c r="P9" s="1317"/>
      <c r="Q9" s="1317"/>
      <c r="R9" s="1317"/>
      <c r="S9" s="53"/>
      <c r="T9" s="53"/>
      <c r="U9" s="53"/>
      <c r="V9" s="53"/>
      <c r="W9" s="53"/>
      <c r="X9" s="55"/>
      <c r="AB9" s="586" t="s">
        <v>526</v>
      </c>
      <c r="AC9" s="1317"/>
      <c r="AD9" s="1317"/>
      <c r="AE9" s="1317"/>
      <c r="AF9" s="1317"/>
      <c r="AG9" s="1317"/>
      <c r="AH9" s="1317"/>
      <c r="AI9" s="1317"/>
      <c r="AJ9" s="1317"/>
      <c r="AK9" s="1317"/>
      <c r="AL9" s="1317"/>
      <c r="AM9" s="1317"/>
      <c r="AN9" s="1317"/>
    </row>
    <row r="10" spans="2:46" ht="13.5" thickBot="1" x14ac:dyDescent="0.25">
      <c r="B10" s="54"/>
      <c r="C10" s="53"/>
      <c r="D10" s="1688" t="s">
        <v>431</v>
      </c>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90"/>
      <c r="AA10" s="987"/>
      <c r="AB10" s="1665" t="s">
        <v>432</v>
      </c>
      <c r="AC10" s="1666"/>
      <c r="AD10" s="1666"/>
      <c r="AE10" s="1666"/>
      <c r="AF10" s="1666"/>
      <c r="AG10" s="1666"/>
      <c r="AH10" s="1666"/>
      <c r="AI10" s="1666"/>
      <c r="AJ10" s="1666"/>
      <c r="AK10" s="1666"/>
      <c r="AL10" s="1666"/>
      <c r="AM10" s="1666"/>
      <c r="AN10" s="1666"/>
      <c r="AO10" s="1666"/>
      <c r="AP10" s="1666"/>
      <c r="AQ10" s="1666"/>
      <c r="AR10" s="1666"/>
      <c r="AS10" s="1666"/>
      <c r="AT10" s="1667"/>
    </row>
    <row r="11" spans="2:46" ht="13.5" thickBot="1" x14ac:dyDescent="0.25">
      <c r="D11" s="1002"/>
      <c r="E11" s="1003"/>
      <c r="F11" s="1686" t="s">
        <v>195</v>
      </c>
      <c r="G11" s="1687"/>
      <c r="H11" s="1675" t="s">
        <v>315</v>
      </c>
      <c r="I11" s="1691"/>
      <c r="J11" s="1675" t="s">
        <v>311</v>
      </c>
      <c r="K11" s="1691"/>
      <c r="L11" s="1675" t="s">
        <v>322</v>
      </c>
      <c r="M11" s="1691"/>
      <c r="N11" s="1675" t="s">
        <v>560</v>
      </c>
      <c r="O11" s="1691"/>
      <c r="P11" s="1673" t="s">
        <v>494</v>
      </c>
      <c r="Q11" s="1684"/>
      <c r="R11" s="1684"/>
      <c r="S11" s="1674"/>
      <c r="T11" s="1692" t="s">
        <v>205</v>
      </c>
      <c r="U11" s="1693"/>
      <c r="V11" s="1004"/>
      <c r="W11" s="1004"/>
      <c r="X11" s="1685" t="s">
        <v>178</v>
      </c>
      <c r="Y11" s="1686"/>
      <c r="Z11" s="1687"/>
      <c r="AA11" s="987"/>
      <c r="AB11" s="43"/>
      <c r="AC11" s="44"/>
      <c r="AD11" s="1679" t="s">
        <v>195</v>
      </c>
      <c r="AE11" s="1680"/>
      <c r="AF11" s="1675" t="s">
        <v>375</v>
      </c>
      <c r="AG11" s="1676"/>
      <c r="AH11" s="1677" t="str">
        <f>J11</f>
        <v>Historical EE</v>
      </c>
      <c r="AI11" s="1678"/>
      <c r="AJ11" s="1694" t="str">
        <f>L11</f>
        <v>Truck Lot Sale</v>
      </c>
      <c r="AK11" s="1695"/>
      <c r="AL11" s="1673" t="s">
        <v>494</v>
      </c>
      <c r="AM11" s="1674"/>
      <c r="AN11" s="1668" t="s">
        <v>205</v>
      </c>
      <c r="AO11" s="1669"/>
      <c r="AP11" s="44"/>
      <c r="AQ11" s="44"/>
      <c r="AR11" s="1670" t="s">
        <v>178</v>
      </c>
      <c r="AS11" s="1671"/>
      <c r="AT11" s="1672"/>
    </row>
    <row r="12" spans="2:46" ht="51" x14ac:dyDescent="0.2">
      <c r="B12" s="995" t="s">
        <v>152</v>
      </c>
      <c r="C12" s="996" t="s">
        <v>138</v>
      </c>
      <c r="D12" s="59" t="s">
        <v>186</v>
      </c>
      <c r="E12" s="59" t="s">
        <v>187</v>
      </c>
      <c r="F12" s="58" t="s">
        <v>180</v>
      </c>
      <c r="G12" s="60" t="s">
        <v>179</v>
      </c>
      <c r="H12" s="58" t="s">
        <v>336</v>
      </c>
      <c r="I12" s="59" t="s">
        <v>337</v>
      </c>
      <c r="J12" s="58" t="s">
        <v>392</v>
      </c>
      <c r="K12" s="60" t="s">
        <v>393</v>
      </c>
      <c r="L12" s="58" t="s">
        <v>392</v>
      </c>
      <c r="M12" s="59" t="s">
        <v>393</v>
      </c>
      <c r="N12" s="58" t="s">
        <v>396</v>
      </c>
      <c r="O12" s="59" t="s">
        <v>562</v>
      </c>
      <c r="P12" s="1094" t="s">
        <v>338</v>
      </c>
      <c r="Q12" s="894" t="s">
        <v>338</v>
      </c>
      <c r="R12" s="894" t="s">
        <v>396</v>
      </c>
      <c r="S12" s="1095" t="s">
        <v>396</v>
      </c>
      <c r="T12" s="568" t="s">
        <v>206</v>
      </c>
      <c r="U12" s="569" t="s">
        <v>207</v>
      </c>
      <c r="V12" s="59" t="s">
        <v>563</v>
      </c>
      <c r="W12" s="59" t="s">
        <v>564</v>
      </c>
      <c r="X12" s="58" t="s">
        <v>183</v>
      </c>
      <c r="Y12" s="59" t="s">
        <v>184</v>
      </c>
      <c r="Z12" s="60" t="s">
        <v>185</v>
      </c>
      <c r="AA12" s="987"/>
      <c r="AB12" s="948" t="s">
        <v>563</v>
      </c>
      <c r="AC12" s="59" t="s">
        <v>565</v>
      </c>
      <c r="AD12" s="58" t="s">
        <v>180</v>
      </c>
      <c r="AE12" s="60" t="s">
        <v>179</v>
      </c>
      <c r="AF12" s="58" t="s">
        <v>394</v>
      </c>
      <c r="AG12" s="60" t="s">
        <v>393</v>
      </c>
      <c r="AH12" s="58" t="s">
        <v>392</v>
      </c>
      <c r="AI12" s="60" t="s">
        <v>393</v>
      </c>
      <c r="AJ12" s="58" t="s">
        <v>392</v>
      </c>
      <c r="AK12" s="59" t="s">
        <v>393</v>
      </c>
      <c r="AL12" s="1094" t="s">
        <v>396</v>
      </c>
      <c r="AM12" s="1095" t="s">
        <v>408</v>
      </c>
      <c r="AN12" s="568" t="s">
        <v>206</v>
      </c>
      <c r="AO12" s="569" t="s">
        <v>207</v>
      </c>
      <c r="AP12" s="59" t="s">
        <v>566</v>
      </c>
      <c r="AQ12" s="59" t="s">
        <v>567</v>
      </c>
      <c r="AR12" s="58" t="s">
        <v>183</v>
      </c>
      <c r="AS12" s="59" t="s">
        <v>184</v>
      </c>
      <c r="AT12" s="60" t="s">
        <v>185</v>
      </c>
    </row>
    <row r="13" spans="2:46" x14ac:dyDescent="0.2">
      <c r="B13" s="997"/>
      <c r="C13" s="989"/>
      <c r="D13" s="62"/>
      <c r="E13" s="62"/>
      <c r="F13" s="1325" t="s">
        <v>176</v>
      </c>
      <c r="G13" s="64"/>
      <c r="H13" s="1325" t="s">
        <v>177</v>
      </c>
      <c r="I13" s="62"/>
      <c r="J13" s="1325" t="s">
        <v>381</v>
      </c>
      <c r="K13" s="83"/>
      <c r="L13" s="1325" t="s">
        <v>390</v>
      </c>
      <c r="M13" s="1100"/>
      <c r="N13" s="1325" t="s">
        <v>445</v>
      </c>
      <c r="O13" s="1100"/>
      <c r="P13" s="1120" t="s">
        <v>568</v>
      </c>
      <c r="Q13" s="1118"/>
      <c r="R13" s="1118" t="s">
        <v>569</v>
      </c>
      <c r="S13" s="1121"/>
      <c r="T13" s="570"/>
      <c r="U13" s="571"/>
      <c r="V13" s="579" t="s">
        <v>570</v>
      </c>
      <c r="W13" s="579" t="s">
        <v>571</v>
      </c>
      <c r="X13" s="580"/>
      <c r="Y13" s="579"/>
      <c r="Z13" s="64"/>
      <c r="AA13" s="987"/>
      <c r="AB13" s="63"/>
      <c r="AC13" s="62"/>
      <c r="AD13" s="1325" t="s">
        <v>176</v>
      </c>
      <c r="AE13" s="64"/>
      <c r="AF13" s="1325" t="s">
        <v>177</v>
      </c>
      <c r="AG13" s="64"/>
      <c r="AH13" s="1325" t="s">
        <v>381</v>
      </c>
      <c r="AI13" s="83"/>
      <c r="AJ13" s="1325" t="s">
        <v>390</v>
      </c>
      <c r="AK13" s="1100"/>
      <c r="AL13" s="1154"/>
      <c r="AM13" s="1155"/>
      <c r="AN13" s="570"/>
      <c r="AO13" s="571"/>
      <c r="AP13" s="579" t="s">
        <v>533</v>
      </c>
      <c r="AQ13" s="579" t="s">
        <v>534</v>
      </c>
      <c r="AR13" s="580"/>
      <c r="AS13" s="579"/>
      <c r="AT13" s="64"/>
    </row>
    <row r="14" spans="2:46" ht="13.5" thickBot="1" x14ac:dyDescent="0.25">
      <c r="B14" s="998"/>
      <c r="C14" s="990"/>
      <c r="D14" s="99" t="s">
        <v>35</v>
      </c>
      <c r="E14" s="99" t="s">
        <v>36</v>
      </c>
      <c r="F14" s="115" t="s">
        <v>13</v>
      </c>
      <c r="G14" s="116" t="s">
        <v>37</v>
      </c>
      <c r="H14" s="115" t="s">
        <v>38</v>
      </c>
      <c r="I14" s="99" t="s">
        <v>39</v>
      </c>
      <c r="J14" s="117" t="s">
        <v>40</v>
      </c>
      <c r="K14" s="118" t="s">
        <v>41</v>
      </c>
      <c r="L14" s="117" t="s">
        <v>42</v>
      </c>
      <c r="M14" s="1101" t="s">
        <v>109</v>
      </c>
      <c r="N14" s="117" t="s">
        <v>110</v>
      </c>
      <c r="O14" s="1101" t="s">
        <v>43</v>
      </c>
      <c r="P14" s="117" t="s">
        <v>111</v>
      </c>
      <c r="Q14" s="1101" t="s">
        <v>112</v>
      </c>
      <c r="R14" s="1101" t="s">
        <v>113</v>
      </c>
      <c r="S14" s="1126" t="s">
        <v>114</v>
      </c>
      <c r="T14" s="572" t="s">
        <v>113</v>
      </c>
      <c r="U14" s="573" t="s">
        <v>114</v>
      </c>
      <c r="V14" s="99" t="s">
        <v>115</v>
      </c>
      <c r="W14" s="99" t="s">
        <v>71</v>
      </c>
      <c r="X14" s="115" t="s">
        <v>74</v>
      </c>
      <c r="Y14" s="99" t="s">
        <v>75</v>
      </c>
      <c r="Z14" s="116" t="s">
        <v>76</v>
      </c>
      <c r="AA14" s="987"/>
      <c r="AB14" s="115" t="s">
        <v>35</v>
      </c>
      <c r="AC14" s="99" t="s">
        <v>36</v>
      </c>
      <c r="AD14" s="115" t="s">
        <v>13</v>
      </c>
      <c r="AE14" s="116" t="s">
        <v>37</v>
      </c>
      <c r="AF14" s="115" t="s">
        <v>38</v>
      </c>
      <c r="AG14" s="116" t="s">
        <v>39</v>
      </c>
      <c r="AH14" s="1101" t="s">
        <v>40</v>
      </c>
      <c r="AI14" s="118" t="s">
        <v>41</v>
      </c>
      <c r="AJ14" s="99" t="s">
        <v>42</v>
      </c>
      <c r="AK14" s="99" t="s">
        <v>109</v>
      </c>
      <c r="AL14" s="1156" t="s">
        <v>110</v>
      </c>
      <c r="AM14" s="1157" t="s">
        <v>43</v>
      </c>
      <c r="AN14" s="572" t="s">
        <v>110</v>
      </c>
      <c r="AO14" s="573" t="s">
        <v>43</v>
      </c>
      <c r="AP14" s="99" t="s">
        <v>111</v>
      </c>
      <c r="AQ14" s="99" t="s">
        <v>112</v>
      </c>
      <c r="AR14" s="115" t="s">
        <v>113</v>
      </c>
      <c r="AS14" s="99" t="s">
        <v>114</v>
      </c>
      <c r="AT14" s="116" t="s">
        <v>115</v>
      </c>
    </row>
    <row r="15" spans="2:46" ht="18" customHeight="1" thickTop="1" x14ac:dyDescent="0.2">
      <c r="B15" s="999"/>
      <c r="C15" s="991"/>
      <c r="D15" s="68"/>
      <c r="E15" s="68"/>
      <c r="F15" s="84"/>
      <c r="G15" s="60"/>
      <c r="H15" s="43"/>
      <c r="I15" s="59"/>
      <c r="J15" s="43"/>
      <c r="K15" s="77"/>
      <c r="L15" s="43"/>
      <c r="M15" s="44"/>
      <c r="N15" s="43"/>
      <c r="O15" s="44"/>
      <c r="P15" s="1096"/>
      <c r="Q15" s="895"/>
      <c r="R15" s="895"/>
      <c r="S15" s="1097"/>
      <c r="T15" s="574"/>
      <c r="U15" s="630"/>
      <c r="V15" s="68"/>
      <c r="W15" s="68"/>
      <c r="X15" s="58"/>
      <c r="Y15" s="59"/>
      <c r="Z15" s="60"/>
      <c r="AA15" s="987"/>
      <c r="AB15" s="84"/>
      <c r="AC15" s="68"/>
      <c r="AD15" s="84"/>
      <c r="AE15" s="60"/>
      <c r="AF15" s="43"/>
      <c r="AG15" s="60"/>
      <c r="AH15" s="44"/>
      <c r="AI15" s="77"/>
      <c r="AJ15" s="44"/>
      <c r="AK15" s="44"/>
      <c r="AL15" s="1096"/>
      <c r="AM15" s="1097"/>
      <c r="AN15" s="574"/>
      <c r="AO15" s="630"/>
      <c r="AP15" s="68"/>
      <c r="AQ15" s="68"/>
      <c r="AR15" s="58"/>
      <c r="AS15" s="59"/>
      <c r="AT15" s="60"/>
    </row>
    <row r="16" spans="2:46" x14ac:dyDescent="0.2">
      <c r="B16" s="999">
        <v>1</v>
      </c>
      <c r="C16" s="992" t="s">
        <v>246</v>
      </c>
      <c r="D16" s="70">
        <f>'Rate Impacts - Rev Req ONLY'!D17</f>
        <v>208635.1321174161</v>
      </c>
      <c r="E16" s="71">
        <f>'Rate Impacts - Rev Req ONLY'!E17</f>
        <v>283691.13211741613</v>
      </c>
      <c r="F16" s="85" t="e">
        <f>SUM('Rev Req Proof Yr1'!AF14:AH14)</f>
        <v>#REF!</v>
      </c>
      <c r="G16" s="75">
        <f>IFERROR((F16/D16),0)</f>
        <v>0</v>
      </c>
      <c r="H16" s="85" t="e">
        <f>SUM('Rev Req Proof Yr1'!AM14:AO14)</f>
        <v>#REF!</v>
      </c>
      <c r="I16" s="74">
        <f>IFERROR((H16/D16),0)</f>
        <v>0</v>
      </c>
      <c r="J16" s="86" t="e">
        <f>SUM('Temps Proof'!W14:Y14)</f>
        <v>#REF!</v>
      </c>
      <c r="K16" s="75">
        <f>IFERROR((J16/E16),0)</f>
        <v>0</v>
      </c>
      <c r="L16" s="86" t="e">
        <f>SUM('Temps Proof'!AA14:AC14)</f>
        <v>#REF!</v>
      </c>
      <c r="M16" s="74">
        <f>IFERROR((L16/E16),0)</f>
        <v>0</v>
      </c>
      <c r="N16" s="86" t="e">
        <f>SUM('Temps Proof'!AE14:AG14)</f>
        <v>#REF!</v>
      </c>
      <c r="O16" s="74">
        <f>IFERROR((N16/E16),0)</f>
        <v>0</v>
      </c>
      <c r="P16" s="1098" t="e">
        <f>SUM(F16,H16)</f>
        <v>#REF!</v>
      </c>
      <c r="Q16" s="896">
        <f>IFERROR((P16/D16),0)</f>
        <v>0</v>
      </c>
      <c r="R16" s="1119" t="e">
        <f>SUM(F16,H16,J16,L16,N16)</f>
        <v>#REF!</v>
      </c>
      <c r="S16" s="1099">
        <f>IFERROR((R16/E16),0)</f>
        <v>0</v>
      </c>
      <c r="T16" s="631"/>
      <c r="U16" s="578"/>
      <c r="V16" s="71" t="e">
        <f>D16+P16+T16</f>
        <v>#REF!</v>
      </c>
      <c r="W16" s="71" t="e">
        <f>E16+R16+T16</f>
        <v>#REF!</v>
      </c>
      <c r="X16" s="73">
        <f>IFERROR((V16-D16)/D16,0)</f>
        <v>0</v>
      </c>
      <c r="Y16" s="74">
        <f>IFERROR((W16-E16)/E16,0)</f>
        <v>0</v>
      </c>
      <c r="Z16" s="75">
        <f>'Avg Bill by RS'!AK14</f>
        <v>0.13600000000000001</v>
      </c>
      <c r="AA16" s="987"/>
      <c r="AB16" s="1016" t="e">
        <f>'Rate Impacts - Rev Req ONLY'!N17</f>
        <v>#REF!</v>
      </c>
      <c r="AC16" s="71" t="e">
        <f>'Rate Impacts - Rev Req ONLY'!O17</f>
        <v>#REF!</v>
      </c>
      <c r="AD16" s="85" t="e">
        <f>SUM('Rev Req Proof Yr2'!AF14:AH14)</f>
        <v>#REF!</v>
      </c>
      <c r="AE16" s="75">
        <f>IFERROR((AD16/AB16),0)</f>
        <v>0</v>
      </c>
      <c r="AF16" s="85" t="e">
        <f>SUM('Temps Proof'!AQ14:AS14)</f>
        <v>#REF!</v>
      </c>
      <c r="AG16" s="75">
        <f>IFERROR((AF16/AC16),0)</f>
        <v>0</v>
      </c>
      <c r="AH16" s="1102" t="e">
        <f>'Exh. RJW-3 Combined'!AJ17</f>
        <v>#REF!</v>
      </c>
      <c r="AI16" s="75">
        <f>IFERROR((AH16/AC16),0)</f>
        <v>0</v>
      </c>
      <c r="AJ16" s="1374" t="e">
        <f>'Exh. RJW-3 Combined'!AM17</f>
        <v>#REF!</v>
      </c>
      <c r="AK16" s="75">
        <f>IFERROR((AJ16/AC16),0)</f>
        <v>0</v>
      </c>
      <c r="AL16" s="1098" t="e">
        <f>AD16+AF16+AH16+AJ16-(J16+L16+N16)</f>
        <v>#REF!</v>
      </c>
      <c r="AM16" s="1099">
        <f>IFERROR((AL16/AC16),0)</f>
        <v>0</v>
      </c>
      <c r="AN16" s="631"/>
      <c r="AO16" s="578"/>
      <c r="AP16" s="71" t="e">
        <f>AB16+AD16+AN16</f>
        <v>#REF!</v>
      </c>
      <c r="AQ16" s="71" t="e">
        <f>AC16+AL16+AN16</f>
        <v>#REF!</v>
      </c>
      <c r="AR16" s="73">
        <f>IFERROR((AP16-AB16)/AB16,0)</f>
        <v>0</v>
      </c>
      <c r="AS16" s="74">
        <f>IFERROR((AQ16-AC16)/AC16,0)</f>
        <v>0</v>
      </c>
      <c r="AT16" s="75" t="e">
        <f>'Avg Bill by RS'!#REF!</f>
        <v>#REF!</v>
      </c>
    </row>
    <row r="17" spans="2:46" x14ac:dyDescent="0.2">
      <c r="B17" s="999">
        <v>2</v>
      </c>
      <c r="C17" s="993" t="s">
        <v>247</v>
      </c>
      <c r="D17" s="70">
        <f>'Rate Impacts - Rev Req ONLY'!D18</f>
        <v>37604.380821902283</v>
      </c>
      <c r="E17" s="71">
        <f>'Rate Impacts - Rev Req ONLY'!E18</f>
        <v>53871.380821902283</v>
      </c>
      <c r="F17" s="85" t="e">
        <f>SUM('Rev Req Proof Yr1'!AF15:AH15)</f>
        <v>#REF!</v>
      </c>
      <c r="G17" s="75">
        <f>IFERROR((F17/D17),0)</f>
        <v>0</v>
      </c>
      <c r="H17" s="85" t="e">
        <f>SUM('Rev Req Proof Yr1'!AM15:AO15)</f>
        <v>#REF!</v>
      </c>
      <c r="I17" s="74">
        <f t="shared" ref="I17:I38" si="0">IFERROR((H17/D17),0)</f>
        <v>0</v>
      </c>
      <c r="J17" s="86" t="e">
        <f>SUM('Temps Proof'!W15:Y15)</f>
        <v>#REF!</v>
      </c>
      <c r="K17" s="75">
        <f t="shared" ref="K17:K38" si="1">IFERROR((J17/E17),0)</f>
        <v>0</v>
      </c>
      <c r="L17" s="86" t="e">
        <f>SUM('Temps Proof'!AA15:AC15)</f>
        <v>#REF!</v>
      </c>
      <c r="M17" s="74">
        <f t="shared" ref="M17:M38" si="2">IFERROR((L17/E17),0)</f>
        <v>0</v>
      </c>
      <c r="N17" s="86" t="e">
        <f>SUM('Temps Proof'!AE15:AG15)</f>
        <v>#REF!</v>
      </c>
      <c r="O17" s="74">
        <f t="shared" ref="O17:O38" si="3">IFERROR((N17/E17),0)</f>
        <v>0</v>
      </c>
      <c r="P17" s="1098" t="e">
        <f t="shared" ref="P17:P37" si="4">SUM(F17,H17)</f>
        <v>#REF!</v>
      </c>
      <c r="Q17" s="896">
        <f t="shared" ref="Q17:Q38" si="5">IFERROR((P17/D17),0)</f>
        <v>0</v>
      </c>
      <c r="R17" s="1119" t="e">
        <f t="shared" ref="R17:R38" si="6">SUM(F17,H17,J17,L17,N17)</f>
        <v>#REF!</v>
      </c>
      <c r="S17" s="1099">
        <f t="shared" ref="S17:S38" si="7">IFERROR((R17/E17),0)</f>
        <v>0</v>
      </c>
      <c r="T17" s="631"/>
      <c r="U17" s="578"/>
      <c r="V17" s="71" t="e">
        <f t="shared" ref="V17:V38" si="8">D17+P17+T17</f>
        <v>#REF!</v>
      </c>
      <c r="W17" s="71" t="e">
        <f t="shared" ref="W17:W38" si="9">E17+R17+T17</f>
        <v>#REF!</v>
      </c>
      <c r="X17" s="73">
        <f t="shared" ref="X17:X31" si="10">IFERROR((V17-D17)/D17,0)</f>
        <v>0</v>
      </c>
      <c r="Y17" s="74">
        <f t="shared" ref="Y17:Y31" si="11">IFERROR((W17-E17)/E17,0)</f>
        <v>0</v>
      </c>
      <c r="Z17" s="75">
        <f>'Avg Bill by RS'!AK15</f>
        <v>0.14299999999999999</v>
      </c>
      <c r="AA17" s="987"/>
      <c r="AB17" s="1016" t="e">
        <f>'Rate Impacts - Rev Req ONLY'!N18</f>
        <v>#REF!</v>
      </c>
      <c r="AC17" s="71" t="e">
        <f>'Rate Impacts - Rev Req ONLY'!O18</f>
        <v>#REF!</v>
      </c>
      <c r="AD17" s="85" t="e">
        <f>SUM('Rev Req Proof Yr2'!AF15:AH15)</f>
        <v>#REF!</v>
      </c>
      <c r="AE17" s="75">
        <f>IFERROR((AD17/AB17),0)</f>
        <v>0</v>
      </c>
      <c r="AF17" s="85" t="e">
        <f>SUM('Temps Proof'!AQ15:AS15)</f>
        <v>#REF!</v>
      </c>
      <c r="AG17" s="75">
        <f t="shared" ref="AG17:AG38" si="12">IFERROR((AF17/AC17),0)</f>
        <v>0</v>
      </c>
      <c r="AH17" s="1102" t="e">
        <f>'Exh. RJW-3 Combined'!AJ18</f>
        <v>#REF!</v>
      </c>
      <c r="AI17" s="75">
        <f t="shared" ref="AI17:AI38" si="13">IFERROR((AH17/AC17),0)</f>
        <v>0</v>
      </c>
      <c r="AJ17" s="1374" t="e">
        <f>'Exh. RJW-3 Combined'!AM18</f>
        <v>#REF!</v>
      </c>
      <c r="AK17" s="75">
        <f t="shared" ref="AK17:AK38" si="14">IFERROR((AJ17/AC17),0)</f>
        <v>0</v>
      </c>
      <c r="AL17" s="1098" t="e">
        <f t="shared" ref="AL17:AL38" si="15">AD17+AF17+AH17+AJ17-(J17+L17+N17)</f>
        <v>#REF!</v>
      </c>
      <c r="AM17" s="1099">
        <f t="shared" ref="AM17:AM38" si="16">IFERROR((AL17/AC17),0)</f>
        <v>0</v>
      </c>
      <c r="AN17" s="631"/>
      <c r="AO17" s="578"/>
      <c r="AP17" s="71" t="e">
        <f t="shared" ref="AP17:AP38" si="17">AB17+AD17+AN17</f>
        <v>#REF!</v>
      </c>
      <c r="AQ17" s="71" t="e">
        <f t="shared" ref="AQ17:AQ38" si="18">AC17+AL17+AN17</f>
        <v>#REF!</v>
      </c>
      <c r="AR17" s="73">
        <f t="shared" ref="AR17:AR38" si="19">IFERROR((AP17-AB17)/AB17,0)</f>
        <v>0</v>
      </c>
      <c r="AS17" s="74">
        <f t="shared" ref="AS17:AS38" si="20">IFERROR((AQ17-AC17)/AC17,0)</f>
        <v>0</v>
      </c>
      <c r="AT17" s="75" t="e">
        <f>'Avg Bill by RS'!#REF!</f>
        <v>#REF!</v>
      </c>
    </row>
    <row r="18" spans="2:46" x14ac:dyDescent="0.2">
      <c r="B18" s="999">
        <v>3</v>
      </c>
      <c r="C18" s="993" t="s">
        <v>12</v>
      </c>
      <c r="D18" s="70">
        <f>'Rate Impacts - Rev Req ONLY'!D19</f>
        <v>33798099.589697547</v>
      </c>
      <c r="E18" s="71">
        <f>'Rate Impacts - Rev Req ONLY'!E19</f>
        <v>53008197.589697547</v>
      </c>
      <c r="F18" s="85" t="e">
        <f>SUM('Rev Req Proof Yr1'!AF16:AH16)</f>
        <v>#REF!</v>
      </c>
      <c r="G18" s="75">
        <f t="shared" ref="G18:G21" si="21">IFERROR((F18/D18),0)</f>
        <v>0</v>
      </c>
      <c r="H18" s="85" t="e">
        <f>SUM('Rev Req Proof Yr1'!AM16:AO16)</f>
        <v>#REF!</v>
      </c>
      <c r="I18" s="74">
        <f t="shared" si="0"/>
        <v>0</v>
      </c>
      <c r="J18" s="86" t="e">
        <f>SUM('Temps Proof'!W16:Y16)</f>
        <v>#REF!</v>
      </c>
      <c r="K18" s="75">
        <f t="shared" si="1"/>
        <v>0</v>
      </c>
      <c r="L18" s="86" t="e">
        <f>SUM('Temps Proof'!AA16:AC16)</f>
        <v>#REF!</v>
      </c>
      <c r="M18" s="74">
        <f t="shared" si="2"/>
        <v>0</v>
      </c>
      <c r="N18" s="86" t="e">
        <f>SUM('Temps Proof'!AE16:AG16)</f>
        <v>#REF!</v>
      </c>
      <c r="O18" s="74">
        <f t="shared" si="3"/>
        <v>0</v>
      </c>
      <c r="P18" s="1098" t="e">
        <f t="shared" si="4"/>
        <v>#REF!</v>
      </c>
      <c r="Q18" s="896">
        <f t="shared" si="5"/>
        <v>0</v>
      </c>
      <c r="R18" s="1119" t="e">
        <f t="shared" si="6"/>
        <v>#REF!</v>
      </c>
      <c r="S18" s="1099">
        <f t="shared" si="7"/>
        <v>0</v>
      </c>
      <c r="T18" s="631"/>
      <c r="U18" s="578"/>
      <c r="V18" s="71" t="e">
        <f t="shared" si="8"/>
        <v>#REF!</v>
      </c>
      <c r="W18" s="71" t="e">
        <f t="shared" si="9"/>
        <v>#REF!</v>
      </c>
      <c r="X18" s="73">
        <f t="shared" si="10"/>
        <v>0</v>
      </c>
      <c r="Y18" s="74">
        <f t="shared" si="11"/>
        <v>0</v>
      </c>
      <c r="Z18" s="75">
        <f>'Avg Bill by RS'!AK16</f>
        <v>0.157</v>
      </c>
      <c r="AA18" s="987"/>
      <c r="AB18" s="1016" t="e">
        <f>'Rate Impacts - Rev Req ONLY'!N19</f>
        <v>#REF!</v>
      </c>
      <c r="AC18" s="71" t="e">
        <f>'Rate Impacts - Rev Req ONLY'!O19</f>
        <v>#REF!</v>
      </c>
      <c r="AD18" s="85" t="e">
        <f>SUM('Rev Req Proof Yr2'!AF16:AH16)</f>
        <v>#REF!</v>
      </c>
      <c r="AE18" s="75">
        <f t="shared" ref="AE18:AE23" si="22">IFERROR((AD18/AB18),0)</f>
        <v>0</v>
      </c>
      <c r="AF18" s="85" t="e">
        <f>SUM('Temps Proof'!AQ16:AS16)</f>
        <v>#REF!</v>
      </c>
      <c r="AG18" s="75">
        <f t="shared" si="12"/>
        <v>0</v>
      </c>
      <c r="AH18" s="1102" t="e">
        <f>'Exh. RJW-3 Combined'!AJ19</f>
        <v>#REF!</v>
      </c>
      <c r="AI18" s="75">
        <f t="shared" si="13"/>
        <v>0</v>
      </c>
      <c r="AJ18" s="1374" t="e">
        <f>'Exh. RJW-3 Combined'!AM19</f>
        <v>#REF!</v>
      </c>
      <c r="AK18" s="75">
        <f t="shared" si="14"/>
        <v>0</v>
      </c>
      <c r="AL18" s="1098" t="e">
        <f>AD18+AF18+AH18+AJ18-(J18+L18+N18)</f>
        <v>#REF!</v>
      </c>
      <c r="AM18" s="1099">
        <f t="shared" si="16"/>
        <v>0</v>
      </c>
      <c r="AN18" s="631"/>
      <c r="AO18" s="578"/>
      <c r="AP18" s="71" t="e">
        <f t="shared" si="17"/>
        <v>#REF!</v>
      </c>
      <c r="AQ18" s="71" t="e">
        <f t="shared" si="18"/>
        <v>#REF!</v>
      </c>
      <c r="AR18" s="73">
        <f t="shared" si="19"/>
        <v>0</v>
      </c>
      <c r="AS18" s="74">
        <f t="shared" si="20"/>
        <v>0</v>
      </c>
      <c r="AT18" s="75" t="e">
        <f>'Avg Bill by RS'!#REF!</f>
        <v>#REF!</v>
      </c>
    </row>
    <row r="19" spans="2:46" x14ac:dyDescent="0.2">
      <c r="B19" s="999">
        <v>4</v>
      </c>
      <c r="C19" s="993" t="s">
        <v>10</v>
      </c>
      <c r="D19" s="70">
        <f>'Rate Impacts - Rev Req ONLY'!D20</f>
        <v>9866168.0688334089</v>
      </c>
      <c r="E19" s="71">
        <f>'Rate Impacts - Rev Req ONLY'!E20</f>
        <v>16112007.068833409</v>
      </c>
      <c r="F19" s="85" t="e">
        <f>SUM('Rev Req Proof Yr1'!AF17:AH17)</f>
        <v>#REF!</v>
      </c>
      <c r="G19" s="75">
        <f t="shared" si="21"/>
        <v>0</v>
      </c>
      <c r="H19" s="85" t="e">
        <f>SUM('Rev Req Proof Yr1'!AM17:AO17)</f>
        <v>#REF!</v>
      </c>
      <c r="I19" s="74">
        <f t="shared" si="0"/>
        <v>0</v>
      </c>
      <c r="J19" s="86" t="e">
        <f>SUM('Temps Proof'!W17:Y17)</f>
        <v>#REF!</v>
      </c>
      <c r="K19" s="75">
        <f t="shared" si="1"/>
        <v>0</v>
      </c>
      <c r="L19" s="86" t="e">
        <f>SUM('Temps Proof'!AA17:AC17)</f>
        <v>#REF!</v>
      </c>
      <c r="M19" s="74">
        <f t="shared" si="2"/>
        <v>0</v>
      </c>
      <c r="N19" s="86" t="e">
        <f>SUM('Temps Proof'!AE17:AG17)</f>
        <v>#REF!</v>
      </c>
      <c r="O19" s="74">
        <f t="shared" si="3"/>
        <v>0</v>
      </c>
      <c r="P19" s="1098" t="e">
        <f t="shared" si="4"/>
        <v>#REF!</v>
      </c>
      <c r="Q19" s="896">
        <f t="shared" si="5"/>
        <v>0</v>
      </c>
      <c r="R19" s="1119" t="e">
        <f t="shared" si="6"/>
        <v>#REF!</v>
      </c>
      <c r="S19" s="1099">
        <f t="shared" si="7"/>
        <v>0</v>
      </c>
      <c r="T19" s="631"/>
      <c r="U19" s="578"/>
      <c r="V19" s="71" t="e">
        <f t="shared" si="8"/>
        <v>#REF!</v>
      </c>
      <c r="W19" s="71" t="e">
        <f t="shared" si="9"/>
        <v>#REF!</v>
      </c>
      <c r="X19" s="73">
        <f t="shared" si="10"/>
        <v>0</v>
      </c>
      <c r="Y19" s="74">
        <f t="shared" si="11"/>
        <v>0</v>
      </c>
      <c r="Z19" s="75">
        <f>'Avg Bill by RS'!AK17</f>
        <v>0.16200000000000001</v>
      </c>
      <c r="AA19" s="987"/>
      <c r="AB19" s="1016" t="e">
        <f>'Rate Impacts - Rev Req ONLY'!N20</f>
        <v>#REF!</v>
      </c>
      <c r="AC19" s="71" t="e">
        <f>'Rate Impacts - Rev Req ONLY'!O20</f>
        <v>#REF!</v>
      </c>
      <c r="AD19" s="85" t="e">
        <f>SUM('Rev Req Proof Yr2'!AF17:AH17)</f>
        <v>#REF!</v>
      </c>
      <c r="AE19" s="75">
        <f t="shared" si="22"/>
        <v>0</v>
      </c>
      <c r="AF19" s="85" t="e">
        <f>SUM('Temps Proof'!AQ17:AS17)</f>
        <v>#REF!</v>
      </c>
      <c r="AG19" s="75">
        <f t="shared" si="12"/>
        <v>0</v>
      </c>
      <c r="AH19" s="1102" t="e">
        <f>'Exh. RJW-3 Combined'!AJ20</f>
        <v>#REF!</v>
      </c>
      <c r="AI19" s="75">
        <f t="shared" si="13"/>
        <v>0</v>
      </c>
      <c r="AJ19" s="1374" t="e">
        <f>'Exh. RJW-3 Combined'!AM20</f>
        <v>#REF!</v>
      </c>
      <c r="AK19" s="75">
        <f t="shared" si="14"/>
        <v>0</v>
      </c>
      <c r="AL19" s="1098" t="e">
        <f t="shared" si="15"/>
        <v>#REF!</v>
      </c>
      <c r="AM19" s="1099">
        <f t="shared" si="16"/>
        <v>0</v>
      </c>
      <c r="AN19" s="631"/>
      <c r="AO19" s="578"/>
      <c r="AP19" s="71" t="e">
        <f t="shared" si="17"/>
        <v>#REF!</v>
      </c>
      <c r="AQ19" s="71" t="e">
        <f t="shared" si="18"/>
        <v>#REF!</v>
      </c>
      <c r="AR19" s="73">
        <f t="shared" si="19"/>
        <v>0</v>
      </c>
      <c r="AS19" s="74">
        <f t="shared" si="20"/>
        <v>0</v>
      </c>
      <c r="AT19" s="75" t="e">
        <f>'Avg Bill by RS'!#REF!</f>
        <v>#REF!</v>
      </c>
    </row>
    <row r="20" spans="2:46" x14ac:dyDescent="0.2">
      <c r="B20" s="999">
        <v>5</v>
      </c>
      <c r="C20" s="993" t="s">
        <v>11</v>
      </c>
      <c r="D20" s="70">
        <f>'Rate Impacts - Rev Req ONLY'!D21</f>
        <v>141888.72505190157</v>
      </c>
      <c r="E20" s="71">
        <f>'Rate Impacts - Rev Req ONLY'!E21</f>
        <v>241043.72505190157</v>
      </c>
      <c r="F20" s="85" t="e">
        <f>SUM('Rev Req Proof Yr1'!AF18:AH18)</f>
        <v>#REF!</v>
      </c>
      <c r="G20" s="75">
        <f t="shared" si="21"/>
        <v>0</v>
      </c>
      <c r="H20" s="85" t="e">
        <f>SUM('Rev Req Proof Yr1'!AM18:AO18)</f>
        <v>#REF!</v>
      </c>
      <c r="I20" s="74">
        <f t="shared" si="0"/>
        <v>0</v>
      </c>
      <c r="J20" s="86" t="e">
        <f>SUM('Temps Proof'!W18:Y18)</f>
        <v>#REF!</v>
      </c>
      <c r="K20" s="75">
        <f t="shared" si="1"/>
        <v>0</v>
      </c>
      <c r="L20" s="86" t="e">
        <f>SUM('Temps Proof'!AA18:AC18)</f>
        <v>#REF!</v>
      </c>
      <c r="M20" s="74">
        <f t="shared" si="2"/>
        <v>0</v>
      </c>
      <c r="N20" s="86" t="e">
        <f>SUM('Temps Proof'!AE18:AG18)</f>
        <v>#REF!</v>
      </c>
      <c r="O20" s="74">
        <f t="shared" si="3"/>
        <v>0</v>
      </c>
      <c r="P20" s="1098" t="e">
        <f t="shared" si="4"/>
        <v>#REF!</v>
      </c>
      <c r="Q20" s="896">
        <f t="shared" si="5"/>
        <v>0</v>
      </c>
      <c r="R20" s="1119" t="e">
        <f t="shared" si="6"/>
        <v>#REF!</v>
      </c>
      <c r="S20" s="1099">
        <f t="shared" si="7"/>
        <v>0</v>
      </c>
      <c r="T20" s="631"/>
      <c r="U20" s="578"/>
      <c r="V20" s="71" t="e">
        <f t="shared" si="8"/>
        <v>#REF!</v>
      </c>
      <c r="W20" s="71" t="e">
        <f t="shared" si="9"/>
        <v>#REF!</v>
      </c>
      <c r="X20" s="73">
        <f t="shared" si="10"/>
        <v>0</v>
      </c>
      <c r="Y20" s="74">
        <f t="shared" si="11"/>
        <v>0</v>
      </c>
      <c r="Z20" s="75">
        <f>'Avg Bill by RS'!AK18</f>
        <v>0.17799999999999999</v>
      </c>
      <c r="AA20" s="987"/>
      <c r="AB20" s="1016" t="e">
        <f>'Rate Impacts - Rev Req ONLY'!N21</f>
        <v>#REF!</v>
      </c>
      <c r="AC20" s="71" t="e">
        <f>'Rate Impacts - Rev Req ONLY'!O21</f>
        <v>#REF!</v>
      </c>
      <c r="AD20" s="85" t="e">
        <f>SUM('Rev Req Proof Yr2'!AF18:AH18)</f>
        <v>#REF!</v>
      </c>
      <c r="AE20" s="75">
        <f t="shared" si="22"/>
        <v>0</v>
      </c>
      <c r="AF20" s="85" t="e">
        <f>SUM('Temps Proof'!AQ18:AS18)</f>
        <v>#REF!</v>
      </c>
      <c r="AG20" s="75">
        <f t="shared" si="12"/>
        <v>0</v>
      </c>
      <c r="AH20" s="1102" t="e">
        <f>'Exh. RJW-3 Combined'!AJ21</f>
        <v>#REF!</v>
      </c>
      <c r="AI20" s="75">
        <f t="shared" si="13"/>
        <v>0</v>
      </c>
      <c r="AJ20" s="1374" t="e">
        <f>'Exh. RJW-3 Combined'!AM21</f>
        <v>#REF!</v>
      </c>
      <c r="AK20" s="75">
        <f t="shared" si="14"/>
        <v>0</v>
      </c>
      <c r="AL20" s="1098" t="e">
        <f t="shared" si="15"/>
        <v>#REF!</v>
      </c>
      <c r="AM20" s="1099">
        <f t="shared" si="16"/>
        <v>0</v>
      </c>
      <c r="AN20" s="631"/>
      <c r="AO20" s="578"/>
      <c r="AP20" s="71" t="e">
        <f t="shared" si="17"/>
        <v>#REF!</v>
      </c>
      <c r="AQ20" s="71" t="e">
        <f t="shared" si="18"/>
        <v>#REF!</v>
      </c>
      <c r="AR20" s="73">
        <f t="shared" si="19"/>
        <v>0</v>
      </c>
      <c r="AS20" s="74">
        <f t="shared" si="20"/>
        <v>0</v>
      </c>
      <c r="AT20" s="75" t="e">
        <f>'Avg Bill by RS'!#REF!</f>
        <v>#REF!</v>
      </c>
    </row>
    <row r="21" spans="2:46" x14ac:dyDescent="0.2">
      <c r="B21" s="1000">
        <v>6</v>
      </c>
      <c r="C21" s="993">
        <v>27</v>
      </c>
      <c r="D21" s="70">
        <f>'Rate Impacts - Rev Req ONLY'!D22</f>
        <v>201938.20437801833</v>
      </c>
      <c r="E21" s="71">
        <f>'Rate Impacts - Rev Req ONLY'!E22</f>
        <v>363218.20437801839</v>
      </c>
      <c r="F21" s="85" t="e">
        <f>SUM('Rev Req Proof Yr1'!AF19:AH19)</f>
        <v>#REF!</v>
      </c>
      <c r="G21" s="75">
        <f t="shared" si="21"/>
        <v>0</v>
      </c>
      <c r="H21" s="85" t="e">
        <f>SUM('Rev Req Proof Yr1'!AM19:AO19)</f>
        <v>#REF!</v>
      </c>
      <c r="I21" s="74">
        <f t="shared" si="0"/>
        <v>0</v>
      </c>
      <c r="J21" s="86" t="e">
        <f>SUM('Temps Proof'!W19:Y19)</f>
        <v>#REF!</v>
      </c>
      <c r="K21" s="75">
        <f t="shared" si="1"/>
        <v>0</v>
      </c>
      <c r="L21" s="86" t="e">
        <f>SUM('Temps Proof'!AA19:AC19)</f>
        <v>#REF!</v>
      </c>
      <c r="M21" s="74">
        <f t="shared" si="2"/>
        <v>0</v>
      </c>
      <c r="N21" s="86" t="e">
        <f>SUM('Temps Proof'!AE19:AG19)</f>
        <v>#REF!</v>
      </c>
      <c r="O21" s="74">
        <f t="shared" si="3"/>
        <v>0</v>
      </c>
      <c r="P21" s="1098" t="e">
        <f t="shared" si="4"/>
        <v>#REF!</v>
      </c>
      <c r="Q21" s="896">
        <f t="shared" si="5"/>
        <v>0</v>
      </c>
      <c r="R21" s="1119" t="e">
        <f t="shared" si="6"/>
        <v>#REF!</v>
      </c>
      <c r="S21" s="1099">
        <f t="shared" si="7"/>
        <v>0</v>
      </c>
      <c r="T21" s="631"/>
      <c r="U21" s="578"/>
      <c r="V21" s="71" t="e">
        <f t="shared" si="8"/>
        <v>#REF!</v>
      </c>
      <c r="W21" s="71" t="e">
        <f t="shared" si="9"/>
        <v>#REF!</v>
      </c>
      <c r="X21" s="73">
        <f t="shared" si="10"/>
        <v>0</v>
      </c>
      <c r="Y21" s="74">
        <f t="shared" si="11"/>
        <v>0</v>
      </c>
      <c r="Z21" s="75">
        <f>'Avg Bill by RS'!AK19</f>
        <v>0.17599999999999999</v>
      </c>
      <c r="AA21" s="987"/>
      <c r="AB21" s="1016" t="e">
        <f>'Rate Impacts - Rev Req ONLY'!N22</f>
        <v>#REF!</v>
      </c>
      <c r="AC21" s="71" t="e">
        <f>'Rate Impacts - Rev Req ONLY'!O22</f>
        <v>#REF!</v>
      </c>
      <c r="AD21" s="85" t="e">
        <f>SUM('Rev Req Proof Yr2'!AF19:AH19)</f>
        <v>#REF!</v>
      </c>
      <c r="AE21" s="75">
        <f t="shared" si="22"/>
        <v>0</v>
      </c>
      <c r="AF21" s="85" t="e">
        <f>SUM('Temps Proof'!AQ19:AS19)</f>
        <v>#REF!</v>
      </c>
      <c r="AG21" s="75">
        <f t="shared" si="12"/>
        <v>0</v>
      </c>
      <c r="AH21" s="1102" t="e">
        <f>'Exh. RJW-3 Combined'!AJ22</f>
        <v>#REF!</v>
      </c>
      <c r="AI21" s="75">
        <f t="shared" si="13"/>
        <v>0</v>
      </c>
      <c r="AJ21" s="1374" t="e">
        <f>'Exh. RJW-3 Combined'!AM22</f>
        <v>#REF!</v>
      </c>
      <c r="AK21" s="75">
        <f t="shared" si="14"/>
        <v>0</v>
      </c>
      <c r="AL21" s="1098" t="e">
        <f t="shared" si="15"/>
        <v>#REF!</v>
      </c>
      <c r="AM21" s="1099">
        <f t="shared" si="16"/>
        <v>0</v>
      </c>
      <c r="AN21" s="631"/>
      <c r="AO21" s="578"/>
      <c r="AP21" s="71" t="e">
        <f t="shared" si="17"/>
        <v>#REF!</v>
      </c>
      <c r="AQ21" s="71" t="e">
        <f t="shared" si="18"/>
        <v>#REF!</v>
      </c>
      <c r="AR21" s="73">
        <f t="shared" si="19"/>
        <v>0</v>
      </c>
      <c r="AS21" s="74">
        <f t="shared" si="20"/>
        <v>0</v>
      </c>
      <c r="AT21" s="75" t="e">
        <f>'Avg Bill by RS'!#REF!</f>
        <v>#REF!</v>
      </c>
    </row>
    <row r="22" spans="2:46" x14ac:dyDescent="0.2">
      <c r="B22" s="999">
        <v>7</v>
      </c>
      <c r="C22" s="993" t="s">
        <v>266</v>
      </c>
      <c r="D22" s="70">
        <f>'Rate Impacts - Rev Req ONLY'!D23</f>
        <v>1542348.175315036</v>
      </c>
      <c r="E22" s="71">
        <f>'Rate Impacts - Rev Req ONLY'!E23</f>
        <v>2853836.1753150364</v>
      </c>
      <c r="F22" s="85" t="e">
        <f>SUM('Rev Req Proof Yr1'!AF22:AH22)</f>
        <v>#REF!</v>
      </c>
      <c r="G22" s="75">
        <f t="shared" ref="G22:G33" si="23">IFERROR((F22/D22),0)</f>
        <v>0</v>
      </c>
      <c r="H22" s="85" t="e">
        <f>SUM('Rev Req Proof Yr1'!AM22:AO22)</f>
        <v>#REF!</v>
      </c>
      <c r="I22" s="74">
        <f t="shared" si="0"/>
        <v>0</v>
      </c>
      <c r="J22" s="86" t="e">
        <f>SUM('Temps Proof'!W22:Y22)</f>
        <v>#REF!</v>
      </c>
      <c r="K22" s="75">
        <f t="shared" si="1"/>
        <v>0</v>
      </c>
      <c r="L22" s="86" t="e">
        <f>SUM('Temps Proof'!AA22:AC22)</f>
        <v>#REF!</v>
      </c>
      <c r="M22" s="74">
        <f t="shared" si="2"/>
        <v>0</v>
      </c>
      <c r="N22" s="86" t="e">
        <f>SUM('Temps Proof'!AE22:AG22)</f>
        <v>#REF!</v>
      </c>
      <c r="O22" s="74">
        <f t="shared" si="3"/>
        <v>0</v>
      </c>
      <c r="P22" s="1098" t="e">
        <f t="shared" si="4"/>
        <v>#REF!</v>
      </c>
      <c r="Q22" s="896">
        <f t="shared" si="5"/>
        <v>0</v>
      </c>
      <c r="R22" s="1119" t="e">
        <f t="shared" si="6"/>
        <v>#REF!</v>
      </c>
      <c r="S22" s="1099">
        <f t="shared" si="7"/>
        <v>0</v>
      </c>
      <c r="T22" s="631"/>
      <c r="U22" s="578"/>
      <c r="V22" s="71" t="e">
        <f t="shared" si="8"/>
        <v>#REF!</v>
      </c>
      <c r="W22" s="71" t="e">
        <f t="shared" si="9"/>
        <v>#REF!</v>
      </c>
      <c r="X22" s="73">
        <f t="shared" si="10"/>
        <v>0</v>
      </c>
      <c r="Y22" s="74">
        <f t="shared" si="11"/>
        <v>0</v>
      </c>
      <c r="Z22" s="75">
        <f>'Avg Bill by RS'!AK22</f>
        <v>0.19400000000000001</v>
      </c>
      <c r="AA22" s="987"/>
      <c r="AB22" s="1016" t="e">
        <f>'Rate Impacts - Rev Req ONLY'!N23</f>
        <v>#REF!</v>
      </c>
      <c r="AC22" s="71" t="e">
        <f>'Rate Impacts - Rev Req ONLY'!O23</f>
        <v>#REF!</v>
      </c>
      <c r="AD22" s="85" t="e">
        <f>SUM('Rev Req Proof Yr2'!AF22:AH22)</f>
        <v>#REF!</v>
      </c>
      <c r="AE22" s="75">
        <f t="shared" si="22"/>
        <v>0</v>
      </c>
      <c r="AF22" s="85" t="e">
        <f>SUM('Temps Proof'!AQ22:AS22)</f>
        <v>#REF!</v>
      </c>
      <c r="AG22" s="75">
        <f t="shared" si="12"/>
        <v>0</v>
      </c>
      <c r="AH22" s="1102" t="e">
        <f>'Exh. RJW-3 Combined'!AJ23</f>
        <v>#REF!</v>
      </c>
      <c r="AI22" s="75">
        <f t="shared" si="13"/>
        <v>0</v>
      </c>
      <c r="AJ22" s="1374" t="e">
        <f>'Exh. RJW-3 Combined'!AM23</f>
        <v>#REF!</v>
      </c>
      <c r="AK22" s="75">
        <f t="shared" si="14"/>
        <v>0</v>
      </c>
      <c r="AL22" s="1098" t="e">
        <f t="shared" si="15"/>
        <v>#REF!</v>
      </c>
      <c r="AM22" s="1099">
        <f t="shared" si="16"/>
        <v>0</v>
      </c>
      <c r="AN22" s="631"/>
      <c r="AO22" s="578"/>
      <c r="AP22" s="71" t="e">
        <f t="shared" si="17"/>
        <v>#REF!</v>
      </c>
      <c r="AQ22" s="71" t="e">
        <f t="shared" si="18"/>
        <v>#REF!</v>
      </c>
      <c r="AR22" s="73">
        <f t="shared" si="19"/>
        <v>0</v>
      </c>
      <c r="AS22" s="74">
        <f t="shared" si="20"/>
        <v>0</v>
      </c>
      <c r="AT22" s="75" t="e">
        <f>'Avg Bill by RS'!#REF!</f>
        <v>#REF!</v>
      </c>
    </row>
    <row r="23" spans="2:46" x14ac:dyDescent="0.2">
      <c r="B23" s="999">
        <v>8</v>
      </c>
      <c r="C23" s="993" t="s">
        <v>267</v>
      </c>
      <c r="D23" s="70">
        <f>'Rate Impacts - Rev Req ONLY'!D24</f>
        <v>392614.2804678994</v>
      </c>
      <c r="E23" s="71">
        <f>'Rate Impacts - Rev Req ONLY'!E24</f>
        <v>747266.28046789952</v>
      </c>
      <c r="F23" s="85" t="e">
        <f>SUM('Rev Req Proof Yr1'!AF25:AH25)</f>
        <v>#REF!</v>
      </c>
      <c r="G23" s="75">
        <f t="shared" si="23"/>
        <v>0</v>
      </c>
      <c r="H23" s="85" t="e">
        <f>SUM('Rev Req Proof Yr1'!AM25:AO25)</f>
        <v>#REF!</v>
      </c>
      <c r="I23" s="74">
        <f t="shared" si="0"/>
        <v>0</v>
      </c>
      <c r="J23" s="86" t="e">
        <f>SUM('Temps Proof'!W25:Y25)</f>
        <v>#REF!</v>
      </c>
      <c r="K23" s="75">
        <f t="shared" si="1"/>
        <v>0</v>
      </c>
      <c r="L23" s="86" t="e">
        <f>SUM('Temps Proof'!AA25:AC25)</f>
        <v>#REF!</v>
      </c>
      <c r="M23" s="74">
        <f t="shared" si="2"/>
        <v>0</v>
      </c>
      <c r="N23" s="86" t="e">
        <f>SUM('Temps Proof'!AE25:AG25)</f>
        <v>#REF!</v>
      </c>
      <c r="O23" s="74">
        <f t="shared" si="3"/>
        <v>0</v>
      </c>
      <c r="P23" s="1098" t="e">
        <f t="shared" si="4"/>
        <v>#REF!</v>
      </c>
      <c r="Q23" s="896">
        <f t="shared" si="5"/>
        <v>0</v>
      </c>
      <c r="R23" s="1119" t="e">
        <f t="shared" si="6"/>
        <v>#REF!</v>
      </c>
      <c r="S23" s="1099">
        <f t="shared" si="7"/>
        <v>0</v>
      </c>
      <c r="T23" s="631"/>
      <c r="U23" s="578"/>
      <c r="V23" s="71" t="e">
        <f t="shared" si="8"/>
        <v>#REF!</v>
      </c>
      <c r="W23" s="71" t="e">
        <f t="shared" si="9"/>
        <v>#REF!</v>
      </c>
      <c r="X23" s="73">
        <f t="shared" si="10"/>
        <v>0</v>
      </c>
      <c r="Y23" s="74">
        <f t="shared" si="11"/>
        <v>0</v>
      </c>
      <c r="Z23" s="75">
        <f>'Avg Bill by RS'!AK25</f>
        <v>0.17599999999999999</v>
      </c>
      <c r="AA23" s="987"/>
      <c r="AB23" s="1016" t="e">
        <f>'Rate Impacts - Rev Req ONLY'!N24</f>
        <v>#REF!</v>
      </c>
      <c r="AC23" s="71" t="e">
        <f>'Rate Impacts - Rev Req ONLY'!O24</f>
        <v>#REF!</v>
      </c>
      <c r="AD23" s="85" t="e">
        <f>SUM('Rev Req Proof Yr2'!AF25:AH25)</f>
        <v>#REF!</v>
      </c>
      <c r="AE23" s="75">
        <f t="shared" si="22"/>
        <v>0</v>
      </c>
      <c r="AF23" s="85" t="e">
        <f>SUM('Temps Proof'!AQ25:AS25)</f>
        <v>#REF!</v>
      </c>
      <c r="AG23" s="75">
        <f t="shared" si="12"/>
        <v>0</v>
      </c>
      <c r="AH23" s="1102" t="e">
        <f>'Exh. RJW-3 Combined'!AJ24</f>
        <v>#REF!</v>
      </c>
      <c r="AI23" s="75">
        <f t="shared" si="13"/>
        <v>0</v>
      </c>
      <c r="AJ23" s="1374" t="e">
        <f>'Exh. RJW-3 Combined'!AM24</f>
        <v>#REF!</v>
      </c>
      <c r="AK23" s="75">
        <f t="shared" si="14"/>
        <v>0</v>
      </c>
      <c r="AL23" s="1098" t="e">
        <f t="shared" si="15"/>
        <v>#REF!</v>
      </c>
      <c r="AM23" s="1099">
        <f t="shared" si="16"/>
        <v>0</v>
      </c>
      <c r="AN23" s="631"/>
      <c r="AO23" s="578"/>
      <c r="AP23" s="71" t="e">
        <f t="shared" si="17"/>
        <v>#REF!</v>
      </c>
      <c r="AQ23" s="71" t="e">
        <f t="shared" si="18"/>
        <v>#REF!</v>
      </c>
      <c r="AR23" s="73">
        <f t="shared" si="19"/>
        <v>0</v>
      </c>
      <c r="AS23" s="74">
        <f t="shared" si="20"/>
        <v>0</v>
      </c>
      <c r="AT23" s="75" t="e">
        <f>'Avg Bill by RS'!#REF!</f>
        <v>#REF!</v>
      </c>
    </row>
    <row r="24" spans="2:46" x14ac:dyDescent="0.2">
      <c r="B24" s="999">
        <v>9</v>
      </c>
      <c r="C24" s="993" t="s">
        <v>269</v>
      </c>
      <c r="D24" s="70">
        <f>'Rate Impacts - Rev Req ONLY'!D25</f>
        <v>0</v>
      </c>
      <c r="E24" s="71">
        <f>'Rate Impacts - Rev Req ONLY'!E25</f>
        <v>0</v>
      </c>
      <c r="F24" s="85" t="e">
        <f>SUM('Rev Req Proof Yr1'!AF28:AH28)</f>
        <v>#REF!</v>
      </c>
      <c r="G24" s="75">
        <f>IFERROR((F24/D24),0)</f>
        <v>0</v>
      </c>
      <c r="H24" s="85" t="e">
        <f>SUM('Rev Req Proof Yr1'!AM28:AO28)</f>
        <v>#REF!</v>
      </c>
      <c r="I24" s="74">
        <f t="shared" si="0"/>
        <v>0</v>
      </c>
      <c r="J24" s="86" t="e">
        <f>SUM('Temps Proof'!W28:Y28)</f>
        <v>#REF!</v>
      </c>
      <c r="K24" s="75">
        <f t="shared" si="1"/>
        <v>0</v>
      </c>
      <c r="L24" s="86" t="e">
        <f>SUM('Temps Proof'!AA28:AC28)</f>
        <v>#REF!</v>
      </c>
      <c r="M24" s="74">
        <f t="shared" si="2"/>
        <v>0</v>
      </c>
      <c r="N24" s="86" t="e">
        <f>SUM('Temps Proof'!AE28:AG28)</f>
        <v>#REF!</v>
      </c>
      <c r="O24" s="74">
        <f t="shared" si="3"/>
        <v>0</v>
      </c>
      <c r="P24" s="1098" t="e">
        <f t="shared" si="4"/>
        <v>#REF!</v>
      </c>
      <c r="Q24" s="896">
        <f t="shared" si="5"/>
        <v>0</v>
      </c>
      <c r="R24" s="1119" t="e">
        <f t="shared" si="6"/>
        <v>#REF!</v>
      </c>
      <c r="S24" s="1099">
        <f t="shared" si="7"/>
        <v>0</v>
      </c>
      <c r="T24" s="631"/>
      <c r="U24" s="578"/>
      <c r="V24" s="71" t="e">
        <f t="shared" si="8"/>
        <v>#REF!</v>
      </c>
      <c r="W24" s="71" t="e">
        <f t="shared" si="9"/>
        <v>#REF!</v>
      </c>
      <c r="X24" s="73">
        <f t="shared" si="10"/>
        <v>0</v>
      </c>
      <c r="Y24" s="74">
        <f t="shared" si="11"/>
        <v>0</v>
      </c>
      <c r="Z24" s="75">
        <f>'Avg Bill by RS'!AK28</f>
        <v>0</v>
      </c>
      <c r="AA24" s="987"/>
      <c r="AB24" s="1016" t="e">
        <f>'Rate Impacts - Rev Req ONLY'!N25</f>
        <v>#REF!</v>
      </c>
      <c r="AC24" s="71" t="e">
        <f>'Rate Impacts - Rev Req ONLY'!O25</f>
        <v>#REF!</v>
      </c>
      <c r="AD24" s="85" t="e">
        <f>SUM('Rev Req Proof Yr2'!AF28:AH28)</f>
        <v>#REF!</v>
      </c>
      <c r="AE24" s="75">
        <f>IFERROR((AD24/AB24),0)</f>
        <v>0</v>
      </c>
      <c r="AF24" s="85" t="e">
        <f>SUM('Temps Proof'!AQ28:AS28)</f>
        <v>#REF!</v>
      </c>
      <c r="AG24" s="75">
        <f t="shared" si="12"/>
        <v>0</v>
      </c>
      <c r="AH24" s="1102" t="e">
        <f>'Exh. RJW-3 Combined'!AJ25</f>
        <v>#REF!</v>
      </c>
      <c r="AI24" s="75">
        <f t="shared" si="13"/>
        <v>0</v>
      </c>
      <c r="AJ24" s="1374" t="e">
        <f>'Exh. RJW-3 Combined'!AM25</f>
        <v>#REF!</v>
      </c>
      <c r="AK24" s="75">
        <f t="shared" si="14"/>
        <v>0</v>
      </c>
      <c r="AL24" s="1098" t="e">
        <f t="shared" si="15"/>
        <v>#REF!</v>
      </c>
      <c r="AM24" s="1099">
        <f t="shared" si="16"/>
        <v>0</v>
      </c>
      <c r="AN24" s="631"/>
      <c r="AO24" s="578"/>
      <c r="AP24" s="71" t="e">
        <f t="shared" si="17"/>
        <v>#REF!</v>
      </c>
      <c r="AQ24" s="71" t="e">
        <f t="shared" si="18"/>
        <v>#REF!</v>
      </c>
      <c r="AR24" s="73">
        <f t="shared" si="19"/>
        <v>0</v>
      </c>
      <c r="AS24" s="74">
        <f t="shared" si="20"/>
        <v>0</v>
      </c>
      <c r="AT24" s="75" t="e">
        <f>'Avg Bill by RS'!#REF!</f>
        <v>#REF!</v>
      </c>
    </row>
    <row r="25" spans="2:46" x14ac:dyDescent="0.2">
      <c r="B25" s="999">
        <v>10</v>
      </c>
      <c r="C25" s="993" t="s">
        <v>270</v>
      </c>
      <c r="D25" s="70">
        <f>'Rate Impacts - Rev Req ONLY'!D26</f>
        <v>0</v>
      </c>
      <c r="E25" s="71">
        <f>'Rate Impacts - Rev Req ONLY'!E26</f>
        <v>0</v>
      </c>
      <c r="F25" s="85" t="e">
        <f>SUM('Rev Req Proof Yr1'!AF31:AH31)</f>
        <v>#REF!</v>
      </c>
      <c r="G25" s="75">
        <f t="shared" si="23"/>
        <v>0</v>
      </c>
      <c r="H25" s="85" t="e">
        <f>SUM('Rev Req Proof Yr1'!AM31:AO31)</f>
        <v>#REF!</v>
      </c>
      <c r="I25" s="74">
        <f t="shared" si="0"/>
        <v>0</v>
      </c>
      <c r="J25" s="86" t="e">
        <f>SUM('Temps Proof'!W31:Y31)</f>
        <v>#REF!</v>
      </c>
      <c r="K25" s="75">
        <f t="shared" si="1"/>
        <v>0</v>
      </c>
      <c r="L25" s="86" t="e">
        <f>SUM('Temps Proof'!AA31:AC31)</f>
        <v>#REF!</v>
      </c>
      <c r="M25" s="74">
        <f t="shared" si="2"/>
        <v>0</v>
      </c>
      <c r="N25" s="86" t="e">
        <f>SUM('Temps Proof'!AE31:AG31)</f>
        <v>#REF!</v>
      </c>
      <c r="O25" s="74">
        <f t="shared" si="3"/>
        <v>0</v>
      </c>
      <c r="P25" s="1098" t="e">
        <f t="shared" si="4"/>
        <v>#REF!</v>
      </c>
      <c r="Q25" s="896">
        <f t="shared" si="5"/>
        <v>0</v>
      </c>
      <c r="R25" s="1119" t="e">
        <f t="shared" si="6"/>
        <v>#REF!</v>
      </c>
      <c r="S25" s="1099">
        <f t="shared" si="7"/>
        <v>0</v>
      </c>
      <c r="T25" s="631"/>
      <c r="U25" s="578"/>
      <c r="V25" s="71" t="e">
        <f t="shared" si="8"/>
        <v>#REF!</v>
      </c>
      <c r="W25" s="71" t="e">
        <f t="shared" si="9"/>
        <v>#REF!</v>
      </c>
      <c r="X25" s="73">
        <f t="shared" si="10"/>
        <v>0</v>
      </c>
      <c r="Y25" s="74">
        <f t="shared" si="11"/>
        <v>0</v>
      </c>
      <c r="Z25" s="75">
        <f>'Avg Bill by RS'!AK31</f>
        <v>0</v>
      </c>
      <c r="AA25" s="987"/>
      <c r="AB25" s="1016" t="e">
        <f>'Rate Impacts - Rev Req ONLY'!N26</f>
        <v>#REF!</v>
      </c>
      <c r="AC25" s="71" t="e">
        <f>'Rate Impacts - Rev Req ONLY'!O26</f>
        <v>#REF!</v>
      </c>
      <c r="AD25" s="85" t="e">
        <f>SUM('Rev Req Proof Yr2'!AF31:AH31)</f>
        <v>#REF!</v>
      </c>
      <c r="AE25" s="75">
        <f t="shared" ref="AE25" si="24">IFERROR((AD25/AB25),0)</f>
        <v>0</v>
      </c>
      <c r="AF25" s="85" t="e">
        <f>SUM('Temps Proof'!AQ31:AS31)</f>
        <v>#REF!</v>
      </c>
      <c r="AG25" s="75">
        <f t="shared" si="12"/>
        <v>0</v>
      </c>
      <c r="AH25" s="1102" t="e">
        <f>'Exh. RJW-3 Combined'!AJ26</f>
        <v>#REF!</v>
      </c>
      <c r="AI25" s="75">
        <f t="shared" si="13"/>
        <v>0</v>
      </c>
      <c r="AJ25" s="1374" t="e">
        <f>'Exh. RJW-3 Combined'!AM26</f>
        <v>#REF!</v>
      </c>
      <c r="AK25" s="75">
        <f t="shared" si="14"/>
        <v>0</v>
      </c>
      <c r="AL25" s="1098" t="e">
        <f t="shared" si="15"/>
        <v>#REF!</v>
      </c>
      <c r="AM25" s="1099">
        <f t="shared" si="16"/>
        <v>0</v>
      </c>
      <c r="AN25" s="631"/>
      <c r="AO25" s="578"/>
      <c r="AP25" s="71" t="e">
        <f t="shared" si="17"/>
        <v>#REF!</v>
      </c>
      <c r="AQ25" s="71" t="e">
        <f t="shared" si="18"/>
        <v>#REF!</v>
      </c>
      <c r="AR25" s="73">
        <f t="shared" si="19"/>
        <v>0</v>
      </c>
      <c r="AS25" s="74">
        <f t="shared" si="20"/>
        <v>0</v>
      </c>
      <c r="AT25" s="75" t="e">
        <f>'Avg Bill by RS'!#REF!</f>
        <v>#REF!</v>
      </c>
    </row>
    <row r="26" spans="2:46" x14ac:dyDescent="0.2">
      <c r="B26" s="999">
        <v>11</v>
      </c>
      <c r="C26" s="993" t="s">
        <v>271</v>
      </c>
      <c r="D26" s="70">
        <f>'Rate Impacts - Rev Req ONLY'!D27</f>
        <v>189841.33809000003</v>
      </c>
      <c r="E26" s="71">
        <f>'Rate Impacts - Rev Req ONLY'!E27</f>
        <v>189841.33809000003</v>
      </c>
      <c r="F26" s="85" t="e">
        <f>SUM('Rev Req Proof Yr1'!AF34:AH34)</f>
        <v>#REF!</v>
      </c>
      <c r="G26" s="75">
        <f>IFERROR((F26/D26),0)</f>
        <v>0</v>
      </c>
      <c r="H26" s="85" t="e">
        <f>SUM('Rev Req Proof Yr1'!AM34:AO34)</f>
        <v>#REF!</v>
      </c>
      <c r="I26" s="74">
        <f t="shared" si="0"/>
        <v>0</v>
      </c>
      <c r="J26" s="86" t="e">
        <f>SUM('Temps Proof'!W34:Y34)</f>
        <v>#REF!</v>
      </c>
      <c r="K26" s="75">
        <f t="shared" si="1"/>
        <v>0</v>
      </c>
      <c r="L26" s="86" t="e">
        <f>SUM('Temps Proof'!AA34:AC34)</f>
        <v>#REF!</v>
      </c>
      <c r="M26" s="74">
        <f t="shared" si="2"/>
        <v>0</v>
      </c>
      <c r="N26" s="86" t="e">
        <f>SUM('Temps Proof'!AE34:AG34)</f>
        <v>#REF!</v>
      </c>
      <c r="O26" s="74">
        <f t="shared" si="3"/>
        <v>0</v>
      </c>
      <c r="P26" s="1098" t="e">
        <f t="shared" si="4"/>
        <v>#REF!</v>
      </c>
      <c r="Q26" s="896">
        <f t="shared" si="5"/>
        <v>0</v>
      </c>
      <c r="R26" s="1119" t="e">
        <f t="shared" si="6"/>
        <v>#REF!</v>
      </c>
      <c r="S26" s="1099">
        <f t="shared" si="7"/>
        <v>0</v>
      </c>
      <c r="T26" s="631"/>
      <c r="U26" s="578"/>
      <c r="V26" s="71" t="e">
        <f t="shared" si="8"/>
        <v>#REF!</v>
      </c>
      <c r="W26" s="71" t="e">
        <f t="shared" si="9"/>
        <v>#REF!</v>
      </c>
      <c r="X26" s="73">
        <f t="shared" si="10"/>
        <v>0</v>
      </c>
      <c r="Y26" s="74">
        <f t="shared" si="11"/>
        <v>0</v>
      </c>
      <c r="Z26" s="75">
        <f>'Avg Bill by RS'!AK34</f>
        <v>4.5999999999999999E-2</v>
      </c>
      <c r="AA26" s="987"/>
      <c r="AB26" s="1016" t="e">
        <f>'Rate Impacts - Rev Req ONLY'!N27</f>
        <v>#REF!</v>
      </c>
      <c r="AC26" s="71" t="e">
        <f>'Rate Impacts - Rev Req ONLY'!O27</f>
        <v>#REF!</v>
      </c>
      <c r="AD26" s="85" t="e">
        <f>SUM('Rev Req Proof Yr2'!AF34:AH34)</f>
        <v>#REF!</v>
      </c>
      <c r="AE26" s="75">
        <f>IFERROR((AD26/AB26),0)</f>
        <v>0</v>
      </c>
      <c r="AF26" s="85" t="e">
        <f>SUM('Temps Proof'!AQ34:AS34)</f>
        <v>#REF!</v>
      </c>
      <c r="AG26" s="75">
        <f t="shared" si="12"/>
        <v>0</v>
      </c>
      <c r="AH26" s="1102" t="e">
        <f>'Exh. RJW-3 Combined'!AJ27</f>
        <v>#REF!</v>
      </c>
      <c r="AI26" s="75">
        <f t="shared" si="13"/>
        <v>0</v>
      </c>
      <c r="AJ26" s="1374" t="e">
        <f>'Exh. RJW-3 Combined'!AM27</f>
        <v>#REF!</v>
      </c>
      <c r="AK26" s="75">
        <f t="shared" si="14"/>
        <v>0</v>
      </c>
      <c r="AL26" s="1098" t="e">
        <f t="shared" si="15"/>
        <v>#REF!</v>
      </c>
      <c r="AM26" s="1099">
        <f t="shared" si="16"/>
        <v>0</v>
      </c>
      <c r="AN26" s="631"/>
      <c r="AO26" s="578"/>
      <c r="AP26" s="71" t="e">
        <f t="shared" si="17"/>
        <v>#REF!</v>
      </c>
      <c r="AQ26" s="71" t="e">
        <f t="shared" si="18"/>
        <v>#REF!</v>
      </c>
      <c r="AR26" s="73">
        <f t="shared" si="19"/>
        <v>0</v>
      </c>
      <c r="AS26" s="74">
        <f t="shared" si="20"/>
        <v>0</v>
      </c>
      <c r="AT26" s="75" t="e">
        <f>'Avg Bill by RS'!#REF!</f>
        <v>#REF!</v>
      </c>
    </row>
    <row r="27" spans="2:46" x14ac:dyDescent="0.2">
      <c r="B27" s="999">
        <v>12</v>
      </c>
      <c r="C27" s="993" t="s">
        <v>272</v>
      </c>
      <c r="D27" s="70">
        <f>'Rate Impacts - Rev Req ONLY'!D28</f>
        <v>0</v>
      </c>
      <c r="E27" s="71">
        <f>'Rate Impacts - Rev Req ONLY'!E28</f>
        <v>0</v>
      </c>
      <c r="F27" s="85" t="e">
        <f>SUM('Rev Req Proof Yr1'!AF37:AH37)</f>
        <v>#REF!</v>
      </c>
      <c r="G27" s="75">
        <f>IFERROR((F27/D27),0)</f>
        <v>0</v>
      </c>
      <c r="H27" s="85" t="e">
        <f>SUM('Rev Req Proof Yr1'!AM37:AO37)</f>
        <v>#REF!</v>
      </c>
      <c r="I27" s="74">
        <f t="shared" si="0"/>
        <v>0</v>
      </c>
      <c r="J27" s="86" t="e">
        <f>SUM('Temps Proof'!W37:Y37)</f>
        <v>#REF!</v>
      </c>
      <c r="K27" s="75">
        <f t="shared" si="1"/>
        <v>0</v>
      </c>
      <c r="L27" s="86" t="e">
        <f>SUM('Temps Proof'!AA37:AC37)</f>
        <v>#REF!</v>
      </c>
      <c r="M27" s="74">
        <f t="shared" si="2"/>
        <v>0</v>
      </c>
      <c r="N27" s="86" t="e">
        <f>SUM('Temps Proof'!AE37:AG37)</f>
        <v>#REF!</v>
      </c>
      <c r="O27" s="74">
        <f t="shared" si="3"/>
        <v>0</v>
      </c>
      <c r="P27" s="1098" t="e">
        <f t="shared" si="4"/>
        <v>#REF!</v>
      </c>
      <c r="Q27" s="896">
        <f t="shared" si="5"/>
        <v>0</v>
      </c>
      <c r="R27" s="1119" t="e">
        <f t="shared" si="6"/>
        <v>#REF!</v>
      </c>
      <c r="S27" s="1099">
        <f t="shared" si="7"/>
        <v>0</v>
      </c>
      <c r="T27" s="631"/>
      <c r="U27" s="578"/>
      <c r="V27" s="71" t="e">
        <f t="shared" si="8"/>
        <v>#REF!</v>
      </c>
      <c r="W27" s="71" t="e">
        <f t="shared" si="9"/>
        <v>#REF!</v>
      </c>
      <c r="X27" s="73">
        <f t="shared" si="10"/>
        <v>0</v>
      </c>
      <c r="Y27" s="74">
        <f t="shared" si="11"/>
        <v>0</v>
      </c>
      <c r="Z27" s="75">
        <f>'Avg Bill by RS'!AK37</f>
        <v>0</v>
      </c>
      <c r="AA27" s="987"/>
      <c r="AB27" s="1016" t="e">
        <f>'Rate Impacts - Rev Req ONLY'!N28</f>
        <v>#REF!</v>
      </c>
      <c r="AC27" s="71" t="e">
        <f>'Rate Impacts - Rev Req ONLY'!O28</f>
        <v>#REF!</v>
      </c>
      <c r="AD27" s="85" t="e">
        <f>SUM('Rev Req Proof Yr2'!AF37:AH37)</f>
        <v>#REF!</v>
      </c>
      <c r="AE27" s="75">
        <f>IFERROR((AD27/AB27),0)</f>
        <v>0</v>
      </c>
      <c r="AF27" s="85" t="e">
        <f>SUM('Temps Proof'!AQ37:AS37)</f>
        <v>#REF!</v>
      </c>
      <c r="AG27" s="75">
        <f t="shared" si="12"/>
        <v>0</v>
      </c>
      <c r="AH27" s="1102" t="e">
        <f>'Exh. RJW-3 Combined'!AJ28</f>
        <v>#REF!</v>
      </c>
      <c r="AI27" s="75">
        <f t="shared" si="13"/>
        <v>0</v>
      </c>
      <c r="AJ27" s="1374" t="e">
        <f>'Exh. RJW-3 Combined'!AM28</f>
        <v>#REF!</v>
      </c>
      <c r="AK27" s="75">
        <f t="shared" si="14"/>
        <v>0</v>
      </c>
      <c r="AL27" s="1098" t="e">
        <f t="shared" si="15"/>
        <v>#REF!</v>
      </c>
      <c r="AM27" s="1099">
        <f t="shared" si="16"/>
        <v>0</v>
      </c>
      <c r="AN27" s="631"/>
      <c r="AO27" s="578"/>
      <c r="AP27" s="71" t="e">
        <f t="shared" si="17"/>
        <v>#REF!</v>
      </c>
      <c r="AQ27" s="71" t="e">
        <f t="shared" si="18"/>
        <v>#REF!</v>
      </c>
      <c r="AR27" s="73">
        <f t="shared" si="19"/>
        <v>0</v>
      </c>
      <c r="AS27" s="74">
        <f t="shared" si="20"/>
        <v>0</v>
      </c>
      <c r="AT27" s="75" t="e">
        <f>'Avg Bill by RS'!#REF!</f>
        <v>#REF!</v>
      </c>
    </row>
    <row r="28" spans="2:46" x14ac:dyDescent="0.2">
      <c r="B28" s="999">
        <v>13</v>
      </c>
      <c r="C28" s="993" t="s">
        <v>273</v>
      </c>
      <c r="D28" s="70">
        <f>'Rate Impacts - Rev Req ONLY'!D29</f>
        <v>219574.60083981926</v>
      </c>
      <c r="E28" s="71">
        <f>'Rate Impacts - Rev Req ONLY'!E29</f>
        <v>470188.60083981924</v>
      </c>
      <c r="F28" s="85" t="e">
        <f>SUM('Rev Req Proof Yr1'!AF44:AH44)</f>
        <v>#REF!</v>
      </c>
      <c r="G28" s="75">
        <f t="shared" si="23"/>
        <v>0</v>
      </c>
      <c r="H28" s="85" t="e">
        <f>SUM('Rev Req Proof Yr1'!AM44:AO44)</f>
        <v>#REF!</v>
      </c>
      <c r="I28" s="74">
        <f t="shared" si="0"/>
        <v>0</v>
      </c>
      <c r="J28" s="86" t="e">
        <f>SUM('Temps Proof'!W44:Y44)</f>
        <v>#REF!</v>
      </c>
      <c r="K28" s="75">
        <f t="shared" si="1"/>
        <v>0</v>
      </c>
      <c r="L28" s="86" t="e">
        <f>SUM('Temps Proof'!AA44:AC44)</f>
        <v>#REF!</v>
      </c>
      <c r="M28" s="74">
        <f t="shared" si="2"/>
        <v>0</v>
      </c>
      <c r="N28" s="86" t="e">
        <f>SUM('Temps Proof'!AE44:AG44)</f>
        <v>#REF!</v>
      </c>
      <c r="O28" s="74">
        <f t="shared" si="3"/>
        <v>0</v>
      </c>
      <c r="P28" s="1098" t="e">
        <f t="shared" si="4"/>
        <v>#REF!</v>
      </c>
      <c r="Q28" s="896">
        <f t="shared" si="5"/>
        <v>0</v>
      </c>
      <c r="R28" s="1119" t="e">
        <f t="shared" si="6"/>
        <v>#REF!</v>
      </c>
      <c r="S28" s="1099">
        <f t="shared" si="7"/>
        <v>0</v>
      </c>
      <c r="T28" s="631"/>
      <c r="U28" s="578"/>
      <c r="V28" s="71" t="e">
        <f t="shared" si="8"/>
        <v>#REF!</v>
      </c>
      <c r="W28" s="71" t="e">
        <f t="shared" si="9"/>
        <v>#REF!</v>
      </c>
      <c r="X28" s="73">
        <f t="shared" si="10"/>
        <v>0</v>
      </c>
      <c r="Y28" s="74">
        <f t="shared" si="11"/>
        <v>0</v>
      </c>
      <c r="Z28" s="75">
        <f>'Avg Bill by RS'!AK44</f>
        <v>0.23499999999999999</v>
      </c>
      <c r="AA28" s="987"/>
      <c r="AB28" s="1016" t="e">
        <f>'Rate Impacts - Rev Req ONLY'!N29</f>
        <v>#REF!</v>
      </c>
      <c r="AC28" s="71" t="e">
        <f>'Rate Impacts - Rev Req ONLY'!O29</f>
        <v>#REF!</v>
      </c>
      <c r="AD28" s="85" t="e">
        <f>SUM('Rev Req Proof Yr2'!AF44:AH44)</f>
        <v>#REF!</v>
      </c>
      <c r="AE28" s="75">
        <f t="shared" ref="AE28:AE33" si="25">IFERROR((AD28/AB28),0)</f>
        <v>0</v>
      </c>
      <c r="AF28" s="85" t="e">
        <f>SUM('Temps Proof'!AQ44:AS44)</f>
        <v>#REF!</v>
      </c>
      <c r="AG28" s="75">
        <f t="shared" si="12"/>
        <v>0</v>
      </c>
      <c r="AH28" s="1102" t="e">
        <f>'Exh. RJW-3 Combined'!AJ29</f>
        <v>#REF!</v>
      </c>
      <c r="AI28" s="75">
        <f t="shared" si="13"/>
        <v>0</v>
      </c>
      <c r="AJ28" s="1374" t="e">
        <f>'Exh. RJW-3 Combined'!AM29</f>
        <v>#REF!</v>
      </c>
      <c r="AK28" s="75">
        <f t="shared" si="14"/>
        <v>0</v>
      </c>
      <c r="AL28" s="1098" t="e">
        <f t="shared" si="15"/>
        <v>#REF!</v>
      </c>
      <c r="AM28" s="1099">
        <f t="shared" si="16"/>
        <v>0</v>
      </c>
      <c r="AN28" s="631"/>
      <c r="AO28" s="578"/>
      <c r="AP28" s="71" t="e">
        <f t="shared" si="17"/>
        <v>#REF!</v>
      </c>
      <c r="AQ28" s="71" t="e">
        <f t="shared" si="18"/>
        <v>#REF!</v>
      </c>
      <c r="AR28" s="73">
        <f t="shared" si="19"/>
        <v>0</v>
      </c>
      <c r="AS28" s="74">
        <f t="shared" si="20"/>
        <v>0</v>
      </c>
      <c r="AT28" s="75" t="e">
        <f>'Avg Bill by RS'!#REF!</f>
        <v>#REF!</v>
      </c>
    </row>
    <row r="29" spans="2:46" x14ac:dyDescent="0.2">
      <c r="B29" s="999">
        <v>14</v>
      </c>
      <c r="C29" s="993" t="s">
        <v>274</v>
      </c>
      <c r="D29" s="70">
        <f>'Rate Impacts - Rev Req ONLY'!D30</f>
        <v>511672.37933789124</v>
      </c>
      <c r="E29" s="71">
        <f>'Rate Impacts - Rev Req ONLY'!E30</f>
        <v>1154958.3793378912</v>
      </c>
      <c r="F29" s="85" t="e">
        <f>SUM('Rev Req Proof Yr1'!AF51:AH51)</f>
        <v>#REF!</v>
      </c>
      <c r="G29" s="75">
        <f t="shared" si="23"/>
        <v>0</v>
      </c>
      <c r="H29" s="85" t="e">
        <f>SUM('Rev Req Proof Yr1'!AM51:AO51)</f>
        <v>#REF!</v>
      </c>
      <c r="I29" s="74">
        <f t="shared" si="0"/>
        <v>0</v>
      </c>
      <c r="J29" s="86" t="e">
        <f>SUM('Temps Proof'!W51:Y51)</f>
        <v>#REF!</v>
      </c>
      <c r="K29" s="75">
        <f t="shared" si="1"/>
        <v>0</v>
      </c>
      <c r="L29" s="86" t="e">
        <f>SUM('Temps Proof'!AA51:AC51)</f>
        <v>#REF!</v>
      </c>
      <c r="M29" s="74">
        <f t="shared" si="2"/>
        <v>0</v>
      </c>
      <c r="N29" s="86" t="e">
        <f>SUM('Temps Proof'!AE51:AG51)</f>
        <v>#REF!</v>
      </c>
      <c r="O29" s="74">
        <f t="shared" si="3"/>
        <v>0</v>
      </c>
      <c r="P29" s="1098" t="e">
        <f t="shared" si="4"/>
        <v>#REF!</v>
      </c>
      <c r="Q29" s="896">
        <f t="shared" si="5"/>
        <v>0</v>
      </c>
      <c r="R29" s="1119" t="e">
        <f t="shared" si="6"/>
        <v>#REF!</v>
      </c>
      <c r="S29" s="1099">
        <f t="shared" si="7"/>
        <v>0</v>
      </c>
      <c r="T29" s="631"/>
      <c r="U29" s="578"/>
      <c r="V29" s="71" t="e">
        <f t="shared" si="8"/>
        <v>#REF!</v>
      </c>
      <c r="W29" s="71" t="e">
        <f t="shared" si="9"/>
        <v>#REF!</v>
      </c>
      <c r="X29" s="73">
        <f t="shared" si="10"/>
        <v>0</v>
      </c>
      <c r="Y29" s="74">
        <f t="shared" si="11"/>
        <v>0</v>
      </c>
      <c r="Z29" s="75">
        <f>'Avg Bill by RS'!AK51</f>
        <v>0.21299999999999999</v>
      </c>
      <c r="AA29" s="987"/>
      <c r="AB29" s="1016" t="e">
        <f>'Rate Impacts - Rev Req ONLY'!N30</f>
        <v>#REF!</v>
      </c>
      <c r="AC29" s="71" t="e">
        <f>'Rate Impacts - Rev Req ONLY'!O30</f>
        <v>#REF!</v>
      </c>
      <c r="AD29" s="85" t="e">
        <f>SUM('Rev Req Proof Yr2'!AF51:AH51)</f>
        <v>#REF!</v>
      </c>
      <c r="AE29" s="75">
        <f t="shared" si="25"/>
        <v>0</v>
      </c>
      <c r="AF29" s="85" t="e">
        <f>SUM('Temps Proof'!AQ51:AS51)</f>
        <v>#REF!</v>
      </c>
      <c r="AG29" s="75">
        <f t="shared" si="12"/>
        <v>0</v>
      </c>
      <c r="AH29" s="1102" t="e">
        <f>'Exh. RJW-3 Combined'!AJ30</f>
        <v>#REF!</v>
      </c>
      <c r="AI29" s="75">
        <f t="shared" si="13"/>
        <v>0</v>
      </c>
      <c r="AJ29" s="1374" t="e">
        <f>'Exh. RJW-3 Combined'!AM30</f>
        <v>#REF!</v>
      </c>
      <c r="AK29" s="75">
        <f t="shared" si="14"/>
        <v>0</v>
      </c>
      <c r="AL29" s="1098" t="e">
        <f t="shared" si="15"/>
        <v>#REF!</v>
      </c>
      <c r="AM29" s="1099">
        <f t="shared" si="16"/>
        <v>0</v>
      </c>
      <c r="AN29" s="631"/>
      <c r="AO29" s="578"/>
      <c r="AP29" s="71" t="e">
        <f t="shared" si="17"/>
        <v>#REF!</v>
      </c>
      <c r="AQ29" s="71" t="e">
        <f t="shared" si="18"/>
        <v>#REF!</v>
      </c>
      <c r="AR29" s="73">
        <f t="shared" si="19"/>
        <v>0</v>
      </c>
      <c r="AS29" s="74">
        <f t="shared" si="20"/>
        <v>0</v>
      </c>
      <c r="AT29" s="75" t="e">
        <f>'Avg Bill by RS'!#REF!</f>
        <v>#REF!</v>
      </c>
    </row>
    <row r="30" spans="2:46" x14ac:dyDescent="0.2">
      <c r="B30" s="999">
        <v>15</v>
      </c>
      <c r="C30" s="993" t="s">
        <v>275</v>
      </c>
      <c r="D30" s="70">
        <f>'Rate Impacts - Rev Req ONLY'!D31</f>
        <v>360784.67333999998</v>
      </c>
      <c r="E30" s="71">
        <f>'Rate Impacts - Rev Req ONLY'!E31</f>
        <v>360784.67333999998</v>
      </c>
      <c r="F30" s="85" t="e">
        <f>SUM('Rev Req Proof Yr1'!AF58:AH58)</f>
        <v>#REF!</v>
      </c>
      <c r="G30" s="75">
        <f t="shared" si="23"/>
        <v>0</v>
      </c>
      <c r="H30" s="85" t="e">
        <f>SUM('Rev Req Proof Yr1'!AM58:AO58)</f>
        <v>#REF!</v>
      </c>
      <c r="I30" s="74">
        <f t="shared" si="0"/>
        <v>0</v>
      </c>
      <c r="J30" s="86" t="e">
        <f>SUM('Temps Proof'!W58:Y58)</f>
        <v>#REF!</v>
      </c>
      <c r="K30" s="75">
        <f t="shared" si="1"/>
        <v>0</v>
      </c>
      <c r="L30" s="545" t="e">
        <f>SUM('Temps Proof'!AA58:AC58)</f>
        <v>#REF!</v>
      </c>
      <c r="M30" s="74">
        <f t="shared" si="2"/>
        <v>0</v>
      </c>
      <c r="N30" s="545" t="e">
        <f>SUM('Temps Proof'!AE58:AG58)</f>
        <v>#REF!</v>
      </c>
      <c r="O30" s="74">
        <f t="shared" si="3"/>
        <v>0</v>
      </c>
      <c r="P30" s="1098" t="e">
        <f t="shared" si="4"/>
        <v>#REF!</v>
      </c>
      <c r="Q30" s="896">
        <f t="shared" si="5"/>
        <v>0</v>
      </c>
      <c r="R30" s="1119" t="e">
        <f t="shared" si="6"/>
        <v>#REF!</v>
      </c>
      <c r="S30" s="1099">
        <f t="shared" si="7"/>
        <v>0</v>
      </c>
      <c r="T30" s="631"/>
      <c r="U30" s="578"/>
      <c r="V30" s="71" t="e">
        <f t="shared" si="8"/>
        <v>#REF!</v>
      </c>
      <c r="W30" s="71" t="e">
        <f t="shared" si="9"/>
        <v>#REF!</v>
      </c>
      <c r="X30" s="73">
        <f t="shared" si="10"/>
        <v>0</v>
      </c>
      <c r="Y30" s="74">
        <f t="shared" si="11"/>
        <v>0</v>
      </c>
      <c r="Z30" s="75">
        <f>'Avg Bill by RS'!AK58</f>
        <v>6.3E-2</v>
      </c>
      <c r="AA30" s="987"/>
      <c r="AB30" s="1016" t="e">
        <f>'Rate Impacts - Rev Req ONLY'!N31</f>
        <v>#REF!</v>
      </c>
      <c r="AC30" s="71" t="e">
        <f>'Rate Impacts - Rev Req ONLY'!O31</f>
        <v>#REF!</v>
      </c>
      <c r="AD30" s="85" t="e">
        <f>SUM('Rev Req Proof Yr2'!AF58:AH58)</f>
        <v>#REF!</v>
      </c>
      <c r="AE30" s="75">
        <f t="shared" si="25"/>
        <v>0</v>
      </c>
      <c r="AF30" s="85" t="e">
        <f>SUM('Temps Proof'!AQ58:AS58)</f>
        <v>#REF!</v>
      </c>
      <c r="AG30" s="75">
        <f t="shared" si="12"/>
        <v>0</v>
      </c>
      <c r="AH30" s="1102" t="e">
        <f>'Exh. RJW-3 Combined'!AJ31</f>
        <v>#REF!</v>
      </c>
      <c r="AI30" s="75">
        <f t="shared" si="13"/>
        <v>0</v>
      </c>
      <c r="AJ30" s="1374" t="e">
        <f>'Exh. RJW-3 Combined'!AM31</f>
        <v>#REF!</v>
      </c>
      <c r="AK30" s="75">
        <f t="shared" si="14"/>
        <v>0</v>
      </c>
      <c r="AL30" s="1098" t="e">
        <f t="shared" si="15"/>
        <v>#REF!</v>
      </c>
      <c r="AM30" s="1099">
        <f t="shared" si="16"/>
        <v>0</v>
      </c>
      <c r="AN30" s="631"/>
      <c r="AO30" s="578"/>
      <c r="AP30" s="71" t="e">
        <f t="shared" si="17"/>
        <v>#REF!</v>
      </c>
      <c r="AQ30" s="71" t="e">
        <f t="shared" si="18"/>
        <v>#REF!</v>
      </c>
      <c r="AR30" s="73">
        <f t="shared" si="19"/>
        <v>0</v>
      </c>
      <c r="AS30" s="74">
        <f t="shared" si="20"/>
        <v>0</v>
      </c>
      <c r="AT30" s="75" t="e">
        <f>'Avg Bill by RS'!#REF!</f>
        <v>#REF!</v>
      </c>
    </row>
    <row r="31" spans="2:46" x14ac:dyDescent="0.2">
      <c r="B31" s="999">
        <v>16</v>
      </c>
      <c r="C31" s="993" t="s">
        <v>276</v>
      </c>
      <c r="D31" s="70">
        <f>'Rate Impacts - Rev Req ONLY'!D32</f>
        <v>823615.79209999996</v>
      </c>
      <c r="E31" s="71">
        <f>'Rate Impacts - Rev Req ONLY'!E32</f>
        <v>823615.79209999996</v>
      </c>
      <c r="F31" s="85" t="e">
        <f>SUM('Rev Req Proof Yr1'!AF65:AH65)</f>
        <v>#REF!</v>
      </c>
      <c r="G31" s="75">
        <f t="shared" si="23"/>
        <v>0</v>
      </c>
      <c r="H31" s="85" t="e">
        <f>SUM('Rev Req Proof Yr1'!AM65:AO65)</f>
        <v>#REF!</v>
      </c>
      <c r="I31" s="74">
        <f t="shared" si="0"/>
        <v>0</v>
      </c>
      <c r="J31" s="86" t="e">
        <f>SUM('Temps Proof'!W65:Y65)</f>
        <v>#REF!</v>
      </c>
      <c r="K31" s="75">
        <f t="shared" si="1"/>
        <v>0</v>
      </c>
      <c r="L31" s="86" t="e">
        <f>SUM('Temps Proof'!AA65:AC65)</f>
        <v>#REF!</v>
      </c>
      <c r="M31" s="74">
        <f t="shared" si="2"/>
        <v>0</v>
      </c>
      <c r="N31" s="86" t="e">
        <f>SUM('Temps Proof'!AE65:AG65)</f>
        <v>#REF!</v>
      </c>
      <c r="O31" s="74">
        <f t="shared" si="3"/>
        <v>0</v>
      </c>
      <c r="P31" s="1098" t="e">
        <f t="shared" si="4"/>
        <v>#REF!</v>
      </c>
      <c r="Q31" s="896">
        <f t="shared" si="5"/>
        <v>0</v>
      </c>
      <c r="R31" s="1119" t="e">
        <f t="shared" si="6"/>
        <v>#REF!</v>
      </c>
      <c r="S31" s="1099">
        <f t="shared" si="7"/>
        <v>0</v>
      </c>
      <c r="T31" s="631"/>
      <c r="U31" s="578"/>
      <c r="V31" s="71" t="e">
        <f t="shared" si="8"/>
        <v>#REF!</v>
      </c>
      <c r="W31" s="71" t="e">
        <f t="shared" si="9"/>
        <v>#REF!</v>
      </c>
      <c r="X31" s="73">
        <f t="shared" si="10"/>
        <v>0</v>
      </c>
      <c r="Y31" s="74">
        <f t="shared" si="11"/>
        <v>0</v>
      </c>
      <c r="Z31" s="75">
        <f>'Avg Bill by RS'!AK65</f>
        <v>5.0999999999999997E-2</v>
      </c>
      <c r="AA31" s="987"/>
      <c r="AB31" s="1016" t="e">
        <f>'Rate Impacts - Rev Req ONLY'!N32</f>
        <v>#REF!</v>
      </c>
      <c r="AC31" s="71" t="e">
        <f>'Rate Impacts - Rev Req ONLY'!O32</f>
        <v>#REF!</v>
      </c>
      <c r="AD31" s="85" t="e">
        <f>SUM('Rev Req Proof Yr2'!AF65:AH65)</f>
        <v>#REF!</v>
      </c>
      <c r="AE31" s="75">
        <f t="shared" si="25"/>
        <v>0</v>
      </c>
      <c r="AF31" s="85" t="e">
        <f>SUM('Temps Proof'!AQ65:AS65)</f>
        <v>#REF!</v>
      </c>
      <c r="AG31" s="75">
        <f t="shared" si="12"/>
        <v>0</v>
      </c>
      <c r="AH31" s="1102" t="e">
        <f>'Exh. RJW-3 Combined'!AJ32</f>
        <v>#REF!</v>
      </c>
      <c r="AI31" s="75">
        <f t="shared" si="13"/>
        <v>0</v>
      </c>
      <c r="AJ31" s="1374" t="e">
        <f>'Exh. RJW-3 Combined'!AM32</f>
        <v>#REF!</v>
      </c>
      <c r="AK31" s="75">
        <f t="shared" si="14"/>
        <v>0</v>
      </c>
      <c r="AL31" s="1098" t="e">
        <f t="shared" si="15"/>
        <v>#REF!</v>
      </c>
      <c r="AM31" s="1099">
        <f t="shared" si="16"/>
        <v>0</v>
      </c>
      <c r="AN31" s="631"/>
      <c r="AO31" s="578"/>
      <c r="AP31" s="71" t="e">
        <f t="shared" si="17"/>
        <v>#REF!</v>
      </c>
      <c r="AQ31" s="71" t="e">
        <f t="shared" si="18"/>
        <v>#REF!</v>
      </c>
      <c r="AR31" s="73">
        <f t="shared" si="19"/>
        <v>0</v>
      </c>
      <c r="AS31" s="74">
        <f t="shared" si="20"/>
        <v>0</v>
      </c>
      <c r="AT31" s="75" t="e">
        <f>'Avg Bill by RS'!#REF!</f>
        <v>#REF!</v>
      </c>
    </row>
    <row r="32" spans="2:46" x14ac:dyDescent="0.2">
      <c r="B32" s="999">
        <v>17</v>
      </c>
      <c r="C32" s="993" t="s">
        <v>277</v>
      </c>
      <c r="D32" s="70">
        <f>'Rate Impacts - Rev Req ONLY'!D33</f>
        <v>160512.61187958997</v>
      </c>
      <c r="E32" s="71">
        <f>'Rate Impacts - Rev Req ONLY'!E33</f>
        <v>430728.61187958985</v>
      </c>
      <c r="F32" s="85" t="e">
        <f>SUM('Rev Req Proof Yr1'!AF72:AH72)</f>
        <v>#REF!</v>
      </c>
      <c r="G32" s="75">
        <f t="shared" si="23"/>
        <v>0</v>
      </c>
      <c r="H32" s="85" t="e">
        <f>SUM('Rev Req Proof Yr1'!AM72:AO72)</f>
        <v>#REF!</v>
      </c>
      <c r="I32" s="74">
        <f t="shared" si="0"/>
        <v>0</v>
      </c>
      <c r="J32" s="86" t="e">
        <f>SUM('Temps Proof'!W72:Y72)</f>
        <v>#REF!</v>
      </c>
      <c r="K32" s="75">
        <f t="shared" si="1"/>
        <v>0</v>
      </c>
      <c r="L32" s="86" t="e">
        <f>SUM('Temps Proof'!AA72:AC72)</f>
        <v>#REF!</v>
      </c>
      <c r="M32" s="74">
        <f t="shared" si="2"/>
        <v>0</v>
      </c>
      <c r="N32" s="86" t="e">
        <f>SUM('Temps Proof'!AE72:AG72)</f>
        <v>#REF!</v>
      </c>
      <c r="O32" s="74">
        <f t="shared" si="3"/>
        <v>0</v>
      </c>
      <c r="P32" s="1098" t="e">
        <f t="shared" si="4"/>
        <v>#REF!</v>
      </c>
      <c r="Q32" s="896">
        <f t="shared" si="5"/>
        <v>0</v>
      </c>
      <c r="R32" s="1119" t="e">
        <f t="shared" si="6"/>
        <v>#REF!</v>
      </c>
      <c r="S32" s="1099">
        <f t="shared" si="7"/>
        <v>0</v>
      </c>
      <c r="T32" s="631"/>
      <c r="U32" s="578"/>
      <c r="V32" s="71" t="e">
        <f t="shared" si="8"/>
        <v>#REF!</v>
      </c>
      <c r="W32" s="71" t="e">
        <f t="shared" si="9"/>
        <v>#REF!</v>
      </c>
      <c r="X32" s="73">
        <f t="shared" ref="X32:X38" si="26">IFERROR((V32-D32)/D32,0)</f>
        <v>0</v>
      </c>
      <c r="Y32" s="74">
        <f t="shared" ref="Y32:Y38" si="27">IFERROR((W32-E32)/E32,0)</f>
        <v>0</v>
      </c>
      <c r="Z32" s="75">
        <f>'Avg Bill by RS'!AK72</f>
        <v>0.316</v>
      </c>
      <c r="AA32" s="987"/>
      <c r="AB32" s="1016" t="e">
        <f>'Rate Impacts - Rev Req ONLY'!N33</f>
        <v>#REF!</v>
      </c>
      <c r="AC32" s="71" t="e">
        <f>'Rate Impacts - Rev Req ONLY'!O33</f>
        <v>#REF!</v>
      </c>
      <c r="AD32" s="85" t="e">
        <f>SUM('Rev Req Proof Yr2'!AF72:AH72)</f>
        <v>#REF!</v>
      </c>
      <c r="AE32" s="75">
        <f t="shared" si="25"/>
        <v>0</v>
      </c>
      <c r="AF32" s="85" t="e">
        <f>SUM('Temps Proof'!AQ72:AS72)</f>
        <v>#REF!</v>
      </c>
      <c r="AG32" s="75">
        <f t="shared" si="12"/>
        <v>0</v>
      </c>
      <c r="AH32" s="1102" t="e">
        <f>'Exh. RJW-3 Combined'!AJ33</f>
        <v>#REF!</v>
      </c>
      <c r="AI32" s="75">
        <f t="shared" si="13"/>
        <v>0</v>
      </c>
      <c r="AJ32" s="1374" t="e">
        <f>'Exh. RJW-3 Combined'!AM33</f>
        <v>#REF!</v>
      </c>
      <c r="AK32" s="75">
        <f t="shared" si="14"/>
        <v>0</v>
      </c>
      <c r="AL32" s="1098" t="e">
        <f t="shared" si="15"/>
        <v>#REF!</v>
      </c>
      <c r="AM32" s="1099">
        <f t="shared" si="16"/>
        <v>0</v>
      </c>
      <c r="AN32" s="631"/>
      <c r="AO32" s="578"/>
      <c r="AP32" s="71" t="e">
        <f t="shared" si="17"/>
        <v>#REF!</v>
      </c>
      <c r="AQ32" s="71" t="e">
        <f t="shared" si="18"/>
        <v>#REF!</v>
      </c>
      <c r="AR32" s="73">
        <f t="shared" si="19"/>
        <v>0</v>
      </c>
      <c r="AS32" s="74">
        <f t="shared" si="20"/>
        <v>0</v>
      </c>
      <c r="AT32" s="75" t="e">
        <f>'Avg Bill by RS'!#REF!</f>
        <v>#REF!</v>
      </c>
    </row>
    <row r="33" spans="2:46" x14ac:dyDescent="0.2">
      <c r="B33" s="999">
        <v>18</v>
      </c>
      <c r="C33" s="993" t="s">
        <v>278</v>
      </c>
      <c r="D33" s="70">
        <f>'Rate Impacts - Rev Req ONLY'!D34</f>
        <v>81130.03459599179</v>
      </c>
      <c r="E33" s="71">
        <f>'Rate Impacts - Rev Req ONLY'!E34</f>
        <v>171731.03459599178</v>
      </c>
      <c r="F33" s="85" t="e">
        <f>SUM('Rev Req Proof Yr1'!AF79:AH79)</f>
        <v>#REF!</v>
      </c>
      <c r="G33" s="75">
        <f t="shared" si="23"/>
        <v>0</v>
      </c>
      <c r="H33" s="85" t="e">
        <f>SUM('Rev Req Proof Yr1'!AM79:AO79)</f>
        <v>#REF!</v>
      </c>
      <c r="I33" s="74">
        <f t="shared" si="0"/>
        <v>0</v>
      </c>
      <c r="J33" s="86" t="e">
        <f>SUM('Temps Proof'!W79:Y79)</f>
        <v>#REF!</v>
      </c>
      <c r="K33" s="75">
        <f t="shared" si="1"/>
        <v>0</v>
      </c>
      <c r="L33" s="86" t="e">
        <f>SUM('Temps Proof'!AA79:AC79)</f>
        <v>#REF!</v>
      </c>
      <c r="M33" s="74">
        <f t="shared" si="2"/>
        <v>0</v>
      </c>
      <c r="N33" s="86" t="e">
        <f>SUM('Temps Proof'!AE79:AG79)</f>
        <v>#REF!</v>
      </c>
      <c r="O33" s="74">
        <f t="shared" si="3"/>
        <v>0</v>
      </c>
      <c r="P33" s="1098" t="e">
        <f t="shared" si="4"/>
        <v>#REF!</v>
      </c>
      <c r="Q33" s="896">
        <f t="shared" si="5"/>
        <v>0</v>
      </c>
      <c r="R33" s="1119" t="e">
        <f t="shared" si="6"/>
        <v>#REF!</v>
      </c>
      <c r="S33" s="1099">
        <f t="shared" si="7"/>
        <v>0</v>
      </c>
      <c r="T33" s="631"/>
      <c r="U33" s="578"/>
      <c r="V33" s="71" t="e">
        <f t="shared" si="8"/>
        <v>#REF!</v>
      </c>
      <c r="W33" s="71" t="e">
        <f t="shared" si="9"/>
        <v>#REF!</v>
      </c>
      <c r="X33" s="73">
        <f t="shared" si="26"/>
        <v>0</v>
      </c>
      <c r="Y33" s="74">
        <f t="shared" si="27"/>
        <v>0</v>
      </c>
      <c r="Z33" s="75">
        <f>'Avg Bill by RS'!AK79</f>
        <v>0.26100000000000001</v>
      </c>
      <c r="AA33" s="987"/>
      <c r="AB33" s="1016" t="e">
        <f>'Rate Impacts - Rev Req ONLY'!N34</f>
        <v>#REF!</v>
      </c>
      <c r="AC33" s="71" t="e">
        <f>'Rate Impacts - Rev Req ONLY'!O34</f>
        <v>#REF!</v>
      </c>
      <c r="AD33" s="85" t="e">
        <f>SUM('Rev Req Proof Yr2'!AF79:AH79)</f>
        <v>#REF!</v>
      </c>
      <c r="AE33" s="75">
        <f t="shared" si="25"/>
        <v>0</v>
      </c>
      <c r="AF33" s="85" t="e">
        <f>SUM('Temps Proof'!AQ79:AS79)</f>
        <v>#REF!</v>
      </c>
      <c r="AG33" s="75">
        <f t="shared" si="12"/>
        <v>0</v>
      </c>
      <c r="AH33" s="1102" t="e">
        <f>'Exh. RJW-3 Combined'!AJ34</f>
        <v>#REF!</v>
      </c>
      <c r="AI33" s="75">
        <f t="shared" si="13"/>
        <v>0</v>
      </c>
      <c r="AJ33" s="1374" t="e">
        <f>'Exh. RJW-3 Combined'!AM34</f>
        <v>#REF!</v>
      </c>
      <c r="AK33" s="75">
        <f t="shared" si="14"/>
        <v>0</v>
      </c>
      <c r="AL33" s="1098" t="e">
        <f t="shared" si="15"/>
        <v>#REF!</v>
      </c>
      <c r="AM33" s="1099">
        <f t="shared" si="16"/>
        <v>0</v>
      </c>
      <c r="AN33" s="631"/>
      <c r="AO33" s="578"/>
      <c r="AP33" s="71" t="e">
        <f t="shared" si="17"/>
        <v>#REF!</v>
      </c>
      <c r="AQ33" s="71" t="e">
        <f t="shared" si="18"/>
        <v>#REF!</v>
      </c>
      <c r="AR33" s="73">
        <f t="shared" si="19"/>
        <v>0</v>
      </c>
      <c r="AS33" s="74">
        <f t="shared" si="20"/>
        <v>0</v>
      </c>
      <c r="AT33" s="75" t="e">
        <f>'Avg Bill by RS'!#REF!</f>
        <v>#REF!</v>
      </c>
    </row>
    <row r="34" spans="2:46" x14ac:dyDescent="0.2">
      <c r="B34" s="999">
        <v>19</v>
      </c>
      <c r="C34" s="993" t="s">
        <v>280</v>
      </c>
      <c r="D34" s="70">
        <f>'Rate Impacts - Rev Req ONLY'!D35</f>
        <v>0</v>
      </c>
      <c r="E34" s="71">
        <f>'Rate Impacts - Rev Req ONLY'!E35</f>
        <v>0</v>
      </c>
      <c r="F34" s="85" t="e">
        <f>SUM('Rev Req Proof Yr1'!AF86:AH86)</f>
        <v>#REF!</v>
      </c>
      <c r="G34" s="75">
        <f>IFERROR((F34/D34),0)</f>
        <v>0</v>
      </c>
      <c r="H34" s="85" t="e">
        <f>SUM('Rev Req Proof Yr1'!AM86:AO86)</f>
        <v>#REF!</v>
      </c>
      <c r="I34" s="74">
        <f t="shared" si="0"/>
        <v>0</v>
      </c>
      <c r="J34" s="86" t="e">
        <f>SUM('Temps Proof'!W86:Y86)</f>
        <v>#REF!</v>
      </c>
      <c r="K34" s="75">
        <f t="shared" si="1"/>
        <v>0</v>
      </c>
      <c r="L34" s="86" t="e">
        <f>SUM('Temps Proof'!AA86:AC86)</f>
        <v>#REF!</v>
      </c>
      <c r="M34" s="74">
        <f t="shared" si="2"/>
        <v>0</v>
      </c>
      <c r="N34" s="86" t="e">
        <f>SUM('Temps Proof'!AE86:AG86)</f>
        <v>#REF!</v>
      </c>
      <c r="O34" s="74">
        <f t="shared" si="3"/>
        <v>0</v>
      </c>
      <c r="P34" s="1098" t="e">
        <f t="shared" si="4"/>
        <v>#REF!</v>
      </c>
      <c r="Q34" s="896">
        <f t="shared" si="5"/>
        <v>0</v>
      </c>
      <c r="R34" s="1119" t="e">
        <f t="shared" si="6"/>
        <v>#REF!</v>
      </c>
      <c r="S34" s="1099">
        <f t="shared" si="7"/>
        <v>0</v>
      </c>
      <c r="T34" s="631"/>
      <c r="U34" s="578"/>
      <c r="V34" s="71" t="e">
        <f t="shared" si="8"/>
        <v>#REF!</v>
      </c>
      <c r="W34" s="71" t="e">
        <f t="shared" si="9"/>
        <v>#REF!</v>
      </c>
      <c r="X34" s="73">
        <f t="shared" si="26"/>
        <v>0</v>
      </c>
      <c r="Y34" s="74">
        <f t="shared" si="27"/>
        <v>0</v>
      </c>
      <c r="Z34" s="75">
        <f>'Avg Bill by RS'!AK86</f>
        <v>0</v>
      </c>
      <c r="AA34" s="987"/>
      <c r="AB34" s="1016" t="e">
        <f>'Rate Impacts - Rev Req ONLY'!N35</f>
        <v>#REF!</v>
      </c>
      <c r="AC34" s="71" t="e">
        <f>'Rate Impacts - Rev Req ONLY'!O35</f>
        <v>#REF!</v>
      </c>
      <c r="AD34" s="85" t="e">
        <f>SUM('Rev Req Proof Yr2'!AF86:AH86)</f>
        <v>#REF!</v>
      </c>
      <c r="AE34" s="75">
        <f>IFERROR((AD34/AB34),0)</f>
        <v>0</v>
      </c>
      <c r="AF34" s="85" t="e">
        <f>SUM('Temps Proof'!AQ86:AS86)</f>
        <v>#REF!</v>
      </c>
      <c r="AG34" s="75">
        <f t="shared" si="12"/>
        <v>0</v>
      </c>
      <c r="AH34" s="1102" t="e">
        <f>'Exh. RJW-3 Combined'!AJ35</f>
        <v>#REF!</v>
      </c>
      <c r="AI34" s="75">
        <f t="shared" si="13"/>
        <v>0</v>
      </c>
      <c r="AJ34" s="1374" t="e">
        <f>'Exh. RJW-3 Combined'!AM35</f>
        <v>#REF!</v>
      </c>
      <c r="AK34" s="75">
        <f t="shared" si="14"/>
        <v>0</v>
      </c>
      <c r="AL34" s="1098" t="e">
        <f t="shared" si="15"/>
        <v>#REF!</v>
      </c>
      <c r="AM34" s="1099">
        <f t="shared" si="16"/>
        <v>0</v>
      </c>
      <c r="AN34" s="631"/>
      <c r="AO34" s="578"/>
      <c r="AP34" s="71" t="e">
        <f t="shared" si="17"/>
        <v>#REF!</v>
      </c>
      <c r="AQ34" s="71" t="e">
        <f t="shared" si="18"/>
        <v>#REF!</v>
      </c>
      <c r="AR34" s="73">
        <f t="shared" si="19"/>
        <v>0</v>
      </c>
      <c r="AS34" s="74">
        <f t="shared" si="20"/>
        <v>0</v>
      </c>
      <c r="AT34" s="75" t="e">
        <f>'Avg Bill by RS'!#REF!</f>
        <v>#REF!</v>
      </c>
    </row>
    <row r="35" spans="2:46" x14ac:dyDescent="0.2">
      <c r="B35" s="999">
        <v>20</v>
      </c>
      <c r="C35" s="993" t="s">
        <v>281</v>
      </c>
      <c r="D35" s="70">
        <f>'Rate Impacts - Rev Req ONLY'!D36</f>
        <v>825480.07319999998</v>
      </c>
      <c r="E35" s="71">
        <f>'Rate Impacts - Rev Req ONLY'!E36</f>
        <v>825480.07319999998</v>
      </c>
      <c r="F35" s="85" t="e">
        <f>SUM('Rev Req Proof Yr1'!AF93:AH93)</f>
        <v>#REF!</v>
      </c>
      <c r="G35" s="75">
        <f>IFERROR((F35/D35),0)</f>
        <v>0</v>
      </c>
      <c r="H35" s="85" t="e">
        <f>SUM('Rev Req Proof Yr1'!AM93:AO93)</f>
        <v>#REF!</v>
      </c>
      <c r="I35" s="74">
        <f t="shared" si="0"/>
        <v>0</v>
      </c>
      <c r="J35" s="86" t="e">
        <f>SUM('Temps Proof'!W93:Y93)</f>
        <v>#REF!</v>
      </c>
      <c r="K35" s="75">
        <f t="shared" si="1"/>
        <v>0</v>
      </c>
      <c r="L35" s="86" t="e">
        <f>SUM('Temps Proof'!AA93:AC93)</f>
        <v>#REF!</v>
      </c>
      <c r="M35" s="74">
        <f t="shared" si="2"/>
        <v>0</v>
      </c>
      <c r="N35" s="86" t="e">
        <f>SUM('Temps Proof'!AE93:AG93)</f>
        <v>#REF!</v>
      </c>
      <c r="O35" s="74">
        <f t="shared" si="3"/>
        <v>0</v>
      </c>
      <c r="P35" s="1098" t="e">
        <f>SUM(F35,H35)</f>
        <v>#REF!</v>
      </c>
      <c r="Q35" s="896">
        <f t="shared" si="5"/>
        <v>0</v>
      </c>
      <c r="R35" s="1119" t="e">
        <f t="shared" si="6"/>
        <v>#REF!</v>
      </c>
      <c r="S35" s="1099">
        <f t="shared" si="7"/>
        <v>0</v>
      </c>
      <c r="T35" s="631"/>
      <c r="U35" s="578"/>
      <c r="V35" s="71" t="e">
        <f t="shared" si="8"/>
        <v>#REF!</v>
      </c>
      <c r="W35" s="71" t="e">
        <f t="shared" si="9"/>
        <v>#REF!</v>
      </c>
      <c r="X35" s="73">
        <f t="shared" si="26"/>
        <v>0</v>
      </c>
      <c r="Y35" s="74">
        <f t="shared" si="27"/>
        <v>0</v>
      </c>
      <c r="Z35" s="75">
        <f>'Avg Bill by RS'!AK93</f>
        <v>4.7E-2</v>
      </c>
      <c r="AA35" s="987"/>
      <c r="AB35" s="1016" t="e">
        <f>'Rate Impacts - Rev Req ONLY'!N36</f>
        <v>#REF!</v>
      </c>
      <c r="AC35" s="71" t="e">
        <f>'Rate Impacts - Rev Req ONLY'!O36</f>
        <v>#REF!</v>
      </c>
      <c r="AD35" s="85" t="e">
        <f>SUM('Rev Req Proof Yr2'!AF93:AH93)</f>
        <v>#REF!</v>
      </c>
      <c r="AE35" s="75">
        <f>IFERROR((AD35/AB35),0)</f>
        <v>0</v>
      </c>
      <c r="AF35" s="85" t="e">
        <f>SUM('Temps Proof'!AQ93:AS93)</f>
        <v>#REF!</v>
      </c>
      <c r="AG35" s="75">
        <f t="shared" si="12"/>
        <v>0</v>
      </c>
      <c r="AH35" s="1102" t="e">
        <f>'Exh. RJW-3 Combined'!AJ36</f>
        <v>#REF!</v>
      </c>
      <c r="AI35" s="75">
        <f t="shared" si="13"/>
        <v>0</v>
      </c>
      <c r="AJ35" s="1374" t="e">
        <f>'Exh. RJW-3 Combined'!AM36</f>
        <v>#REF!</v>
      </c>
      <c r="AK35" s="75">
        <f t="shared" si="14"/>
        <v>0</v>
      </c>
      <c r="AL35" s="1098" t="e">
        <f t="shared" si="15"/>
        <v>#REF!</v>
      </c>
      <c r="AM35" s="1099">
        <f t="shared" si="16"/>
        <v>0</v>
      </c>
      <c r="AN35" s="631"/>
      <c r="AO35" s="578"/>
      <c r="AP35" s="71" t="e">
        <f t="shared" si="17"/>
        <v>#REF!</v>
      </c>
      <c r="AQ35" s="71" t="e">
        <f t="shared" si="18"/>
        <v>#REF!</v>
      </c>
      <c r="AR35" s="73">
        <f t="shared" si="19"/>
        <v>0</v>
      </c>
      <c r="AS35" s="74">
        <f t="shared" si="20"/>
        <v>0</v>
      </c>
      <c r="AT35" s="75" t="e">
        <f>'Avg Bill by RS'!#REF!</f>
        <v>#REF!</v>
      </c>
    </row>
    <row r="36" spans="2:46" x14ac:dyDescent="0.2">
      <c r="B36" s="999">
        <v>21</v>
      </c>
      <c r="C36" s="993" t="s">
        <v>44</v>
      </c>
      <c r="D36" s="70">
        <f>'Rate Impacts - Rev Req ONLY'!D37</f>
        <v>0</v>
      </c>
      <c r="E36" s="71">
        <f>'Rate Impacts - Rev Req ONLY'!E37</f>
        <v>0</v>
      </c>
      <c r="F36" s="85" t="e">
        <f>SUM('Rev Req Proof Yr1'!AF94:AH94)</f>
        <v>#REF!</v>
      </c>
      <c r="G36" s="75">
        <f>IFERROR((F36/D36),0)</f>
        <v>0</v>
      </c>
      <c r="H36" s="85" t="e">
        <f>SUM('Rev Req Proof Yr1'!AM94:AO94)</f>
        <v>#REF!</v>
      </c>
      <c r="I36" s="74">
        <f t="shared" si="0"/>
        <v>0</v>
      </c>
      <c r="J36" s="86" t="e">
        <f>SUM('Temps Proof'!W94:Y94)</f>
        <v>#REF!</v>
      </c>
      <c r="K36" s="75">
        <f t="shared" si="1"/>
        <v>0</v>
      </c>
      <c r="L36" s="86" t="e">
        <f>SUM('Temps Proof'!AA94:AC94)</f>
        <v>#REF!</v>
      </c>
      <c r="M36" s="74">
        <f t="shared" si="2"/>
        <v>0</v>
      </c>
      <c r="N36" s="86" t="e">
        <f>SUM('Temps Proof'!AE94:AG94)</f>
        <v>#REF!</v>
      </c>
      <c r="O36" s="74">
        <f t="shared" si="3"/>
        <v>0</v>
      </c>
      <c r="P36" s="1098" t="e">
        <f t="shared" si="4"/>
        <v>#REF!</v>
      </c>
      <c r="Q36" s="896">
        <f t="shared" si="5"/>
        <v>0</v>
      </c>
      <c r="R36" s="1119" t="e">
        <f t="shared" si="6"/>
        <v>#REF!</v>
      </c>
      <c r="S36" s="1099">
        <f t="shared" si="7"/>
        <v>0</v>
      </c>
      <c r="T36" s="631"/>
      <c r="U36" s="578"/>
      <c r="V36" s="71" t="e">
        <f t="shared" si="8"/>
        <v>#REF!</v>
      </c>
      <c r="W36" s="71" t="e">
        <f t="shared" si="9"/>
        <v>#REF!</v>
      </c>
      <c r="X36" s="73">
        <f t="shared" si="26"/>
        <v>0</v>
      </c>
      <c r="Y36" s="74">
        <f t="shared" si="27"/>
        <v>0</v>
      </c>
      <c r="Z36" s="75">
        <f>'Avg Bill by RS'!AK94</f>
        <v>0</v>
      </c>
      <c r="AA36" s="987"/>
      <c r="AB36" s="1016" t="e">
        <f>'Rate Impacts - Rev Req ONLY'!N37</f>
        <v>#REF!</v>
      </c>
      <c r="AC36" s="71" t="e">
        <f>'Rate Impacts - Rev Req ONLY'!O37</f>
        <v>#REF!</v>
      </c>
      <c r="AD36" s="85" t="e">
        <f>SUM('Rev Req Proof Yr2'!AF94:AH94)</f>
        <v>#REF!</v>
      </c>
      <c r="AE36" s="75">
        <f>IFERROR((AD36/AB36),0)</f>
        <v>0</v>
      </c>
      <c r="AF36" s="85" t="e">
        <f>SUM('Temps Proof'!AQ94:AS94)</f>
        <v>#REF!</v>
      </c>
      <c r="AG36" s="75">
        <f t="shared" si="12"/>
        <v>0</v>
      </c>
      <c r="AH36" s="1102" t="e">
        <f>'Exh. RJW-3 Combined'!AJ37</f>
        <v>#REF!</v>
      </c>
      <c r="AI36" s="75">
        <f t="shared" si="13"/>
        <v>0</v>
      </c>
      <c r="AJ36" s="1374" t="e">
        <f>'Exh. RJW-3 Combined'!AM37</f>
        <v>#REF!</v>
      </c>
      <c r="AK36" s="75">
        <f t="shared" si="14"/>
        <v>0</v>
      </c>
      <c r="AL36" s="1098" t="e">
        <f t="shared" si="15"/>
        <v>#REF!</v>
      </c>
      <c r="AM36" s="1099">
        <f t="shared" si="16"/>
        <v>0</v>
      </c>
      <c r="AN36" s="631"/>
      <c r="AO36" s="578"/>
      <c r="AP36" s="71" t="e">
        <f t="shared" si="17"/>
        <v>#REF!</v>
      </c>
      <c r="AQ36" s="71" t="e">
        <f t="shared" si="18"/>
        <v>#REF!</v>
      </c>
      <c r="AR36" s="73">
        <f t="shared" si="19"/>
        <v>0</v>
      </c>
      <c r="AS36" s="74">
        <f t="shared" si="20"/>
        <v>0</v>
      </c>
      <c r="AT36" s="75" t="e">
        <f>'Avg Bill by RS'!#REF!</f>
        <v>#REF!</v>
      </c>
    </row>
    <row r="37" spans="2:46" x14ac:dyDescent="0.2">
      <c r="B37" s="999">
        <v>22</v>
      </c>
      <c r="C37" s="993" t="s">
        <v>264</v>
      </c>
      <c r="D37" s="70">
        <f>'Rate Impacts - Rev Req ONLY'!D38</f>
        <v>0</v>
      </c>
      <c r="E37" s="71">
        <f>'Rate Impacts - Rev Req ONLY'!E38</f>
        <v>0</v>
      </c>
      <c r="F37" s="85" t="e">
        <f>SUM('Rev Req Proof Yr1'!AF95:AH95)</f>
        <v>#REF!</v>
      </c>
      <c r="G37" s="75">
        <f>IFERROR((F37/D37),0)</f>
        <v>0</v>
      </c>
      <c r="H37" s="85" t="e">
        <f>SUM('Rev Req Proof Yr1'!AM95:AO95)</f>
        <v>#REF!</v>
      </c>
      <c r="I37" s="74">
        <f t="shared" si="0"/>
        <v>0</v>
      </c>
      <c r="J37" s="86" t="e">
        <f>SUM('Temps Proof'!W95:Y95)</f>
        <v>#REF!</v>
      </c>
      <c r="K37" s="75">
        <f t="shared" si="1"/>
        <v>0</v>
      </c>
      <c r="L37" s="86" t="e">
        <f>SUM('Temps Proof'!AA95:AC95)</f>
        <v>#REF!</v>
      </c>
      <c r="M37" s="74">
        <f t="shared" si="2"/>
        <v>0</v>
      </c>
      <c r="N37" s="86" t="e">
        <f>SUM('Temps Proof'!AE95:AG95)</f>
        <v>#REF!</v>
      </c>
      <c r="O37" s="74">
        <f t="shared" si="3"/>
        <v>0</v>
      </c>
      <c r="P37" s="1098" t="e">
        <f t="shared" si="4"/>
        <v>#REF!</v>
      </c>
      <c r="Q37" s="896">
        <f t="shared" si="5"/>
        <v>0</v>
      </c>
      <c r="R37" s="1119" t="e">
        <f t="shared" si="6"/>
        <v>#REF!</v>
      </c>
      <c r="S37" s="1099">
        <f t="shared" si="7"/>
        <v>0</v>
      </c>
      <c r="T37" s="631"/>
      <c r="U37" s="578"/>
      <c r="V37" s="71" t="e">
        <f t="shared" si="8"/>
        <v>#REF!</v>
      </c>
      <c r="W37" s="71" t="e">
        <f t="shared" si="9"/>
        <v>#REF!</v>
      </c>
      <c r="X37" s="73">
        <f t="shared" si="26"/>
        <v>0</v>
      </c>
      <c r="Y37" s="74">
        <f t="shared" si="27"/>
        <v>0</v>
      </c>
      <c r="Z37" s="75">
        <f>'Avg Bill by RS'!AK95</f>
        <v>0</v>
      </c>
      <c r="AA37" s="987"/>
      <c r="AB37" s="1016" t="e">
        <f>'Rate Impacts - Rev Req ONLY'!N38</f>
        <v>#REF!</v>
      </c>
      <c r="AC37" s="71" t="e">
        <f>'Rate Impacts - Rev Req ONLY'!O38</f>
        <v>#REF!</v>
      </c>
      <c r="AD37" s="85" t="e">
        <f>SUM('Rev Req Proof Yr2'!AF95:AH95)</f>
        <v>#REF!</v>
      </c>
      <c r="AE37" s="75">
        <f>IFERROR((AD37/AB37),0)</f>
        <v>0</v>
      </c>
      <c r="AF37" s="85" t="e">
        <f>SUM('Temps Proof'!AQ95:AS95)</f>
        <v>#REF!</v>
      </c>
      <c r="AG37" s="75">
        <f t="shared" si="12"/>
        <v>0</v>
      </c>
      <c r="AH37" s="1102" t="e">
        <f>'Exh. RJW-3 Combined'!AJ38</f>
        <v>#REF!</v>
      </c>
      <c r="AI37" s="75">
        <f t="shared" si="13"/>
        <v>0</v>
      </c>
      <c r="AJ37" s="1374" t="e">
        <f>'Exh. RJW-3 Combined'!AM38</f>
        <v>#REF!</v>
      </c>
      <c r="AK37" s="75">
        <f t="shared" si="14"/>
        <v>0</v>
      </c>
      <c r="AL37" s="1098" t="e">
        <f t="shared" si="15"/>
        <v>#REF!</v>
      </c>
      <c r="AM37" s="1099">
        <f t="shared" si="16"/>
        <v>0</v>
      </c>
      <c r="AN37" s="631"/>
      <c r="AO37" s="578"/>
      <c r="AP37" s="71" t="e">
        <f t="shared" si="17"/>
        <v>#REF!</v>
      </c>
      <c r="AQ37" s="71" t="e">
        <f t="shared" si="18"/>
        <v>#REF!</v>
      </c>
      <c r="AR37" s="73">
        <f t="shared" si="19"/>
        <v>0</v>
      </c>
      <c r="AS37" s="74">
        <f t="shared" si="20"/>
        <v>0</v>
      </c>
      <c r="AT37" s="75" t="e">
        <f>'Avg Bill by RS'!#REF!</f>
        <v>#REF!</v>
      </c>
    </row>
    <row r="38" spans="2:46" x14ac:dyDescent="0.2">
      <c r="B38" s="999">
        <v>23</v>
      </c>
      <c r="C38" s="993" t="s">
        <v>304</v>
      </c>
      <c r="D38" s="70">
        <f>'Rate Impacts - Rev Req ONLY'!D39</f>
        <v>242994.60207180592</v>
      </c>
      <c r="E38" s="71">
        <f>'Rate Impacts - Rev Req ONLY'!E39</f>
        <v>242994.60207180592</v>
      </c>
      <c r="F38" s="85" t="e">
        <f>SUM('Rev Req Proof Yr1'!AF96:AH96)</f>
        <v>#REF!</v>
      </c>
      <c r="G38" s="75">
        <f>IFERROR((F38/D38),0)</f>
        <v>0</v>
      </c>
      <c r="H38" s="85" t="e">
        <f>SUM('Rev Req Proof Yr1'!AM96:AO96)</f>
        <v>#REF!</v>
      </c>
      <c r="I38" s="74">
        <f t="shared" si="0"/>
        <v>0</v>
      </c>
      <c r="J38" s="86" t="e">
        <f>SUM('Temps Proof'!W96:Y96)</f>
        <v>#REF!</v>
      </c>
      <c r="K38" s="75">
        <f t="shared" si="1"/>
        <v>0</v>
      </c>
      <c r="L38" s="86" t="e">
        <f>SUM('Temps Proof'!AA96:AC96)</f>
        <v>#REF!</v>
      </c>
      <c r="M38" s="74">
        <f t="shared" si="2"/>
        <v>0</v>
      </c>
      <c r="N38" s="86" t="e">
        <f>SUM('Temps Proof'!AE96:AG96)</f>
        <v>#REF!</v>
      </c>
      <c r="O38" s="74">
        <f t="shared" si="3"/>
        <v>0</v>
      </c>
      <c r="P38" s="1098" t="e">
        <f>SUM(F38,H38)</f>
        <v>#REF!</v>
      </c>
      <c r="Q38" s="896">
        <f t="shared" si="5"/>
        <v>0</v>
      </c>
      <c r="R38" s="1119" t="e">
        <f t="shared" si="6"/>
        <v>#REF!</v>
      </c>
      <c r="S38" s="1099">
        <f t="shared" si="7"/>
        <v>0</v>
      </c>
      <c r="T38" s="575"/>
      <c r="U38" s="578"/>
      <c r="V38" s="71" t="e">
        <f t="shared" si="8"/>
        <v>#REF!</v>
      </c>
      <c r="W38" s="71" t="e">
        <f t="shared" si="9"/>
        <v>#REF!</v>
      </c>
      <c r="X38" s="73">
        <f t="shared" si="26"/>
        <v>0</v>
      </c>
      <c r="Y38" s="74">
        <f t="shared" si="27"/>
        <v>0</v>
      </c>
      <c r="Z38" s="75">
        <f>'Avg Bill by RS'!AK96</f>
        <v>0</v>
      </c>
      <c r="AA38" s="987"/>
      <c r="AB38" s="1016" t="e">
        <f>'Rate Impacts - Rev Req ONLY'!N39</f>
        <v>#REF!</v>
      </c>
      <c r="AC38" s="71" t="e">
        <f>'Rate Impacts - Rev Req ONLY'!O39</f>
        <v>#REF!</v>
      </c>
      <c r="AD38" s="85" t="e">
        <f>SUM('Rev Req Proof Yr2'!AF96:AH96)</f>
        <v>#REF!</v>
      </c>
      <c r="AE38" s="75">
        <f>IFERROR((AD38/AB38),0)</f>
        <v>0</v>
      </c>
      <c r="AF38" s="85" t="e">
        <f>SUM('Temps Proof'!AQ96:AS96)</f>
        <v>#REF!</v>
      </c>
      <c r="AG38" s="75">
        <f t="shared" si="12"/>
        <v>0</v>
      </c>
      <c r="AH38" s="1102" t="e">
        <f>'Exh. RJW-3 Combined'!AJ39</f>
        <v>#REF!</v>
      </c>
      <c r="AI38" s="75">
        <f t="shared" si="13"/>
        <v>0</v>
      </c>
      <c r="AJ38" s="1374" t="e">
        <f>'Exh. RJW-3 Combined'!AM39</f>
        <v>#REF!</v>
      </c>
      <c r="AK38" s="75">
        <f t="shared" si="14"/>
        <v>0</v>
      </c>
      <c r="AL38" s="1098" t="e">
        <f t="shared" si="15"/>
        <v>#REF!</v>
      </c>
      <c r="AM38" s="1099">
        <f t="shared" si="16"/>
        <v>0</v>
      </c>
      <c r="AN38" s="575"/>
      <c r="AO38" s="578"/>
      <c r="AP38" s="71" t="e">
        <f t="shared" si="17"/>
        <v>#REF!</v>
      </c>
      <c r="AQ38" s="71" t="e">
        <f t="shared" si="18"/>
        <v>#REF!</v>
      </c>
      <c r="AR38" s="73">
        <f t="shared" si="19"/>
        <v>0</v>
      </c>
      <c r="AS38" s="74">
        <f t="shared" si="20"/>
        <v>0</v>
      </c>
      <c r="AT38" s="75" t="e">
        <f>'Avg Bill by RS'!#REF!</f>
        <v>#REF!</v>
      </c>
    </row>
    <row r="39" spans="2:46" ht="13.5" thickBot="1" x14ac:dyDescent="0.25">
      <c r="B39" s="1001"/>
      <c r="C39" s="994"/>
      <c r="D39" s="44"/>
      <c r="E39" s="44"/>
      <c r="F39" s="43"/>
      <c r="G39" s="961"/>
      <c r="H39" s="43"/>
      <c r="I39" s="962"/>
      <c r="J39" s="963"/>
      <c r="K39" s="964"/>
      <c r="L39" s="963"/>
      <c r="M39" s="1117"/>
      <c r="N39" s="963"/>
      <c r="O39" s="1117"/>
      <c r="P39" s="1122"/>
      <c r="Q39" s="1123"/>
      <c r="R39" s="1123"/>
      <c r="S39" s="1124"/>
      <c r="T39" s="574"/>
      <c r="U39" s="967"/>
      <c r="V39" s="44"/>
      <c r="W39" s="44"/>
      <c r="X39" s="975"/>
      <c r="Y39" s="976"/>
      <c r="Z39" s="977"/>
      <c r="AA39" s="987"/>
      <c r="AB39" s="43"/>
      <c r="AC39" s="44"/>
      <c r="AD39" s="43"/>
      <c r="AE39" s="961"/>
      <c r="AF39" s="43"/>
      <c r="AG39" s="961"/>
      <c r="AH39" s="1103"/>
      <c r="AI39" s="964"/>
      <c r="AJ39" s="1117"/>
      <c r="AK39" s="1117"/>
      <c r="AL39" s="965"/>
      <c r="AM39" s="966"/>
      <c r="AN39" s="574"/>
      <c r="AO39" s="967"/>
      <c r="AP39" s="44"/>
      <c r="AQ39" s="44"/>
      <c r="AR39" s="975"/>
      <c r="AS39" s="976"/>
      <c r="AT39" s="977"/>
    </row>
    <row r="40" spans="2:46" s="82" customFormat="1" x14ac:dyDescent="0.2">
      <c r="B40" s="1005"/>
      <c r="C40" s="1318" t="s">
        <v>32</v>
      </c>
      <c r="D40" s="949">
        <f>SUM(D16:D38)</f>
        <v>49604902.662138224</v>
      </c>
      <c r="E40" s="950">
        <f>SUM(E16:E38)</f>
        <v>78333454.662138224</v>
      </c>
      <c r="F40" s="1089" t="e">
        <f>SUM(F16:F38)</f>
        <v>#REF!</v>
      </c>
      <c r="G40" s="954">
        <f>IFERROR((F40/(D40-D38)),0)</f>
        <v>0</v>
      </c>
      <c r="H40" s="950" t="e">
        <f>SUM(H16:H38)</f>
        <v>#REF!</v>
      </c>
      <c r="I40" s="953">
        <f>IFERROR((H40/(D40-D38)),0)</f>
        <v>0</v>
      </c>
      <c r="J40" s="968" t="e">
        <f>SUM(J16:J38)</f>
        <v>#REF!</v>
      </c>
      <c r="K40" s="954">
        <f>IFERROR((J40/(E40-E38)),0)</f>
        <v>0</v>
      </c>
      <c r="L40" s="1090" t="e">
        <f>SUM(L16:L38)</f>
        <v>#REF!</v>
      </c>
      <c r="M40" s="953">
        <f>IFERROR((L40/(E40-E38)),0)</f>
        <v>0</v>
      </c>
      <c r="N40" s="1090" t="e">
        <f>SUM(N16:N38)</f>
        <v>#REF!</v>
      </c>
      <c r="O40" s="953">
        <f>IFERROR((N40/(E40-E38)),0)</f>
        <v>0</v>
      </c>
      <c r="P40" s="897" t="e">
        <f>SUM(P16:P38)</f>
        <v>#REF!</v>
      </c>
      <c r="Q40" s="1115">
        <f>IFERROR((P40)/(D40-D38),0)</f>
        <v>0</v>
      </c>
      <c r="R40" s="1125" t="e">
        <f>SUM(R16:R38)</f>
        <v>#REF!</v>
      </c>
      <c r="S40" s="898">
        <f>IFERROR((R40)/(E40-E38),0)</f>
        <v>0</v>
      </c>
      <c r="T40" s="1006">
        <f>SUM(T16:T38)</f>
        <v>0</v>
      </c>
      <c r="U40" s="1010">
        <f>T40/E40</f>
        <v>0</v>
      </c>
      <c r="V40" s="955" t="e">
        <f>SUM(V16:V38)</f>
        <v>#REF!</v>
      </c>
      <c r="W40" s="1013" t="e">
        <f>SUM(W16:W38)</f>
        <v>#REF!</v>
      </c>
      <c r="X40" s="953">
        <f>IFERROR(SUM((V40-V38)-SUM(D40-D38))/SUM(D40-D38),0)</f>
        <v>0</v>
      </c>
      <c r="Y40" s="953">
        <f>IFERROR(SUM((W40-W38)-SUM(E40-E38))/SUM(E40-E38),0)</f>
        <v>0</v>
      </c>
      <c r="Z40" s="954"/>
      <c r="AA40" s="988"/>
      <c r="AB40" s="1017" t="e">
        <f>SUM(AB16:AB38)</f>
        <v>#REF!</v>
      </c>
      <c r="AC40" s="979" t="e">
        <f>SUM(AC16:AC38)</f>
        <v>#REF!</v>
      </c>
      <c r="AD40" s="1091" t="e">
        <f>SUM(AD16:AD38)</f>
        <v>#REF!</v>
      </c>
      <c r="AE40" s="980">
        <f t="shared" ref="AE40" si="28">IFERROR((AD40/AB40),0)</f>
        <v>0</v>
      </c>
      <c r="AF40" s="1091" t="e">
        <f>SUM(AF16:AF38)</f>
        <v>#REF!</v>
      </c>
      <c r="AG40" s="980">
        <f>IFERROR((AF40/AC40),0)</f>
        <v>0</v>
      </c>
      <c r="AH40" s="1104" t="e">
        <f>SUM(AH16:AH38)</f>
        <v>#REF!</v>
      </c>
      <c r="AI40" s="981">
        <f>IFERROR((AH40/AC40),0)</f>
        <v>0</v>
      </c>
      <c r="AJ40" s="1104" t="e">
        <f>SUM(AJ16:AJ38)</f>
        <v>#REF!</v>
      </c>
      <c r="AK40" s="981">
        <f>IFERROR((AJ40/AC40),0)</f>
        <v>0</v>
      </c>
      <c r="AL40" s="982" t="e">
        <f>SUM(AL16:AL38)</f>
        <v>#REF!</v>
      </c>
      <c r="AM40" s="983">
        <f>IFERROR((AL40/AB40),0)</f>
        <v>0</v>
      </c>
      <c r="AN40" s="984">
        <f>SUM(AN16:AN38)</f>
        <v>0</v>
      </c>
      <c r="AO40" s="985" t="e">
        <f>AN40/AC40</f>
        <v>#REF!</v>
      </c>
      <c r="AP40" s="978" t="e">
        <f>SUM(AP16:AP38)</f>
        <v>#REF!</v>
      </c>
      <c r="AQ40" s="979" t="e">
        <f>SUM(AQ16:AQ38)</f>
        <v>#REF!</v>
      </c>
      <c r="AR40" s="986">
        <f>IFERROR(SUM((AP40-AP38)-SUM(AB40-AB38))/SUM(AB40-AB38),0)</f>
        <v>0</v>
      </c>
      <c r="AS40" s="981">
        <f>IFERROR(SUM((AQ40-AQ38)-SUM(AC40-AC38))/SUM(AC40-AC38),0)</f>
        <v>0</v>
      </c>
      <c r="AT40" s="980"/>
    </row>
    <row r="41" spans="2:46" ht="15.75" thickBot="1" x14ac:dyDescent="0.3">
      <c r="B41" s="1007"/>
      <c r="C41" s="1008"/>
      <c r="D41" s="1160"/>
      <c r="E41" s="969"/>
      <c r="F41" s="1319" t="s">
        <v>445</v>
      </c>
      <c r="G41" s="971"/>
      <c r="H41" s="1320" t="s">
        <v>445</v>
      </c>
      <c r="I41" s="969"/>
      <c r="J41" s="1321" t="s">
        <v>445</v>
      </c>
      <c r="K41" s="80"/>
      <c r="L41" s="1320" t="s">
        <v>445</v>
      </c>
      <c r="M41" s="79"/>
      <c r="N41" s="1320" t="s">
        <v>445</v>
      </c>
      <c r="O41" s="79"/>
      <c r="P41" s="1322" t="s">
        <v>446</v>
      </c>
      <c r="Q41" s="1116"/>
      <c r="R41" s="1323" t="s">
        <v>446</v>
      </c>
      <c r="S41" s="972"/>
      <c r="T41" s="1009"/>
      <c r="U41" s="1011"/>
      <c r="V41" s="1159"/>
      <c r="W41" s="1014"/>
      <c r="X41" s="1161" t="s">
        <v>424</v>
      </c>
      <c r="Y41" s="79"/>
      <c r="Z41" s="1324" t="s">
        <v>574</v>
      </c>
      <c r="AA41" s="987"/>
      <c r="AB41" s="970"/>
      <c r="AC41" s="969"/>
      <c r="AD41" s="1319" t="s">
        <v>445</v>
      </c>
      <c r="AE41" s="971"/>
      <c r="AF41" s="1326"/>
      <c r="AG41" s="1106"/>
      <c r="AH41" s="1105"/>
      <c r="AI41" s="79"/>
      <c r="AJ41" s="79"/>
      <c r="AK41" s="79"/>
      <c r="AL41" s="1322"/>
      <c r="AM41" s="972"/>
      <c r="AN41" s="973"/>
      <c r="AO41" s="974"/>
      <c r="AP41" s="969"/>
      <c r="AQ41" s="1012"/>
      <c r="AR41" s="1161"/>
      <c r="AS41" s="79"/>
      <c r="AT41" s="1324" t="s">
        <v>446</v>
      </c>
    </row>
    <row r="42" spans="2:46" ht="6.75" customHeight="1" x14ac:dyDescent="0.2">
      <c r="D42" s="78"/>
      <c r="E42" s="78"/>
      <c r="F42" s="78"/>
      <c r="G42" s="78"/>
      <c r="H42" s="78"/>
      <c r="I42" s="78"/>
      <c r="J42" s="78"/>
      <c r="K42" s="78"/>
      <c r="L42" s="78"/>
      <c r="M42" s="78"/>
      <c r="N42" s="78"/>
      <c r="O42" s="78"/>
      <c r="P42" s="78"/>
      <c r="Q42" s="1162" t="s">
        <v>425</v>
      </c>
      <c r="R42" s="78"/>
      <c r="S42" s="78"/>
      <c r="T42" s="78"/>
      <c r="U42" s="78"/>
      <c r="V42" s="78"/>
    </row>
    <row r="43" spans="2:46" ht="12" customHeight="1" x14ac:dyDescent="0.2">
      <c r="B43" s="834" t="s">
        <v>527</v>
      </c>
      <c r="C43" s="830"/>
      <c r="D43" s="88"/>
      <c r="E43" s="89"/>
      <c r="F43" s="52"/>
      <c r="G43" s="52"/>
      <c r="H43" s="89"/>
      <c r="I43" s="52"/>
      <c r="J43" s="89"/>
      <c r="K43" s="89"/>
      <c r="L43" s="89"/>
      <c r="M43" s="89"/>
      <c r="N43" s="89"/>
      <c r="O43" s="89"/>
      <c r="P43" s="89"/>
      <c r="Q43" s="89"/>
      <c r="R43" s="89"/>
      <c r="S43" s="89"/>
      <c r="T43" s="89"/>
      <c r="U43" s="89"/>
      <c r="V43" s="52"/>
      <c r="W43" s="90"/>
      <c r="X43" s="567"/>
      <c r="Y43" s="52"/>
      <c r="Z43" s="52"/>
      <c r="AA43" s="52"/>
      <c r="AB43" s="834" t="s">
        <v>527</v>
      </c>
      <c r="AC43" s="830"/>
    </row>
    <row r="44" spans="2:46" ht="12" customHeight="1" x14ac:dyDescent="0.2">
      <c r="B44" s="834" t="s">
        <v>442</v>
      </c>
      <c r="C44" s="835"/>
      <c r="D44" s="88"/>
      <c r="E44" s="89"/>
      <c r="F44" s="90"/>
      <c r="G44" s="90"/>
      <c r="H44" s="89"/>
      <c r="I44" s="90"/>
      <c r="J44" s="89"/>
      <c r="K44" s="89"/>
      <c r="L44" s="89"/>
      <c r="M44" s="89"/>
      <c r="N44" s="89"/>
      <c r="O44" s="89"/>
      <c r="P44" s="89"/>
      <c r="Q44" s="89"/>
      <c r="R44" s="89"/>
      <c r="S44" s="89"/>
      <c r="T44" s="89"/>
      <c r="U44" s="89"/>
      <c r="V44" s="52"/>
      <c r="W44" s="1158"/>
      <c r="X44" s="567"/>
      <c r="Y44" s="52"/>
      <c r="Z44" s="52"/>
      <c r="AA44" s="52"/>
      <c r="AB44" s="834" t="s">
        <v>448</v>
      </c>
    </row>
    <row r="45" spans="2:46" ht="12" customHeight="1" x14ac:dyDescent="0.2">
      <c r="B45" s="834" t="s">
        <v>443</v>
      </c>
      <c r="D45" s="88"/>
      <c r="E45" s="89"/>
      <c r="F45" s="90"/>
      <c r="G45" s="90"/>
      <c r="H45" s="89"/>
      <c r="I45" s="90"/>
      <c r="J45" s="89"/>
      <c r="K45" s="89"/>
      <c r="L45" s="89"/>
      <c r="M45" s="89"/>
      <c r="N45" s="89"/>
      <c r="O45" s="89"/>
      <c r="P45" s="89"/>
      <c r="Q45" s="89"/>
      <c r="R45" s="89"/>
      <c r="S45" s="89"/>
      <c r="T45" s="89"/>
      <c r="U45" s="89"/>
      <c r="V45" s="52"/>
      <c r="W45" s="52"/>
      <c r="X45" s="52"/>
      <c r="Y45" s="52"/>
      <c r="Z45" s="52"/>
      <c r="AA45" s="52"/>
      <c r="AB45" s="834" t="s">
        <v>443</v>
      </c>
    </row>
    <row r="46" spans="2:46" ht="12" customHeight="1" x14ac:dyDescent="0.2">
      <c r="B46" s="834" t="s">
        <v>444</v>
      </c>
      <c r="D46" s="88"/>
      <c r="E46" s="89"/>
      <c r="F46" s="52"/>
      <c r="G46" s="52"/>
      <c r="H46" s="89"/>
      <c r="I46" s="52"/>
      <c r="J46" s="89"/>
      <c r="K46" s="89"/>
      <c r="L46" s="89"/>
      <c r="M46" s="89"/>
      <c r="N46" s="89"/>
      <c r="O46" s="89"/>
      <c r="P46" s="89"/>
      <c r="Q46" s="89"/>
      <c r="R46" s="89"/>
      <c r="S46" s="89"/>
      <c r="T46" s="89"/>
      <c r="U46" s="89"/>
      <c r="V46" s="52"/>
      <c r="W46" s="52"/>
      <c r="X46" s="52"/>
      <c r="Y46" s="52"/>
      <c r="Z46" s="52"/>
      <c r="AA46" s="52"/>
      <c r="AB46" s="834" t="s">
        <v>444</v>
      </c>
      <c r="AC46" s="835"/>
    </row>
    <row r="47" spans="2:46" ht="12" customHeight="1" x14ac:dyDescent="0.2">
      <c r="B47" s="834" t="s">
        <v>575</v>
      </c>
      <c r="D47" s="88"/>
      <c r="E47" s="89"/>
      <c r="F47" s="52"/>
      <c r="G47" s="52"/>
      <c r="H47" s="89"/>
      <c r="I47" s="52"/>
      <c r="J47" s="89"/>
      <c r="K47" s="89"/>
      <c r="L47" s="89"/>
      <c r="M47" s="89"/>
      <c r="N47" s="89"/>
      <c r="O47" s="89"/>
      <c r="P47" s="89"/>
      <c r="Q47" s="89"/>
      <c r="R47" s="89"/>
      <c r="S47" s="89"/>
      <c r="T47" s="89"/>
      <c r="U47" s="89"/>
      <c r="V47" s="52"/>
      <c r="W47" s="52"/>
      <c r="X47" s="52"/>
      <c r="Y47" s="52"/>
      <c r="Z47" s="52"/>
      <c r="AA47" s="52"/>
      <c r="AB47" s="834" t="s">
        <v>535</v>
      </c>
    </row>
    <row r="48" spans="2:46" x14ac:dyDescent="0.2">
      <c r="B48" s="834" t="s">
        <v>576</v>
      </c>
      <c r="C48" s="830"/>
      <c r="D48" s="87"/>
      <c r="E48" s="52"/>
      <c r="F48" s="52"/>
      <c r="G48" s="52"/>
      <c r="H48" s="52"/>
      <c r="I48" s="52"/>
      <c r="J48" s="52"/>
      <c r="K48" s="52"/>
      <c r="L48" s="52"/>
      <c r="M48" s="52"/>
      <c r="N48" s="52"/>
      <c r="O48" s="52"/>
      <c r="P48" s="52"/>
      <c r="Q48" s="52"/>
      <c r="R48" s="52"/>
      <c r="S48" s="52"/>
      <c r="T48" s="52"/>
      <c r="U48" s="52"/>
      <c r="V48" s="52"/>
      <c r="W48" s="52"/>
      <c r="X48" s="52"/>
      <c r="Y48" s="52"/>
      <c r="Z48" s="52"/>
      <c r="AA48" s="52"/>
      <c r="AB48" s="834" t="s">
        <v>447</v>
      </c>
    </row>
    <row r="49" spans="2:43" ht="12.95" customHeight="1" x14ac:dyDescent="0.2">
      <c r="B49" s="834" t="s">
        <v>577</v>
      </c>
      <c r="C49" s="835"/>
      <c r="D49" s="87"/>
      <c r="E49" s="52"/>
      <c r="F49" s="52"/>
      <c r="G49" s="52"/>
      <c r="H49" s="52"/>
      <c r="I49" s="52"/>
      <c r="J49" s="52"/>
      <c r="K49" s="52"/>
      <c r="L49" s="52"/>
      <c r="M49" s="52"/>
      <c r="N49" s="52"/>
      <c r="O49" s="52"/>
      <c r="P49" s="52"/>
      <c r="Q49" s="52"/>
      <c r="R49" s="52"/>
      <c r="S49" s="52"/>
      <c r="T49" s="52"/>
      <c r="U49" s="52"/>
      <c r="V49" s="52"/>
      <c r="W49" s="52"/>
      <c r="X49" s="52"/>
      <c r="Y49" s="52"/>
      <c r="Z49" s="52"/>
      <c r="AA49" s="52"/>
    </row>
    <row r="50" spans="2:43" ht="12" customHeight="1" x14ac:dyDescent="0.2">
      <c r="B50" s="1220"/>
      <c r="C50" s="88"/>
      <c r="D50" s="87"/>
      <c r="E50" s="52"/>
      <c r="F50" s="52"/>
      <c r="G50" s="52"/>
      <c r="H50" s="52"/>
      <c r="I50" s="52"/>
      <c r="J50" s="52"/>
      <c r="K50" s="52"/>
      <c r="L50" s="52"/>
      <c r="M50" s="52"/>
      <c r="N50" s="52"/>
      <c r="O50" s="52"/>
      <c r="P50" s="52"/>
      <c r="Q50" s="52"/>
      <c r="R50" s="52"/>
      <c r="S50" s="52"/>
      <c r="T50" s="52"/>
      <c r="U50" s="52"/>
      <c r="V50" s="52"/>
      <c r="W50" s="52"/>
      <c r="X50" s="52"/>
      <c r="Y50" s="52"/>
      <c r="Z50" s="52"/>
      <c r="AA50" s="52"/>
    </row>
    <row r="51" spans="2:43" ht="12" customHeight="1" thickBot="1" x14ac:dyDescent="0.25">
      <c r="B51" s="1220"/>
      <c r="C51" s="88"/>
      <c r="D51" s="52"/>
      <c r="E51" s="52"/>
      <c r="F51" s="52"/>
      <c r="G51" s="52"/>
      <c r="H51" s="52"/>
      <c r="I51" s="52"/>
      <c r="J51" s="52"/>
      <c r="K51" s="52"/>
      <c r="L51" s="52"/>
      <c r="M51" s="52"/>
      <c r="N51" s="52"/>
      <c r="O51" s="52"/>
      <c r="P51" s="52"/>
      <c r="Q51" s="52"/>
      <c r="R51" s="52"/>
      <c r="S51" s="52"/>
      <c r="T51" s="52"/>
      <c r="U51" s="52"/>
      <c r="V51" s="1163" t="s">
        <v>332</v>
      </c>
      <c r="W51" s="1664" t="s">
        <v>421</v>
      </c>
      <c r="X51" s="1664"/>
      <c r="Y51" s="1664"/>
      <c r="Z51" s="1664"/>
      <c r="AA51" s="52"/>
      <c r="AB51" s="1664" t="s">
        <v>422</v>
      </c>
      <c r="AC51" s="1664"/>
      <c r="AD51" s="1664"/>
      <c r="AE51" s="1664"/>
      <c r="AG51" s="1664" t="s">
        <v>423</v>
      </c>
      <c r="AH51" s="1664"/>
      <c r="AI51" s="1664"/>
      <c r="AJ51" s="1664"/>
      <c r="AK51" s="1664"/>
      <c r="AL51" s="1664"/>
      <c r="AP51" s="1327" t="s">
        <v>66</v>
      </c>
      <c r="AQ51" s="1328" t="s">
        <v>426</v>
      </c>
    </row>
    <row r="52" spans="2:43" x14ac:dyDescent="0.2">
      <c r="W52" s="1147" t="s">
        <v>413</v>
      </c>
      <c r="X52" s="1147" t="s">
        <v>414</v>
      </c>
      <c r="Y52" s="1147" t="s">
        <v>415</v>
      </c>
      <c r="Z52" s="1147" t="s">
        <v>416</v>
      </c>
      <c r="AB52" s="1147" t="s">
        <v>419</v>
      </c>
      <c r="AC52" s="1147" t="s">
        <v>420</v>
      </c>
      <c r="AD52" s="1147" t="s">
        <v>415</v>
      </c>
      <c r="AE52" s="1147" t="s">
        <v>416</v>
      </c>
      <c r="AG52" s="1147" t="s">
        <v>419</v>
      </c>
      <c r="AH52" s="1147" t="s">
        <v>420</v>
      </c>
      <c r="AI52" s="1147" t="s">
        <v>415</v>
      </c>
      <c r="AJ52" s="1147"/>
      <c r="AK52" s="1147"/>
      <c r="AL52" s="1147" t="s">
        <v>416</v>
      </c>
      <c r="AP52" s="1329" t="s">
        <v>287</v>
      </c>
      <c r="AQ52" s="1329" t="s">
        <v>427</v>
      </c>
    </row>
    <row r="53" spans="2:43" x14ac:dyDescent="0.2">
      <c r="V53" s="42" t="s">
        <v>236</v>
      </c>
      <c r="W53" s="1148">
        <f>D16+D18</f>
        <v>34006734.72181496</v>
      </c>
      <c r="X53" s="1148" t="e">
        <f>V16+V18</f>
        <v>#REF!</v>
      </c>
      <c r="Y53" s="1148" t="e">
        <f>X53-W53</f>
        <v>#REF!</v>
      </c>
      <c r="Z53" s="1150" t="e">
        <f>Y53/W53</f>
        <v>#REF!</v>
      </c>
      <c r="AB53" s="1148">
        <f>E16+E18</f>
        <v>53291888.72181496</v>
      </c>
      <c r="AC53" s="1148" t="e">
        <f>AB53+Y53</f>
        <v>#REF!</v>
      </c>
      <c r="AD53" s="1148" t="e">
        <f>AC53-AB53</f>
        <v>#REF!</v>
      </c>
      <c r="AE53" s="1150" t="e">
        <f>AD53/AB53</f>
        <v>#REF!</v>
      </c>
      <c r="AG53" s="1148">
        <f>AB53</f>
        <v>53291888.72181496</v>
      </c>
      <c r="AH53" s="1148" t="e">
        <f>W16+W18</f>
        <v>#REF!</v>
      </c>
      <c r="AI53" s="1148" t="e">
        <f>AH53-AG53</f>
        <v>#REF!</v>
      </c>
      <c r="AJ53" s="1148"/>
      <c r="AK53" s="1148"/>
      <c r="AL53" s="1150" t="e">
        <f>AI53/AG53</f>
        <v>#REF!</v>
      </c>
      <c r="AP53" s="1166" t="e">
        <f>#REF!</f>
        <v>#REF!</v>
      </c>
      <c r="AQ53" s="1164" t="e">
        <f>(AI53/AP53)/12</f>
        <v>#REF!</v>
      </c>
    </row>
    <row r="54" spans="2:43" x14ac:dyDescent="0.2">
      <c r="F54" s="893"/>
      <c r="V54" s="42" t="s">
        <v>26</v>
      </c>
      <c r="W54" s="1148">
        <f>D17+D19+D21+D22+D28</f>
        <v>11867633.430188185</v>
      </c>
      <c r="X54" s="1148" t="e">
        <f>V17+V19+V21+V22+V28</f>
        <v>#REF!</v>
      </c>
      <c r="Y54" s="1148" t="e">
        <f t="shared" ref="Y54:Y57" si="29">X54-W54</f>
        <v>#REF!</v>
      </c>
      <c r="Z54" s="1150" t="e">
        <f t="shared" ref="Z54:Z58" si="30">Y54/W54</f>
        <v>#REF!</v>
      </c>
      <c r="AB54" s="1148">
        <f>E17+E19+E21+E22+E28</f>
        <v>19853121.430188186</v>
      </c>
      <c r="AC54" s="1148" t="e">
        <f t="shared" ref="AC54:AC57" si="31">AB54+Y54</f>
        <v>#REF!</v>
      </c>
      <c r="AD54" s="1148" t="e">
        <f t="shared" ref="AD54:AD57" si="32">AC54-AB54</f>
        <v>#REF!</v>
      </c>
      <c r="AE54" s="1150" t="e">
        <f t="shared" ref="AE54:AE58" si="33">AD54/AB54</f>
        <v>#REF!</v>
      </c>
      <c r="AG54" s="1148">
        <f t="shared" ref="AG54:AG57" si="34">AB54</f>
        <v>19853121.430188186</v>
      </c>
      <c r="AH54" s="1148" t="e">
        <f>W17+W19+W21+W22+W28</f>
        <v>#REF!</v>
      </c>
      <c r="AI54" s="1148" t="e">
        <f t="shared" ref="AI54:AI57" si="35">AH54-AG54</f>
        <v>#REF!</v>
      </c>
      <c r="AJ54" s="1148"/>
      <c r="AK54" s="1148"/>
      <c r="AL54" s="1150" t="e">
        <f t="shared" ref="AL54:AL58" si="36">AI54/AG54</f>
        <v>#REF!</v>
      </c>
      <c r="AP54" s="1166" t="e">
        <f>#REF!</f>
        <v>#REF!</v>
      </c>
      <c r="AQ54" s="1164" t="e">
        <f t="shared" ref="AQ54:AQ58" si="37">(AI54/AP54)/12</f>
        <v>#REF!</v>
      </c>
    </row>
    <row r="55" spans="2:43" x14ac:dyDescent="0.2">
      <c r="V55" s="42" t="s">
        <v>410</v>
      </c>
      <c r="W55" s="1148">
        <f>D20+D23+D29</f>
        <v>1046175.3848576922</v>
      </c>
      <c r="X55" s="1148" t="e">
        <f>V20+V23+V29</f>
        <v>#REF!</v>
      </c>
      <c r="Y55" s="1148" t="e">
        <f t="shared" si="29"/>
        <v>#REF!</v>
      </c>
      <c r="Z55" s="1150" t="e">
        <f t="shared" si="30"/>
        <v>#REF!</v>
      </c>
      <c r="AB55" s="1148">
        <f>E20+E23+E29</f>
        <v>2143268.3848576923</v>
      </c>
      <c r="AC55" s="1148" t="e">
        <f t="shared" si="31"/>
        <v>#REF!</v>
      </c>
      <c r="AD55" s="1148" t="e">
        <f t="shared" si="32"/>
        <v>#REF!</v>
      </c>
      <c r="AE55" s="1150" t="e">
        <f t="shared" si="33"/>
        <v>#REF!</v>
      </c>
      <c r="AG55" s="1148">
        <f t="shared" si="34"/>
        <v>2143268.3848576923</v>
      </c>
      <c r="AH55" s="1148" t="e">
        <f>W20+W23+W29</f>
        <v>#REF!</v>
      </c>
      <c r="AI55" s="1148" t="e">
        <f t="shared" si="35"/>
        <v>#REF!</v>
      </c>
      <c r="AJ55" s="1148"/>
      <c r="AK55" s="1148"/>
      <c r="AL55" s="1150" t="e">
        <f t="shared" si="36"/>
        <v>#REF!</v>
      </c>
      <c r="AP55" s="1166" t="e">
        <f>#REF!</f>
        <v>#REF!</v>
      </c>
      <c r="AQ55" s="1164" t="e">
        <f t="shared" si="37"/>
        <v>#REF!</v>
      </c>
    </row>
    <row r="56" spans="2:43" x14ac:dyDescent="0.2">
      <c r="V56" s="42" t="s">
        <v>411</v>
      </c>
      <c r="W56" s="1148">
        <f>D25+D33+D24+D32</f>
        <v>241642.64647558174</v>
      </c>
      <c r="X56" s="1148" t="e">
        <f>V24+V25+V32+V33</f>
        <v>#REF!</v>
      </c>
      <c r="Y56" s="1148" t="e">
        <f t="shared" si="29"/>
        <v>#REF!</v>
      </c>
      <c r="Z56" s="1150" t="e">
        <f t="shared" si="30"/>
        <v>#REF!</v>
      </c>
      <c r="AB56" s="1148">
        <f>E25+E33+E24+E32</f>
        <v>602459.64647558169</v>
      </c>
      <c r="AC56" s="1148" t="e">
        <f t="shared" si="31"/>
        <v>#REF!</v>
      </c>
      <c r="AD56" s="1148" t="e">
        <f t="shared" si="32"/>
        <v>#REF!</v>
      </c>
      <c r="AE56" s="1150" t="e">
        <f t="shared" si="33"/>
        <v>#REF!</v>
      </c>
      <c r="AG56" s="1148">
        <f t="shared" si="34"/>
        <v>602459.64647558169</v>
      </c>
      <c r="AH56" s="1148" t="e">
        <f>W24+W25+W32+W33</f>
        <v>#REF!</v>
      </c>
      <c r="AI56" s="1148" t="e">
        <f t="shared" si="35"/>
        <v>#REF!</v>
      </c>
      <c r="AJ56" s="1148"/>
      <c r="AK56" s="1148"/>
      <c r="AL56" s="1150" t="e">
        <f t="shared" si="36"/>
        <v>#REF!</v>
      </c>
      <c r="AP56" s="1166" t="e">
        <f>#REF!</f>
        <v>#REF!</v>
      </c>
      <c r="AQ56" s="1164" t="e">
        <f t="shared" si="37"/>
        <v>#REF!</v>
      </c>
    </row>
    <row r="57" spans="2:43" x14ac:dyDescent="0.2">
      <c r="V57" s="591" t="s">
        <v>417</v>
      </c>
      <c r="W57" s="1148">
        <f>D26+D27+D30+D31+D34+D35+D36+D37</f>
        <v>2199721.8767299997</v>
      </c>
      <c r="X57" s="1148" t="e">
        <f>V26+V27+V30+V31+V34+V35+V36+V37</f>
        <v>#REF!</v>
      </c>
      <c r="Y57" s="1148" t="e">
        <f t="shared" si="29"/>
        <v>#REF!</v>
      </c>
      <c r="Z57" s="1150" t="e">
        <f t="shared" si="30"/>
        <v>#REF!</v>
      </c>
      <c r="AB57" s="1148">
        <f>E26+E27+E30+E31+E34+E35+E36+E37</f>
        <v>2199721.8767299997</v>
      </c>
      <c r="AC57" s="1148" t="e">
        <f t="shared" si="31"/>
        <v>#REF!</v>
      </c>
      <c r="AD57" s="1148" t="e">
        <f t="shared" si="32"/>
        <v>#REF!</v>
      </c>
      <c r="AE57" s="1150" t="e">
        <f t="shared" si="33"/>
        <v>#REF!</v>
      </c>
      <c r="AG57" s="1148">
        <f t="shared" si="34"/>
        <v>2199721.8767299997</v>
      </c>
      <c r="AH57" s="1148" t="e">
        <f>W26+W27+W30+W31+W34+W35+W36+W37</f>
        <v>#REF!</v>
      </c>
      <c r="AI57" s="1148" t="e">
        <f t="shared" si="35"/>
        <v>#REF!</v>
      </c>
      <c r="AJ57" s="1148"/>
      <c r="AK57" s="1148"/>
      <c r="AL57" s="1150" t="e">
        <f t="shared" si="36"/>
        <v>#REF!</v>
      </c>
      <c r="AP57" s="1168" t="e">
        <f>#REF!</f>
        <v>#REF!</v>
      </c>
      <c r="AQ57" s="1173" t="e">
        <f t="shared" si="37"/>
        <v>#REF!</v>
      </c>
    </row>
    <row r="58" spans="2:43" x14ac:dyDescent="0.2">
      <c r="V58" s="42" t="s">
        <v>412</v>
      </c>
      <c r="W58" s="1149">
        <f>SUM(W53:W57)</f>
        <v>49361908.060066424</v>
      </c>
      <c r="X58" s="1149" t="e">
        <f>SUM(X53:X57)</f>
        <v>#REF!</v>
      </c>
      <c r="Y58" s="1149" t="e">
        <f>SUM(Y53:Y57)</f>
        <v>#REF!</v>
      </c>
      <c r="Z58" s="1151" t="e">
        <f t="shared" si="30"/>
        <v>#REF!</v>
      </c>
      <c r="AB58" s="1149">
        <f>SUM(AB53:AB57)</f>
        <v>78090460.060066417</v>
      </c>
      <c r="AC58" s="1149" t="e">
        <f>SUM(AC53:AC57)</f>
        <v>#REF!</v>
      </c>
      <c r="AD58" s="1149" t="e">
        <f>SUM(AD53:AD57)</f>
        <v>#REF!</v>
      </c>
      <c r="AE58" s="1151" t="e">
        <f t="shared" si="33"/>
        <v>#REF!</v>
      </c>
      <c r="AG58" s="1149">
        <f>SUM(AG53:AG57)</f>
        <v>78090460.060066417</v>
      </c>
      <c r="AH58" s="1149" t="e">
        <f>SUM(AH53:AH57)</f>
        <v>#REF!</v>
      </c>
      <c r="AI58" s="1149" t="e">
        <f>SUM(AI53:AI57)</f>
        <v>#REF!</v>
      </c>
      <c r="AJ58" s="1149"/>
      <c r="AK58" s="1149"/>
      <c r="AL58" s="1151" t="e">
        <f t="shared" si="36"/>
        <v>#REF!</v>
      </c>
      <c r="AP58" s="1167" t="e">
        <f>SUM(AP53:AP57)</f>
        <v>#REF!</v>
      </c>
      <c r="AQ58" s="1165" t="e">
        <f t="shared" si="37"/>
        <v>#REF!</v>
      </c>
    </row>
    <row r="59" spans="2:43" x14ac:dyDescent="0.2">
      <c r="AH59" s="893"/>
      <c r="AI59" s="893"/>
      <c r="AJ59" s="893"/>
      <c r="AK59" s="893"/>
    </row>
    <row r="60" spans="2:43" x14ac:dyDescent="0.2">
      <c r="V60" s="591" t="s">
        <v>418</v>
      </c>
      <c r="Y60" s="893"/>
    </row>
    <row r="61" spans="2:43" x14ac:dyDescent="0.2">
      <c r="Y61" s="893"/>
    </row>
    <row r="62" spans="2:43" ht="13.5" thickBot="1" x14ac:dyDescent="0.25">
      <c r="V62" s="1163" t="s">
        <v>327</v>
      </c>
      <c r="W62" s="1664" t="s">
        <v>421</v>
      </c>
      <c r="X62" s="1664"/>
      <c r="Y62" s="1664"/>
      <c r="Z62" s="1664"/>
      <c r="AA62" s="52"/>
      <c r="AB62" s="1664" t="s">
        <v>422</v>
      </c>
      <c r="AC62" s="1664"/>
      <c r="AD62" s="1664"/>
      <c r="AE62" s="1664"/>
      <c r="AG62" s="1664" t="s">
        <v>423</v>
      </c>
      <c r="AH62" s="1664"/>
      <c r="AI62" s="1664"/>
      <c r="AJ62" s="1664"/>
      <c r="AK62" s="1664"/>
      <c r="AL62" s="1664"/>
      <c r="AP62" s="1147" t="s">
        <v>66</v>
      </c>
      <c r="AQ62" s="1169" t="s">
        <v>426</v>
      </c>
    </row>
    <row r="63" spans="2:43" x14ac:dyDescent="0.2">
      <c r="W63" s="1147" t="s">
        <v>413</v>
      </c>
      <c r="X63" s="1147" t="s">
        <v>414</v>
      </c>
      <c r="Y63" s="1147" t="s">
        <v>415</v>
      </c>
      <c r="Z63" s="1147" t="s">
        <v>416</v>
      </c>
      <c r="AB63" s="1147" t="s">
        <v>419</v>
      </c>
      <c r="AC63" s="1147" t="s">
        <v>420</v>
      </c>
      <c r="AD63" s="1147" t="s">
        <v>415</v>
      </c>
      <c r="AE63" s="1147" t="s">
        <v>416</v>
      </c>
      <c r="AG63" s="1147" t="s">
        <v>419</v>
      </c>
      <c r="AH63" s="1147" t="s">
        <v>420</v>
      </c>
      <c r="AI63" s="1147" t="s">
        <v>415</v>
      </c>
      <c r="AJ63" s="1147"/>
      <c r="AK63" s="1147"/>
      <c r="AL63" s="1147" t="s">
        <v>416</v>
      </c>
      <c r="AP63" s="1170" t="s">
        <v>287</v>
      </c>
      <c r="AQ63" s="1170" t="s">
        <v>427</v>
      </c>
    </row>
    <row r="64" spans="2:43" x14ac:dyDescent="0.2">
      <c r="V64" s="42" t="s">
        <v>236</v>
      </c>
      <c r="W64" s="1148" t="e">
        <f>X53</f>
        <v>#REF!</v>
      </c>
      <c r="X64" s="1148" t="e">
        <f>AP16+AP18</f>
        <v>#REF!</v>
      </c>
      <c r="Y64" s="1148" t="e">
        <f>X64-W64</f>
        <v>#REF!</v>
      </c>
      <c r="Z64" s="1150" t="e">
        <f>Y64/W64</f>
        <v>#REF!</v>
      </c>
      <c r="AB64" s="1148" t="e">
        <f>AC16+AC18</f>
        <v>#REF!</v>
      </c>
      <c r="AC64" s="1148" t="e">
        <f>AD16+AD18+AB64</f>
        <v>#REF!</v>
      </c>
      <c r="AD64" s="1148" t="e">
        <f>AC64-AB64</f>
        <v>#REF!</v>
      </c>
      <c r="AE64" s="1150" t="e">
        <f>AD64/AB64</f>
        <v>#REF!</v>
      </c>
      <c r="AG64" s="1148" t="e">
        <f>AB64</f>
        <v>#REF!</v>
      </c>
      <c r="AH64" s="1148" t="e">
        <f>AQ16+AQ18</f>
        <v>#REF!</v>
      </c>
      <c r="AI64" s="1148" t="e">
        <f>AH64-AG64</f>
        <v>#REF!</v>
      </c>
      <c r="AJ64" s="1148"/>
      <c r="AK64" s="1148"/>
      <c r="AL64" s="1150" t="e">
        <f>AI64/AG64</f>
        <v>#REF!</v>
      </c>
      <c r="AP64" s="1171" t="e">
        <f>AP53</f>
        <v>#REF!</v>
      </c>
      <c r="AQ64" s="1164" t="e">
        <f>(AI64/AP64)/12</f>
        <v>#REF!</v>
      </c>
    </row>
    <row r="65" spans="22:43" x14ac:dyDescent="0.2">
      <c r="V65" s="42" t="s">
        <v>26</v>
      </c>
      <c r="W65" s="1148" t="e">
        <f>X54</f>
        <v>#REF!</v>
      </c>
      <c r="X65" s="1148" t="e">
        <f>AP17+AP19+AP21+AP22+AP28</f>
        <v>#REF!</v>
      </c>
      <c r="Y65" s="1148" t="e">
        <f t="shared" ref="Y65:Y68" si="38">X65-W65</f>
        <v>#REF!</v>
      </c>
      <c r="Z65" s="1150" t="e">
        <f t="shared" ref="Z65:Z69" si="39">Y65/W65</f>
        <v>#REF!</v>
      </c>
      <c r="AB65" s="1148" t="e">
        <f>AC17+AC19+AC21+AC22+AC28</f>
        <v>#REF!</v>
      </c>
      <c r="AC65" s="1148" t="e">
        <f>AD17+AD19+AD21+AD22+AD28+AB65</f>
        <v>#REF!</v>
      </c>
      <c r="AD65" s="1148" t="e">
        <f>AC65-AB65</f>
        <v>#REF!</v>
      </c>
      <c r="AE65" s="1150" t="e">
        <f>AD65/AB65</f>
        <v>#REF!</v>
      </c>
      <c r="AG65" s="1148" t="e">
        <f t="shared" ref="AG65:AG68" si="40">AB65</f>
        <v>#REF!</v>
      </c>
      <c r="AH65" s="1148" t="e">
        <f>AQ17+AQ19+AQ21+AQ22+AQ28</f>
        <v>#REF!</v>
      </c>
      <c r="AI65" s="1148" t="e">
        <f t="shared" ref="AI65:AI68" si="41">AH65-AG65</f>
        <v>#REF!</v>
      </c>
      <c r="AJ65" s="1148"/>
      <c r="AK65" s="1148"/>
      <c r="AL65" s="1150" t="e">
        <f t="shared" ref="AL65:AL69" si="42">AI65/AG65</f>
        <v>#REF!</v>
      </c>
      <c r="AP65" s="1171" t="e">
        <f>AP54</f>
        <v>#REF!</v>
      </c>
      <c r="AQ65" s="1164" t="e">
        <f t="shared" ref="AQ65:AQ69" si="43">(AI65/AP65)/12</f>
        <v>#REF!</v>
      </c>
    </row>
    <row r="66" spans="22:43" x14ac:dyDescent="0.2">
      <c r="V66" s="42" t="s">
        <v>410</v>
      </c>
      <c r="W66" s="1148" t="e">
        <f>X55</f>
        <v>#REF!</v>
      </c>
      <c r="X66" s="1148" t="e">
        <f>AP20+AP23+AP29</f>
        <v>#REF!</v>
      </c>
      <c r="Y66" s="1148" t="e">
        <f t="shared" si="38"/>
        <v>#REF!</v>
      </c>
      <c r="Z66" s="1150" t="e">
        <f t="shared" si="39"/>
        <v>#REF!</v>
      </c>
      <c r="AB66" s="1148" t="e">
        <f>AC20+AC23+AC29</f>
        <v>#REF!</v>
      </c>
      <c r="AC66" s="1148" t="e">
        <f>AD20+AD23+AD29+AB66</f>
        <v>#REF!</v>
      </c>
      <c r="AD66" s="1148" t="e">
        <f>AC66-AB66</f>
        <v>#REF!</v>
      </c>
      <c r="AE66" s="1150" t="e">
        <f>AD66/AB66</f>
        <v>#REF!</v>
      </c>
      <c r="AG66" s="1148" t="e">
        <f t="shared" si="40"/>
        <v>#REF!</v>
      </c>
      <c r="AH66" s="1148" t="e">
        <f>AQ20+AQ23+AQ29</f>
        <v>#REF!</v>
      </c>
      <c r="AI66" s="1148" t="e">
        <f t="shared" si="41"/>
        <v>#REF!</v>
      </c>
      <c r="AJ66" s="1148"/>
      <c r="AK66" s="1148"/>
      <c r="AL66" s="1150" t="e">
        <f t="shared" si="42"/>
        <v>#REF!</v>
      </c>
      <c r="AP66" s="1171" t="e">
        <f>AP55</f>
        <v>#REF!</v>
      </c>
      <c r="AQ66" s="1164" t="e">
        <f t="shared" si="43"/>
        <v>#REF!</v>
      </c>
    </row>
    <row r="67" spans="22:43" x14ac:dyDescent="0.2">
      <c r="V67" s="42" t="s">
        <v>411</v>
      </c>
      <c r="W67" s="1148" t="e">
        <f>X56</f>
        <v>#REF!</v>
      </c>
      <c r="X67" s="1148" t="e">
        <f>AP25+AP33+AP24+AP32</f>
        <v>#REF!</v>
      </c>
      <c r="Y67" s="1148" t="e">
        <f t="shared" si="38"/>
        <v>#REF!</v>
      </c>
      <c r="Z67" s="1150" t="e">
        <f t="shared" si="39"/>
        <v>#REF!</v>
      </c>
      <c r="AB67" s="1148" t="e">
        <f>AC25+AC33+AC24+AC32</f>
        <v>#REF!</v>
      </c>
      <c r="AC67" s="1148" t="e">
        <f>AD25+AD33+AD24+AD32+AB67</f>
        <v>#REF!</v>
      </c>
      <c r="AD67" s="1148" t="e">
        <f>AC67-AB67</f>
        <v>#REF!</v>
      </c>
      <c r="AE67" s="1150" t="e">
        <f>AD67/AB67</f>
        <v>#REF!</v>
      </c>
      <c r="AG67" s="1148" t="e">
        <f t="shared" si="40"/>
        <v>#REF!</v>
      </c>
      <c r="AH67" s="1148" t="e">
        <f>AQ25+AQ33+AQ24+AQ32</f>
        <v>#REF!</v>
      </c>
      <c r="AI67" s="1148" t="e">
        <f t="shared" si="41"/>
        <v>#REF!</v>
      </c>
      <c r="AJ67" s="1148"/>
      <c r="AK67" s="1148"/>
      <c r="AL67" s="1150" t="e">
        <f t="shared" si="42"/>
        <v>#REF!</v>
      </c>
      <c r="AP67" s="1171" t="e">
        <f>AP56</f>
        <v>#REF!</v>
      </c>
      <c r="AQ67" s="1164" t="e">
        <f t="shared" si="43"/>
        <v>#REF!</v>
      </c>
    </row>
    <row r="68" spans="22:43" x14ac:dyDescent="0.2">
      <c r="V68" s="591" t="s">
        <v>417</v>
      </c>
      <c r="W68" s="1148" t="e">
        <f>X57</f>
        <v>#REF!</v>
      </c>
      <c r="X68" s="1148" t="e">
        <f>AP26+AP27+AP30+AP31+AP34+AP35+AP36+AP37</f>
        <v>#REF!</v>
      </c>
      <c r="Y68" s="1148" t="e">
        <f t="shared" si="38"/>
        <v>#REF!</v>
      </c>
      <c r="Z68" s="1150" t="e">
        <f t="shared" si="39"/>
        <v>#REF!</v>
      </c>
      <c r="AB68" s="1148" t="e">
        <f>AC26+AC27+AC30+AC31+AC34+AC35+AC36+AC37</f>
        <v>#REF!</v>
      </c>
      <c r="AC68" s="1148" t="e">
        <f>AD26+AD27+AD30+AD31+AD34+AD35+AD36+AD37+AB68</f>
        <v>#REF!</v>
      </c>
      <c r="AD68" s="1148" t="e">
        <f>AC68-AB68</f>
        <v>#REF!</v>
      </c>
      <c r="AE68" s="1150" t="e">
        <f>AD68/AB68</f>
        <v>#REF!</v>
      </c>
      <c r="AG68" s="1148" t="e">
        <f t="shared" si="40"/>
        <v>#REF!</v>
      </c>
      <c r="AH68" s="1148" t="e">
        <f>AQ26+AQ27+AQ30+AQ31+AQ34+AQ35+AQ36+AQ37</f>
        <v>#REF!</v>
      </c>
      <c r="AI68" s="1148" t="e">
        <f t="shared" si="41"/>
        <v>#REF!</v>
      </c>
      <c r="AJ68" s="1148"/>
      <c r="AK68" s="1148"/>
      <c r="AL68" s="1150" t="e">
        <f t="shared" si="42"/>
        <v>#REF!</v>
      </c>
      <c r="AP68" s="1172" t="e">
        <f>AP57</f>
        <v>#REF!</v>
      </c>
      <c r="AQ68" s="1173" t="e">
        <f t="shared" si="43"/>
        <v>#REF!</v>
      </c>
    </row>
    <row r="69" spans="22:43" x14ac:dyDescent="0.2">
      <c r="V69" s="42" t="s">
        <v>412</v>
      </c>
      <c r="W69" s="1149" t="e">
        <f>SUM(W64:W68)</f>
        <v>#REF!</v>
      </c>
      <c r="X69" s="1149" t="e">
        <f>SUM(X64:X68)</f>
        <v>#REF!</v>
      </c>
      <c r="Y69" s="1149" t="e">
        <f>SUM(Y64:Y68)</f>
        <v>#REF!</v>
      </c>
      <c r="Z69" s="1151" t="e">
        <f t="shared" si="39"/>
        <v>#REF!</v>
      </c>
      <c r="AB69" s="1149" t="e">
        <f>SUM(AB64:AB68)</f>
        <v>#REF!</v>
      </c>
      <c r="AC69" s="1149" t="e">
        <f>SUM(AC64:AC68)</f>
        <v>#REF!</v>
      </c>
      <c r="AD69" s="1149" t="e">
        <f>SUM(AD64:AD68)</f>
        <v>#REF!</v>
      </c>
      <c r="AE69" s="1151" t="e">
        <f t="shared" ref="AE69" si="44">AD69/AB69</f>
        <v>#REF!</v>
      </c>
      <c r="AG69" s="1149" t="e">
        <f>SUM(AG64:AG68)</f>
        <v>#REF!</v>
      </c>
      <c r="AH69" s="1149" t="e">
        <f>SUM(AH64:AH68)</f>
        <v>#REF!</v>
      </c>
      <c r="AI69" s="1149" t="e">
        <f>SUM(AI64:AI68)</f>
        <v>#REF!</v>
      </c>
      <c r="AJ69" s="1149"/>
      <c r="AK69" s="1149"/>
      <c r="AL69" s="1151" t="e">
        <f t="shared" si="42"/>
        <v>#REF!</v>
      </c>
      <c r="AP69" s="1171" t="e">
        <f>SUM(AP64:AP68)</f>
        <v>#REF!</v>
      </c>
      <c r="AQ69" s="1165" t="e">
        <f t="shared" si="43"/>
        <v>#REF!</v>
      </c>
    </row>
    <row r="70" spans="22:43" x14ac:dyDescent="0.2">
      <c r="Y70" s="893"/>
      <c r="AC70" s="893"/>
      <c r="AD70" s="893"/>
      <c r="AI70" s="893"/>
      <c r="AJ70" s="893"/>
      <c r="AK70" s="893"/>
    </row>
    <row r="71" spans="22:43" x14ac:dyDescent="0.2">
      <c r="V71" s="591" t="s">
        <v>418</v>
      </c>
      <c r="Y71" s="893"/>
      <c r="AD71" s="893"/>
      <c r="AI71" s="893"/>
      <c r="AJ71" s="893"/>
      <c r="AK71" s="893"/>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31">
    <mergeCell ref="AQ2:AS2"/>
    <mergeCell ref="AQ3:AQ4"/>
    <mergeCell ref="AR3:AR4"/>
    <mergeCell ref="AS3:AS4"/>
    <mergeCell ref="AJ11:AK11"/>
    <mergeCell ref="W2:Y2"/>
    <mergeCell ref="X3:X4"/>
    <mergeCell ref="W3:W4"/>
    <mergeCell ref="Y3:Y4"/>
    <mergeCell ref="P11:S11"/>
    <mergeCell ref="X11:Z11"/>
    <mergeCell ref="D10:Z10"/>
    <mergeCell ref="F11:G11"/>
    <mergeCell ref="H11:I11"/>
    <mergeCell ref="J11:K11"/>
    <mergeCell ref="N11:O11"/>
    <mergeCell ref="L11:M11"/>
    <mergeCell ref="T11:U11"/>
    <mergeCell ref="W62:Z62"/>
    <mergeCell ref="AB62:AE62"/>
    <mergeCell ref="AB10:AT10"/>
    <mergeCell ref="AN11:AO11"/>
    <mergeCell ref="AR11:AT11"/>
    <mergeCell ref="AG62:AL62"/>
    <mergeCell ref="W51:Z51"/>
    <mergeCell ref="AB51:AE51"/>
    <mergeCell ref="AG51:AL51"/>
    <mergeCell ref="AL11:AM11"/>
    <mergeCell ref="AF11:AG11"/>
    <mergeCell ref="AH11:AI11"/>
    <mergeCell ref="AD11:AE11"/>
  </mergeCells>
  <printOptions verticalCentered="1"/>
  <pageMargins left="0.25" right="0.25" top="0.5" bottom="0.5" header="0.25" footer="0.25"/>
  <pageSetup scale="49" orientation="landscape" r:id="rId3"/>
  <headerFooter alignWithMargins="0">
    <oddHeader>&amp;RUG 388 - NW Natural/2500
Wyman/WP02</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99"/>
    <pageSetUpPr fitToPage="1"/>
  </sheetPr>
  <dimension ref="B1:BG77"/>
  <sheetViews>
    <sheetView zoomScale="95" zoomScaleNormal="95" workbookViewId="0">
      <pane xSplit="4" ySplit="8" topLeftCell="E9" activePane="bottomRight" state="frozen"/>
      <selection activeCell="F1" sqref="A1:XFD1048576"/>
      <selection pane="topRight" activeCell="F1" sqref="A1:XFD1048576"/>
      <selection pane="bottomLeft" activeCell="F1" sqref="A1:XFD1048576"/>
      <selection pane="bottomRight" activeCell="AN61" sqref="AN61"/>
    </sheetView>
  </sheetViews>
  <sheetFormatPr defaultColWidth="9.33203125" defaultRowHeight="12.75" outlineLevelCol="1" x14ac:dyDescent="0.2"/>
  <cols>
    <col min="1" max="1" width="3.1640625" style="42" customWidth="1"/>
    <col min="2" max="2" width="8.6640625" style="42" customWidth="1"/>
    <col min="3" max="3" width="16.33203125" style="42" customWidth="1"/>
    <col min="4" max="5" width="14" style="42" customWidth="1"/>
    <col min="6" max="6" width="15" style="42" customWidth="1"/>
    <col min="7" max="9" width="14" style="42" customWidth="1"/>
    <col min="10" max="10" width="14" style="604" customWidth="1" outlineLevel="1"/>
    <col min="11" max="11" width="15.1640625" style="604" customWidth="1" outlineLevel="1"/>
    <col min="12" max="12" width="14" style="604" customWidth="1" outlineLevel="1"/>
    <col min="13" max="13" width="14.33203125" style="604" customWidth="1" outlineLevel="1"/>
    <col min="14" max="14" width="14" style="42" customWidth="1"/>
    <col min="15" max="17" width="16" style="42" customWidth="1" outlineLevel="1"/>
    <col min="18" max="18" width="16.5" style="82" customWidth="1" outlineLevel="1"/>
    <col min="19" max="19" width="16" style="42" customWidth="1" outlineLevel="1"/>
    <col min="20" max="20" width="15.6640625" style="42" customWidth="1" outlineLevel="1"/>
    <col min="21" max="21" width="15.5" style="42" customWidth="1" outlineLevel="1"/>
    <col min="22" max="22" width="16" style="42" customWidth="1"/>
    <col min="23" max="23" width="3" style="46" customWidth="1"/>
    <col min="24" max="24" width="12.5" style="46" customWidth="1" outlineLevel="1"/>
    <col min="25" max="25" width="12.83203125" style="46" customWidth="1" outlineLevel="1"/>
    <col min="26" max="26" width="12.5" style="46" customWidth="1" outlineLevel="1"/>
    <col min="27" max="27" width="12.1640625" style="46" customWidth="1" outlineLevel="1"/>
    <col min="28" max="28" width="13" style="46" customWidth="1" outlineLevel="1"/>
    <col min="29" max="29" width="15" style="82" customWidth="1"/>
    <col min="30" max="30" width="3" style="42" customWidth="1"/>
    <col min="31" max="32" width="11.33203125" style="42" customWidth="1" outlineLevel="1"/>
    <col min="33" max="34" width="13" style="42" customWidth="1" outlineLevel="1"/>
    <col min="35" max="35" width="12.6640625" style="42" customWidth="1" outlineLevel="1"/>
    <col min="36" max="36" width="14.6640625" style="82" customWidth="1"/>
    <col min="37" max="37" width="3.1640625" style="120" customWidth="1"/>
    <col min="38" max="42" width="13.1640625" style="120" customWidth="1" outlineLevel="1"/>
    <col min="43" max="43" width="6.33203125" style="120" customWidth="1" outlineLevel="1"/>
    <col min="44" max="44" width="12.5" style="46" customWidth="1" outlineLevel="1"/>
    <col min="45" max="45" width="12.83203125" style="46" customWidth="1" outlineLevel="1"/>
    <col min="46" max="46" width="12.5" style="46" customWidth="1" outlineLevel="1"/>
    <col min="47" max="48" width="11.5" style="46" customWidth="1" outlineLevel="1"/>
    <col min="49" max="49" width="15" style="82" customWidth="1" outlineLevel="1"/>
    <col min="50" max="50" width="3.83203125" style="42" customWidth="1" outlineLevel="1"/>
    <col min="51" max="52" width="11.33203125" style="42" customWidth="1" outlineLevel="1"/>
    <col min="53" max="54" width="13" style="42" customWidth="1" outlineLevel="1"/>
    <col min="55" max="55" width="12.6640625" style="42" customWidth="1" outlineLevel="1"/>
    <col min="56" max="56" width="14.6640625" style="82" customWidth="1" outlineLevel="1"/>
    <col min="57" max="59" width="11.1640625" style="42" customWidth="1"/>
    <col min="60" max="16384" width="9.33203125" style="42"/>
  </cols>
  <sheetData>
    <row r="1" spans="2:59" x14ac:dyDescent="0.2">
      <c r="B1" s="81" t="s">
        <v>0</v>
      </c>
      <c r="T1" s="55"/>
      <c r="U1" s="55"/>
    </row>
    <row r="2" spans="2:59" x14ac:dyDescent="0.2">
      <c r="B2" s="81" t="s">
        <v>242</v>
      </c>
    </row>
    <row r="3" spans="2:59" x14ac:dyDescent="0.2">
      <c r="B3" s="81" t="s">
        <v>243</v>
      </c>
      <c r="P3" s="91"/>
      <c r="R3" s="128"/>
    </row>
    <row r="4" spans="2:59" x14ac:dyDescent="0.2">
      <c r="B4" s="81" t="s">
        <v>507</v>
      </c>
      <c r="N4" s="635"/>
      <c r="O4" s="49"/>
      <c r="P4" s="49"/>
      <c r="Q4" s="49"/>
      <c r="R4" s="48"/>
      <c r="S4" s="48"/>
      <c r="T4" s="48"/>
      <c r="U4" s="48"/>
      <c r="AE4" s="591"/>
      <c r="AH4" s="91"/>
      <c r="AI4" s="591"/>
      <c r="AJ4" s="128"/>
      <c r="AK4" s="121"/>
      <c r="AL4" s="121"/>
      <c r="AM4" s="48"/>
      <c r="AN4" s="48"/>
      <c r="AO4" s="48"/>
      <c r="AP4" s="121"/>
      <c r="AQ4" s="121"/>
      <c r="AY4" s="591"/>
      <c r="BB4" s="91"/>
      <c r="BC4" s="591"/>
    </row>
    <row r="5" spans="2:59" ht="13.5" thickBot="1" x14ac:dyDescent="0.25">
      <c r="O5" s="900"/>
      <c r="P5" s="901"/>
      <c r="Q5" s="92"/>
      <c r="R5" s="92"/>
      <c r="S5" s="901"/>
      <c r="T5" s="901"/>
      <c r="U5" s="901"/>
      <c r="AE5" s="91"/>
      <c r="AF5" s="91"/>
      <c r="AG5" s="91"/>
      <c r="AH5" s="91"/>
      <c r="AI5" s="91"/>
      <c r="AL5" s="904"/>
      <c r="AM5" s="901"/>
      <c r="AN5" s="901"/>
      <c r="AO5" s="901"/>
      <c r="AP5" s="904"/>
      <c r="AY5" s="91"/>
      <c r="AZ5" s="91"/>
      <c r="BA5" s="91"/>
      <c r="BB5" s="91"/>
      <c r="BC5" s="91"/>
    </row>
    <row r="6" spans="2:59" ht="13.5" thickBot="1" x14ac:dyDescent="0.25">
      <c r="B6" s="93"/>
      <c r="C6" s="93"/>
      <c r="D6" s="93"/>
      <c r="E6" s="93"/>
      <c r="F6" s="93"/>
      <c r="G6" s="93"/>
      <c r="H6" s="614" t="s">
        <v>230</v>
      </c>
      <c r="I6" s="94" t="s">
        <v>494</v>
      </c>
      <c r="J6" s="1701" t="s">
        <v>229</v>
      </c>
      <c r="K6" s="1702"/>
      <c r="L6" s="1702"/>
      <c r="M6" s="1702"/>
      <c r="N6" s="1703"/>
      <c r="O6" s="1021" t="s">
        <v>158</v>
      </c>
      <c r="P6" s="1021" t="s">
        <v>321</v>
      </c>
      <c r="Q6" s="1022" t="s">
        <v>288</v>
      </c>
      <c r="R6" s="246" t="s">
        <v>219</v>
      </c>
      <c r="S6" s="1021" t="s">
        <v>311</v>
      </c>
      <c r="T6" s="1021" t="s">
        <v>322</v>
      </c>
      <c r="U6" s="1021" t="s">
        <v>555</v>
      </c>
      <c r="V6" s="247" t="s">
        <v>219</v>
      </c>
      <c r="X6" s="1696" t="s">
        <v>310</v>
      </c>
      <c r="Y6" s="1697"/>
      <c r="Z6" s="1697"/>
      <c r="AA6" s="1697"/>
      <c r="AB6" s="1697"/>
      <c r="AC6" s="1698"/>
      <c r="AE6" s="1699" t="s">
        <v>517</v>
      </c>
      <c r="AF6" s="1700"/>
      <c r="AG6" s="1700"/>
      <c r="AH6" s="1700"/>
      <c r="AI6" s="1700"/>
      <c r="AJ6" s="1700"/>
      <c r="AL6" s="905" t="s">
        <v>158</v>
      </c>
      <c r="AM6" s="906" t="s">
        <v>328</v>
      </c>
      <c r="AN6" s="906" t="s">
        <v>311</v>
      </c>
      <c r="AO6" s="906" t="s">
        <v>322</v>
      </c>
      <c r="AP6" s="906" t="s">
        <v>329</v>
      </c>
      <c r="AR6" s="1696" t="s">
        <v>340</v>
      </c>
      <c r="AS6" s="1697"/>
      <c r="AT6" s="1697"/>
      <c r="AU6" s="1697"/>
      <c r="AV6" s="1697"/>
      <c r="AW6" s="1698"/>
      <c r="AY6" s="1699" t="s">
        <v>520</v>
      </c>
      <c r="AZ6" s="1700"/>
      <c r="BA6" s="1700"/>
      <c r="BB6" s="1700"/>
      <c r="BC6" s="1700"/>
      <c r="BD6" s="1700"/>
    </row>
    <row r="7" spans="2:59" ht="63.75" x14ac:dyDescent="0.2">
      <c r="B7" s="95" t="s">
        <v>130</v>
      </c>
      <c r="C7" s="56" t="s">
        <v>2</v>
      </c>
      <c r="D7" s="56" t="s">
        <v>3</v>
      </c>
      <c r="E7" s="56" t="s">
        <v>143</v>
      </c>
      <c r="F7" s="56" t="s">
        <v>141</v>
      </c>
      <c r="G7" s="56" t="s">
        <v>142</v>
      </c>
      <c r="H7" s="96" t="s">
        <v>139</v>
      </c>
      <c r="I7" s="56" t="s">
        <v>511</v>
      </c>
      <c r="J7" s="605" t="s">
        <v>305</v>
      </c>
      <c r="K7" s="606" t="s">
        <v>306</v>
      </c>
      <c r="L7" s="606" t="s">
        <v>307</v>
      </c>
      <c r="M7" s="606" t="s">
        <v>308</v>
      </c>
      <c r="N7" s="97" t="s">
        <v>309</v>
      </c>
      <c r="O7" s="110" t="s">
        <v>512</v>
      </c>
      <c r="P7" s="111" t="s">
        <v>513</v>
      </c>
      <c r="Q7" s="111" t="s">
        <v>514</v>
      </c>
      <c r="R7" s="242" t="s">
        <v>508</v>
      </c>
      <c r="S7" s="111" t="s">
        <v>515</v>
      </c>
      <c r="T7" s="111" t="s">
        <v>515</v>
      </c>
      <c r="U7" s="111" t="s">
        <v>572</v>
      </c>
      <c r="V7" s="248" t="s">
        <v>509</v>
      </c>
      <c r="W7" s="601"/>
      <c r="X7" s="335" t="s">
        <v>72</v>
      </c>
      <c r="Y7" s="335" t="s">
        <v>204</v>
      </c>
      <c r="Z7" s="335" t="s">
        <v>201</v>
      </c>
      <c r="AA7" s="335" t="s">
        <v>202</v>
      </c>
      <c r="AB7" s="335" t="s">
        <v>200</v>
      </c>
      <c r="AC7" s="336" t="s">
        <v>510</v>
      </c>
      <c r="AE7" s="330" t="s">
        <v>72</v>
      </c>
      <c r="AF7" s="330" t="s">
        <v>204</v>
      </c>
      <c r="AG7" s="330" t="s">
        <v>201</v>
      </c>
      <c r="AH7" s="330" t="s">
        <v>202</v>
      </c>
      <c r="AI7" s="330" t="s">
        <v>200</v>
      </c>
      <c r="AJ7" s="331" t="s">
        <v>516</v>
      </c>
      <c r="AK7" s="98"/>
      <c r="AL7" s="907" t="s">
        <v>512</v>
      </c>
      <c r="AM7" s="907" t="s">
        <v>515</v>
      </c>
      <c r="AN7" s="907" t="s">
        <v>515</v>
      </c>
      <c r="AO7" s="907" t="s">
        <v>515</v>
      </c>
      <c r="AP7" s="908" t="s">
        <v>518</v>
      </c>
      <c r="AQ7" s="98"/>
      <c r="AR7" s="335" t="s">
        <v>72</v>
      </c>
      <c r="AS7" s="335" t="s">
        <v>204</v>
      </c>
      <c r="AT7" s="335" t="s">
        <v>201</v>
      </c>
      <c r="AU7" s="335" t="s">
        <v>202</v>
      </c>
      <c r="AV7" s="335" t="s">
        <v>200</v>
      </c>
      <c r="AW7" s="336" t="s">
        <v>519</v>
      </c>
      <c r="AY7" s="330" t="s">
        <v>72</v>
      </c>
      <c r="AZ7" s="330" t="s">
        <v>204</v>
      </c>
      <c r="BA7" s="330" t="s">
        <v>201</v>
      </c>
      <c r="BB7" s="330" t="s">
        <v>202</v>
      </c>
      <c r="BC7" s="330" t="s">
        <v>200</v>
      </c>
      <c r="BD7" s="331" t="s">
        <v>521</v>
      </c>
    </row>
    <row r="8" spans="2:59" ht="13.5" thickBot="1" x14ac:dyDescent="0.25">
      <c r="B8" s="622"/>
      <c r="C8" s="623" t="s">
        <v>35</v>
      </c>
      <c r="D8" s="623" t="s">
        <v>36</v>
      </c>
      <c r="E8" s="623" t="s">
        <v>13</v>
      </c>
      <c r="F8" s="623" t="s">
        <v>37</v>
      </c>
      <c r="G8" s="623" t="s">
        <v>38</v>
      </c>
      <c r="H8" s="624" t="s">
        <v>39</v>
      </c>
      <c r="I8" s="625" t="s">
        <v>40</v>
      </c>
      <c r="J8" s="624" t="s">
        <v>41</v>
      </c>
      <c r="K8" s="623" t="s">
        <v>42</v>
      </c>
      <c r="L8" s="623" t="s">
        <v>109</v>
      </c>
      <c r="M8" s="623" t="s">
        <v>110</v>
      </c>
      <c r="N8" s="625" t="s">
        <v>231</v>
      </c>
      <c r="O8" s="626" t="s">
        <v>111</v>
      </c>
      <c r="P8" s="627" t="s">
        <v>112</v>
      </c>
      <c r="Q8" s="627" t="s">
        <v>113</v>
      </c>
      <c r="R8" s="628" t="s">
        <v>383</v>
      </c>
      <c r="S8" s="627" t="s">
        <v>115</v>
      </c>
      <c r="T8" s="627" t="s">
        <v>71</v>
      </c>
      <c r="U8" s="627" t="s">
        <v>74</v>
      </c>
      <c r="V8" s="629" t="s">
        <v>384</v>
      </c>
      <c r="W8" s="615"/>
      <c r="X8" s="616" t="s">
        <v>76</v>
      </c>
      <c r="Y8" s="617" t="s">
        <v>165</v>
      </c>
      <c r="Z8" s="617" t="s">
        <v>208</v>
      </c>
      <c r="AA8" s="617" t="s">
        <v>203</v>
      </c>
      <c r="AB8" s="617" t="s">
        <v>209</v>
      </c>
      <c r="AC8" s="618" t="s">
        <v>385</v>
      </c>
      <c r="AD8" s="615"/>
      <c r="AE8" s="619" t="s">
        <v>211</v>
      </c>
      <c r="AF8" s="620" t="s">
        <v>226</v>
      </c>
      <c r="AG8" s="620" t="s">
        <v>341</v>
      </c>
      <c r="AH8" s="620" t="s">
        <v>227</v>
      </c>
      <c r="AI8" s="620" t="s">
        <v>228</v>
      </c>
      <c r="AJ8" s="621" t="s">
        <v>386</v>
      </c>
      <c r="AK8" s="902"/>
      <c r="AL8" s="909" t="s">
        <v>232</v>
      </c>
      <c r="AM8" s="910" t="s">
        <v>387</v>
      </c>
      <c r="AN8" s="910" t="s">
        <v>466</v>
      </c>
      <c r="AO8" s="910" t="s">
        <v>342</v>
      </c>
      <c r="AP8" s="911" t="s">
        <v>626</v>
      </c>
      <c r="AQ8" s="903"/>
      <c r="AR8" s="616" t="s">
        <v>233</v>
      </c>
      <c r="AS8" s="617" t="s">
        <v>234</v>
      </c>
      <c r="AT8" s="617" t="s">
        <v>343</v>
      </c>
      <c r="AU8" s="617" t="s">
        <v>619</v>
      </c>
      <c r="AV8" s="617" t="s">
        <v>235</v>
      </c>
      <c r="AW8" s="618" t="s">
        <v>625</v>
      </c>
      <c r="AX8" s="615"/>
      <c r="AY8" s="619" t="s">
        <v>344</v>
      </c>
      <c r="AZ8" s="620" t="s">
        <v>345</v>
      </c>
      <c r="BA8" s="620" t="s">
        <v>346</v>
      </c>
      <c r="BB8" s="620" t="s">
        <v>620</v>
      </c>
      <c r="BC8" s="620" t="s">
        <v>621</v>
      </c>
      <c r="BD8" s="621" t="s">
        <v>627</v>
      </c>
    </row>
    <row r="9" spans="2:59" x14ac:dyDescent="0.2">
      <c r="B9" s="100">
        <v>1</v>
      </c>
      <c r="C9" s="836" t="s">
        <v>246</v>
      </c>
      <c r="D9" s="836" t="s">
        <v>248</v>
      </c>
      <c r="E9" s="101" t="s">
        <v>248</v>
      </c>
      <c r="F9" s="103">
        <v>214704.20066131229</v>
      </c>
      <c r="G9" s="103">
        <v>911</v>
      </c>
      <c r="H9" s="839">
        <v>5.5</v>
      </c>
      <c r="I9" s="840">
        <v>5.5</v>
      </c>
      <c r="J9" s="609">
        <v>0.67652999999999996</v>
      </c>
      <c r="K9" s="613">
        <v>0.10141</v>
      </c>
      <c r="L9" s="613">
        <v>0.26333000000000001</v>
      </c>
      <c r="M9" s="613">
        <v>0.11125999999999998</v>
      </c>
      <c r="N9" s="126">
        <v>1.1525299999999998</v>
      </c>
      <c r="O9" s="899">
        <v>0.11114</v>
      </c>
      <c r="P9" s="613">
        <v>-9.1000000000000004E-3</v>
      </c>
      <c r="Q9" s="613">
        <v>0</v>
      </c>
      <c r="R9" s="243">
        <v>0.10204000000000001</v>
      </c>
      <c r="S9" s="899">
        <v>-1.627E-2</v>
      </c>
      <c r="T9" s="613">
        <v>-8.6499999999999997E-3</v>
      </c>
      <c r="U9" s="613">
        <v>3.0500000000000002E-3</v>
      </c>
      <c r="V9" s="249">
        <v>8.0170000000000005E-2</v>
      </c>
      <c r="W9" s="602"/>
      <c r="X9" s="104">
        <v>0.67653000000000008</v>
      </c>
      <c r="Y9" s="104"/>
      <c r="Z9" s="104">
        <v>0.10689</v>
      </c>
      <c r="AA9" s="104">
        <v>0.34872999999999998</v>
      </c>
      <c r="AB9" s="104">
        <v>0.13515000000000002</v>
      </c>
      <c r="AC9" s="337">
        <v>1.2673000000000003</v>
      </c>
      <c r="AD9" s="1494"/>
      <c r="AE9" s="104">
        <v>0.7785700000000001</v>
      </c>
      <c r="AF9" s="104"/>
      <c r="AG9" s="104">
        <v>0.10689</v>
      </c>
      <c r="AH9" s="104">
        <v>0.34872999999999998</v>
      </c>
      <c r="AI9" s="1497">
        <v>0.11328000000000001</v>
      </c>
      <c r="AJ9" s="1498">
        <v>1.3474700000000002</v>
      </c>
      <c r="AK9" s="1495"/>
      <c r="AL9" s="104">
        <v>6.1650000000000003E-2</v>
      </c>
      <c r="AM9" s="104">
        <v>-8.8000000000000003E-4</v>
      </c>
      <c r="AN9" s="104">
        <v>-1.627E-2</v>
      </c>
      <c r="AO9" s="104">
        <v>-8.6700000000000006E-3</v>
      </c>
      <c r="AP9" s="912">
        <v>3.5830000000000001E-2</v>
      </c>
      <c r="AQ9" s="121"/>
      <c r="AR9" s="104"/>
      <c r="AS9" s="104"/>
      <c r="AT9" s="104"/>
      <c r="AU9" s="104"/>
      <c r="AV9" s="104"/>
      <c r="AW9" s="337">
        <v>0</v>
      </c>
      <c r="AY9" s="104">
        <v>0.84022000000000008</v>
      </c>
      <c r="AZ9" s="104">
        <v>0</v>
      </c>
      <c r="BA9" s="104">
        <v>0.10689</v>
      </c>
      <c r="BB9" s="104">
        <v>0.34872999999999998</v>
      </c>
      <c r="BC9" s="104">
        <v>0.10933000000000002</v>
      </c>
      <c r="BD9" s="332">
        <v>1.40517</v>
      </c>
      <c r="BE9" s="91"/>
      <c r="BF9" s="91"/>
      <c r="BG9" s="91"/>
    </row>
    <row r="10" spans="2:59" x14ac:dyDescent="0.2">
      <c r="B10" s="100">
        <v>2</v>
      </c>
      <c r="C10" s="836" t="s">
        <v>247</v>
      </c>
      <c r="D10" s="836" t="s">
        <v>248</v>
      </c>
      <c r="E10" s="101" t="s">
        <v>248</v>
      </c>
      <c r="F10" s="103">
        <v>46539.057144390383</v>
      </c>
      <c r="G10" s="103">
        <v>34</v>
      </c>
      <c r="H10" s="839">
        <v>7</v>
      </c>
      <c r="I10" s="840">
        <v>7</v>
      </c>
      <c r="J10" s="609">
        <v>0.73148999999999997</v>
      </c>
      <c r="K10" s="613">
        <v>0.10141</v>
      </c>
      <c r="L10" s="613">
        <v>0.26333000000000001</v>
      </c>
      <c r="M10" s="613">
        <v>9.3060000000000004E-2</v>
      </c>
      <c r="N10" s="125">
        <v>1.18929</v>
      </c>
      <c r="O10" s="899">
        <v>9.2410000000000006E-2</v>
      </c>
      <c r="P10" s="613">
        <v>-7.5599999999999999E-3</v>
      </c>
      <c r="Q10" s="613">
        <v>0</v>
      </c>
      <c r="R10" s="243">
        <v>8.4850000000000009E-2</v>
      </c>
      <c r="S10" s="899">
        <v>-1.354E-2</v>
      </c>
      <c r="T10" s="613">
        <v>-7.1999999999999998E-3</v>
      </c>
      <c r="U10" s="613">
        <v>2.5400000000000002E-3</v>
      </c>
      <c r="V10" s="249">
        <v>6.6650000000000015E-2</v>
      </c>
      <c r="W10" s="602"/>
      <c r="X10" s="104">
        <v>0.73148999999999942</v>
      </c>
      <c r="Y10" s="104"/>
      <c r="Z10" s="104">
        <v>0.10689</v>
      </c>
      <c r="AA10" s="104">
        <v>0.34872999999999998</v>
      </c>
      <c r="AB10" s="104">
        <v>0.11452999999999999</v>
      </c>
      <c r="AC10" s="337">
        <v>1.3016399999999995</v>
      </c>
      <c r="AD10" s="1494"/>
      <c r="AE10" s="104">
        <v>0.8163399999999994</v>
      </c>
      <c r="AF10" s="104"/>
      <c r="AG10" s="104">
        <v>0.10689</v>
      </c>
      <c r="AH10" s="104">
        <v>0.34872999999999998</v>
      </c>
      <c r="AI10" s="104">
        <v>9.6329999999999999E-2</v>
      </c>
      <c r="AJ10" s="1498">
        <v>1.3682899999999996</v>
      </c>
      <c r="AK10" s="1496"/>
      <c r="AL10" s="104">
        <v>5.126E-2</v>
      </c>
      <c r="AM10" s="104">
        <v>-7.2999999999999996E-4</v>
      </c>
      <c r="AN10" s="104">
        <v>-1.354E-2</v>
      </c>
      <c r="AO10" s="104">
        <v>-7.1999999999999998E-3</v>
      </c>
      <c r="AP10" s="912">
        <v>2.9789999999999997E-2</v>
      </c>
      <c r="AQ10" s="121"/>
      <c r="AR10" s="104"/>
      <c r="AS10" s="104"/>
      <c r="AT10" s="104"/>
      <c r="AU10" s="104"/>
      <c r="AV10" s="104"/>
      <c r="AW10" s="337">
        <v>0</v>
      </c>
      <c r="AY10" s="104">
        <v>0.86759999999999937</v>
      </c>
      <c r="AZ10" s="104">
        <v>0</v>
      </c>
      <c r="BA10" s="104">
        <v>0.10689</v>
      </c>
      <c r="BB10" s="104">
        <v>0.34872999999999998</v>
      </c>
      <c r="BC10" s="104">
        <v>9.305999999999999E-2</v>
      </c>
      <c r="BD10" s="332">
        <v>1.4162799999999993</v>
      </c>
      <c r="BE10" s="91"/>
      <c r="BF10" s="91"/>
      <c r="BG10" s="91"/>
    </row>
    <row r="11" spans="2:59" x14ac:dyDescent="0.2">
      <c r="B11" s="100">
        <v>3</v>
      </c>
      <c r="C11" s="836" t="s">
        <v>12</v>
      </c>
      <c r="D11" s="836" t="s">
        <v>248</v>
      </c>
      <c r="E11" s="101" t="s">
        <v>248</v>
      </c>
      <c r="F11" s="103">
        <v>54953515.785084128</v>
      </c>
      <c r="G11" s="103">
        <v>81119</v>
      </c>
      <c r="H11" s="839">
        <v>8</v>
      </c>
      <c r="I11" s="840">
        <v>8</v>
      </c>
      <c r="J11" s="609">
        <v>0.45815999999999979</v>
      </c>
      <c r="K11" s="613">
        <v>0.10141</v>
      </c>
      <c r="L11" s="613">
        <v>0.26333000000000001</v>
      </c>
      <c r="M11" s="613">
        <v>6.6579999999999986E-2</v>
      </c>
      <c r="N11" s="125">
        <v>0.88947999999999972</v>
      </c>
      <c r="O11" s="899">
        <v>7.034E-2</v>
      </c>
      <c r="P11" s="613">
        <v>-5.7600000000000004E-3</v>
      </c>
      <c r="Q11" s="613">
        <v>0</v>
      </c>
      <c r="R11" s="243">
        <v>6.4579999999999999E-2</v>
      </c>
      <c r="S11" s="899">
        <v>-1.03E-2</v>
      </c>
      <c r="T11" s="613">
        <v>-5.47E-3</v>
      </c>
      <c r="U11" s="613">
        <v>1.9300000000000001E-3</v>
      </c>
      <c r="V11" s="249">
        <v>5.0739999999999993E-2</v>
      </c>
      <c r="W11" s="602"/>
      <c r="X11" s="104">
        <v>0.4581599999999999</v>
      </c>
      <c r="Y11" s="104"/>
      <c r="Z11" s="104">
        <v>0.10689</v>
      </c>
      <c r="AA11" s="104">
        <v>0.34872999999999998</v>
      </c>
      <c r="AB11" s="104">
        <v>8.6949999999999986E-2</v>
      </c>
      <c r="AC11" s="337">
        <v>1.0007299999999999</v>
      </c>
      <c r="AD11" s="1494"/>
      <c r="AE11" s="104">
        <v>0.52273999999999987</v>
      </c>
      <c r="AF11" s="104"/>
      <c r="AG11" s="104">
        <v>0.10689</v>
      </c>
      <c r="AH11" s="104">
        <v>0.34872999999999998</v>
      </c>
      <c r="AI11" s="104">
        <v>7.3109999999999981E-2</v>
      </c>
      <c r="AJ11" s="1498">
        <v>1.0514699999999999</v>
      </c>
      <c r="AK11" s="1495"/>
      <c r="AL11" s="104">
        <v>3.9019999999999999E-2</v>
      </c>
      <c r="AM11" s="104">
        <v>-5.5999999999999995E-4</v>
      </c>
      <c r="AN11" s="104">
        <v>-1.03E-2</v>
      </c>
      <c r="AO11" s="104">
        <v>-5.4900000000000001E-3</v>
      </c>
      <c r="AP11" s="912">
        <v>2.2670000000000003E-2</v>
      </c>
      <c r="AQ11" s="121"/>
      <c r="AR11" s="104"/>
      <c r="AS11" s="104"/>
      <c r="AT11" s="104"/>
      <c r="AU11" s="104"/>
      <c r="AV11" s="104"/>
      <c r="AW11" s="337">
        <v>0</v>
      </c>
      <c r="AY11" s="104">
        <v>0.56175999999999982</v>
      </c>
      <c r="AZ11" s="104">
        <v>0</v>
      </c>
      <c r="BA11" s="104">
        <v>0.10689</v>
      </c>
      <c r="BB11" s="104">
        <v>0.34872999999999998</v>
      </c>
      <c r="BC11" s="104">
        <v>7.0599999999999982E-2</v>
      </c>
      <c r="BD11" s="332">
        <v>1.0879799999999997</v>
      </c>
      <c r="BE11" s="91"/>
      <c r="BF11" s="91"/>
      <c r="BG11" s="91"/>
    </row>
    <row r="12" spans="2:59" x14ac:dyDescent="0.2">
      <c r="B12" s="100">
        <v>4</v>
      </c>
      <c r="C12" s="836" t="s">
        <v>10</v>
      </c>
      <c r="D12" s="836" t="s">
        <v>248</v>
      </c>
      <c r="E12" s="101" t="s">
        <v>248</v>
      </c>
      <c r="F12" s="103">
        <v>17867210.60654201</v>
      </c>
      <c r="G12" s="103">
        <v>6318</v>
      </c>
      <c r="H12" s="839">
        <v>22</v>
      </c>
      <c r="I12" s="841">
        <v>22</v>
      </c>
      <c r="J12" s="609">
        <v>0.44368000000000019</v>
      </c>
      <c r="K12" s="613">
        <v>0.10141</v>
      </c>
      <c r="L12" s="613">
        <v>0.26333000000000001</v>
      </c>
      <c r="M12" s="613">
        <v>5.8480000000000004E-2</v>
      </c>
      <c r="N12" s="125">
        <v>0.86690000000000011</v>
      </c>
      <c r="O12" s="609">
        <v>6.3159999999999994E-2</v>
      </c>
      <c r="P12" s="613">
        <v>-5.1700000000000001E-3</v>
      </c>
      <c r="Q12" s="613">
        <v>0</v>
      </c>
      <c r="R12" s="243">
        <v>5.7989999999999993E-2</v>
      </c>
      <c r="S12" s="609">
        <v>-9.2399999999999999E-3</v>
      </c>
      <c r="T12" s="613">
        <v>-4.9100000000000003E-3</v>
      </c>
      <c r="U12" s="613">
        <v>1.73E-3</v>
      </c>
      <c r="V12" s="249">
        <v>4.5569999999999999E-2</v>
      </c>
      <c r="W12" s="602"/>
      <c r="X12" s="104">
        <v>0.44368000000000019</v>
      </c>
      <c r="Y12" s="104"/>
      <c r="Z12" s="104">
        <v>0.10689</v>
      </c>
      <c r="AA12" s="104">
        <v>0.34872999999999998</v>
      </c>
      <c r="AB12" s="104">
        <v>7.7949999999999992E-2</v>
      </c>
      <c r="AC12" s="337">
        <v>0.97725000000000017</v>
      </c>
      <c r="AD12" s="1494"/>
      <c r="AE12" s="104">
        <v>0.50167000000000017</v>
      </c>
      <c r="AF12" s="104"/>
      <c r="AG12" s="104">
        <v>0.10689</v>
      </c>
      <c r="AH12" s="104">
        <v>0.34872999999999998</v>
      </c>
      <c r="AI12" s="104">
        <v>6.5529999999999991E-2</v>
      </c>
      <c r="AJ12" s="1498">
        <v>1.0228200000000003</v>
      </c>
      <c r="AK12" s="1495"/>
      <c r="AL12" s="104">
        <v>3.5029999999999999E-2</v>
      </c>
      <c r="AM12" s="104">
        <v>-5.0000000000000001E-4</v>
      </c>
      <c r="AN12" s="104">
        <v>-9.2399999999999999E-3</v>
      </c>
      <c r="AO12" s="104">
        <v>-4.9300000000000004E-3</v>
      </c>
      <c r="AP12" s="912">
        <v>2.036E-2</v>
      </c>
      <c r="AQ12" s="121"/>
      <c r="AR12" s="104"/>
      <c r="AS12" s="104"/>
      <c r="AT12" s="104"/>
      <c r="AU12" s="104"/>
      <c r="AV12" s="104"/>
      <c r="AW12" s="337">
        <v>0</v>
      </c>
      <c r="AY12" s="104">
        <v>0.53670000000000018</v>
      </c>
      <c r="AZ12" s="104">
        <v>0</v>
      </c>
      <c r="BA12" s="104">
        <v>0.10689</v>
      </c>
      <c r="BB12" s="104">
        <v>0.34872999999999998</v>
      </c>
      <c r="BC12" s="104">
        <v>6.3279999999999989E-2</v>
      </c>
      <c r="BD12" s="332">
        <v>1.0556000000000001</v>
      </c>
      <c r="BE12" s="91"/>
      <c r="BF12" s="91"/>
      <c r="BG12" s="91"/>
    </row>
    <row r="13" spans="2:59" x14ac:dyDescent="0.2">
      <c r="B13" s="100">
        <v>5</v>
      </c>
      <c r="C13" s="836" t="s">
        <v>11</v>
      </c>
      <c r="D13" s="836" t="s">
        <v>248</v>
      </c>
      <c r="E13" s="101" t="s">
        <v>248</v>
      </c>
      <c r="F13" s="103">
        <v>283651.99999999994</v>
      </c>
      <c r="G13" s="103">
        <v>24.25</v>
      </c>
      <c r="H13" s="839">
        <v>22</v>
      </c>
      <c r="I13" s="841">
        <v>22</v>
      </c>
      <c r="J13" s="609">
        <v>0.46249000000000001</v>
      </c>
      <c r="K13" s="613">
        <v>0.10141</v>
      </c>
      <c r="L13" s="613">
        <v>0.26333000000000001</v>
      </c>
      <c r="M13" s="613">
        <v>-8.9999999999999802E-5</v>
      </c>
      <c r="N13" s="125">
        <v>0.8271400000000001</v>
      </c>
      <c r="O13" s="609">
        <v>5.7209999999999997E-2</v>
      </c>
      <c r="P13" s="613">
        <v>-4.6899999999999997E-3</v>
      </c>
      <c r="Q13" s="613">
        <v>0</v>
      </c>
      <c r="R13" s="243">
        <v>5.2519999999999997E-2</v>
      </c>
      <c r="S13" s="609">
        <v>0</v>
      </c>
      <c r="T13" s="613">
        <v>-4.45E-3</v>
      </c>
      <c r="U13" s="613">
        <v>1.57E-3</v>
      </c>
      <c r="V13" s="249">
        <v>4.9639999999999997E-2</v>
      </c>
      <c r="W13" s="602"/>
      <c r="X13" s="104">
        <v>0.46248999999999957</v>
      </c>
      <c r="Y13" s="104"/>
      <c r="Z13" s="104">
        <v>0.10689</v>
      </c>
      <c r="AA13" s="104">
        <v>0.34872999999999998</v>
      </c>
      <c r="AB13" s="104">
        <v>1.0829999999999994E-2</v>
      </c>
      <c r="AC13" s="337">
        <v>0.92893999999999954</v>
      </c>
      <c r="AD13" s="1494"/>
      <c r="AE13" s="104">
        <v>0.51500999999999963</v>
      </c>
      <c r="AF13" s="104"/>
      <c r="AG13" s="104">
        <v>0.10689</v>
      </c>
      <c r="AH13" s="104">
        <v>0.34872999999999998</v>
      </c>
      <c r="AI13" s="104">
        <v>7.9499999999999935E-3</v>
      </c>
      <c r="AJ13" s="1498">
        <v>0.97857999999999967</v>
      </c>
      <c r="AK13" s="1495"/>
      <c r="AL13" s="104">
        <v>3.1730000000000001E-2</v>
      </c>
      <c r="AM13" s="104">
        <v>-4.4999999999999999E-4</v>
      </c>
      <c r="AN13" s="104">
        <v>0</v>
      </c>
      <c r="AO13" s="104">
        <v>-4.4600000000000004E-3</v>
      </c>
      <c r="AP13" s="912">
        <v>2.6820000000000004E-2</v>
      </c>
      <c r="AQ13" s="121"/>
      <c r="AR13" s="104"/>
      <c r="AS13" s="104"/>
      <c r="AT13" s="104"/>
      <c r="AU13" s="104"/>
      <c r="AV13" s="104"/>
      <c r="AW13" s="337">
        <v>0</v>
      </c>
      <c r="AY13" s="104">
        <v>0.54673999999999967</v>
      </c>
      <c r="AZ13" s="104">
        <v>0</v>
      </c>
      <c r="BA13" s="104">
        <v>0.10689</v>
      </c>
      <c r="BB13" s="104">
        <v>0.34872999999999998</v>
      </c>
      <c r="BC13" s="104">
        <v>5.9199999999999938E-3</v>
      </c>
      <c r="BD13" s="332">
        <v>1.0082799999999996</v>
      </c>
      <c r="BE13" s="91"/>
      <c r="BF13" s="91"/>
      <c r="BG13" s="91"/>
    </row>
    <row r="14" spans="2:59" x14ac:dyDescent="0.2">
      <c r="B14" s="100">
        <v>6</v>
      </c>
      <c r="C14" s="837" t="s">
        <v>365</v>
      </c>
      <c r="D14" s="836" t="s">
        <v>248</v>
      </c>
      <c r="E14" s="101" t="s">
        <v>248</v>
      </c>
      <c r="F14" s="103">
        <v>461371.76933137607</v>
      </c>
      <c r="G14" s="103">
        <v>776</v>
      </c>
      <c r="H14" s="842">
        <v>9</v>
      </c>
      <c r="I14" s="843">
        <v>9</v>
      </c>
      <c r="J14" s="609">
        <v>0.24087999999999973</v>
      </c>
      <c r="K14" s="613">
        <v>0.10141</v>
      </c>
      <c r="L14" s="613">
        <v>0.26333000000000001</v>
      </c>
      <c r="M14" s="613">
        <v>3.8710000000000001E-2</v>
      </c>
      <c r="N14" s="125">
        <v>0.64432999999999985</v>
      </c>
      <c r="O14" s="609">
        <v>5.006E-2</v>
      </c>
      <c r="P14" s="613">
        <v>-4.1000000000000003E-3</v>
      </c>
      <c r="Q14" s="613">
        <v>0</v>
      </c>
      <c r="R14" s="243">
        <v>4.5960000000000001E-2</v>
      </c>
      <c r="S14" s="609">
        <v>-7.3299999999999997E-3</v>
      </c>
      <c r="T14" s="613">
        <v>-3.8899999999999998E-3</v>
      </c>
      <c r="U14" s="613">
        <v>1.3699999999999999E-3</v>
      </c>
      <c r="V14" s="249">
        <v>3.6110000000000003E-2</v>
      </c>
      <c r="W14" s="602"/>
      <c r="X14" s="104">
        <v>0.24087999999999984</v>
      </c>
      <c r="Y14" s="104"/>
      <c r="Z14" s="107">
        <v>0.10689</v>
      </c>
      <c r="AA14" s="107">
        <v>0.34872999999999998</v>
      </c>
      <c r="AB14" s="107">
        <v>5.695999999999999E-2</v>
      </c>
      <c r="AC14" s="337">
        <v>0.75345999999999991</v>
      </c>
      <c r="AD14" s="1494"/>
      <c r="AE14" s="104">
        <v>0.28683999999999987</v>
      </c>
      <c r="AF14" s="104"/>
      <c r="AG14" s="104">
        <v>0.10689</v>
      </c>
      <c r="AH14" s="104">
        <v>0.34872999999999998</v>
      </c>
      <c r="AI14" s="104">
        <v>4.7109999999999999E-2</v>
      </c>
      <c r="AJ14" s="1498">
        <v>0.78956999999999988</v>
      </c>
      <c r="AK14" s="1495"/>
      <c r="AL14" s="104">
        <v>2.777E-2</v>
      </c>
      <c r="AM14" s="104">
        <v>-4.0000000000000002E-4</v>
      </c>
      <c r="AN14" s="104">
        <v>-7.3299999999999997E-3</v>
      </c>
      <c r="AO14" s="104">
        <v>-3.8999999999999998E-3</v>
      </c>
      <c r="AP14" s="912">
        <v>1.6139999999999998E-2</v>
      </c>
      <c r="AQ14" s="121"/>
      <c r="AR14" s="104"/>
      <c r="AS14" s="104"/>
      <c r="AT14" s="104"/>
      <c r="AU14" s="104"/>
      <c r="AV14" s="104"/>
      <c r="AW14" s="337">
        <v>0</v>
      </c>
      <c r="AY14" s="104">
        <v>0.31460999999999989</v>
      </c>
      <c r="AZ14" s="104">
        <v>0</v>
      </c>
      <c r="BA14" s="104">
        <v>0.10689</v>
      </c>
      <c r="BB14" s="104">
        <v>0.34872999999999998</v>
      </c>
      <c r="BC14" s="104">
        <v>4.5329999999999988E-2</v>
      </c>
      <c r="BD14" s="332">
        <v>0.81555999999999984</v>
      </c>
      <c r="BE14" s="91"/>
      <c r="BF14" s="91"/>
      <c r="BG14" s="91"/>
    </row>
    <row r="15" spans="2:59" x14ac:dyDescent="0.2">
      <c r="B15" s="100">
        <v>7</v>
      </c>
      <c r="C15" s="838" t="s">
        <v>249</v>
      </c>
      <c r="D15" s="838" t="s">
        <v>4</v>
      </c>
      <c r="E15" s="105">
        <v>2000</v>
      </c>
      <c r="F15" s="106">
        <v>1777065.1510316674</v>
      </c>
      <c r="G15" s="106">
        <v>91</v>
      </c>
      <c r="H15" s="844">
        <v>250</v>
      </c>
      <c r="I15" s="845">
        <v>250</v>
      </c>
      <c r="J15" s="610">
        <v>0.34474000000000016</v>
      </c>
      <c r="K15" s="612">
        <v>0</v>
      </c>
      <c r="L15" s="612">
        <v>0.26333000000000001</v>
      </c>
      <c r="M15" s="612">
        <v>4.3429999999999996E-2</v>
      </c>
      <c r="N15" s="127">
        <v>0.65150000000000008</v>
      </c>
      <c r="O15" s="610">
        <v>5.0160000000000003E-2</v>
      </c>
      <c r="P15" s="612">
        <v>-4.1099999999999999E-3</v>
      </c>
      <c r="Q15" s="612">
        <v>0</v>
      </c>
      <c r="R15" s="244">
        <v>4.6050000000000001E-2</v>
      </c>
      <c r="S15" s="610">
        <v>-7.3400000000000002E-3</v>
      </c>
      <c r="T15" s="612">
        <v>-3.8999999999999998E-3</v>
      </c>
      <c r="U15" s="612">
        <v>1.3799999999999999E-3</v>
      </c>
      <c r="V15" s="250">
        <v>3.619E-2</v>
      </c>
      <c r="W15" s="602"/>
      <c r="X15" s="1486">
        <v>0.3447400000000001</v>
      </c>
      <c r="Y15" s="1245"/>
      <c r="Z15" s="1483">
        <v>0</v>
      </c>
      <c r="AA15" s="1486">
        <v>0.34872999999999998</v>
      </c>
      <c r="AB15" s="1485">
        <v>6.0999999999999992E-2</v>
      </c>
      <c r="AC15" s="1481">
        <v>0.75446999999999997</v>
      </c>
      <c r="AD15" s="1494"/>
      <c r="AE15" s="1483">
        <v>0.39079000000000008</v>
      </c>
      <c r="AF15" s="1486"/>
      <c r="AG15" s="1484">
        <v>0</v>
      </c>
      <c r="AH15" s="1486">
        <v>0.34872999999999998</v>
      </c>
      <c r="AI15" s="1486">
        <v>5.1139999999999991E-2</v>
      </c>
      <c r="AJ15" s="1499">
        <v>0.79066000000000003</v>
      </c>
      <c r="AK15" s="1495"/>
      <c r="AL15" s="107">
        <v>2.7820000000000001E-2</v>
      </c>
      <c r="AM15" s="107">
        <v>-4.0000000000000002E-4</v>
      </c>
      <c r="AN15" s="107">
        <v>-7.3400000000000002E-3</v>
      </c>
      <c r="AO15" s="107">
        <v>-3.9100000000000003E-3</v>
      </c>
      <c r="AP15" s="913">
        <v>1.617E-2</v>
      </c>
      <c r="AQ15" s="121"/>
      <c r="AR15" s="107"/>
      <c r="AS15" s="107"/>
      <c r="AT15" s="107"/>
      <c r="AU15" s="107"/>
      <c r="AV15" s="107"/>
      <c r="AW15" s="338">
        <v>0</v>
      </c>
      <c r="AY15" s="107">
        <v>0.41861000000000009</v>
      </c>
      <c r="AZ15" s="107">
        <v>0</v>
      </c>
      <c r="BA15" s="107">
        <v>0</v>
      </c>
      <c r="BB15" s="107">
        <v>0.34872999999999998</v>
      </c>
      <c r="BC15" s="107">
        <v>4.9349999999999991E-2</v>
      </c>
      <c r="BD15" s="333">
        <v>0.81669000000000014</v>
      </c>
      <c r="BE15" s="91"/>
      <c r="BF15" s="91"/>
      <c r="BG15" s="91"/>
    </row>
    <row r="16" spans="2:59" x14ac:dyDescent="0.2">
      <c r="B16" s="100">
        <v>8</v>
      </c>
      <c r="C16" s="836"/>
      <c r="D16" s="836" t="s">
        <v>5</v>
      </c>
      <c r="E16" s="102" t="s">
        <v>59</v>
      </c>
      <c r="F16" s="103">
        <v>1974656.4658023661</v>
      </c>
      <c r="G16" s="103"/>
      <c r="H16" s="839"/>
      <c r="I16" s="841"/>
      <c r="J16" s="609">
        <v>0.30376999999999998</v>
      </c>
      <c r="K16" s="613">
        <v>0</v>
      </c>
      <c r="L16" s="613">
        <v>0.26333000000000001</v>
      </c>
      <c r="M16" s="613">
        <v>3.7170000000000002E-2</v>
      </c>
      <c r="N16" s="125">
        <v>0.60426999999999997</v>
      </c>
      <c r="O16" s="609">
        <v>4.4200000000000003E-2</v>
      </c>
      <c r="P16" s="613">
        <v>-3.62E-3</v>
      </c>
      <c r="Q16" s="613">
        <v>0</v>
      </c>
      <c r="R16" s="243">
        <v>4.0580000000000005E-2</v>
      </c>
      <c r="S16" s="609">
        <v>-6.4700000000000001E-3</v>
      </c>
      <c r="T16" s="613">
        <v>-3.4399999999999999E-3</v>
      </c>
      <c r="U16" s="613">
        <v>1.2099999999999999E-3</v>
      </c>
      <c r="V16" s="249">
        <v>3.1880000000000006E-2</v>
      </c>
      <c r="W16" s="602"/>
      <c r="X16" s="104">
        <v>0.30376999999999998</v>
      </c>
      <c r="Y16" s="1244"/>
      <c r="Z16" s="1244">
        <v>0</v>
      </c>
      <c r="AA16" s="104">
        <v>0.34872999999999998</v>
      </c>
      <c r="AB16" s="1439">
        <v>5.3810000000000004E-2</v>
      </c>
      <c r="AC16" s="1482">
        <v>0.70630999999999999</v>
      </c>
      <c r="AD16" s="1494"/>
      <c r="AE16" s="1244">
        <v>0.34434999999999999</v>
      </c>
      <c r="AF16" s="104"/>
      <c r="AG16" s="1237">
        <v>0</v>
      </c>
      <c r="AH16" s="104">
        <v>0.34872999999999998</v>
      </c>
      <c r="AI16" s="104">
        <v>4.5110000000000011E-2</v>
      </c>
      <c r="AJ16" s="1500">
        <v>0.7381899999999999</v>
      </c>
      <c r="AK16" s="1495"/>
      <c r="AL16" s="104">
        <v>2.4510000000000001E-2</v>
      </c>
      <c r="AM16" s="104">
        <v>-3.5E-4</v>
      </c>
      <c r="AN16" s="104">
        <v>-6.4700000000000001E-3</v>
      </c>
      <c r="AO16" s="104">
        <v>-3.4499999999999999E-3</v>
      </c>
      <c r="AP16" s="912">
        <v>1.4240000000000001E-2</v>
      </c>
      <c r="AQ16" s="121"/>
      <c r="AR16" s="104"/>
      <c r="AS16" s="104"/>
      <c r="AT16" s="104"/>
      <c r="AU16" s="104"/>
      <c r="AV16" s="104"/>
      <c r="AW16" s="337">
        <v>0</v>
      </c>
      <c r="AY16" s="104">
        <v>0.36885999999999997</v>
      </c>
      <c r="AZ16" s="104">
        <v>0</v>
      </c>
      <c r="BA16" s="104">
        <v>0</v>
      </c>
      <c r="BB16" s="104">
        <v>0.34872999999999998</v>
      </c>
      <c r="BC16" s="104">
        <v>4.3540000000000002E-2</v>
      </c>
      <c r="BD16" s="332">
        <v>0.76112999999999997</v>
      </c>
      <c r="BE16" s="91"/>
      <c r="BF16" s="91"/>
      <c r="BG16" s="91"/>
    </row>
    <row r="17" spans="2:59" x14ac:dyDescent="0.2">
      <c r="B17" s="100">
        <v>9</v>
      </c>
      <c r="C17" s="838" t="s">
        <v>253</v>
      </c>
      <c r="D17" s="838" t="s">
        <v>4</v>
      </c>
      <c r="E17" s="105">
        <v>2000</v>
      </c>
      <c r="F17" s="106">
        <v>392890.20000000007</v>
      </c>
      <c r="G17" s="106">
        <v>17.833333333333332</v>
      </c>
      <c r="H17" s="844">
        <v>250</v>
      </c>
      <c r="I17" s="845">
        <v>250</v>
      </c>
      <c r="J17" s="610">
        <v>0.34416000000000024</v>
      </c>
      <c r="K17" s="612">
        <v>0</v>
      </c>
      <c r="L17" s="612">
        <v>0.26333000000000001</v>
      </c>
      <c r="M17" s="612">
        <v>-1.7200000000000002E-3</v>
      </c>
      <c r="N17" s="127">
        <v>0.60577000000000025</v>
      </c>
      <c r="O17" s="610">
        <v>2.3040000000000001E-2</v>
      </c>
      <c r="P17" s="612">
        <v>-3.9100000000000003E-3</v>
      </c>
      <c r="Q17" s="612">
        <v>0</v>
      </c>
      <c r="R17" s="244">
        <v>1.9130000000000001E-2</v>
      </c>
      <c r="S17" s="610">
        <v>0</v>
      </c>
      <c r="T17" s="612">
        <v>-3.5200000000000001E-3</v>
      </c>
      <c r="U17" s="612">
        <v>1.24E-3</v>
      </c>
      <c r="V17" s="250">
        <v>1.685E-2</v>
      </c>
      <c r="W17" s="602"/>
      <c r="X17" s="107">
        <v>0.34416000000000035</v>
      </c>
      <c r="Y17" s="107"/>
      <c r="Z17" s="107">
        <v>0</v>
      </c>
      <c r="AA17" s="107">
        <v>0.34872999999999998</v>
      </c>
      <c r="AB17" s="107">
        <v>9.1699999999999941E-3</v>
      </c>
      <c r="AC17" s="338">
        <v>0.70206000000000035</v>
      </c>
      <c r="AD17" s="1494"/>
      <c r="AE17" s="1483">
        <v>0.36329000000000033</v>
      </c>
      <c r="AF17" s="1486"/>
      <c r="AG17" s="1484">
        <v>0</v>
      </c>
      <c r="AH17" s="1486">
        <v>0.34872999999999998</v>
      </c>
      <c r="AI17" s="1486">
        <v>6.8899999999999934E-3</v>
      </c>
      <c r="AJ17" s="1499">
        <v>0.71891000000000027</v>
      </c>
      <c r="AK17" s="1495"/>
      <c r="AL17" s="107">
        <v>8.7299999999999999E-3</v>
      </c>
      <c r="AM17" s="107">
        <v>-3.5E-4</v>
      </c>
      <c r="AN17" s="107">
        <v>0</v>
      </c>
      <c r="AO17" s="107">
        <v>-3.3999999999999998E-3</v>
      </c>
      <c r="AP17" s="913">
        <v>4.9800000000000001E-3</v>
      </c>
      <c r="AQ17" s="121"/>
      <c r="AR17" s="107"/>
      <c r="AS17" s="107"/>
      <c r="AT17" s="107"/>
      <c r="AU17" s="107"/>
      <c r="AV17" s="107"/>
      <c r="AW17" s="338">
        <v>0</v>
      </c>
      <c r="AY17" s="107">
        <v>0.37202000000000035</v>
      </c>
      <c r="AZ17" s="107">
        <v>0</v>
      </c>
      <c r="BA17" s="107">
        <v>0</v>
      </c>
      <c r="BB17" s="107">
        <v>0.34872999999999998</v>
      </c>
      <c r="BC17" s="107">
        <v>5.4199999999999934E-3</v>
      </c>
      <c r="BD17" s="333">
        <v>0.72617000000000032</v>
      </c>
      <c r="BE17" s="91"/>
      <c r="BF17" s="91"/>
      <c r="BG17" s="91"/>
    </row>
    <row r="18" spans="2:59" x14ac:dyDescent="0.2">
      <c r="B18" s="100">
        <v>10</v>
      </c>
      <c r="C18" s="836"/>
      <c r="D18" s="836" t="s">
        <v>5</v>
      </c>
      <c r="E18" s="102" t="s">
        <v>59</v>
      </c>
      <c r="F18" s="103">
        <v>621650.00000000012</v>
      </c>
      <c r="G18" s="103"/>
      <c r="H18" s="839"/>
      <c r="I18" s="841"/>
      <c r="J18" s="609">
        <v>0.30325000000000002</v>
      </c>
      <c r="K18" s="613">
        <v>0</v>
      </c>
      <c r="L18" s="613">
        <v>0.26333000000000001</v>
      </c>
      <c r="M18" s="613">
        <v>-2.6199999999999999E-3</v>
      </c>
      <c r="N18" s="125">
        <v>0.56396000000000013</v>
      </c>
      <c r="O18" s="609">
        <v>2.0299999999999999E-2</v>
      </c>
      <c r="P18" s="613">
        <v>-3.4399999999999999E-3</v>
      </c>
      <c r="Q18" s="613">
        <v>0</v>
      </c>
      <c r="R18" s="243">
        <v>1.686E-2</v>
      </c>
      <c r="S18" s="609">
        <v>0</v>
      </c>
      <c r="T18" s="613">
        <v>-3.0999999999999999E-3</v>
      </c>
      <c r="U18" s="613">
        <v>1.09E-3</v>
      </c>
      <c r="V18" s="249">
        <v>1.485E-2</v>
      </c>
      <c r="W18" s="602"/>
      <c r="X18" s="104">
        <v>0.30324999999999991</v>
      </c>
      <c r="Y18" s="104"/>
      <c r="Z18" s="104">
        <v>0</v>
      </c>
      <c r="AA18" s="104">
        <v>0.34872999999999998</v>
      </c>
      <c r="AB18" s="104">
        <v>8.1299999999999931E-3</v>
      </c>
      <c r="AC18" s="337">
        <v>0.66010999999999986</v>
      </c>
      <c r="AD18" s="1494"/>
      <c r="AE18" s="1244">
        <v>0.32010999999999989</v>
      </c>
      <c r="AF18" s="104"/>
      <c r="AG18" s="1237">
        <v>0</v>
      </c>
      <c r="AH18" s="104">
        <v>0.34872999999999998</v>
      </c>
      <c r="AI18" s="104">
        <v>6.1199999999999926E-3</v>
      </c>
      <c r="AJ18" s="1500">
        <v>0.67495999999999989</v>
      </c>
      <c r="AK18" s="1495"/>
      <c r="AL18" s="104">
        <v>7.6899999999999998E-3</v>
      </c>
      <c r="AM18" s="104">
        <v>-2.9999999999999997E-4</v>
      </c>
      <c r="AN18" s="104">
        <v>0</v>
      </c>
      <c r="AO18" s="104">
        <v>-2.99E-3</v>
      </c>
      <c r="AP18" s="912">
        <v>4.3999999999999994E-3</v>
      </c>
      <c r="AQ18" s="121"/>
      <c r="AR18" s="104"/>
      <c r="AS18" s="104"/>
      <c r="AT18" s="104"/>
      <c r="AU18" s="104"/>
      <c r="AV18" s="104"/>
      <c r="AW18" s="337">
        <v>0</v>
      </c>
      <c r="AY18" s="104">
        <v>0.32779999999999987</v>
      </c>
      <c r="AZ18" s="104">
        <v>0</v>
      </c>
      <c r="BA18" s="104">
        <v>0</v>
      </c>
      <c r="BB18" s="104">
        <v>0.34872999999999998</v>
      </c>
      <c r="BC18" s="104">
        <v>4.8399999999999919E-3</v>
      </c>
      <c r="BD18" s="332">
        <v>0.68136999999999981</v>
      </c>
      <c r="BE18" s="91"/>
      <c r="BF18" s="91"/>
      <c r="BG18" s="91"/>
    </row>
    <row r="19" spans="2:59" x14ac:dyDescent="0.2">
      <c r="B19" s="100">
        <v>11</v>
      </c>
      <c r="C19" s="838" t="s">
        <v>251</v>
      </c>
      <c r="D19" s="838" t="s">
        <v>4</v>
      </c>
      <c r="E19" s="105">
        <v>2000</v>
      </c>
      <c r="F19" s="106">
        <v>0</v>
      </c>
      <c r="G19" s="106">
        <v>0</v>
      </c>
      <c r="H19" s="844">
        <v>250</v>
      </c>
      <c r="I19" s="845">
        <v>250</v>
      </c>
      <c r="J19" s="610">
        <v>0.34372999999999987</v>
      </c>
      <c r="K19" s="612">
        <v>0</v>
      </c>
      <c r="L19" s="612">
        <v>0.26333000000000001</v>
      </c>
      <c r="M19" s="612">
        <v>5.3189999999999994E-2</v>
      </c>
      <c r="N19" s="127">
        <v>0.66024999999999989</v>
      </c>
      <c r="O19" s="610">
        <v>3.6089999999999997E-2</v>
      </c>
      <c r="P19" s="612">
        <v>-3.2200000000000002E-3</v>
      </c>
      <c r="Q19" s="612">
        <v>0</v>
      </c>
      <c r="R19" s="244">
        <v>3.2869999999999996E-2</v>
      </c>
      <c r="S19" s="610">
        <v>-6.8599999999999998E-3</v>
      </c>
      <c r="T19" s="612">
        <v>-3.0300000000000001E-3</v>
      </c>
      <c r="U19" s="612">
        <v>1.3799999999999999E-3</v>
      </c>
      <c r="V19" s="250">
        <v>2.4359999999999996E-2</v>
      </c>
      <c r="W19" s="602"/>
      <c r="X19" s="107">
        <v>0.34372999999999998</v>
      </c>
      <c r="Y19" s="107"/>
      <c r="Z19" s="107">
        <v>0</v>
      </c>
      <c r="AA19" s="107">
        <v>0.34872999999999998</v>
      </c>
      <c r="AB19" s="107">
        <v>9.6989999999999993E-2</v>
      </c>
      <c r="AC19" s="338">
        <v>0.78944999999999999</v>
      </c>
      <c r="AD19" s="1494"/>
      <c r="AE19" s="1483">
        <v>0.37659999999999999</v>
      </c>
      <c r="AF19" s="1486"/>
      <c r="AG19" s="1484">
        <v>0</v>
      </c>
      <c r="AH19" s="1486">
        <v>0.34872999999999998</v>
      </c>
      <c r="AI19" s="1486">
        <v>8.8479999999999989E-2</v>
      </c>
      <c r="AJ19" s="1499">
        <v>0.81381000000000003</v>
      </c>
      <c r="AK19" s="1495"/>
      <c r="AL19" s="107">
        <v>2.162E-2</v>
      </c>
      <c r="AM19" s="107">
        <v>-3.1E-4</v>
      </c>
      <c r="AN19" s="107">
        <v>-6.7799999999999996E-3</v>
      </c>
      <c r="AO19" s="107">
        <v>-3.0400000000000002E-3</v>
      </c>
      <c r="AP19" s="913">
        <v>1.149E-2</v>
      </c>
      <c r="AQ19" s="121"/>
      <c r="AR19" s="107"/>
      <c r="AS19" s="107"/>
      <c r="AT19" s="107"/>
      <c r="AU19" s="107"/>
      <c r="AV19" s="107"/>
      <c r="AW19" s="338">
        <v>0</v>
      </c>
      <c r="AY19" s="107">
        <v>0.39822000000000002</v>
      </c>
      <c r="AZ19" s="107">
        <v>0</v>
      </c>
      <c r="BA19" s="107">
        <v>0</v>
      </c>
      <c r="BB19" s="107">
        <v>0.34872999999999998</v>
      </c>
      <c r="BC19" s="107">
        <v>8.6859999999999993E-2</v>
      </c>
      <c r="BD19" s="333">
        <v>0.83380999999999994</v>
      </c>
      <c r="BE19" s="91"/>
      <c r="BF19" s="91"/>
      <c r="BG19" s="91"/>
    </row>
    <row r="20" spans="2:59" x14ac:dyDescent="0.2">
      <c r="B20" s="100">
        <v>12</v>
      </c>
      <c r="C20" s="836"/>
      <c r="D20" s="836" t="s">
        <v>5</v>
      </c>
      <c r="E20" s="102" t="s">
        <v>59</v>
      </c>
      <c r="F20" s="103">
        <v>0</v>
      </c>
      <c r="G20" s="103"/>
      <c r="H20" s="839"/>
      <c r="I20" s="841"/>
      <c r="J20" s="609">
        <v>0.30284999999999984</v>
      </c>
      <c r="K20" s="613">
        <v>0</v>
      </c>
      <c r="L20" s="613">
        <v>0.26333000000000001</v>
      </c>
      <c r="M20" s="613">
        <v>4.6990000000000004E-2</v>
      </c>
      <c r="N20" s="125">
        <v>0.61316999999999988</v>
      </c>
      <c r="O20" s="609">
        <v>3.1800000000000002E-2</v>
      </c>
      <c r="P20" s="613">
        <v>-2.8400000000000001E-3</v>
      </c>
      <c r="Q20" s="613">
        <v>0</v>
      </c>
      <c r="R20" s="243">
        <v>2.8960000000000003E-2</v>
      </c>
      <c r="S20" s="609">
        <v>-6.0499999999999998E-3</v>
      </c>
      <c r="T20" s="613">
        <v>-2.6700000000000001E-3</v>
      </c>
      <c r="U20" s="613">
        <v>1.2099999999999999E-3</v>
      </c>
      <c r="V20" s="249">
        <v>2.1450000000000004E-2</v>
      </c>
      <c r="W20" s="602"/>
      <c r="X20" s="104">
        <v>0.30285000000000001</v>
      </c>
      <c r="Y20" s="104"/>
      <c r="Z20" s="104">
        <v>0</v>
      </c>
      <c r="AA20" s="104">
        <v>0.34872999999999998</v>
      </c>
      <c r="AB20" s="104">
        <v>8.9839999999999989E-2</v>
      </c>
      <c r="AC20" s="337">
        <v>0.74142000000000008</v>
      </c>
      <c r="AD20" s="1494"/>
      <c r="AE20" s="1244">
        <v>0.33180999999999999</v>
      </c>
      <c r="AF20" s="104"/>
      <c r="AG20" s="1237">
        <v>0</v>
      </c>
      <c r="AH20" s="104">
        <v>0.34872999999999998</v>
      </c>
      <c r="AI20" s="104">
        <v>8.2329999999999987E-2</v>
      </c>
      <c r="AJ20" s="1500">
        <v>0.76286999999999994</v>
      </c>
      <c r="AK20" s="1495"/>
      <c r="AL20" s="104">
        <v>1.9050000000000001E-2</v>
      </c>
      <c r="AM20" s="104">
        <v>-2.7E-4</v>
      </c>
      <c r="AN20" s="104">
        <v>-5.9699999999999996E-3</v>
      </c>
      <c r="AO20" s="104">
        <v>-2.6800000000000001E-3</v>
      </c>
      <c r="AP20" s="912">
        <v>1.0130000000000002E-2</v>
      </c>
      <c r="AQ20" s="121"/>
      <c r="AR20" s="104"/>
      <c r="AS20" s="104"/>
      <c r="AT20" s="104"/>
      <c r="AU20" s="104"/>
      <c r="AV20" s="104"/>
      <c r="AW20" s="337">
        <v>0</v>
      </c>
      <c r="AY20" s="104">
        <v>0.35086000000000001</v>
      </c>
      <c r="AZ20" s="104">
        <v>0</v>
      </c>
      <c r="BA20" s="104">
        <v>0</v>
      </c>
      <c r="BB20" s="104">
        <v>0.34872999999999998</v>
      </c>
      <c r="BC20" s="104">
        <v>8.0919999999999992E-2</v>
      </c>
      <c r="BD20" s="332">
        <v>0.78050999999999993</v>
      </c>
      <c r="BE20" s="91"/>
      <c r="BF20" s="91"/>
      <c r="BG20" s="91"/>
    </row>
    <row r="21" spans="2:59" x14ac:dyDescent="0.2">
      <c r="B21" s="100">
        <v>13</v>
      </c>
      <c r="C21" s="838" t="s">
        <v>257</v>
      </c>
      <c r="D21" s="838" t="s">
        <v>4</v>
      </c>
      <c r="E21" s="105">
        <v>2000</v>
      </c>
      <c r="F21" s="106">
        <v>0</v>
      </c>
      <c r="G21" s="106">
        <v>0</v>
      </c>
      <c r="H21" s="844">
        <v>250</v>
      </c>
      <c r="I21" s="845">
        <v>250</v>
      </c>
      <c r="J21" s="610">
        <v>0.34372999999999987</v>
      </c>
      <c r="K21" s="612">
        <v>0</v>
      </c>
      <c r="L21" s="612">
        <v>0.26333000000000001</v>
      </c>
      <c r="M21" s="612">
        <v>8.7499999999999991E-3</v>
      </c>
      <c r="N21" s="127">
        <v>0.61580999999999997</v>
      </c>
      <c r="O21" s="610">
        <v>1.576E-2</v>
      </c>
      <c r="P21" s="612">
        <v>-3.2200000000000002E-3</v>
      </c>
      <c r="Q21" s="612">
        <v>0</v>
      </c>
      <c r="R21" s="244">
        <v>1.2539999999999999E-2</v>
      </c>
      <c r="S21" s="610">
        <v>0</v>
      </c>
      <c r="T21" s="612">
        <v>-2.8700000000000002E-3</v>
      </c>
      <c r="U21" s="612">
        <v>1.2999999999999999E-3</v>
      </c>
      <c r="V21" s="250">
        <v>1.0969999999999997E-2</v>
      </c>
      <c r="W21" s="602"/>
      <c r="X21" s="1486">
        <v>0.34372999999999987</v>
      </c>
      <c r="Y21" s="107"/>
      <c r="Z21" s="107">
        <v>0</v>
      </c>
      <c r="AA21" s="107">
        <v>0.34872999999999998</v>
      </c>
      <c r="AB21" s="107">
        <v>4.6149999999999997E-2</v>
      </c>
      <c r="AC21" s="338">
        <v>0.73860999999999988</v>
      </c>
      <c r="AD21" s="1494"/>
      <c r="AE21" s="1483">
        <v>0.35626999999999986</v>
      </c>
      <c r="AF21" s="1486"/>
      <c r="AG21" s="1484">
        <v>0</v>
      </c>
      <c r="AH21" s="1486">
        <v>0.34872999999999998</v>
      </c>
      <c r="AI21" s="1486">
        <v>4.4580000000000002E-2</v>
      </c>
      <c r="AJ21" s="1499">
        <v>0.7495799999999998</v>
      </c>
      <c r="AK21" s="1495"/>
      <c r="AL21" s="107">
        <v>7.1300000000000001E-3</v>
      </c>
      <c r="AM21" s="107">
        <v>-2.7999999999999998E-4</v>
      </c>
      <c r="AN21" s="107">
        <v>0</v>
      </c>
      <c r="AO21" s="107">
        <v>-2.7699999999999999E-3</v>
      </c>
      <c r="AP21" s="913">
        <v>4.0800000000000003E-3</v>
      </c>
      <c r="AQ21" s="121"/>
      <c r="AR21" s="107"/>
      <c r="AS21" s="107"/>
      <c r="AT21" s="107"/>
      <c r="AU21" s="107"/>
      <c r="AV21" s="107"/>
      <c r="AW21" s="338">
        <v>0</v>
      </c>
      <c r="AY21" s="107">
        <v>0.36339999999999989</v>
      </c>
      <c r="AZ21" s="107">
        <v>0</v>
      </c>
      <c r="BA21" s="107">
        <v>0</v>
      </c>
      <c r="BB21" s="107">
        <v>0.34872999999999998</v>
      </c>
      <c r="BC21" s="107">
        <v>4.3099999999999992E-2</v>
      </c>
      <c r="BD21" s="333">
        <v>0.75522999999999996</v>
      </c>
      <c r="BE21" s="91"/>
      <c r="BF21" s="91"/>
      <c r="BG21" s="91"/>
    </row>
    <row r="22" spans="2:59" x14ac:dyDescent="0.2">
      <c r="B22" s="100">
        <v>14</v>
      </c>
      <c r="C22" s="836"/>
      <c r="D22" s="836" t="s">
        <v>5</v>
      </c>
      <c r="E22" s="102" t="s">
        <v>59</v>
      </c>
      <c r="F22" s="103">
        <v>0</v>
      </c>
      <c r="G22" s="103"/>
      <c r="H22" s="839"/>
      <c r="I22" s="841"/>
      <c r="J22" s="609">
        <v>0.30284999999999984</v>
      </c>
      <c r="K22" s="613">
        <v>0</v>
      </c>
      <c r="L22" s="613">
        <v>0.26333000000000001</v>
      </c>
      <c r="M22" s="613">
        <v>7.8399999999999997E-3</v>
      </c>
      <c r="N22" s="125">
        <v>0.57401999999999986</v>
      </c>
      <c r="O22" s="609">
        <v>1.388E-2</v>
      </c>
      <c r="P22" s="613">
        <v>-2.8400000000000001E-3</v>
      </c>
      <c r="Q22" s="613">
        <v>0</v>
      </c>
      <c r="R22" s="243">
        <v>1.1039999999999999E-2</v>
      </c>
      <c r="S22" s="609">
        <v>0</v>
      </c>
      <c r="T22" s="613">
        <v>-2.5300000000000001E-3</v>
      </c>
      <c r="U22" s="613">
        <v>1.15E-3</v>
      </c>
      <c r="V22" s="249">
        <v>9.6600000000000002E-3</v>
      </c>
      <c r="W22" s="602"/>
      <c r="X22" s="104">
        <v>0.30284999999999995</v>
      </c>
      <c r="Y22" s="104"/>
      <c r="Z22" s="104">
        <v>0</v>
      </c>
      <c r="AA22" s="104">
        <v>0.34872999999999998</v>
      </c>
      <c r="AB22" s="104">
        <v>4.5039999999999997E-2</v>
      </c>
      <c r="AC22" s="337">
        <v>0.69661999999999991</v>
      </c>
      <c r="AD22" s="1494"/>
      <c r="AE22" s="1244">
        <v>0.31388999999999995</v>
      </c>
      <c r="AF22" s="104"/>
      <c r="AG22" s="1237">
        <v>0</v>
      </c>
      <c r="AH22" s="104">
        <v>0.34872999999999998</v>
      </c>
      <c r="AI22" s="104">
        <v>4.3659999999999997E-2</v>
      </c>
      <c r="AJ22" s="1500">
        <v>0.70628000000000002</v>
      </c>
      <c r="AK22" s="1495"/>
      <c r="AL22" s="104">
        <v>6.28E-3</v>
      </c>
      <c r="AM22" s="104">
        <v>-2.5000000000000001E-4</v>
      </c>
      <c r="AN22" s="104">
        <v>0</v>
      </c>
      <c r="AO22" s="104">
        <v>-2.4399999999999999E-3</v>
      </c>
      <c r="AP22" s="912">
        <v>3.5899999999999999E-3</v>
      </c>
      <c r="AQ22" s="121"/>
      <c r="AR22" s="104"/>
      <c r="AS22" s="104"/>
      <c r="AT22" s="104"/>
      <c r="AU22" s="104"/>
      <c r="AV22" s="104"/>
      <c r="AW22" s="337">
        <v>0</v>
      </c>
      <c r="AY22" s="104">
        <v>0.32016999999999995</v>
      </c>
      <c r="AZ22" s="104">
        <v>0</v>
      </c>
      <c r="BA22" s="104">
        <v>0</v>
      </c>
      <c r="BB22" s="104">
        <v>0.34872999999999998</v>
      </c>
      <c r="BC22" s="104">
        <v>4.2349999999999999E-2</v>
      </c>
      <c r="BD22" s="332">
        <v>0.71124999999999994</v>
      </c>
      <c r="BE22" s="91"/>
      <c r="BF22" s="91"/>
      <c r="BG22" s="91"/>
    </row>
    <row r="23" spans="2:59" x14ac:dyDescent="0.2">
      <c r="B23" s="100">
        <v>15</v>
      </c>
      <c r="C23" s="838" t="s">
        <v>260</v>
      </c>
      <c r="D23" s="838" t="s">
        <v>4</v>
      </c>
      <c r="E23" s="105">
        <v>2000</v>
      </c>
      <c r="F23" s="106">
        <v>168721</v>
      </c>
      <c r="G23" s="106">
        <v>7.916666666666667</v>
      </c>
      <c r="H23" s="844">
        <v>500</v>
      </c>
      <c r="I23" s="845">
        <v>500</v>
      </c>
      <c r="J23" s="610">
        <v>0.34791</v>
      </c>
      <c r="K23" s="612">
        <v>0</v>
      </c>
      <c r="L23" s="612">
        <v>0</v>
      </c>
      <c r="M23" s="612">
        <v>1.5499999999999999E-3</v>
      </c>
      <c r="N23" s="127">
        <v>0.34945999999999999</v>
      </c>
      <c r="O23" s="610">
        <v>2.562E-2</v>
      </c>
      <c r="P23" s="612">
        <v>-4.3499999999999997E-3</v>
      </c>
      <c r="Q23" s="612">
        <v>0</v>
      </c>
      <c r="R23" s="244">
        <v>2.1270000000000001E-2</v>
      </c>
      <c r="S23" s="610">
        <v>0</v>
      </c>
      <c r="T23" s="612">
        <v>-3.9100000000000003E-3</v>
      </c>
      <c r="U23" s="612">
        <v>1.3799999999999999E-3</v>
      </c>
      <c r="V23" s="250">
        <v>1.874E-2</v>
      </c>
      <c r="W23" s="602"/>
      <c r="X23" s="1486">
        <v>0.34791</v>
      </c>
      <c r="Y23" s="1440"/>
      <c r="Z23" s="107">
        <v>0</v>
      </c>
      <c r="AA23" s="107">
        <v>0</v>
      </c>
      <c r="AB23" s="107">
        <v>4.3499999999999997E-3</v>
      </c>
      <c r="AC23" s="338">
        <v>0.35226000000000002</v>
      </c>
      <c r="AD23" s="1494"/>
      <c r="AE23" s="1483">
        <v>0.36917999999999995</v>
      </c>
      <c r="AF23" s="1486"/>
      <c r="AG23" s="1484">
        <v>0</v>
      </c>
      <c r="AH23" s="1486">
        <v>0</v>
      </c>
      <c r="AI23" s="1486">
        <v>1.8199999999999994E-3</v>
      </c>
      <c r="AJ23" s="1499">
        <v>0.37099999999999994</v>
      </c>
      <c r="AK23" s="1495"/>
      <c r="AL23" s="107">
        <v>9.7099999999999999E-3</v>
      </c>
      <c r="AM23" s="107">
        <v>-3.8000000000000002E-4</v>
      </c>
      <c r="AN23" s="107">
        <v>0</v>
      </c>
      <c r="AO23" s="107">
        <v>-3.7799999999999999E-3</v>
      </c>
      <c r="AP23" s="913">
        <v>5.5499999999999994E-3</v>
      </c>
      <c r="AQ23" s="121"/>
      <c r="AR23" s="107"/>
      <c r="AS23" s="107"/>
      <c r="AT23" s="107"/>
      <c r="AU23" s="107"/>
      <c r="AV23" s="107"/>
      <c r="AW23" s="338">
        <v>0</v>
      </c>
      <c r="AY23" s="107">
        <v>0.37888999999999995</v>
      </c>
      <c r="AZ23" s="107">
        <v>0</v>
      </c>
      <c r="BA23" s="107">
        <v>0</v>
      </c>
      <c r="BB23" s="107">
        <v>0</v>
      </c>
      <c r="BC23" s="107">
        <v>1.9000000000000006E-4</v>
      </c>
      <c r="BD23" s="333">
        <v>0.37907999999999997</v>
      </c>
      <c r="BE23" s="91"/>
      <c r="BF23" s="91"/>
      <c r="BG23" s="91"/>
    </row>
    <row r="24" spans="2:59" x14ac:dyDescent="0.2">
      <c r="B24" s="100">
        <v>16</v>
      </c>
      <c r="C24" s="836"/>
      <c r="D24" s="836" t="s">
        <v>5</v>
      </c>
      <c r="E24" s="102" t="s">
        <v>59</v>
      </c>
      <c r="F24" s="103">
        <v>272866</v>
      </c>
      <c r="G24" s="103"/>
      <c r="H24" s="839"/>
      <c r="I24" s="841"/>
      <c r="J24" s="609">
        <v>0.30653000000000008</v>
      </c>
      <c r="K24" s="613">
        <v>0</v>
      </c>
      <c r="L24" s="613">
        <v>0</v>
      </c>
      <c r="M24" s="613">
        <v>1.3600000000000001E-3</v>
      </c>
      <c r="N24" s="125">
        <v>0.30789000000000011</v>
      </c>
      <c r="O24" s="609">
        <v>2.257E-2</v>
      </c>
      <c r="P24" s="613">
        <v>-3.8300000000000001E-3</v>
      </c>
      <c r="Q24" s="613">
        <v>0</v>
      </c>
      <c r="R24" s="243">
        <v>1.874E-2</v>
      </c>
      <c r="S24" s="609">
        <v>0</v>
      </c>
      <c r="T24" s="613">
        <v>-3.4399999999999999E-3</v>
      </c>
      <c r="U24" s="613">
        <v>1.2099999999999999E-3</v>
      </c>
      <c r="V24" s="249">
        <v>1.651E-2</v>
      </c>
      <c r="W24" s="602"/>
      <c r="X24" s="104">
        <v>0.30653000000000008</v>
      </c>
      <c r="Y24" s="1439"/>
      <c r="Z24" s="104">
        <v>0</v>
      </c>
      <c r="AA24" s="104">
        <v>0</v>
      </c>
      <c r="AB24" s="104">
        <v>3.8400000000000001E-3</v>
      </c>
      <c r="AC24" s="337">
        <v>0.31037000000000009</v>
      </c>
      <c r="AD24" s="1494"/>
      <c r="AE24" s="1244">
        <v>0.32527000000000006</v>
      </c>
      <c r="AF24" s="104"/>
      <c r="AG24" s="1237">
        <v>0</v>
      </c>
      <c r="AH24" s="104">
        <v>0</v>
      </c>
      <c r="AI24" s="104">
        <v>1.6100000000000001E-3</v>
      </c>
      <c r="AJ24" s="1500">
        <v>0.32688000000000006</v>
      </c>
      <c r="AK24" s="1495"/>
      <c r="AL24" s="104">
        <v>8.5500000000000003E-3</v>
      </c>
      <c r="AM24" s="104">
        <v>-3.4000000000000002E-4</v>
      </c>
      <c r="AN24" s="104">
        <v>0</v>
      </c>
      <c r="AO24" s="104">
        <v>-3.3300000000000001E-3</v>
      </c>
      <c r="AP24" s="912">
        <v>4.8800000000000007E-3</v>
      </c>
      <c r="AQ24" s="121"/>
      <c r="AR24" s="104"/>
      <c r="AS24" s="104"/>
      <c r="AT24" s="104"/>
      <c r="AU24" s="104"/>
      <c r="AV24" s="104"/>
      <c r="AW24" s="337">
        <v>0</v>
      </c>
      <c r="AY24" s="104">
        <v>0.33382000000000006</v>
      </c>
      <c r="AZ24" s="104">
        <v>0</v>
      </c>
      <c r="BA24" s="104">
        <v>0</v>
      </c>
      <c r="BB24" s="104">
        <v>0</v>
      </c>
      <c r="BC24" s="104">
        <v>1.7000000000000001E-4</v>
      </c>
      <c r="BD24" s="332">
        <v>0.33399000000000006</v>
      </c>
      <c r="BE24" s="91"/>
      <c r="BF24" s="91"/>
      <c r="BG24" s="91"/>
    </row>
    <row r="25" spans="2:59" x14ac:dyDescent="0.2">
      <c r="B25" s="100">
        <v>17</v>
      </c>
      <c r="C25" s="838" t="s">
        <v>254</v>
      </c>
      <c r="D25" s="838" t="s">
        <v>4</v>
      </c>
      <c r="E25" s="105">
        <v>2000</v>
      </c>
      <c r="F25" s="106">
        <v>0</v>
      </c>
      <c r="G25" s="106">
        <v>0</v>
      </c>
      <c r="H25" s="844">
        <v>500</v>
      </c>
      <c r="I25" s="845">
        <v>500</v>
      </c>
      <c r="J25" s="610">
        <v>0.34791</v>
      </c>
      <c r="K25" s="612">
        <v>0</v>
      </c>
      <c r="L25" s="612">
        <v>0</v>
      </c>
      <c r="M25" s="612">
        <v>1.5499999999999999E-3</v>
      </c>
      <c r="N25" s="127">
        <v>0.34945999999999999</v>
      </c>
      <c r="O25" s="610">
        <v>1.5949999999999999E-2</v>
      </c>
      <c r="P25" s="612">
        <v>-3.2599999999999999E-3</v>
      </c>
      <c r="Q25" s="612">
        <v>0</v>
      </c>
      <c r="R25" s="244">
        <v>1.269E-2</v>
      </c>
      <c r="S25" s="610">
        <v>0</v>
      </c>
      <c r="T25" s="612">
        <v>-2.8999999999999998E-3</v>
      </c>
      <c r="U25" s="612">
        <v>1.32E-3</v>
      </c>
      <c r="V25" s="250">
        <v>1.111E-2</v>
      </c>
      <c r="W25" s="602"/>
      <c r="X25" s="107">
        <v>0.34791</v>
      </c>
      <c r="Y25" s="107"/>
      <c r="Z25" s="107">
        <v>0</v>
      </c>
      <c r="AA25" s="107">
        <v>0</v>
      </c>
      <c r="AB25" s="107">
        <v>4.3499999999999997E-3</v>
      </c>
      <c r="AC25" s="338">
        <v>0.35226000000000002</v>
      </c>
      <c r="AD25" s="1494"/>
      <c r="AE25" s="1483">
        <v>0.36060000000000003</v>
      </c>
      <c r="AF25" s="1486"/>
      <c r="AG25" s="1484">
        <v>0</v>
      </c>
      <c r="AH25" s="1486">
        <v>0</v>
      </c>
      <c r="AI25" s="1486">
        <v>2.7699999999999999E-3</v>
      </c>
      <c r="AJ25" s="1499">
        <v>0.36337000000000003</v>
      </c>
      <c r="AK25" s="1495"/>
      <c r="AL25" s="107">
        <v>7.2100000000000003E-3</v>
      </c>
      <c r="AM25" s="107">
        <v>-2.9E-4</v>
      </c>
      <c r="AN25" s="107">
        <v>0</v>
      </c>
      <c r="AO25" s="107">
        <v>-2.81E-3</v>
      </c>
      <c r="AP25" s="913">
        <v>4.1099999999999999E-3</v>
      </c>
      <c r="AQ25" s="121"/>
      <c r="AR25" s="107"/>
      <c r="AS25" s="107"/>
      <c r="AT25" s="107"/>
      <c r="AU25" s="107"/>
      <c r="AV25" s="107"/>
      <c r="AW25" s="338">
        <v>0</v>
      </c>
      <c r="AY25" s="107">
        <v>0.36781000000000003</v>
      </c>
      <c r="AZ25" s="107">
        <v>0</v>
      </c>
      <c r="BA25" s="107">
        <v>0</v>
      </c>
      <c r="BB25" s="107">
        <v>0</v>
      </c>
      <c r="BC25" s="107">
        <v>1.2499999999999996E-3</v>
      </c>
      <c r="BD25" s="333">
        <v>0.36906</v>
      </c>
      <c r="BE25" s="91"/>
      <c r="BF25" s="91"/>
      <c r="BG25" s="91"/>
    </row>
    <row r="26" spans="2:59" x14ac:dyDescent="0.2">
      <c r="B26" s="100">
        <v>18</v>
      </c>
      <c r="C26" s="836"/>
      <c r="D26" s="836" t="s">
        <v>5</v>
      </c>
      <c r="E26" s="102" t="s">
        <v>59</v>
      </c>
      <c r="F26" s="103">
        <v>0</v>
      </c>
      <c r="G26" s="103"/>
      <c r="H26" s="839"/>
      <c r="I26" s="841"/>
      <c r="J26" s="609">
        <v>0.30653000000000008</v>
      </c>
      <c r="K26" s="613">
        <v>0</v>
      </c>
      <c r="L26" s="613">
        <v>0</v>
      </c>
      <c r="M26" s="613">
        <v>1.3600000000000001E-3</v>
      </c>
      <c r="N26" s="125">
        <v>0.30789000000000011</v>
      </c>
      <c r="O26" s="609">
        <v>1.405E-2</v>
      </c>
      <c r="P26" s="613">
        <v>-2.8700000000000002E-3</v>
      </c>
      <c r="Q26" s="613">
        <v>0</v>
      </c>
      <c r="R26" s="243">
        <v>1.1179999999999999E-2</v>
      </c>
      <c r="S26" s="609">
        <v>0</v>
      </c>
      <c r="T26" s="613">
        <v>-2.5600000000000002E-3</v>
      </c>
      <c r="U26" s="613">
        <v>1.16E-3</v>
      </c>
      <c r="V26" s="249">
        <v>9.7799999999999988E-3</v>
      </c>
      <c r="W26" s="602"/>
      <c r="X26" s="104">
        <v>0.30653000000000008</v>
      </c>
      <c r="Y26" s="104"/>
      <c r="Z26" s="104">
        <v>0</v>
      </c>
      <c r="AA26" s="104">
        <v>0</v>
      </c>
      <c r="AB26" s="104">
        <v>3.8400000000000001E-3</v>
      </c>
      <c r="AC26" s="337">
        <v>0.31037000000000009</v>
      </c>
      <c r="AD26" s="1494"/>
      <c r="AE26" s="1245">
        <v>0.3177100000000001</v>
      </c>
      <c r="AF26" s="107"/>
      <c r="AG26" s="1246">
        <v>0</v>
      </c>
      <c r="AH26" s="107">
        <v>0</v>
      </c>
      <c r="AI26" s="107">
        <v>2.4399999999999999E-3</v>
      </c>
      <c r="AJ26" s="1501">
        <v>0.3201500000000001</v>
      </c>
      <c r="AK26" s="1495"/>
      <c r="AL26" s="104">
        <v>6.3499999999999997E-3</v>
      </c>
      <c r="AM26" s="104">
        <v>-2.5000000000000001E-4</v>
      </c>
      <c r="AN26" s="104">
        <v>0</v>
      </c>
      <c r="AO26" s="104">
        <v>-2.47E-3</v>
      </c>
      <c r="AP26" s="912">
        <v>3.6299999999999995E-3</v>
      </c>
      <c r="AQ26" s="121"/>
      <c r="AR26" s="104"/>
      <c r="AS26" s="104"/>
      <c r="AT26" s="104"/>
      <c r="AU26" s="104"/>
      <c r="AV26" s="104"/>
      <c r="AW26" s="337">
        <v>0</v>
      </c>
      <c r="AY26" s="104">
        <v>0.32406000000000013</v>
      </c>
      <c r="AZ26" s="104">
        <v>0</v>
      </c>
      <c r="BA26" s="104">
        <v>0</v>
      </c>
      <c r="BB26" s="104">
        <v>0</v>
      </c>
      <c r="BC26" s="104">
        <v>1.1199999999999999E-3</v>
      </c>
      <c r="BD26" s="332">
        <v>0.32518000000000014</v>
      </c>
      <c r="BE26" s="91"/>
      <c r="BF26" s="91"/>
      <c r="BG26" s="91"/>
    </row>
    <row r="27" spans="2:59" x14ac:dyDescent="0.2">
      <c r="B27" s="100">
        <v>19</v>
      </c>
      <c r="C27" s="838" t="s">
        <v>250</v>
      </c>
      <c r="D27" s="838" t="s">
        <v>4</v>
      </c>
      <c r="E27" s="105">
        <v>10000</v>
      </c>
      <c r="F27" s="106">
        <v>350769.66174469434</v>
      </c>
      <c r="G27" s="106">
        <v>5</v>
      </c>
      <c r="H27" s="844">
        <v>1300</v>
      </c>
      <c r="I27" s="845">
        <v>1300</v>
      </c>
      <c r="J27" s="610">
        <v>0.15245999999999996</v>
      </c>
      <c r="K27" s="612">
        <v>0</v>
      </c>
      <c r="L27" s="612">
        <v>0.26333000000000001</v>
      </c>
      <c r="M27" s="612">
        <v>1.9560000000000001E-2</v>
      </c>
      <c r="N27" s="127">
        <v>0.43535000000000001</v>
      </c>
      <c r="O27" s="610">
        <v>3.7769999999999998E-2</v>
      </c>
      <c r="P27" s="612">
        <v>-3.0899999999999999E-3</v>
      </c>
      <c r="Q27" s="612">
        <v>0</v>
      </c>
      <c r="R27" s="244">
        <v>3.4679999999999996E-2</v>
      </c>
      <c r="S27" s="610">
        <v>-5.5300000000000002E-3</v>
      </c>
      <c r="T27" s="612">
        <v>-2.9399999999999999E-3</v>
      </c>
      <c r="U27" s="612">
        <v>1.0399999999999999E-3</v>
      </c>
      <c r="V27" s="250">
        <v>2.7249999999999996E-2</v>
      </c>
      <c r="W27" s="602"/>
      <c r="X27" s="107">
        <v>0.15245999999999993</v>
      </c>
      <c r="Y27" s="107"/>
      <c r="Z27" s="107">
        <v>0</v>
      </c>
      <c r="AA27" s="107">
        <v>0.34872999999999998</v>
      </c>
      <c r="AB27" s="107">
        <v>3.4449999999999995E-2</v>
      </c>
      <c r="AC27" s="338">
        <v>0.53563999999999989</v>
      </c>
      <c r="AD27" s="1494"/>
      <c r="AE27" s="1486">
        <v>0.18713999999999992</v>
      </c>
      <c r="AF27" s="1486"/>
      <c r="AG27" s="1486">
        <v>0</v>
      </c>
      <c r="AH27" s="1486">
        <v>0.34872999999999998</v>
      </c>
      <c r="AI27" s="1486">
        <v>2.7019999999999995E-2</v>
      </c>
      <c r="AJ27" s="1502">
        <v>0.56288999999999989</v>
      </c>
      <c r="AK27" s="1495"/>
      <c r="AL27" s="107">
        <v>2.095E-2</v>
      </c>
      <c r="AM27" s="107">
        <v>-2.9999999999999997E-4</v>
      </c>
      <c r="AN27" s="107">
        <v>-5.5300000000000002E-3</v>
      </c>
      <c r="AO27" s="107">
        <v>-2.9399999999999999E-3</v>
      </c>
      <c r="AP27" s="913">
        <v>1.2179999999999998E-2</v>
      </c>
      <c r="AQ27" s="121"/>
      <c r="AR27" s="107"/>
      <c r="AS27" s="107"/>
      <c r="AT27" s="107"/>
      <c r="AU27" s="107"/>
      <c r="AV27" s="107"/>
      <c r="AW27" s="338">
        <v>0</v>
      </c>
      <c r="AY27" s="107">
        <v>0.20808999999999991</v>
      </c>
      <c r="AZ27" s="107">
        <v>0</v>
      </c>
      <c r="BA27" s="107">
        <v>0</v>
      </c>
      <c r="BB27" s="107">
        <v>0.34872999999999998</v>
      </c>
      <c r="BC27" s="107">
        <v>2.5679999999999994E-2</v>
      </c>
      <c r="BD27" s="333">
        <v>0.58249999999999991</v>
      </c>
      <c r="BE27" s="91"/>
      <c r="BF27" s="91"/>
      <c r="BG27" s="91"/>
    </row>
    <row r="28" spans="2:59" x14ac:dyDescent="0.2">
      <c r="B28" s="100">
        <v>20</v>
      </c>
      <c r="C28" s="838"/>
      <c r="D28" s="838" t="s">
        <v>5</v>
      </c>
      <c r="E28" s="105">
        <v>20000</v>
      </c>
      <c r="F28" s="106">
        <v>303088.75426472601</v>
      </c>
      <c r="G28" s="106"/>
      <c r="H28" s="844"/>
      <c r="I28" s="845"/>
      <c r="J28" s="610">
        <v>0.1364699999999997</v>
      </c>
      <c r="K28" s="612">
        <v>0</v>
      </c>
      <c r="L28" s="612">
        <v>0.26333000000000001</v>
      </c>
      <c r="M28" s="612">
        <v>1.6539999999999999E-2</v>
      </c>
      <c r="N28" s="127">
        <v>0.41633999999999971</v>
      </c>
      <c r="O28" s="610">
        <v>3.381E-2</v>
      </c>
      <c r="P28" s="612">
        <v>-2.7699999999999999E-3</v>
      </c>
      <c r="Q28" s="612">
        <v>0</v>
      </c>
      <c r="R28" s="244">
        <v>3.1039999999999998E-2</v>
      </c>
      <c r="S28" s="610">
        <v>-4.9500000000000004E-3</v>
      </c>
      <c r="T28" s="612">
        <v>-2.63E-3</v>
      </c>
      <c r="U28" s="612">
        <v>9.3000000000000005E-4</v>
      </c>
      <c r="V28" s="250">
        <v>2.4389999999999998E-2</v>
      </c>
      <c r="W28" s="602"/>
      <c r="X28" s="107">
        <v>0.13646999999999959</v>
      </c>
      <c r="Y28" s="107"/>
      <c r="Z28" s="107">
        <v>0</v>
      </c>
      <c r="AA28" s="107">
        <v>0.34872999999999998</v>
      </c>
      <c r="AB28" s="107">
        <v>3.0869999999999995E-2</v>
      </c>
      <c r="AC28" s="338">
        <v>0.51606999999999958</v>
      </c>
      <c r="AD28" s="1494"/>
      <c r="AE28" s="107">
        <v>0.1675099999999996</v>
      </c>
      <c r="AF28" s="107"/>
      <c r="AG28" s="107">
        <v>0</v>
      </c>
      <c r="AH28" s="107">
        <v>0.34872999999999998</v>
      </c>
      <c r="AI28" s="107">
        <v>2.4219999999999995E-2</v>
      </c>
      <c r="AJ28" s="1503">
        <v>0.54045999999999961</v>
      </c>
      <c r="AK28" s="1495"/>
      <c r="AL28" s="107">
        <v>1.8749999999999999E-2</v>
      </c>
      <c r="AM28" s="107">
        <v>-2.7E-4</v>
      </c>
      <c r="AN28" s="107">
        <v>-4.9500000000000004E-3</v>
      </c>
      <c r="AO28" s="107">
        <v>-2.64E-3</v>
      </c>
      <c r="AP28" s="913">
        <v>1.089E-2</v>
      </c>
      <c r="AQ28" s="121"/>
      <c r="AR28" s="107"/>
      <c r="AS28" s="107"/>
      <c r="AT28" s="107"/>
      <c r="AU28" s="107"/>
      <c r="AV28" s="107"/>
      <c r="AW28" s="338">
        <v>0</v>
      </c>
      <c r="AY28" s="107">
        <v>0.18625999999999959</v>
      </c>
      <c r="AZ28" s="107">
        <v>0</v>
      </c>
      <c r="BA28" s="107">
        <v>0</v>
      </c>
      <c r="BB28" s="107">
        <v>0.34872999999999998</v>
      </c>
      <c r="BC28" s="107">
        <v>2.3009999999999996E-2</v>
      </c>
      <c r="BD28" s="333">
        <v>0.55799999999999961</v>
      </c>
      <c r="BE28" s="91"/>
      <c r="BF28" s="91"/>
      <c r="BG28" s="91"/>
    </row>
    <row r="29" spans="2:59" x14ac:dyDescent="0.2">
      <c r="B29" s="100">
        <v>21</v>
      </c>
      <c r="C29" s="838"/>
      <c r="D29" s="838" t="s">
        <v>6</v>
      </c>
      <c r="E29" s="105">
        <v>20000</v>
      </c>
      <c r="F29" s="106">
        <v>59441.942130257296</v>
      </c>
      <c r="G29" s="106"/>
      <c r="H29" s="844"/>
      <c r="I29" s="845"/>
      <c r="J29" s="610">
        <v>0.1046699999999999</v>
      </c>
      <c r="K29" s="612">
        <v>0</v>
      </c>
      <c r="L29" s="612">
        <v>0.26333000000000001</v>
      </c>
      <c r="M29" s="612">
        <v>1.052E-2</v>
      </c>
      <c r="N29" s="127">
        <v>0.37851999999999986</v>
      </c>
      <c r="O29" s="610">
        <v>2.5930000000000002E-2</v>
      </c>
      <c r="P29" s="612">
        <v>-2.1199999999999999E-3</v>
      </c>
      <c r="Q29" s="612">
        <v>0</v>
      </c>
      <c r="R29" s="244">
        <v>2.3810000000000001E-2</v>
      </c>
      <c r="S29" s="610">
        <v>-3.8E-3</v>
      </c>
      <c r="T29" s="612">
        <v>-2.0200000000000001E-3</v>
      </c>
      <c r="U29" s="612">
        <v>7.1000000000000002E-4</v>
      </c>
      <c r="V29" s="250">
        <v>1.8699999999999998E-2</v>
      </c>
      <c r="W29" s="602"/>
      <c r="X29" s="107">
        <v>0.10466999999999993</v>
      </c>
      <c r="Y29" s="107"/>
      <c r="Z29" s="107">
        <v>0</v>
      </c>
      <c r="AA29" s="107">
        <v>0.34872999999999998</v>
      </c>
      <c r="AB29" s="107">
        <v>2.3759999999999996E-2</v>
      </c>
      <c r="AC29" s="338">
        <v>0.47715999999999992</v>
      </c>
      <c r="AD29" s="1494"/>
      <c r="AE29" s="107">
        <v>0.12847999999999993</v>
      </c>
      <c r="AF29" s="107"/>
      <c r="AG29" s="107">
        <v>0</v>
      </c>
      <c r="AH29" s="107">
        <v>0.34872999999999998</v>
      </c>
      <c r="AI29" s="107">
        <v>1.8649999999999993E-2</v>
      </c>
      <c r="AJ29" s="1503">
        <v>0.49585999999999991</v>
      </c>
      <c r="AK29" s="1495"/>
      <c r="AL29" s="107">
        <v>1.438E-2</v>
      </c>
      <c r="AM29" s="107">
        <v>-2.1000000000000001E-4</v>
      </c>
      <c r="AN29" s="107">
        <v>-3.8E-3</v>
      </c>
      <c r="AO29" s="107">
        <v>-2.0200000000000001E-3</v>
      </c>
      <c r="AP29" s="913">
        <v>8.3499999999999998E-3</v>
      </c>
      <c r="AQ29" s="121"/>
      <c r="AR29" s="107"/>
      <c r="AS29" s="107"/>
      <c r="AT29" s="107"/>
      <c r="AU29" s="107"/>
      <c r="AV29" s="107"/>
      <c r="AW29" s="338">
        <v>0</v>
      </c>
      <c r="AY29" s="107">
        <v>0.14285999999999993</v>
      </c>
      <c r="AZ29" s="107">
        <v>0</v>
      </c>
      <c r="BA29" s="107">
        <v>0</v>
      </c>
      <c r="BB29" s="107">
        <v>0.34872999999999998</v>
      </c>
      <c r="BC29" s="107">
        <v>1.7729999999999996E-2</v>
      </c>
      <c r="BD29" s="333">
        <v>0.50931999999999988</v>
      </c>
      <c r="BE29" s="91"/>
      <c r="BF29" s="91"/>
      <c r="BG29" s="91"/>
    </row>
    <row r="30" spans="2:59" x14ac:dyDescent="0.2">
      <c r="B30" s="100">
        <v>22</v>
      </c>
      <c r="C30" s="838"/>
      <c r="D30" s="838" t="s">
        <v>7</v>
      </c>
      <c r="E30" s="105">
        <v>100000</v>
      </c>
      <c r="F30" s="106">
        <v>3614.6071898605187</v>
      </c>
      <c r="G30" s="106"/>
      <c r="H30" s="844"/>
      <c r="I30" s="845"/>
      <c r="J30" s="610">
        <v>8.3729999999999999E-2</v>
      </c>
      <c r="K30" s="612">
        <v>0</v>
      </c>
      <c r="L30" s="612">
        <v>0.26333000000000001</v>
      </c>
      <c r="M30" s="612">
        <v>6.550000000000002E-3</v>
      </c>
      <c r="N30" s="127">
        <v>0.35361000000000004</v>
      </c>
      <c r="O30" s="610">
        <v>2.0740000000000001E-2</v>
      </c>
      <c r="P30" s="612">
        <v>-1.6999999999999999E-3</v>
      </c>
      <c r="Q30" s="612">
        <v>0</v>
      </c>
      <c r="R30" s="244">
        <v>1.9040000000000001E-2</v>
      </c>
      <c r="S30" s="610">
        <v>-3.0400000000000002E-3</v>
      </c>
      <c r="T30" s="612">
        <v>-1.6100000000000001E-3</v>
      </c>
      <c r="U30" s="612">
        <v>5.6999999999999998E-4</v>
      </c>
      <c r="V30" s="250">
        <v>1.4959999999999999E-2</v>
      </c>
      <c r="W30" s="602"/>
      <c r="X30" s="107">
        <v>8.3730000000000249E-2</v>
      </c>
      <c r="Y30" s="107"/>
      <c r="Z30" s="107">
        <v>0</v>
      </c>
      <c r="AA30" s="107">
        <v>0.34872999999999998</v>
      </c>
      <c r="AB30" s="107">
        <v>1.9089999999999992E-2</v>
      </c>
      <c r="AC30" s="338">
        <v>0.45155000000000023</v>
      </c>
      <c r="AD30" s="1494"/>
      <c r="AE30" s="107">
        <v>0.10277000000000026</v>
      </c>
      <c r="AF30" s="107"/>
      <c r="AG30" s="107">
        <v>0</v>
      </c>
      <c r="AH30" s="107">
        <v>0.34872999999999998</v>
      </c>
      <c r="AI30" s="107">
        <v>1.500999999999999E-2</v>
      </c>
      <c r="AJ30" s="1503">
        <v>0.4665100000000002</v>
      </c>
      <c r="AK30" s="1495"/>
      <c r="AL30" s="107">
        <v>1.1509999999999999E-2</v>
      </c>
      <c r="AM30" s="107">
        <v>-1.6000000000000001E-4</v>
      </c>
      <c r="AN30" s="107">
        <v>-3.0400000000000002E-3</v>
      </c>
      <c r="AO30" s="107">
        <v>-1.6199999999999999E-3</v>
      </c>
      <c r="AP30" s="913">
        <v>6.689999999999998E-3</v>
      </c>
      <c r="AQ30" s="121"/>
      <c r="AR30" s="107"/>
      <c r="AS30" s="107"/>
      <c r="AT30" s="107"/>
      <c r="AU30" s="107"/>
      <c r="AV30" s="107"/>
      <c r="AW30" s="338">
        <v>0</v>
      </c>
      <c r="AY30" s="107">
        <v>0.11428000000000027</v>
      </c>
      <c r="AZ30" s="107">
        <v>0</v>
      </c>
      <c r="BA30" s="107">
        <v>0</v>
      </c>
      <c r="BB30" s="107">
        <v>0.34872999999999998</v>
      </c>
      <c r="BC30" s="107">
        <v>1.4269999999999993E-2</v>
      </c>
      <c r="BD30" s="333">
        <v>0.47728000000000026</v>
      </c>
      <c r="BE30" s="91"/>
      <c r="BF30" s="91"/>
      <c r="BG30" s="91"/>
    </row>
    <row r="31" spans="2:59" x14ac:dyDescent="0.2">
      <c r="B31" s="100">
        <v>23</v>
      </c>
      <c r="C31" s="838"/>
      <c r="D31" s="838" t="s">
        <v>8</v>
      </c>
      <c r="E31" s="105">
        <v>600000</v>
      </c>
      <c r="F31" s="106">
        <v>0</v>
      </c>
      <c r="G31" s="106"/>
      <c r="H31" s="844"/>
      <c r="I31" s="845"/>
      <c r="J31" s="610">
        <v>5.5809999999999992E-2</v>
      </c>
      <c r="K31" s="612">
        <v>0</v>
      </c>
      <c r="L31" s="612">
        <v>0.26333000000000001</v>
      </c>
      <c r="M31" s="612">
        <v>1.239999999999998E-3</v>
      </c>
      <c r="N31" s="127">
        <v>0.32038</v>
      </c>
      <c r="O31" s="610">
        <v>1.383E-2</v>
      </c>
      <c r="P31" s="612">
        <v>-1.1299999999999999E-3</v>
      </c>
      <c r="Q31" s="612">
        <v>0</v>
      </c>
      <c r="R31" s="244">
        <v>1.2699999999999999E-2</v>
      </c>
      <c r="S31" s="610">
        <v>-2.0200000000000001E-3</v>
      </c>
      <c r="T31" s="612">
        <v>-1.08E-3</v>
      </c>
      <c r="U31" s="612">
        <v>3.8000000000000002E-4</v>
      </c>
      <c r="V31" s="250">
        <v>9.9799999999999993E-3</v>
      </c>
      <c r="W31" s="602"/>
      <c r="X31" s="107">
        <v>5.5809999999999971E-2</v>
      </c>
      <c r="Y31" s="107"/>
      <c r="Z31" s="107">
        <v>0</v>
      </c>
      <c r="AA31" s="107">
        <v>0.34872999999999998</v>
      </c>
      <c r="AB31" s="107">
        <v>1.2869999999999994E-2</v>
      </c>
      <c r="AC31" s="338">
        <v>0.41740999999999995</v>
      </c>
      <c r="AD31" s="1494"/>
      <c r="AE31" s="107">
        <v>6.850999999999996E-2</v>
      </c>
      <c r="AF31" s="107"/>
      <c r="AG31" s="107">
        <v>0</v>
      </c>
      <c r="AH31" s="107">
        <v>0.34872999999999998</v>
      </c>
      <c r="AI31" s="107">
        <v>1.0149999999999996E-2</v>
      </c>
      <c r="AJ31" s="1503">
        <v>0.42738999999999994</v>
      </c>
      <c r="AK31" s="1495"/>
      <c r="AL31" s="107">
        <v>7.6699999999999997E-3</v>
      </c>
      <c r="AM31" s="107">
        <v>-1.1E-4</v>
      </c>
      <c r="AN31" s="107">
        <v>-2.0200000000000001E-3</v>
      </c>
      <c r="AO31" s="107">
        <v>-1.08E-3</v>
      </c>
      <c r="AP31" s="913">
        <v>4.4599999999999996E-3</v>
      </c>
      <c r="AQ31" s="121"/>
      <c r="AR31" s="107"/>
      <c r="AS31" s="107"/>
      <c r="AT31" s="107"/>
      <c r="AU31" s="107"/>
      <c r="AV31" s="107"/>
      <c r="AW31" s="338">
        <v>0</v>
      </c>
      <c r="AY31" s="107">
        <v>7.6179999999999956E-2</v>
      </c>
      <c r="AZ31" s="107">
        <v>0</v>
      </c>
      <c r="BA31" s="107">
        <v>0</v>
      </c>
      <c r="BB31" s="107">
        <v>0.34872999999999998</v>
      </c>
      <c r="BC31" s="107">
        <v>9.659999999999995E-3</v>
      </c>
      <c r="BD31" s="333">
        <v>0.43456999999999996</v>
      </c>
      <c r="BE31" s="91"/>
      <c r="BF31" s="91"/>
      <c r="BG31" s="91"/>
    </row>
    <row r="32" spans="2:59" x14ac:dyDescent="0.2">
      <c r="B32" s="100">
        <v>24</v>
      </c>
      <c r="C32" s="836"/>
      <c r="D32" s="836" t="s">
        <v>9</v>
      </c>
      <c r="E32" s="102" t="s">
        <v>59</v>
      </c>
      <c r="F32" s="103">
        <v>0</v>
      </c>
      <c r="G32" s="103"/>
      <c r="H32" s="839"/>
      <c r="I32" s="841"/>
      <c r="J32" s="609">
        <v>2.0920000000000029E-2</v>
      </c>
      <c r="K32" s="613">
        <v>0</v>
      </c>
      <c r="L32" s="613">
        <v>0.26333000000000001</v>
      </c>
      <c r="M32" s="613">
        <v>-5.3500000000000006E-3</v>
      </c>
      <c r="N32" s="125">
        <v>0.27890000000000004</v>
      </c>
      <c r="O32" s="609">
        <v>5.1799999999999997E-3</v>
      </c>
      <c r="P32" s="613">
        <v>-4.2000000000000002E-4</v>
      </c>
      <c r="Q32" s="613">
        <v>0</v>
      </c>
      <c r="R32" s="243">
        <v>4.7599999999999995E-3</v>
      </c>
      <c r="S32" s="609">
        <v>-7.6000000000000004E-4</v>
      </c>
      <c r="T32" s="613">
        <v>-4.0000000000000002E-4</v>
      </c>
      <c r="U32" s="613">
        <v>1.3999999999999999E-4</v>
      </c>
      <c r="V32" s="249">
        <v>3.739999999999999E-3</v>
      </c>
      <c r="W32" s="602"/>
      <c r="X32" s="104">
        <v>2.0920000000000077E-2</v>
      </c>
      <c r="Y32" s="104"/>
      <c r="Z32" s="104">
        <v>0</v>
      </c>
      <c r="AA32" s="104">
        <v>0.34872999999999998</v>
      </c>
      <c r="AB32" s="104">
        <v>5.0699999999999929E-3</v>
      </c>
      <c r="AC32" s="337">
        <v>0.37472000000000005</v>
      </c>
      <c r="AD32" s="1494"/>
      <c r="AE32" s="104">
        <v>2.5680000000000078E-2</v>
      </c>
      <c r="AF32" s="104"/>
      <c r="AG32" s="104">
        <v>0</v>
      </c>
      <c r="AH32" s="104">
        <v>0.34872999999999998</v>
      </c>
      <c r="AI32" s="104">
        <v>4.0499999999999928E-3</v>
      </c>
      <c r="AJ32" s="1498">
        <v>0.37846000000000007</v>
      </c>
      <c r="AK32" s="1495"/>
      <c r="AL32" s="104">
        <v>2.8800000000000002E-3</v>
      </c>
      <c r="AM32" s="104">
        <v>-4.0000000000000003E-5</v>
      </c>
      <c r="AN32" s="104">
        <v>-7.6000000000000004E-4</v>
      </c>
      <c r="AO32" s="104">
        <v>-4.0000000000000002E-4</v>
      </c>
      <c r="AP32" s="912">
        <v>1.6800000000000003E-3</v>
      </c>
      <c r="AQ32" s="121"/>
      <c r="AR32" s="104"/>
      <c r="AS32" s="104"/>
      <c r="AT32" s="104"/>
      <c r="AU32" s="104"/>
      <c r="AV32" s="104"/>
      <c r="AW32" s="337">
        <v>0</v>
      </c>
      <c r="AY32" s="104">
        <v>2.8560000000000078E-2</v>
      </c>
      <c r="AZ32" s="104">
        <v>0</v>
      </c>
      <c r="BA32" s="104">
        <v>0</v>
      </c>
      <c r="BB32" s="104">
        <v>0.34872999999999998</v>
      </c>
      <c r="BC32" s="104">
        <v>3.8699999999999932E-3</v>
      </c>
      <c r="BD32" s="332">
        <v>0.38116000000000005</v>
      </c>
      <c r="BE32" s="91"/>
      <c r="BF32" s="91"/>
      <c r="BG32" s="91"/>
    </row>
    <row r="33" spans="2:59" x14ac:dyDescent="0.2">
      <c r="B33" s="100">
        <v>25</v>
      </c>
      <c r="C33" s="838" t="s">
        <v>259</v>
      </c>
      <c r="D33" s="838" t="s">
        <v>4</v>
      </c>
      <c r="E33" s="105">
        <v>10000</v>
      </c>
      <c r="F33" s="106">
        <v>1093724.2000000002</v>
      </c>
      <c r="G33" s="106">
        <v>11.916666666666666</v>
      </c>
      <c r="H33" s="844">
        <v>1300</v>
      </c>
      <c r="I33" s="845">
        <v>1300</v>
      </c>
      <c r="J33" s="610">
        <v>0.14721000000000001</v>
      </c>
      <c r="K33" s="612">
        <v>0</v>
      </c>
      <c r="L33" s="612">
        <v>0.26333000000000001</v>
      </c>
      <c r="M33" s="612">
        <v>-4.6100000000000012E-3</v>
      </c>
      <c r="N33" s="127">
        <v>0.40593000000000001</v>
      </c>
      <c r="O33" s="610">
        <v>1.6219999999999998E-2</v>
      </c>
      <c r="P33" s="612">
        <v>-2.7499999999999998E-3</v>
      </c>
      <c r="Q33" s="612">
        <v>0</v>
      </c>
      <c r="R33" s="244">
        <v>1.3469999999999999E-2</v>
      </c>
      <c r="S33" s="610">
        <v>0</v>
      </c>
      <c r="T33" s="612">
        <v>-2.47E-3</v>
      </c>
      <c r="U33" s="612">
        <v>8.7000000000000001E-4</v>
      </c>
      <c r="V33" s="250">
        <v>1.1869999999999999E-2</v>
      </c>
      <c r="W33" s="602"/>
      <c r="X33" s="107">
        <v>0.14720999999999995</v>
      </c>
      <c r="Y33" s="107"/>
      <c r="Z33" s="107">
        <v>0</v>
      </c>
      <c r="AA33" s="107">
        <v>0.34872999999999998</v>
      </c>
      <c r="AB33" s="107">
        <v>5.6599999999999932E-3</v>
      </c>
      <c r="AC33" s="338">
        <v>0.50159999999999993</v>
      </c>
      <c r="AD33" s="1494"/>
      <c r="AE33" s="1486">
        <v>0.16067999999999996</v>
      </c>
      <c r="AF33" s="1486"/>
      <c r="AG33" s="1486">
        <v>0</v>
      </c>
      <c r="AH33" s="1486">
        <v>0.34872999999999998</v>
      </c>
      <c r="AI33" s="1486">
        <v>4.0599999999999933E-3</v>
      </c>
      <c r="AJ33" s="1502">
        <v>0.51346999999999987</v>
      </c>
      <c r="AK33" s="1495"/>
      <c r="AL33" s="107">
        <v>6.1399999999999996E-3</v>
      </c>
      <c r="AM33" s="107">
        <v>-2.4000000000000001E-4</v>
      </c>
      <c r="AN33" s="107">
        <v>0</v>
      </c>
      <c r="AO33" s="107">
        <v>-2.3900000000000002E-3</v>
      </c>
      <c r="AP33" s="913">
        <v>3.5099999999999997E-3</v>
      </c>
      <c r="AQ33" s="121"/>
      <c r="AR33" s="107"/>
      <c r="AS33" s="107"/>
      <c r="AT33" s="107"/>
      <c r="AU33" s="107"/>
      <c r="AV33" s="107"/>
      <c r="AW33" s="338">
        <v>0</v>
      </c>
      <c r="AY33" s="107">
        <v>0.16681999999999997</v>
      </c>
      <c r="AZ33" s="107">
        <v>0</v>
      </c>
      <c r="BA33" s="107">
        <v>0</v>
      </c>
      <c r="BB33" s="107">
        <v>0.34872999999999998</v>
      </c>
      <c r="BC33" s="107">
        <v>3.0299999999999928E-3</v>
      </c>
      <c r="BD33" s="333">
        <v>0.51857999999999993</v>
      </c>
      <c r="BE33" s="91"/>
      <c r="BF33" s="91"/>
      <c r="BG33" s="91"/>
    </row>
    <row r="34" spans="2:59" x14ac:dyDescent="0.2">
      <c r="B34" s="100">
        <v>26</v>
      </c>
      <c r="C34" s="838"/>
      <c r="D34" s="838" t="s">
        <v>5</v>
      </c>
      <c r="E34" s="105">
        <v>20000</v>
      </c>
      <c r="F34" s="106">
        <v>655939.80000000005</v>
      </c>
      <c r="G34" s="106"/>
      <c r="H34" s="844"/>
      <c r="I34" s="845"/>
      <c r="J34" s="610">
        <v>0.13177</v>
      </c>
      <c r="K34" s="612">
        <v>0</v>
      </c>
      <c r="L34" s="612">
        <v>0.26333000000000001</v>
      </c>
      <c r="M34" s="612">
        <v>-5.1100000000000008E-3</v>
      </c>
      <c r="N34" s="127">
        <v>0.38999</v>
      </c>
      <c r="O34" s="610">
        <v>1.452E-2</v>
      </c>
      <c r="P34" s="612">
        <v>-2.4599999999999999E-3</v>
      </c>
      <c r="Q34" s="612">
        <v>0</v>
      </c>
      <c r="R34" s="244">
        <v>1.206E-2</v>
      </c>
      <c r="S34" s="610">
        <v>0</v>
      </c>
      <c r="T34" s="612">
        <v>-2.2200000000000002E-3</v>
      </c>
      <c r="U34" s="612">
        <v>7.7999999999999999E-4</v>
      </c>
      <c r="V34" s="250">
        <v>1.0619999999999999E-2</v>
      </c>
      <c r="W34" s="602"/>
      <c r="X34" s="107">
        <v>0.13177000000000003</v>
      </c>
      <c r="Y34" s="107"/>
      <c r="Z34" s="107">
        <v>0</v>
      </c>
      <c r="AA34" s="107">
        <v>0.34872999999999998</v>
      </c>
      <c r="AB34" s="107">
        <v>5.1199999999999943E-3</v>
      </c>
      <c r="AC34" s="338">
        <v>0.48562000000000005</v>
      </c>
      <c r="AD34" s="1494"/>
      <c r="AE34" s="107">
        <v>0.14383000000000004</v>
      </c>
      <c r="AF34" s="107"/>
      <c r="AG34" s="107">
        <v>0</v>
      </c>
      <c r="AH34" s="107">
        <v>0.34872999999999998</v>
      </c>
      <c r="AI34" s="107">
        <v>3.679999999999994E-3</v>
      </c>
      <c r="AJ34" s="1503">
        <v>0.49624000000000001</v>
      </c>
      <c r="AK34" s="1495"/>
      <c r="AL34" s="107">
        <v>5.4999999999999997E-3</v>
      </c>
      <c r="AM34" s="107">
        <v>-2.2000000000000001E-4</v>
      </c>
      <c r="AN34" s="107">
        <v>0</v>
      </c>
      <c r="AO34" s="107">
        <v>-2.14E-3</v>
      </c>
      <c r="AP34" s="913">
        <v>3.14E-3</v>
      </c>
      <c r="AQ34" s="121"/>
      <c r="AR34" s="107"/>
      <c r="AS34" s="107"/>
      <c r="AT34" s="107"/>
      <c r="AU34" s="107"/>
      <c r="AV34" s="107"/>
      <c r="AW34" s="338">
        <v>0</v>
      </c>
      <c r="AY34" s="107">
        <v>0.14933000000000005</v>
      </c>
      <c r="AZ34" s="107">
        <v>0</v>
      </c>
      <c r="BA34" s="107">
        <v>0</v>
      </c>
      <c r="BB34" s="107">
        <v>0.34872999999999998</v>
      </c>
      <c r="BC34" s="107">
        <v>2.7599999999999951E-3</v>
      </c>
      <c r="BD34" s="333">
        <v>0.50082000000000004</v>
      </c>
      <c r="BE34" s="91"/>
      <c r="BF34" s="91"/>
      <c r="BG34" s="91"/>
    </row>
    <row r="35" spans="2:59" x14ac:dyDescent="0.2">
      <c r="B35" s="100">
        <v>27</v>
      </c>
      <c r="C35" s="838"/>
      <c r="D35" s="838" t="s">
        <v>6</v>
      </c>
      <c r="E35" s="105">
        <v>20000</v>
      </c>
      <c r="F35" s="106">
        <v>81241.3</v>
      </c>
      <c r="G35" s="106"/>
      <c r="H35" s="844"/>
      <c r="I35" s="845"/>
      <c r="J35" s="610">
        <v>0.10104999999999985</v>
      </c>
      <c r="K35" s="612">
        <v>0</v>
      </c>
      <c r="L35" s="612">
        <v>0.26333000000000001</v>
      </c>
      <c r="M35" s="612">
        <v>-6.0700000000000007E-3</v>
      </c>
      <c r="N35" s="127">
        <v>0.35830999999999985</v>
      </c>
      <c r="O35" s="610">
        <v>1.1129999999999999E-2</v>
      </c>
      <c r="P35" s="612">
        <v>-1.89E-3</v>
      </c>
      <c r="Q35" s="612">
        <v>0</v>
      </c>
      <c r="R35" s="244">
        <v>9.2399999999999999E-3</v>
      </c>
      <c r="S35" s="610">
        <v>0</v>
      </c>
      <c r="T35" s="612">
        <v>-1.6999999999999999E-3</v>
      </c>
      <c r="U35" s="612">
        <v>5.9999999999999995E-4</v>
      </c>
      <c r="V35" s="250">
        <v>8.1399999999999997E-3</v>
      </c>
      <c r="W35" s="602"/>
      <c r="X35" s="107">
        <v>0.10104999999999983</v>
      </c>
      <c r="Y35" s="107"/>
      <c r="Z35" s="107">
        <v>0</v>
      </c>
      <c r="AA35" s="107">
        <v>0.34872999999999998</v>
      </c>
      <c r="AB35" s="107">
        <v>4.0199999999999932E-3</v>
      </c>
      <c r="AC35" s="338">
        <v>0.45379999999999981</v>
      </c>
      <c r="AD35" s="1494"/>
      <c r="AE35" s="107">
        <v>0.11028999999999983</v>
      </c>
      <c r="AF35" s="107"/>
      <c r="AG35" s="107">
        <v>0</v>
      </c>
      <c r="AH35" s="107">
        <v>0.34872999999999998</v>
      </c>
      <c r="AI35" s="107">
        <v>2.9199999999999929E-3</v>
      </c>
      <c r="AJ35" s="1503">
        <v>0.4619399999999998</v>
      </c>
      <c r="AK35" s="1495"/>
      <c r="AL35" s="107">
        <v>4.2199999999999998E-3</v>
      </c>
      <c r="AM35" s="107">
        <v>-1.7000000000000001E-4</v>
      </c>
      <c r="AN35" s="107">
        <v>0</v>
      </c>
      <c r="AO35" s="107">
        <v>-1.64E-3</v>
      </c>
      <c r="AP35" s="913">
        <v>2.4099999999999998E-3</v>
      </c>
      <c r="AQ35" s="121"/>
      <c r="AR35" s="107"/>
      <c r="AS35" s="107"/>
      <c r="AT35" s="107"/>
      <c r="AU35" s="107"/>
      <c r="AV35" s="107"/>
      <c r="AW35" s="338">
        <v>0</v>
      </c>
      <c r="AY35" s="107">
        <v>0.11450999999999983</v>
      </c>
      <c r="AZ35" s="107">
        <v>0</v>
      </c>
      <c r="BA35" s="107">
        <v>0</v>
      </c>
      <c r="BB35" s="107">
        <v>0.34872999999999998</v>
      </c>
      <c r="BC35" s="107">
        <v>2.2099999999999932E-3</v>
      </c>
      <c r="BD35" s="333">
        <v>0.46544999999999981</v>
      </c>
      <c r="BE35" s="91"/>
      <c r="BF35" s="91"/>
      <c r="BG35" s="91"/>
    </row>
    <row r="36" spans="2:59" x14ac:dyDescent="0.2">
      <c r="B36" s="100">
        <v>28</v>
      </c>
      <c r="C36" s="838"/>
      <c r="D36" s="838" t="s">
        <v>7</v>
      </c>
      <c r="E36" s="105">
        <v>100000</v>
      </c>
      <c r="F36" s="106">
        <v>9320.1</v>
      </c>
      <c r="G36" s="106"/>
      <c r="H36" s="844"/>
      <c r="I36" s="845"/>
      <c r="J36" s="610">
        <v>8.0839999999999995E-2</v>
      </c>
      <c r="K36" s="612">
        <v>0</v>
      </c>
      <c r="L36" s="612">
        <v>0.26333000000000001</v>
      </c>
      <c r="M36" s="612">
        <v>-6.7300000000000007E-3</v>
      </c>
      <c r="N36" s="127">
        <v>0.33743999999999996</v>
      </c>
      <c r="O36" s="610">
        <v>8.9099999999999995E-3</v>
      </c>
      <c r="P36" s="612">
        <v>-1.5100000000000001E-3</v>
      </c>
      <c r="Q36" s="612">
        <v>0</v>
      </c>
      <c r="R36" s="244">
        <v>7.3999999999999995E-3</v>
      </c>
      <c r="S36" s="610">
        <v>0</v>
      </c>
      <c r="T36" s="612">
        <v>-1.3600000000000001E-3</v>
      </c>
      <c r="U36" s="612">
        <v>4.8000000000000001E-4</v>
      </c>
      <c r="V36" s="250">
        <v>6.5199999999999998E-3</v>
      </c>
      <c r="W36" s="602"/>
      <c r="X36" s="107">
        <v>8.0840000000000162E-2</v>
      </c>
      <c r="Y36" s="107"/>
      <c r="Z36" s="107">
        <v>0</v>
      </c>
      <c r="AA36" s="107">
        <v>0.34872999999999998</v>
      </c>
      <c r="AB36" s="107">
        <v>3.2899999999999935E-3</v>
      </c>
      <c r="AC36" s="338">
        <v>0.43286000000000013</v>
      </c>
      <c r="AD36" s="1494"/>
      <c r="AE36" s="107">
        <v>8.8240000000000166E-2</v>
      </c>
      <c r="AF36" s="107"/>
      <c r="AG36" s="107">
        <v>0</v>
      </c>
      <c r="AH36" s="107">
        <v>0.34872999999999998</v>
      </c>
      <c r="AI36" s="107">
        <v>2.4099999999999933E-3</v>
      </c>
      <c r="AJ36" s="1503">
        <v>0.4393800000000001</v>
      </c>
      <c r="AK36" s="1495"/>
      <c r="AL36" s="107">
        <v>3.3700000000000002E-3</v>
      </c>
      <c r="AM36" s="107">
        <v>-1.2999999999999999E-4</v>
      </c>
      <c r="AN36" s="107">
        <v>0</v>
      </c>
      <c r="AO36" s="107">
        <v>-1.31E-3</v>
      </c>
      <c r="AP36" s="913">
        <v>1.9300000000000003E-3</v>
      </c>
      <c r="AQ36" s="121"/>
      <c r="AR36" s="107"/>
      <c r="AS36" s="107"/>
      <c r="AT36" s="107"/>
      <c r="AU36" s="107"/>
      <c r="AV36" s="107"/>
      <c r="AW36" s="338">
        <v>0</v>
      </c>
      <c r="AY36" s="107">
        <v>9.1610000000000164E-2</v>
      </c>
      <c r="AZ36" s="107">
        <v>0</v>
      </c>
      <c r="BA36" s="107">
        <v>0</v>
      </c>
      <c r="BB36" s="107">
        <v>0.34872999999999998</v>
      </c>
      <c r="BC36" s="107">
        <v>1.849999999999994E-3</v>
      </c>
      <c r="BD36" s="333">
        <v>0.44219000000000019</v>
      </c>
      <c r="BE36" s="91"/>
      <c r="BF36" s="91"/>
      <c r="BG36" s="91"/>
    </row>
    <row r="37" spans="2:59" x14ac:dyDescent="0.2">
      <c r="B37" s="100">
        <v>29</v>
      </c>
      <c r="C37" s="838"/>
      <c r="D37" s="838" t="s">
        <v>8</v>
      </c>
      <c r="E37" s="105">
        <v>600000</v>
      </c>
      <c r="F37" s="106">
        <v>0</v>
      </c>
      <c r="G37" s="106"/>
      <c r="H37" s="844"/>
      <c r="I37" s="845"/>
      <c r="J37" s="610">
        <v>5.391E-2</v>
      </c>
      <c r="K37" s="612">
        <v>0</v>
      </c>
      <c r="L37" s="612">
        <v>0.26333000000000001</v>
      </c>
      <c r="M37" s="612">
        <v>-7.5900000000000004E-3</v>
      </c>
      <c r="N37" s="127">
        <v>0.30965000000000004</v>
      </c>
      <c r="O37" s="610">
        <v>5.94E-3</v>
      </c>
      <c r="P37" s="612">
        <v>-1.01E-3</v>
      </c>
      <c r="Q37" s="612">
        <v>0</v>
      </c>
      <c r="R37" s="244">
        <v>4.9300000000000004E-3</v>
      </c>
      <c r="S37" s="610">
        <v>0</v>
      </c>
      <c r="T37" s="612">
        <v>-9.1E-4</v>
      </c>
      <c r="U37" s="612">
        <v>3.2000000000000003E-4</v>
      </c>
      <c r="V37" s="250">
        <v>4.3400000000000001E-3</v>
      </c>
      <c r="W37" s="602"/>
      <c r="X37" s="107">
        <v>5.3910000000000194E-2</v>
      </c>
      <c r="Y37" s="107"/>
      <c r="Z37" s="107">
        <v>0</v>
      </c>
      <c r="AA37" s="107">
        <v>0.34872999999999998</v>
      </c>
      <c r="AB37" s="107">
        <v>2.339999999999994E-3</v>
      </c>
      <c r="AC37" s="338">
        <v>0.40498000000000017</v>
      </c>
      <c r="AD37" s="1494"/>
      <c r="AE37" s="107">
        <v>5.8840000000000198E-2</v>
      </c>
      <c r="AF37" s="107"/>
      <c r="AG37" s="107">
        <v>0</v>
      </c>
      <c r="AH37" s="107">
        <v>0.34872999999999998</v>
      </c>
      <c r="AI37" s="107">
        <v>1.749999999999994E-3</v>
      </c>
      <c r="AJ37" s="1503">
        <v>0.40932000000000018</v>
      </c>
      <c r="AK37" s="1495"/>
      <c r="AL37" s="107">
        <v>2.2499999999999998E-3</v>
      </c>
      <c r="AM37" s="107">
        <v>-9.0000000000000006E-5</v>
      </c>
      <c r="AN37" s="107">
        <v>0</v>
      </c>
      <c r="AO37" s="107">
        <v>-8.8000000000000003E-4</v>
      </c>
      <c r="AP37" s="913">
        <v>1.2799999999999999E-3</v>
      </c>
      <c r="AQ37" s="121"/>
      <c r="AR37" s="107"/>
      <c r="AS37" s="107"/>
      <c r="AT37" s="107"/>
      <c r="AU37" s="107"/>
      <c r="AV37" s="107"/>
      <c r="AW37" s="338">
        <v>0</v>
      </c>
      <c r="AY37" s="107">
        <v>6.10900000000002E-2</v>
      </c>
      <c r="AZ37" s="107">
        <v>0</v>
      </c>
      <c r="BA37" s="107">
        <v>0</v>
      </c>
      <c r="BB37" s="107">
        <v>0.34872999999999998</v>
      </c>
      <c r="BC37" s="107">
        <v>1.3699999999999945E-3</v>
      </c>
      <c r="BD37" s="333">
        <v>0.41119000000000017</v>
      </c>
      <c r="BE37" s="91"/>
      <c r="BF37" s="91"/>
      <c r="BG37" s="91"/>
    </row>
    <row r="38" spans="2:59" x14ac:dyDescent="0.2">
      <c r="B38" s="100">
        <v>30</v>
      </c>
      <c r="C38" s="836"/>
      <c r="D38" s="836" t="s">
        <v>9</v>
      </c>
      <c r="E38" s="102" t="s">
        <v>59</v>
      </c>
      <c r="F38" s="103">
        <v>0</v>
      </c>
      <c r="G38" s="103"/>
      <c r="H38" s="839"/>
      <c r="I38" s="841"/>
      <c r="J38" s="609">
        <v>2.0199999999999999E-2</v>
      </c>
      <c r="K38" s="613">
        <v>0</v>
      </c>
      <c r="L38" s="613">
        <v>0.26333000000000001</v>
      </c>
      <c r="M38" s="613">
        <v>-8.6700000000000006E-3</v>
      </c>
      <c r="N38" s="125">
        <v>0.27485999999999999</v>
      </c>
      <c r="O38" s="609">
        <v>2.2300000000000002E-3</v>
      </c>
      <c r="P38" s="613">
        <v>-3.8000000000000002E-4</v>
      </c>
      <c r="Q38" s="613">
        <v>0</v>
      </c>
      <c r="R38" s="243">
        <v>1.8500000000000001E-3</v>
      </c>
      <c r="S38" s="609">
        <v>0</v>
      </c>
      <c r="T38" s="613">
        <v>-3.4000000000000002E-4</v>
      </c>
      <c r="U38" s="613">
        <v>1.2E-4</v>
      </c>
      <c r="V38" s="249">
        <v>1.6300000000000002E-3</v>
      </c>
      <c r="W38" s="602"/>
      <c r="X38" s="104">
        <v>2.0199999999999919E-2</v>
      </c>
      <c r="Y38" s="104"/>
      <c r="Z38" s="104">
        <v>0</v>
      </c>
      <c r="AA38" s="104">
        <v>0.34872999999999998</v>
      </c>
      <c r="AB38" s="104">
        <v>1.1399999999999937E-3</v>
      </c>
      <c r="AC38" s="337">
        <v>0.3700699999999999</v>
      </c>
      <c r="AD38" s="1494"/>
      <c r="AE38" s="104">
        <v>2.204999999999992E-2</v>
      </c>
      <c r="AF38" s="104"/>
      <c r="AG38" s="104">
        <v>0</v>
      </c>
      <c r="AH38" s="104">
        <v>0.34872999999999998</v>
      </c>
      <c r="AI38" s="104">
        <v>9.1999999999999363E-4</v>
      </c>
      <c r="AJ38" s="1498">
        <v>0.37169999999999986</v>
      </c>
      <c r="AK38" s="1495"/>
      <c r="AL38" s="104">
        <v>8.4000000000000003E-4</v>
      </c>
      <c r="AM38" s="104">
        <v>-3.0000000000000001E-5</v>
      </c>
      <c r="AN38" s="104">
        <v>0</v>
      </c>
      <c r="AO38" s="104">
        <v>-3.3E-4</v>
      </c>
      <c r="AP38" s="912">
        <v>4.8000000000000007E-4</v>
      </c>
      <c r="AQ38" s="121"/>
      <c r="AR38" s="104"/>
      <c r="AS38" s="104"/>
      <c r="AT38" s="104"/>
      <c r="AU38" s="104"/>
      <c r="AV38" s="104"/>
      <c r="AW38" s="337">
        <v>0</v>
      </c>
      <c r="AY38" s="104">
        <v>2.2889999999999921E-2</v>
      </c>
      <c r="AZ38" s="104">
        <v>0</v>
      </c>
      <c r="BA38" s="104">
        <v>0</v>
      </c>
      <c r="BB38" s="104">
        <v>0.34872999999999998</v>
      </c>
      <c r="BC38" s="104">
        <v>7.7999999999999424E-4</v>
      </c>
      <c r="BD38" s="332">
        <v>0.3723999999999999</v>
      </c>
      <c r="BE38" s="91"/>
      <c r="BF38" s="91"/>
      <c r="BG38" s="91"/>
    </row>
    <row r="39" spans="2:59" x14ac:dyDescent="0.2">
      <c r="B39" s="100">
        <v>31</v>
      </c>
      <c r="C39" s="838" t="s">
        <v>255</v>
      </c>
      <c r="D39" s="838" t="s">
        <v>4</v>
      </c>
      <c r="E39" s="105">
        <v>10000</v>
      </c>
      <c r="F39" s="106">
        <v>480000</v>
      </c>
      <c r="G39" s="106">
        <v>4</v>
      </c>
      <c r="H39" s="844">
        <v>1550</v>
      </c>
      <c r="I39" s="845">
        <v>1550</v>
      </c>
      <c r="J39" s="610">
        <v>0.13791999999999999</v>
      </c>
      <c r="K39" s="612">
        <v>0</v>
      </c>
      <c r="L39" s="612">
        <v>0</v>
      </c>
      <c r="M39" s="612">
        <v>5.9999999999999995E-4</v>
      </c>
      <c r="N39" s="127">
        <v>0.13851999999999998</v>
      </c>
      <c r="O39" s="610">
        <v>1.295E-2</v>
      </c>
      <c r="P39" s="612">
        <v>-1.75E-3</v>
      </c>
      <c r="Q39" s="612">
        <v>0</v>
      </c>
      <c r="R39" s="244">
        <v>1.12E-2</v>
      </c>
      <c r="S39" s="610">
        <v>0</v>
      </c>
      <c r="T39" s="612">
        <v>-1.5900000000000001E-3</v>
      </c>
      <c r="U39" s="612">
        <v>5.5999999999999995E-4</v>
      </c>
      <c r="V39" s="250">
        <v>1.017E-2</v>
      </c>
      <c r="W39" s="602"/>
      <c r="X39" s="107">
        <v>0.13791999999999999</v>
      </c>
      <c r="Y39" s="107"/>
      <c r="Z39" s="107">
        <v>0</v>
      </c>
      <c r="AA39" s="107">
        <v>0</v>
      </c>
      <c r="AB39" s="107">
        <v>1.5200000000000001E-3</v>
      </c>
      <c r="AC39" s="338">
        <v>0.13943999999999998</v>
      </c>
      <c r="AD39" s="1494"/>
      <c r="AE39" s="1486">
        <v>0.14911999999999997</v>
      </c>
      <c r="AF39" s="1486"/>
      <c r="AG39" s="1486">
        <v>0</v>
      </c>
      <c r="AH39" s="1486">
        <v>0</v>
      </c>
      <c r="AI39" s="1486">
        <v>4.8999999999999998E-4</v>
      </c>
      <c r="AJ39" s="1502">
        <v>0.14960999999999997</v>
      </c>
      <c r="AK39" s="1495"/>
      <c r="AL39" s="107">
        <v>5.94E-3</v>
      </c>
      <c r="AM39" s="107">
        <v>-1.6000000000000001E-4</v>
      </c>
      <c r="AN39" s="107">
        <v>0</v>
      </c>
      <c r="AO39" s="107">
        <v>-1.56E-3</v>
      </c>
      <c r="AP39" s="913">
        <v>4.2199999999999998E-3</v>
      </c>
      <c r="AQ39" s="121"/>
      <c r="AR39" s="107"/>
      <c r="AS39" s="107"/>
      <c r="AT39" s="107"/>
      <c r="AU39" s="107"/>
      <c r="AV39" s="107"/>
      <c r="AW39" s="338">
        <v>0</v>
      </c>
      <c r="AY39" s="107">
        <v>0.15505999999999998</v>
      </c>
      <c r="AZ39" s="107">
        <v>0</v>
      </c>
      <c r="BA39" s="107">
        <v>0</v>
      </c>
      <c r="BB39" s="107">
        <v>0</v>
      </c>
      <c r="BC39" s="107">
        <v>-1.9999999999999977E-4</v>
      </c>
      <c r="BD39" s="333">
        <v>0.15485999999999997</v>
      </c>
      <c r="BE39" s="91"/>
      <c r="BF39" s="91"/>
      <c r="BG39" s="91"/>
    </row>
    <row r="40" spans="2:59" x14ac:dyDescent="0.2">
      <c r="B40" s="100">
        <v>32</v>
      </c>
      <c r="C40" s="838"/>
      <c r="D40" s="838" t="s">
        <v>5</v>
      </c>
      <c r="E40" s="105">
        <v>20000</v>
      </c>
      <c r="F40" s="106">
        <v>807846</v>
      </c>
      <c r="G40" s="106"/>
      <c r="H40" s="844"/>
      <c r="I40" s="845"/>
      <c r="J40" s="610">
        <v>0.12346999999999998</v>
      </c>
      <c r="K40" s="612">
        <v>0</v>
      </c>
      <c r="L40" s="612">
        <v>0</v>
      </c>
      <c r="M40" s="612">
        <v>5.2999999999999998E-4</v>
      </c>
      <c r="N40" s="127">
        <v>0.12399999999999999</v>
      </c>
      <c r="O40" s="610">
        <v>1.159E-2</v>
      </c>
      <c r="P40" s="612">
        <v>-1.57E-3</v>
      </c>
      <c r="Q40" s="612">
        <v>0</v>
      </c>
      <c r="R40" s="244">
        <v>1.0019999999999999E-2</v>
      </c>
      <c r="S40" s="610">
        <v>0</v>
      </c>
      <c r="T40" s="612">
        <v>-1.4300000000000001E-3</v>
      </c>
      <c r="U40" s="612">
        <v>5.0000000000000001E-4</v>
      </c>
      <c r="V40" s="250">
        <v>9.0899999999999991E-3</v>
      </c>
      <c r="W40" s="602"/>
      <c r="X40" s="107">
        <v>0.12346999999999998</v>
      </c>
      <c r="Y40" s="107"/>
      <c r="Z40" s="107">
        <v>0</v>
      </c>
      <c r="AA40" s="107">
        <v>0</v>
      </c>
      <c r="AB40" s="107">
        <v>1.3600000000000001E-3</v>
      </c>
      <c r="AC40" s="338">
        <v>0.12482999999999998</v>
      </c>
      <c r="AD40" s="1494"/>
      <c r="AE40" s="107">
        <v>0.13349</v>
      </c>
      <c r="AF40" s="107"/>
      <c r="AG40" s="107">
        <v>0</v>
      </c>
      <c r="AH40" s="107">
        <v>0</v>
      </c>
      <c r="AI40" s="107">
        <v>4.3000000000000004E-4</v>
      </c>
      <c r="AJ40" s="1503">
        <v>0.13392000000000001</v>
      </c>
      <c r="AK40" s="1495"/>
      <c r="AL40" s="107">
        <v>5.3099999999999996E-3</v>
      </c>
      <c r="AM40" s="107">
        <v>-1.3999999999999999E-4</v>
      </c>
      <c r="AN40" s="107">
        <v>0</v>
      </c>
      <c r="AO40" s="107">
        <v>-1.39E-3</v>
      </c>
      <c r="AP40" s="913">
        <v>3.7799999999999995E-3</v>
      </c>
      <c r="AQ40" s="121"/>
      <c r="AR40" s="107"/>
      <c r="AS40" s="107"/>
      <c r="AT40" s="107"/>
      <c r="AU40" s="107"/>
      <c r="AV40" s="107"/>
      <c r="AW40" s="338">
        <v>0</v>
      </c>
      <c r="AY40" s="107">
        <v>0.13880000000000001</v>
      </c>
      <c r="AZ40" s="107">
        <v>0</v>
      </c>
      <c r="BA40" s="107">
        <v>0</v>
      </c>
      <c r="BB40" s="107">
        <v>0</v>
      </c>
      <c r="BC40" s="107">
        <v>-1.699999999999999E-4</v>
      </c>
      <c r="BD40" s="333">
        <v>0.13863</v>
      </c>
      <c r="BE40" s="91"/>
      <c r="BF40" s="91"/>
      <c r="BG40" s="91"/>
    </row>
    <row r="41" spans="2:59" x14ac:dyDescent="0.2">
      <c r="B41" s="100">
        <v>33</v>
      </c>
      <c r="C41" s="838"/>
      <c r="D41" s="838" t="s">
        <v>6</v>
      </c>
      <c r="E41" s="105">
        <v>20000</v>
      </c>
      <c r="F41" s="106">
        <v>583779</v>
      </c>
      <c r="G41" s="106"/>
      <c r="H41" s="844"/>
      <c r="I41" s="845"/>
      <c r="J41" s="610">
        <v>9.4670000000000004E-2</v>
      </c>
      <c r="K41" s="612">
        <v>0</v>
      </c>
      <c r="L41" s="612">
        <v>0</v>
      </c>
      <c r="M41" s="612">
        <v>4.1000000000000005E-4</v>
      </c>
      <c r="N41" s="127">
        <v>9.5079999999999998E-2</v>
      </c>
      <c r="O41" s="610">
        <v>8.8900000000000003E-3</v>
      </c>
      <c r="P41" s="612">
        <v>-1.1999999999999999E-3</v>
      </c>
      <c r="Q41" s="612">
        <v>0</v>
      </c>
      <c r="R41" s="244">
        <v>7.6900000000000007E-3</v>
      </c>
      <c r="S41" s="610">
        <v>0</v>
      </c>
      <c r="T41" s="612">
        <v>-1.09E-3</v>
      </c>
      <c r="U41" s="612">
        <v>3.8999999999999999E-4</v>
      </c>
      <c r="V41" s="250">
        <v>6.9900000000000006E-3</v>
      </c>
      <c r="W41" s="602"/>
      <c r="X41" s="107">
        <v>9.4670000000000004E-2</v>
      </c>
      <c r="Y41" s="107"/>
      <c r="Z41" s="107">
        <v>0</v>
      </c>
      <c r="AA41" s="107">
        <v>0</v>
      </c>
      <c r="AB41" s="107">
        <v>1.0399999999999999E-3</v>
      </c>
      <c r="AC41" s="338">
        <v>9.5710000000000003E-2</v>
      </c>
      <c r="AD41" s="1494"/>
      <c r="AE41" s="107">
        <v>0.10235999999999999</v>
      </c>
      <c r="AF41" s="107"/>
      <c r="AG41" s="107">
        <v>0</v>
      </c>
      <c r="AH41" s="107">
        <v>0</v>
      </c>
      <c r="AI41" s="107">
        <v>3.3999999999999986E-4</v>
      </c>
      <c r="AJ41" s="1503">
        <v>0.10269999999999999</v>
      </c>
      <c r="AK41" s="1495"/>
      <c r="AL41" s="107">
        <v>4.0699999999999998E-3</v>
      </c>
      <c r="AM41" s="107">
        <v>-1.1E-4</v>
      </c>
      <c r="AN41" s="107">
        <v>0</v>
      </c>
      <c r="AO41" s="107">
        <v>-1.07E-3</v>
      </c>
      <c r="AP41" s="913">
        <v>2.8900000000000002E-3</v>
      </c>
      <c r="AQ41" s="121"/>
      <c r="AR41" s="107"/>
      <c r="AS41" s="107"/>
      <c r="AT41" s="107"/>
      <c r="AU41" s="107"/>
      <c r="AV41" s="107"/>
      <c r="AW41" s="338">
        <v>0</v>
      </c>
      <c r="AY41" s="107">
        <v>0.10643</v>
      </c>
      <c r="AZ41" s="107">
        <v>0</v>
      </c>
      <c r="BA41" s="107">
        <v>0</v>
      </c>
      <c r="BB41" s="107">
        <v>0</v>
      </c>
      <c r="BC41" s="107">
        <v>-1.4000000000000015E-4</v>
      </c>
      <c r="BD41" s="333">
        <v>0.10629</v>
      </c>
      <c r="BE41" s="91"/>
      <c r="BF41" s="91"/>
      <c r="BG41" s="91"/>
    </row>
    <row r="42" spans="2:59" x14ac:dyDescent="0.2">
      <c r="B42" s="100">
        <v>34</v>
      </c>
      <c r="C42" s="838"/>
      <c r="D42" s="838" t="s">
        <v>7</v>
      </c>
      <c r="E42" s="105">
        <v>100000</v>
      </c>
      <c r="F42" s="106">
        <v>598933</v>
      </c>
      <c r="G42" s="106"/>
      <c r="H42" s="844"/>
      <c r="I42" s="845"/>
      <c r="J42" s="610">
        <v>7.5750000000000012E-2</v>
      </c>
      <c r="K42" s="612">
        <v>0</v>
      </c>
      <c r="L42" s="612">
        <v>0</v>
      </c>
      <c r="M42" s="612">
        <v>3.1999999999999997E-4</v>
      </c>
      <c r="N42" s="127">
        <v>7.6070000000000013E-2</v>
      </c>
      <c r="O42" s="610">
        <v>7.11E-3</v>
      </c>
      <c r="P42" s="612">
        <v>-9.6000000000000002E-4</v>
      </c>
      <c r="Q42" s="612">
        <v>0</v>
      </c>
      <c r="R42" s="244">
        <v>6.1500000000000001E-3</v>
      </c>
      <c r="S42" s="610">
        <v>0</v>
      </c>
      <c r="T42" s="612">
        <v>-8.8000000000000003E-4</v>
      </c>
      <c r="U42" s="612">
        <v>3.1E-4</v>
      </c>
      <c r="V42" s="250">
        <v>5.5800000000000008E-3</v>
      </c>
      <c r="W42" s="602"/>
      <c r="X42" s="107">
        <v>7.5750000000000012E-2</v>
      </c>
      <c r="Y42" s="107"/>
      <c r="Z42" s="107">
        <v>0</v>
      </c>
      <c r="AA42" s="107">
        <v>0</v>
      </c>
      <c r="AB42" s="107">
        <v>8.4000000000000003E-4</v>
      </c>
      <c r="AC42" s="338">
        <v>7.6590000000000005E-2</v>
      </c>
      <c r="AD42" s="1494"/>
      <c r="AE42" s="107">
        <v>8.1900000000000014E-2</v>
      </c>
      <c r="AF42" s="107"/>
      <c r="AG42" s="107">
        <v>0</v>
      </c>
      <c r="AH42" s="107">
        <v>0</v>
      </c>
      <c r="AI42" s="107">
        <v>2.7E-4</v>
      </c>
      <c r="AJ42" s="1503">
        <v>8.2170000000000021E-2</v>
      </c>
      <c r="AK42" s="1495"/>
      <c r="AL42" s="107">
        <v>3.2599999999999999E-3</v>
      </c>
      <c r="AM42" s="107">
        <v>-9.0000000000000006E-5</v>
      </c>
      <c r="AN42" s="107">
        <v>0</v>
      </c>
      <c r="AO42" s="107">
        <v>-8.4999999999999995E-4</v>
      </c>
      <c r="AP42" s="913">
        <v>2.32E-3</v>
      </c>
      <c r="AQ42" s="121"/>
      <c r="AR42" s="107"/>
      <c r="AS42" s="107"/>
      <c r="AT42" s="107"/>
      <c r="AU42" s="107"/>
      <c r="AV42" s="107"/>
      <c r="AW42" s="338">
        <v>0</v>
      </c>
      <c r="AY42" s="107">
        <v>8.5160000000000013E-2</v>
      </c>
      <c r="AZ42" s="107">
        <v>0</v>
      </c>
      <c r="BA42" s="107">
        <v>0</v>
      </c>
      <c r="BB42" s="107">
        <v>0</v>
      </c>
      <c r="BC42" s="107">
        <v>-9.9999999999999937E-5</v>
      </c>
      <c r="BD42" s="333">
        <v>8.5060000000000011E-2</v>
      </c>
      <c r="BE42" s="91"/>
      <c r="BF42" s="91"/>
      <c r="BG42" s="91"/>
    </row>
    <row r="43" spans="2:59" x14ac:dyDescent="0.2">
      <c r="B43" s="100">
        <v>35</v>
      </c>
      <c r="C43" s="838"/>
      <c r="D43" s="838" t="s">
        <v>8</v>
      </c>
      <c r="E43" s="105">
        <v>600000</v>
      </c>
      <c r="F43" s="106">
        <v>0</v>
      </c>
      <c r="G43" s="106"/>
      <c r="H43" s="844"/>
      <c r="I43" s="845"/>
      <c r="J43" s="610">
        <v>5.0500000000000003E-2</v>
      </c>
      <c r="K43" s="612">
        <v>0</v>
      </c>
      <c r="L43" s="612">
        <v>0</v>
      </c>
      <c r="M43" s="612">
        <v>2.1000000000000001E-4</v>
      </c>
      <c r="N43" s="127">
        <v>5.0710000000000005E-2</v>
      </c>
      <c r="O43" s="610">
        <v>4.7400000000000003E-3</v>
      </c>
      <c r="P43" s="612">
        <v>-6.4000000000000005E-4</v>
      </c>
      <c r="Q43" s="612">
        <v>0</v>
      </c>
      <c r="R43" s="244">
        <v>4.1000000000000003E-3</v>
      </c>
      <c r="S43" s="610">
        <v>0</v>
      </c>
      <c r="T43" s="612">
        <v>-5.8E-4</v>
      </c>
      <c r="U43" s="612">
        <v>2.1000000000000001E-4</v>
      </c>
      <c r="V43" s="250">
        <v>3.7300000000000007E-3</v>
      </c>
      <c r="W43" s="602"/>
      <c r="X43" s="107">
        <v>5.0500000000000003E-2</v>
      </c>
      <c r="Y43" s="107"/>
      <c r="Z43" s="107">
        <v>0</v>
      </c>
      <c r="AA43" s="107">
        <v>0</v>
      </c>
      <c r="AB43" s="107">
        <v>5.5999999999999995E-4</v>
      </c>
      <c r="AC43" s="338">
        <v>5.1060000000000001E-2</v>
      </c>
      <c r="AD43" s="1494"/>
      <c r="AE43" s="107">
        <v>5.4600000000000003E-2</v>
      </c>
      <c r="AF43" s="107"/>
      <c r="AG43" s="107">
        <v>0</v>
      </c>
      <c r="AH43" s="107">
        <v>0</v>
      </c>
      <c r="AI43" s="107">
        <v>1.8999999999999996E-4</v>
      </c>
      <c r="AJ43" s="1503">
        <v>5.4790000000000005E-2</v>
      </c>
      <c r="AK43" s="1495"/>
      <c r="AL43" s="107">
        <v>2.1700000000000001E-3</v>
      </c>
      <c r="AM43" s="107">
        <v>-6.0000000000000002E-5</v>
      </c>
      <c r="AN43" s="107">
        <v>0</v>
      </c>
      <c r="AO43" s="107">
        <v>-5.6999999999999998E-4</v>
      </c>
      <c r="AP43" s="913">
        <v>1.5399999999999999E-3</v>
      </c>
      <c r="AQ43" s="121"/>
      <c r="AR43" s="107"/>
      <c r="AS43" s="107"/>
      <c r="AT43" s="107"/>
      <c r="AU43" s="107"/>
      <c r="AV43" s="107"/>
      <c r="AW43" s="338">
        <v>0</v>
      </c>
      <c r="AY43" s="107">
        <v>5.6770000000000001E-2</v>
      </c>
      <c r="AZ43" s="107">
        <v>0</v>
      </c>
      <c r="BA43" s="107">
        <v>0</v>
      </c>
      <c r="BB43" s="107">
        <v>0</v>
      </c>
      <c r="BC43" s="107">
        <v>-7.0000000000000075E-5</v>
      </c>
      <c r="BD43" s="333">
        <v>5.67E-2</v>
      </c>
      <c r="BE43" s="91"/>
      <c r="BF43" s="91"/>
      <c r="BG43" s="91"/>
    </row>
    <row r="44" spans="2:59" x14ac:dyDescent="0.2">
      <c r="B44" s="100">
        <v>36</v>
      </c>
      <c r="C44" s="836"/>
      <c r="D44" s="836" t="s">
        <v>9</v>
      </c>
      <c r="E44" s="102" t="s">
        <v>59</v>
      </c>
      <c r="F44" s="103">
        <v>0</v>
      </c>
      <c r="G44" s="103"/>
      <c r="H44" s="839"/>
      <c r="I44" s="841"/>
      <c r="J44" s="609">
        <v>1.8929999999999999E-2</v>
      </c>
      <c r="K44" s="613">
        <v>0</v>
      </c>
      <c r="L44" s="613">
        <v>0</v>
      </c>
      <c r="M44" s="613">
        <v>7.9999999999999993E-5</v>
      </c>
      <c r="N44" s="125">
        <v>1.9009999999999999E-2</v>
      </c>
      <c r="O44" s="609">
        <v>1.7799999999999999E-3</v>
      </c>
      <c r="P44" s="613">
        <v>-2.4000000000000001E-4</v>
      </c>
      <c r="Q44" s="613">
        <v>0</v>
      </c>
      <c r="R44" s="243">
        <v>1.5399999999999999E-3</v>
      </c>
      <c r="S44" s="609">
        <v>0</v>
      </c>
      <c r="T44" s="613">
        <v>-2.2000000000000001E-4</v>
      </c>
      <c r="U44" s="613">
        <v>8.0000000000000007E-5</v>
      </c>
      <c r="V44" s="249">
        <v>1.4E-3</v>
      </c>
      <c r="W44" s="602"/>
      <c r="X44" s="104">
        <v>1.8929999999999999E-2</v>
      </c>
      <c r="Y44" s="104"/>
      <c r="Z44" s="104">
        <v>0</v>
      </c>
      <c r="AA44" s="104">
        <v>0</v>
      </c>
      <c r="AB44" s="104">
        <v>2.1000000000000001E-4</v>
      </c>
      <c r="AC44" s="337">
        <v>1.9139999999999997E-2</v>
      </c>
      <c r="AD44" s="1494"/>
      <c r="AE44" s="104">
        <v>2.0469999999999999E-2</v>
      </c>
      <c r="AF44" s="104"/>
      <c r="AG44" s="104">
        <v>0</v>
      </c>
      <c r="AH44" s="104">
        <v>0</v>
      </c>
      <c r="AI44" s="104">
        <v>7.0000000000000007E-5</v>
      </c>
      <c r="AJ44" s="1498">
        <v>2.0539999999999999E-2</v>
      </c>
      <c r="AK44" s="1495"/>
      <c r="AL44" s="104">
        <v>8.0999999999999996E-4</v>
      </c>
      <c r="AM44" s="104">
        <v>-2.0000000000000002E-5</v>
      </c>
      <c r="AN44" s="104">
        <v>0</v>
      </c>
      <c r="AO44" s="104">
        <v>-2.1000000000000001E-4</v>
      </c>
      <c r="AP44" s="912">
        <v>5.7999999999999989E-4</v>
      </c>
      <c r="AQ44" s="121"/>
      <c r="AR44" s="104"/>
      <c r="AS44" s="104"/>
      <c r="AT44" s="104"/>
      <c r="AU44" s="104"/>
      <c r="AV44" s="104"/>
      <c r="AW44" s="337">
        <v>0</v>
      </c>
      <c r="AY44" s="104">
        <v>2.128E-2</v>
      </c>
      <c r="AZ44" s="104">
        <v>0</v>
      </c>
      <c r="BA44" s="104">
        <v>0</v>
      </c>
      <c r="BB44" s="104">
        <v>0</v>
      </c>
      <c r="BC44" s="104">
        <v>-1.9999999999999998E-5</v>
      </c>
      <c r="BD44" s="332">
        <v>2.1260000000000001E-2</v>
      </c>
      <c r="BE44" s="91"/>
      <c r="BF44" s="91"/>
      <c r="BG44" s="91"/>
    </row>
    <row r="45" spans="2:59" x14ac:dyDescent="0.2">
      <c r="B45" s="100">
        <v>37</v>
      </c>
      <c r="C45" s="838" t="s">
        <v>256</v>
      </c>
      <c r="D45" s="838" t="s">
        <v>4</v>
      </c>
      <c r="E45" s="105">
        <v>10000</v>
      </c>
      <c r="F45" s="106">
        <v>924395</v>
      </c>
      <c r="G45" s="106">
        <v>8.9166666666666661</v>
      </c>
      <c r="H45" s="844">
        <v>1550</v>
      </c>
      <c r="I45" s="845">
        <v>1550</v>
      </c>
      <c r="J45" s="610">
        <v>0.13941000000000001</v>
      </c>
      <c r="K45" s="612">
        <v>0</v>
      </c>
      <c r="L45" s="612">
        <v>0</v>
      </c>
      <c r="M45" s="612">
        <v>5.8999999999999992E-4</v>
      </c>
      <c r="N45" s="127">
        <v>0.14000000000000001</v>
      </c>
      <c r="O45" s="610">
        <v>1.044E-2</v>
      </c>
      <c r="P45" s="612">
        <v>-1.7700000000000001E-3</v>
      </c>
      <c r="Q45" s="612">
        <v>0</v>
      </c>
      <c r="R45" s="244">
        <v>8.6699999999999989E-3</v>
      </c>
      <c r="S45" s="610">
        <v>0</v>
      </c>
      <c r="T45" s="612">
        <v>-1.5900000000000001E-3</v>
      </c>
      <c r="U45" s="612">
        <v>5.5999999999999995E-4</v>
      </c>
      <c r="V45" s="250">
        <v>7.6399999999999984E-3</v>
      </c>
      <c r="W45" s="602"/>
      <c r="X45" s="107">
        <v>0.13941000000000001</v>
      </c>
      <c r="Y45" s="107"/>
      <c r="Z45" s="107">
        <v>0</v>
      </c>
      <c r="AA45" s="107">
        <v>0</v>
      </c>
      <c r="AB45" s="107">
        <v>1.6199999999999999E-3</v>
      </c>
      <c r="AC45" s="338">
        <v>0.14103000000000002</v>
      </c>
      <c r="AD45" s="1494"/>
      <c r="AE45" s="1486">
        <v>0.14808000000000002</v>
      </c>
      <c r="AF45" s="1486"/>
      <c r="AG45" s="1486">
        <v>0</v>
      </c>
      <c r="AH45" s="1486">
        <v>0</v>
      </c>
      <c r="AI45" s="1486">
        <v>5.8999999999999981E-4</v>
      </c>
      <c r="AJ45" s="1502">
        <v>0.14867000000000002</v>
      </c>
      <c r="AK45" s="1495"/>
      <c r="AL45" s="107">
        <v>3.96E-3</v>
      </c>
      <c r="AM45" s="107">
        <v>-1.6000000000000001E-4</v>
      </c>
      <c r="AN45" s="107">
        <v>0</v>
      </c>
      <c r="AO45" s="107">
        <v>-1.5399999999999999E-3</v>
      </c>
      <c r="AP45" s="913">
        <v>2.2599999999999999E-3</v>
      </c>
      <c r="AQ45" s="121"/>
      <c r="AR45" s="107"/>
      <c r="AS45" s="107"/>
      <c r="AT45" s="107"/>
      <c r="AU45" s="107"/>
      <c r="AV45" s="107"/>
      <c r="AW45" s="338">
        <v>0</v>
      </c>
      <c r="AY45" s="107">
        <v>0.15204000000000001</v>
      </c>
      <c r="AZ45" s="107">
        <v>0</v>
      </c>
      <c r="BA45" s="107">
        <v>0</v>
      </c>
      <c r="BB45" s="107">
        <v>0</v>
      </c>
      <c r="BC45" s="107">
        <v>-7.9999999999999776E-5</v>
      </c>
      <c r="BD45" s="333">
        <v>0.15196000000000001</v>
      </c>
      <c r="BE45" s="91"/>
      <c r="BF45" s="91"/>
      <c r="BG45" s="91"/>
    </row>
    <row r="46" spans="2:59" x14ac:dyDescent="0.2">
      <c r="B46" s="100">
        <v>38</v>
      </c>
      <c r="C46" s="838"/>
      <c r="D46" s="838" t="s">
        <v>5</v>
      </c>
      <c r="E46" s="105">
        <v>20000</v>
      </c>
      <c r="F46" s="106">
        <v>1036796</v>
      </c>
      <c r="G46" s="106"/>
      <c r="H46" s="844"/>
      <c r="I46" s="845"/>
      <c r="J46" s="610">
        <v>0.12478999999999997</v>
      </c>
      <c r="K46" s="612">
        <v>0</v>
      </c>
      <c r="L46" s="612">
        <v>0</v>
      </c>
      <c r="M46" s="612">
        <v>5.2000000000000006E-4</v>
      </c>
      <c r="N46" s="127">
        <v>0.12530999999999998</v>
      </c>
      <c r="O46" s="610">
        <v>9.3500000000000007E-3</v>
      </c>
      <c r="P46" s="612">
        <v>-1.5900000000000001E-3</v>
      </c>
      <c r="Q46" s="612">
        <v>0</v>
      </c>
      <c r="R46" s="244">
        <v>7.7600000000000004E-3</v>
      </c>
      <c r="S46" s="610">
        <v>0</v>
      </c>
      <c r="T46" s="612">
        <v>-1.4300000000000001E-3</v>
      </c>
      <c r="U46" s="612">
        <v>5.0000000000000001E-4</v>
      </c>
      <c r="V46" s="250">
        <v>6.830000000000001E-3</v>
      </c>
      <c r="W46" s="602"/>
      <c r="X46" s="107">
        <v>0.12478999999999996</v>
      </c>
      <c r="Y46" s="107"/>
      <c r="Z46" s="107">
        <v>0</v>
      </c>
      <c r="AA46" s="107">
        <v>0</v>
      </c>
      <c r="AB46" s="107">
        <v>1.4499999999999999E-3</v>
      </c>
      <c r="AC46" s="338">
        <v>0.12623999999999996</v>
      </c>
      <c r="AD46" s="1494"/>
      <c r="AE46" s="107">
        <v>0.13254999999999995</v>
      </c>
      <c r="AF46" s="107"/>
      <c r="AG46" s="107">
        <v>0</v>
      </c>
      <c r="AH46" s="107">
        <v>0</v>
      </c>
      <c r="AI46" s="107">
        <v>5.1999999999999985E-4</v>
      </c>
      <c r="AJ46" s="1503">
        <v>0.13306999999999994</v>
      </c>
      <c r="AK46" s="1495"/>
      <c r="AL46" s="107">
        <v>3.5400000000000002E-3</v>
      </c>
      <c r="AM46" s="107">
        <v>-1.3999999999999999E-4</v>
      </c>
      <c r="AN46" s="107">
        <v>0</v>
      </c>
      <c r="AO46" s="107">
        <v>-1.3799999999999999E-3</v>
      </c>
      <c r="AP46" s="913">
        <v>2.0200000000000001E-3</v>
      </c>
      <c r="AQ46" s="121"/>
      <c r="AR46" s="107"/>
      <c r="AS46" s="107"/>
      <c r="AT46" s="107"/>
      <c r="AU46" s="107"/>
      <c r="AV46" s="107"/>
      <c r="AW46" s="338">
        <v>0</v>
      </c>
      <c r="AY46" s="107">
        <v>0.13608999999999993</v>
      </c>
      <c r="AZ46" s="107">
        <v>0</v>
      </c>
      <c r="BA46" s="107">
        <v>0</v>
      </c>
      <c r="BB46" s="107">
        <v>0</v>
      </c>
      <c r="BC46" s="107">
        <v>-6.9999999999999967E-5</v>
      </c>
      <c r="BD46" s="333">
        <v>0.13601999999999995</v>
      </c>
      <c r="BE46" s="91"/>
      <c r="BF46" s="91"/>
      <c r="BG46" s="91"/>
    </row>
    <row r="47" spans="2:59" x14ac:dyDescent="0.2">
      <c r="B47" s="100">
        <v>39</v>
      </c>
      <c r="C47" s="838"/>
      <c r="D47" s="838" t="s">
        <v>6</v>
      </c>
      <c r="E47" s="105">
        <v>20000</v>
      </c>
      <c r="F47" s="106">
        <v>937215</v>
      </c>
      <c r="G47" s="106"/>
      <c r="H47" s="844"/>
      <c r="I47" s="845"/>
      <c r="J47" s="610">
        <v>9.5690000000000011E-2</v>
      </c>
      <c r="K47" s="612">
        <v>0</v>
      </c>
      <c r="L47" s="612">
        <v>0</v>
      </c>
      <c r="M47" s="612">
        <v>4.1000000000000005E-4</v>
      </c>
      <c r="N47" s="127">
        <v>9.6100000000000005E-2</v>
      </c>
      <c r="O47" s="610">
        <v>7.1700000000000002E-3</v>
      </c>
      <c r="P47" s="612">
        <v>-1.2199999999999999E-3</v>
      </c>
      <c r="Q47" s="612">
        <v>0</v>
      </c>
      <c r="R47" s="244">
        <v>5.9500000000000004E-3</v>
      </c>
      <c r="S47" s="610">
        <v>0</v>
      </c>
      <c r="T47" s="612">
        <v>-1.09E-3</v>
      </c>
      <c r="U47" s="612">
        <v>3.8999999999999999E-4</v>
      </c>
      <c r="V47" s="250">
        <v>5.2500000000000003E-3</v>
      </c>
      <c r="W47" s="602"/>
      <c r="X47" s="107">
        <v>9.5690000000000011E-2</v>
      </c>
      <c r="Y47" s="107"/>
      <c r="Z47" s="107">
        <v>0</v>
      </c>
      <c r="AA47" s="107">
        <v>0</v>
      </c>
      <c r="AB47" s="107">
        <v>1.1100000000000001E-3</v>
      </c>
      <c r="AC47" s="338">
        <v>9.6800000000000011E-2</v>
      </c>
      <c r="AD47" s="1494"/>
      <c r="AE47" s="107">
        <v>0.10164000000000001</v>
      </c>
      <c r="AF47" s="107"/>
      <c r="AG47" s="107">
        <v>0</v>
      </c>
      <c r="AH47" s="107">
        <v>0</v>
      </c>
      <c r="AI47" s="107">
        <v>4.1000000000000005E-4</v>
      </c>
      <c r="AJ47" s="1503">
        <v>0.10205</v>
      </c>
      <c r="AK47" s="1495"/>
      <c r="AL47" s="107">
        <v>2.7200000000000002E-3</v>
      </c>
      <c r="AM47" s="107">
        <v>-1.1E-4</v>
      </c>
      <c r="AN47" s="107">
        <v>0</v>
      </c>
      <c r="AO47" s="107">
        <v>-1.06E-3</v>
      </c>
      <c r="AP47" s="913">
        <v>1.5500000000000004E-3</v>
      </c>
      <c r="AQ47" s="121"/>
      <c r="AR47" s="107"/>
      <c r="AS47" s="107"/>
      <c r="AT47" s="107"/>
      <c r="AU47" s="107"/>
      <c r="AV47" s="107"/>
      <c r="AW47" s="338">
        <v>0</v>
      </c>
      <c r="AY47" s="107">
        <v>0.10436000000000001</v>
      </c>
      <c r="AZ47" s="107">
        <v>0</v>
      </c>
      <c r="BA47" s="107">
        <v>0</v>
      </c>
      <c r="BB47" s="107">
        <v>0</v>
      </c>
      <c r="BC47" s="107">
        <v>-5.9999999999999941E-5</v>
      </c>
      <c r="BD47" s="333">
        <v>0.1043</v>
      </c>
      <c r="BE47" s="91"/>
      <c r="BF47" s="91"/>
      <c r="BG47" s="91"/>
    </row>
    <row r="48" spans="2:59" x14ac:dyDescent="0.2">
      <c r="B48" s="100">
        <v>40</v>
      </c>
      <c r="C48" s="838"/>
      <c r="D48" s="838" t="s">
        <v>7</v>
      </c>
      <c r="E48" s="105">
        <v>100000</v>
      </c>
      <c r="F48" s="106">
        <v>2390318</v>
      </c>
      <c r="G48" s="106"/>
      <c r="H48" s="844"/>
      <c r="I48" s="845"/>
      <c r="J48" s="610">
        <v>7.6560000000000017E-2</v>
      </c>
      <c r="K48" s="612">
        <v>0</v>
      </c>
      <c r="L48" s="612">
        <v>0</v>
      </c>
      <c r="M48" s="612">
        <v>3.1999999999999997E-4</v>
      </c>
      <c r="N48" s="127">
        <v>7.6880000000000018E-2</v>
      </c>
      <c r="O48" s="610">
        <v>5.7299999999999999E-3</v>
      </c>
      <c r="P48" s="612">
        <v>-9.7000000000000005E-4</v>
      </c>
      <c r="Q48" s="612">
        <v>0</v>
      </c>
      <c r="R48" s="244">
        <v>4.7599999999999995E-3</v>
      </c>
      <c r="S48" s="610">
        <v>0</v>
      </c>
      <c r="T48" s="612">
        <v>-8.7000000000000001E-4</v>
      </c>
      <c r="U48" s="612">
        <v>3.1E-4</v>
      </c>
      <c r="V48" s="250">
        <v>4.1999999999999997E-3</v>
      </c>
      <c r="W48" s="602"/>
      <c r="X48" s="107">
        <v>7.6560000000000017E-2</v>
      </c>
      <c r="Y48" s="107"/>
      <c r="Z48" s="107">
        <v>0</v>
      </c>
      <c r="AA48" s="107">
        <v>0</v>
      </c>
      <c r="AB48" s="107">
        <v>8.8999999999999995E-4</v>
      </c>
      <c r="AC48" s="338">
        <v>7.7450000000000019E-2</v>
      </c>
      <c r="AD48" s="1494"/>
      <c r="AE48" s="107">
        <v>8.1320000000000017E-2</v>
      </c>
      <c r="AF48" s="107"/>
      <c r="AG48" s="107">
        <v>0</v>
      </c>
      <c r="AH48" s="107">
        <v>0</v>
      </c>
      <c r="AI48" s="107">
        <v>3.2999999999999994E-4</v>
      </c>
      <c r="AJ48" s="1503">
        <v>8.1650000000000014E-2</v>
      </c>
      <c r="AK48" s="1495"/>
      <c r="AL48" s="107">
        <v>2.1700000000000001E-3</v>
      </c>
      <c r="AM48" s="107">
        <v>-9.0000000000000006E-5</v>
      </c>
      <c r="AN48" s="107">
        <v>0</v>
      </c>
      <c r="AO48" s="107">
        <v>-8.4999999999999995E-4</v>
      </c>
      <c r="AP48" s="913">
        <v>1.2300000000000002E-3</v>
      </c>
      <c r="AQ48" s="121"/>
      <c r="AR48" s="107"/>
      <c r="AS48" s="107"/>
      <c r="AT48" s="107"/>
      <c r="AU48" s="107"/>
      <c r="AV48" s="107"/>
      <c r="AW48" s="338">
        <v>0</v>
      </c>
      <c r="AY48" s="107">
        <v>8.3490000000000023E-2</v>
      </c>
      <c r="AZ48" s="107">
        <v>0</v>
      </c>
      <c r="BA48" s="107">
        <v>0</v>
      </c>
      <c r="BB48" s="107">
        <v>0</v>
      </c>
      <c r="BC48" s="107">
        <v>-5.0000000000000023E-5</v>
      </c>
      <c r="BD48" s="333">
        <v>8.3440000000000028E-2</v>
      </c>
      <c r="BE48" s="91"/>
      <c r="BF48" s="91"/>
      <c r="BG48" s="91"/>
    </row>
    <row r="49" spans="2:59" x14ac:dyDescent="0.2">
      <c r="B49" s="100">
        <v>41</v>
      </c>
      <c r="C49" s="838"/>
      <c r="D49" s="838" t="s">
        <v>8</v>
      </c>
      <c r="E49" s="105">
        <v>600000</v>
      </c>
      <c r="F49" s="106">
        <v>1492257</v>
      </c>
      <c r="G49" s="106"/>
      <c r="H49" s="844"/>
      <c r="I49" s="845"/>
      <c r="J49" s="610">
        <v>5.1040000000000002E-2</v>
      </c>
      <c r="K49" s="612">
        <v>0</v>
      </c>
      <c r="L49" s="612">
        <v>0</v>
      </c>
      <c r="M49" s="612">
        <v>2.1000000000000001E-4</v>
      </c>
      <c r="N49" s="127">
        <v>5.1250000000000004E-2</v>
      </c>
      <c r="O49" s="610">
        <v>3.82E-3</v>
      </c>
      <c r="P49" s="612">
        <v>-6.4999999999999997E-4</v>
      </c>
      <c r="Q49" s="612">
        <v>0</v>
      </c>
      <c r="R49" s="244">
        <v>3.1700000000000001E-3</v>
      </c>
      <c r="S49" s="610">
        <v>0</v>
      </c>
      <c r="T49" s="612">
        <v>-5.8E-4</v>
      </c>
      <c r="U49" s="612">
        <v>2.1000000000000001E-4</v>
      </c>
      <c r="V49" s="250">
        <v>2.8000000000000004E-3</v>
      </c>
      <c r="W49" s="602"/>
      <c r="X49" s="107">
        <v>5.1040000000000002E-2</v>
      </c>
      <c r="Y49" s="107"/>
      <c r="Z49" s="107">
        <v>0</v>
      </c>
      <c r="AA49" s="107">
        <v>0</v>
      </c>
      <c r="AB49" s="107">
        <v>5.9000000000000003E-4</v>
      </c>
      <c r="AC49" s="338">
        <v>5.1630000000000002E-2</v>
      </c>
      <c r="AD49" s="1494"/>
      <c r="AE49" s="107">
        <v>5.4210000000000001E-2</v>
      </c>
      <c r="AF49" s="107"/>
      <c r="AG49" s="107">
        <v>0</v>
      </c>
      <c r="AH49" s="107">
        <v>0</v>
      </c>
      <c r="AI49" s="107">
        <v>2.2000000000000003E-4</v>
      </c>
      <c r="AJ49" s="1503">
        <v>5.4429999999999999E-2</v>
      </c>
      <c r="AK49" s="1495"/>
      <c r="AL49" s="107">
        <v>1.4499999999999999E-3</v>
      </c>
      <c r="AM49" s="107">
        <v>-6.0000000000000002E-5</v>
      </c>
      <c r="AN49" s="107">
        <v>0</v>
      </c>
      <c r="AO49" s="107">
        <v>-5.5999999999999995E-4</v>
      </c>
      <c r="AP49" s="913">
        <v>8.3000000000000001E-4</v>
      </c>
      <c r="AQ49" s="121"/>
      <c r="AR49" s="107"/>
      <c r="AS49" s="107"/>
      <c r="AT49" s="107"/>
      <c r="AU49" s="107"/>
      <c r="AV49" s="107"/>
      <c r="AW49" s="338">
        <v>0</v>
      </c>
      <c r="AY49" s="107">
        <v>5.5660000000000001E-2</v>
      </c>
      <c r="AZ49" s="107">
        <v>0</v>
      </c>
      <c r="BA49" s="107">
        <v>0</v>
      </c>
      <c r="BB49" s="107">
        <v>0</v>
      </c>
      <c r="BC49" s="107">
        <v>-2.999999999999997E-5</v>
      </c>
      <c r="BD49" s="333">
        <v>5.5629999999999999E-2</v>
      </c>
      <c r="BE49" s="91"/>
      <c r="BF49" s="91"/>
      <c r="BG49" s="91"/>
    </row>
    <row r="50" spans="2:59" x14ac:dyDescent="0.2">
      <c r="B50" s="100">
        <v>42</v>
      </c>
      <c r="C50" s="836"/>
      <c r="D50" s="836" t="s">
        <v>9</v>
      </c>
      <c r="E50" s="102" t="s">
        <v>59</v>
      </c>
      <c r="F50" s="103">
        <v>0</v>
      </c>
      <c r="G50" s="103"/>
      <c r="H50" s="839"/>
      <c r="I50" s="841"/>
      <c r="J50" s="609">
        <v>1.9140000000000001E-2</v>
      </c>
      <c r="K50" s="613">
        <v>0</v>
      </c>
      <c r="L50" s="613">
        <v>0</v>
      </c>
      <c r="M50" s="613">
        <v>7.9999999999999993E-5</v>
      </c>
      <c r="N50" s="125">
        <v>1.9220000000000001E-2</v>
      </c>
      <c r="O50" s="609">
        <v>1.4300000000000001E-3</v>
      </c>
      <c r="P50" s="613">
        <v>-2.4000000000000001E-4</v>
      </c>
      <c r="Q50" s="613">
        <v>0</v>
      </c>
      <c r="R50" s="243">
        <v>1.1900000000000001E-3</v>
      </c>
      <c r="S50" s="609">
        <v>0</v>
      </c>
      <c r="T50" s="613">
        <v>-2.2000000000000001E-4</v>
      </c>
      <c r="U50" s="613">
        <v>8.0000000000000007E-5</v>
      </c>
      <c r="V50" s="249">
        <v>1.0500000000000002E-3</v>
      </c>
      <c r="W50" s="602"/>
      <c r="X50" s="104">
        <v>1.9140000000000001E-2</v>
      </c>
      <c r="Y50" s="104"/>
      <c r="Z50" s="104">
        <v>0</v>
      </c>
      <c r="AA50" s="104">
        <v>0</v>
      </c>
      <c r="AB50" s="104">
        <v>2.2000000000000001E-4</v>
      </c>
      <c r="AC50" s="337">
        <v>1.9360000000000002E-2</v>
      </c>
      <c r="AD50" s="1494"/>
      <c r="AE50" s="104">
        <v>2.0330000000000001E-2</v>
      </c>
      <c r="AF50" s="104"/>
      <c r="AG50" s="104">
        <v>0</v>
      </c>
      <c r="AH50" s="104">
        <v>0</v>
      </c>
      <c r="AI50" s="104">
        <v>8.0000000000000007E-5</v>
      </c>
      <c r="AJ50" s="1498">
        <v>2.0410000000000001E-2</v>
      </c>
      <c r="AK50" s="1495"/>
      <c r="AL50" s="104">
        <v>5.4000000000000001E-4</v>
      </c>
      <c r="AM50" s="104">
        <v>-2.0000000000000002E-5</v>
      </c>
      <c r="AN50" s="104">
        <v>0</v>
      </c>
      <c r="AO50" s="104">
        <v>-2.1000000000000001E-4</v>
      </c>
      <c r="AP50" s="912">
        <v>3.0999999999999995E-4</v>
      </c>
      <c r="AQ50" s="121"/>
      <c r="AR50" s="104"/>
      <c r="AS50" s="104"/>
      <c r="AT50" s="104"/>
      <c r="AU50" s="104"/>
      <c r="AV50" s="104"/>
      <c r="AW50" s="337">
        <v>0</v>
      </c>
      <c r="AY50" s="104">
        <v>2.087E-2</v>
      </c>
      <c r="AZ50" s="104">
        <v>0</v>
      </c>
      <c r="BA50" s="104">
        <v>0</v>
      </c>
      <c r="BB50" s="104">
        <v>0</v>
      </c>
      <c r="BC50" s="104">
        <v>-9.9999999999999991E-6</v>
      </c>
      <c r="BD50" s="332">
        <v>2.086E-2</v>
      </c>
      <c r="BE50" s="91"/>
      <c r="BF50" s="91"/>
      <c r="BG50" s="91"/>
    </row>
    <row r="51" spans="2:59" x14ac:dyDescent="0.2">
      <c r="B51" s="100">
        <v>43</v>
      </c>
      <c r="C51" s="838" t="s">
        <v>252</v>
      </c>
      <c r="D51" s="838" t="s">
        <v>4</v>
      </c>
      <c r="E51" s="105">
        <v>10000</v>
      </c>
      <c r="F51" s="106">
        <v>240000</v>
      </c>
      <c r="G51" s="106">
        <v>2</v>
      </c>
      <c r="H51" s="844">
        <v>1300</v>
      </c>
      <c r="I51" s="845">
        <v>1300</v>
      </c>
      <c r="J51" s="610">
        <v>0.13682000000000002</v>
      </c>
      <c r="K51" s="612">
        <v>0</v>
      </c>
      <c r="L51" s="612">
        <v>0.26333000000000001</v>
      </c>
      <c r="M51" s="612">
        <v>2.334E-2</v>
      </c>
      <c r="N51" s="127">
        <v>0.42349000000000003</v>
      </c>
      <c r="O51" s="610">
        <v>2.2440000000000002E-2</v>
      </c>
      <c r="P51" s="612">
        <v>-1.8400000000000001E-3</v>
      </c>
      <c r="Q51" s="612">
        <v>0</v>
      </c>
      <c r="R51" s="244">
        <v>2.06E-2</v>
      </c>
      <c r="S51" s="610">
        <v>-3.2799999999999999E-3</v>
      </c>
      <c r="T51" s="612">
        <v>-1.75E-3</v>
      </c>
      <c r="U51" s="612">
        <v>6.2E-4</v>
      </c>
      <c r="V51" s="250">
        <v>1.6190000000000003E-2</v>
      </c>
      <c r="W51" s="602"/>
      <c r="X51" s="107">
        <v>0.13682000000000011</v>
      </c>
      <c r="Y51" s="107"/>
      <c r="Z51" s="107">
        <v>0</v>
      </c>
      <c r="AA51" s="107">
        <v>0.34872999999999998</v>
      </c>
      <c r="AB51" s="107">
        <v>6.1979999999999993E-2</v>
      </c>
      <c r="AC51" s="338">
        <v>0.54753000000000007</v>
      </c>
      <c r="AD51" s="1494"/>
      <c r="AE51" s="1486">
        <v>0.15742000000000012</v>
      </c>
      <c r="AF51" s="1486"/>
      <c r="AG51" s="1486">
        <v>0</v>
      </c>
      <c r="AH51" s="1486">
        <v>0.34872999999999998</v>
      </c>
      <c r="AI51" s="1486">
        <v>5.7569999999999996E-2</v>
      </c>
      <c r="AJ51" s="1502">
        <v>0.56372000000000011</v>
      </c>
      <c r="AK51" s="1495"/>
      <c r="AL51" s="107">
        <v>1.2449999999999999E-2</v>
      </c>
      <c r="AM51" s="107">
        <v>-1.8000000000000001E-4</v>
      </c>
      <c r="AN51" s="107">
        <v>-3.2799999999999999E-3</v>
      </c>
      <c r="AO51" s="107">
        <v>-1.75E-3</v>
      </c>
      <c r="AP51" s="913">
        <v>7.2399999999999999E-3</v>
      </c>
      <c r="AQ51" s="121"/>
      <c r="AR51" s="107"/>
      <c r="AS51" s="107"/>
      <c r="AT51" s="107"/>
      <c r="AU51" s="107"/>
      <c r="AV51" s="107"/>
      <c r="AW51" s="338">
        <v>0</v>
      </c>
      <c r="AY51" s="107">
        <v>0.1698700000000001</v>
      </c>
      <c r="AZ51" s="107">
        <v>0</v>
      </c>
      <c r="BA51" s="107">
        <v>0</v>
      </c>
      <c r="BB51" s="107">
        <v>0.34872999999999998</v>
      </c>
      <c r="BC51" s="107">
        <v>5.6769999999999994E-2</v>
      </c>
      <c r="BD51" s="333">
        <v>0.57537000000000005</v>
      </c>
      <c r="BE51" s="91"/>
      <c r="BF51" s="91"/>
      <c r="BG51" s="91"/>
    </row>
    <row r="52" spans="2:59" x14ac:dyDescent="0.2">
      <c r="B52" s="100">
        <v>44</v>
      </c>
      <c r="C52" s="838"/>
      <c r="D52" s="838" t="s">
        <v>5</v>
      </c>
      <c r="E52" s="105">
        <v>20000</v>
      </c>
      <c r="F52" s="106">
        <v>467511</v>
      </c>
      <c r="G52" s="106"/>
      <c r="H52" s="844"/>
      <c r="I52" s="845"/>
      <c r="J52" s="610">
        <v>0.12246999999999988</v>
      </c>
      <c r="K52" s="612">
        <v>0</v>
      </c>
      <c r="L52" s="612">
        <v>0.26333000000000001</v>
      </c>
      <c r="M52" s="612">
        <v>2.0999999999999998E-2</v>
      </c>
      <c r="N52" s="127">
        <v>0.40679999999999994</v>
      </c>
      <c r="O52" s="610">
        <v>2.009E-2</v>
      </c>
      <c r="P52" s="612">
        <v>-1.64E-3</v>
      </c>
      <c r="Q52" s="612">
        <v>0</v>
      </c>
      <c r="R52" s="244">
        <v>1.8450000000000001E-2</v>
      </c>
      <c r="S52" s="610">
        <v>-2.9399999999999999E-3</v>
      </c>
      <c r="T52" s="612">
        <v>-1.56E-3</v>
      </c>
      <c r="U52" s="612">
        <v>5.5000000000000003E-4</v>
      </c>
      <c r="V52" s="250">
        <v>1.4500000000000001E-2</v>
      </c>
      <c r="W52" s="602"/>
      <c r="X52" s="107">
        <v>0.12246999999999986</v>
      </c>
      <c r="Y52" s="107"/>
      <c r="Z52" s="107">
        <v>0</v>
      </c>
      <c r="AA52" s="107">
        <v>0.34872999999999998</v>
      </c>
      <c r="AB52" s="107">
        <v>5.9329999999999994E-2</v>
      </c>
      <c r="AC52" s="338">
        <v>0.53052999999999984</v>
      </c>
      <c r="AD52" s="1494"/>
      <c r="AE52" s="107">
        <v>0.14091999999999985</v>
      </c>
      <c r="AF52" s="107"/>
      <c r="AG52" s="107">
        <v>0</v>
      </c>
      <c r="AH52" s="107">
        <v>0.34872999999999998</v>
      </c>
      <c r="AI52" s="107">
        <v>5.5379999999999999E-2</v>
      </c>
      <c r="AJ52" s="1503">
        <v>0.54502999999999979</v>
      </c>
      <c r="AK52" s="1495"/>
      <c r="AL52" s="107">
        <v>1.1140000000000001E-2</v>
      </c>
      <c r="AM52" s="107">
        <v>-1.6000000000000001E-4</v>
      </c>
      <c r="AN52" s="107">
        <v>-2.9399999999999999E-3</v>
      </c>
      <c r="AO52" s="107">
        <v>-1.57E-3</v>
      </c>
      <c r="AP52" s="913">
        <v>6.4700000000000001E-3</v>
      </c>
      <c r="AQ52" s="121"/>
      <c r="AR52" s="107"/>
      <c r="AS52" s="107"/>
      <c r="AT52" s="107"/>
      <c r="AU52" s="107"/>
      <c r="AV52" s="107"/>
      <c r="AW52" s="338">
        <v>0</v>
      </c>
      <c r="AY52" s="107">
        <v>0.15205999999999986</v>
      </c>
      <c r="AZ52" s="107">
        <v>0</v>
      </c>
      <c r="BA52" s="107">
        <v>0</v>
      </c>
      <c r="BB52" s="107">
        <v>0.34872999999999998</v>
      </c>
      <c r="BC52" s="107">
        <v>5.4659999999999993E-2</v>
      </c>
      <c r="BD52" s="333">
        <v>0.55544999999999989</v>
      </c>
      <c r="BE52" s="91"/>
      <c r="BF52" s="91"/>
      <c r="BG52" s="91"/>
    </row>
    <row r="53" spans="2:59" x14ac:dyDescent="0.2">
      <c r="B53" s="100">
        <v>45</v>
      </c>
      <c r="C53" s="838"/>
      <c r="D53" s="838" t="s">
        <v>6</v>
      </c>
      <c r="E53" s="105">
        <v>20000</v>
      </c>
      <c r="F53" s="106">
        <v>218004</v>
      </c>
      <c r="G53" s="106"/>
      <c r="H53" s="844"/>
      <c r="I53" s="845"/>
      <c r="J53" s="610">
        <v>9.3909999999999993E-2</v>
      </c>
      <c r="K53" s="612">
        <v>0</v>
      </c>
      <c r="L53" s="612">
        <v>0.26333000000000001</v>
      </c>
      <c r="M53" s="612">
        <v>1.6370000000000003E-2</v>
      </c>
      <c r="N53" s="127">
        <v>0.37361</v>
      </c>
      <c r="O53" s="610">
        <v>1.54E-2</v>
      </c>
      <c r="P53" s="612">
        <v>-1.2600000000000001E-3</v>
      </c>
      <c r="Q53" s="612">
        <v>0</v>
      </c>
      <c r="R53" s="244">
        <v>1.414E-2</v>
      </c>
      <c r="S53" s="610">
        <v>-2.2499999999999998E-3</v>
      </c>
      <c r="T53" s="612">
        <v>-1.1999999999999999E-3</v>
      </c>
      <c r="U53" s="612">
        <v>4.2000000000000002E-4</v>
      </c>
      <c r="V53" s="250">
        <v>1.111E-2</v>
      </c>
      <c r="W53" s="602"/>
      <c r="X53" s="107">
        <v>9.3910000000000105E-2</v>
      </c>
      <c r="Y53" s="107"/>
      <c r="Z53" s="107">
        <v>0</v>
      </c>
      <c r="AA53" s="107">
        <v>0.34872999999999998</v>
      </c>
      <c r="AB53" s="107">
        <v>5.4059999999999997E-2</v>
      </c>
      <c r="AC53" s="338">
        <v>0.49670000000000009</v>
      </c>
      <c r="AD53" s="1494"/>
      <c r="AE53" s="107">
        <v>0.1080500000000001</v>
      </c>
      <c r="AF53" s="107"/>
      <c r="AG53" s="107">
        <v>0</v>
      </c>
      <c r="AH53" s="107">
        <v>0.34872999999999998</v>
      </c>
      <c r="AI53" s="107">
        <v>5.1029999999999992E-2</v>
      </c>
      <c r="AJ53" s="1503">
        <v>0.50781000000000009</v>
      </c>
      <c r="AK53" s="1495"/>
      <c r="AL53" s="107">
        <v>8.5400000000000007E-3</v>
      </c>
      <c r="AM53" s="107">
        <v>-1.2E-4</v>
      </c>
      <c r="AN53" s="107">
        <v>-2.2499999999999998E-3</v>
      </c>
      <c r="AO53" s="107">
        <v>-1.1999999999999999E-3</v>
      </c>
      <c r="AP53" s="913">
        <v>4.9700000000000005E-3</v>
      </c>
      <c r="AQ53" s="121"/>
      <c r="AR53" s="107"/>
      <c r="AS53" s="107"/>
      <c r="AT53" s="107"/>
      <c r="AU53" s="107"/>
      <c r="AV53" s="107"/>
      <c r="AW53" s="338">
        <v>0</v>
      </c>
      <c r="AY53" s="107">
        <v>0.11659000000000011</v>
      </c>
      <c r="AZ53" s="107">
        <v>0</v>
      </c>
      <c r="BA53" s="107">
        <v>0</v>
      </c>
      <c r="BB53" s="107">
        <v>0.34872999999999998</v>
      </c>
      <c r="BC53" s="107">
        <v>5.0489999999999993E-2</v>
      </c>
      <c r="BD53" s="333">
        <v>0.5158100000000001</v>
      </c>
      <c r="BE53" s="91"/>
      <c r="BF53" s="91"/>
      <c r="BG53" s="91"/>
    </row>
    <row r="54" spans="2:59" x14ac:dyDescent="0.2">
      <c r="B54" s="100">
        <v>46</v>
      </c>
      <c r="C54" s="838"/>
      <c r="D54" s="838" t="s">
        <v>7</v>
      </c>
      <c r="E54" s="105">
        <v>100000</v>
      </c>
      <c r="F54" s="106">
        <v>18208</v>
      </c>
      <c r="G54" s="106"/>
      <c r="H54" s="844"/>
      <c r="I54" s="845"/>
      <c r="J54" s="610">
        <v>7.5130000000000044E-2</v>
      </c>
      <c r="K54" s="612">
        <v>0</v>
      </c>
      <c r="L54" s="612">
        <v>0.26333000000000001</v>
      </c>
      <c r="M54" s="612">
        <v>1.3339999999999999E-2</v>
      </c>
      <c r="N54" s="127">
        <v>0.35180000000000006</v>
      </c>
      <c r="O54" s="610">
        <v>1.2319999999999999E-2</v>
      </c>
      <c r="P54" s="612">
        <v>-1.01E-3</v>
      </c>
      <c r="Q54" s="612">
        <v>0</v>
      </c>
      <c r="R54" s="244">
        <v>1.1309999999999999E-2</v>
      </c>
      <c r="S54" s="610">
        <v>-1.8E-3</v>
      </c>
      <c r="T54" s="612">
        <v>-9.6000000000000002E-4</v>
      </c>
      <c r="U54" s="612">
        <v>3.4000000000000002E-4</v>
      </c>
      <c r="V54" s="250">
        <v>8.8899999999999986E-3</v>
      </c>
      <c r="W54" s="602"/>
      <c r="X54" s="107">
        <v>7.5130000000000058E-2</v>
      </c>
      <c r="Y54" s="107"/>
      <c r="Z54" s="107">
        <v>0</v>
      </c>
      <c r="AA54" s="107">
        <v>0.34872999999999998</v>
      </c>
      <c r="AB54" s="107">
        <v>5.0589999999999996E-2</v>
      </c>
      <c r="AC54" s="338">
        <v>0.47445000000000004</v>
      </c>
      <c r="AD54" s="1494"/>
      <c r="AE54" s="107">
        <v>8.6440000000000058E-2</v>
      </c>
      <c r="AF54" s="107"/>
      <c r="AG54" s="107">
        <v>0</v>
      </c>
      <c r="AH54" s="107">
        <v>0.34872999999999998</v>
      </c>
      <c r="AI54" s="107">
        <v>4.8169999999999991E-2</v>
      </c>
      <c r="AJ54" s="1503">
        <v>0.48334000000000005</v>
      </c>
      <c r="AK54" s="1495"/>
      <c r="AL54" s="107">
        <v>6.8300000000000001E-3</v>
      </c>
      <c r="AM54" s="107">
        <v>-1E-4</v>
      </c>
      <c r="AN54" s="107">
        <v>-1.8E-3</v>
      </c>
      <c r="AO54" s="107">
        <v>-9.6000000000000002E-4</v>
      </c>
      <c r="AP54" s="913">
        <v>3.9700000000000004E-3</v>
      </c>
      <c r="AQ54" s="121"/>
      <c r="AR54" s="107"/>
      <c r="AS54" s="107"/>
      <c r="AT54" s="107"/>
      <c r="AU54" s="107"/>
      <c r="AV54" s="107"/>
      <c r="AW54" s="338">
        <v>0</v>
      </c>
      <c r="AY54" s="107">
        <v>9.3270000000000061E-2</v>
      </c>
      <c r="AZ54" s="107">
        <v>0</v>
      </c>
      <c r="BA54" s="107">
        <v>0</v>
      </c>
      <c r="BB54" s="107">
        <v>0.34872999999999998</v>
      </c>
      <c r="BC54" s="107">
        <v>4.7729999999999995E-2</v>
      </c>
      <c r="BD54" s="333">
        <v>0.48973000000000005</v>
      </c>
      <c r="BE54" s="91"/>
      <c r="BF54" s="91"/>
      <c r="BG54" s="91"/>
    </row>
    <row r="55" spans="2:59" x14ac:dyDescent="0.2">
      <c r="B55" s="100">
        <v>47</v>
      </c>
      <c r="C55" s="838"/>
      <c r="D55" s="838" t="s">
        <v>8</v>
      </c>
      <c r="E55" s="105">
        <v>600000</v>
      </c>
      <c r="F55" s="106">
        <v>0</v>
      </c>
      <c r="G55" s="106"/>
      <c r="H55" s="844"/>
      <c r="I55" s="845"/>
      <c r="J55" s="610">
        <v>5.0089999999999968E-2</v>
      </c>
      <c r="K55" s="612">
        <v>0</v>
      </c>
      <c r="L55" s="612">
        <v>0.26333000000000001</v>
      </c>
      <c r="M55" s="612">
        <v>9.2699999999999987E-3</v>
      </c>
      <c r="N55" s="127">
        <v>0.32268999999999998</v>
      </c>
      <c r="O55" s="610">
        <v>8.2199999999999999E-3</v>
      </c>
      <c r="P55" s="612">
        <v>-6.7000000000000002E-4</v>
      </c>
      <c r="Q55" s="612">
        <v>0</v>
      </c>
      <c r="R55" s="244">
        <v>7.5499999999999994E-3</v>
      </c>
      <c r="S55" s="610">
        <v>-1.1999999999999999E-3</v>
      </c>
      <c r="T55" s="612">
        <v>-6.4000000000000005E-4</v>
      </c>
      <c r="U55" s="612">
        <v>2.3000000000000001E-4</v>
      </c>
      <c r="V55" s="250">
        <v>5.94E-3</v>
      </c>
      <c r="W55" s="602"/>
      <c r="X55" s="107">
        <v>5.0089999999999982E-2</v>
      </c>
      <c r="Y55" s="107"/>
      <c r="Z55" s="107">
        <v>0</v>
      </c>
      <c r="AA55" s="107">
        <v>0.34872999999999998</v>
      </c>
      <c r="AB55" s="107">
        <v>4.5969999999999997E-2</v>
      </c>
      <c r="AC55" s="338">
        <v>0.44478999999999996</v>
      </c>
      <c r="AD55" s="1494"/>
      <c r="AE55" s="107">
        <v>5.7639999999999983E-2</v>
      </c>
      <c r="AF55" s="107"/>
      <c r="AG55" s="107">
        <v>0</v>
      </c>
      <c r="AH55" s="107">
        <v>0.34872999999999998</v>
      </c>
      <c r="AI55" s="107">
        <v>4.4359999999999997E-2</v>
      </c>
      <c r="AJ55" s="1503">
        <v>0.45072999999999996</v>
      </c>
      <c r="AK55" s="1495"/>
      <c r="AL55" s="107">
        <v>4.5599999999999998E-3</v>
      </c>
      <c r="AM55" s="107">
        <v>-6.9999999999999994E-5</v>
      </c>
      <c r="AN55" s="107">
        <v>-1.1999999999999999E-3</v>
      </c>
      <c r="AO55" s="107">
        <v>-6.4000000000000005E-4</v>
      </c>
      <c r="AP55" s="913">
        <v>2.6500000000000004E-3</v>
      </c>
      <c r="AQ55" s="121"/>
      <c r="AR55" s="107"/>
      <c r="AS55" s="107"/>
      <c r="AT55" s="107"/>
      <c r="AU55" s="107"/>
      <c r="AV55" s="107"/>
      <c r="AW55" s="338">
        <v>0</v>
      </c>
      <c r="AY55" s="107">
        <v>6.2199999999999984E-2</v>
      </c>
      <c r="AZ55" s="107">
        <v>0</v>
      </c>
      <c r="BA55" s="107">
        <v>0</v>
      </c>
      <c r="BB55" s="107">
        <v>0.34872999999999998</v>
      </c>
      <c r="BC55" s="107">
        <v>4.4059999999999995E-2</v>
      </c>
      <c r="BD55" s="333">
        <v>0.45498999999999995</v>
      </c>
      <c r="BE55" s="91"/>
      <c r="BF55" s="91"/>
      <c r="BG55" s="91"/>
    </row>
    <row r="56" spans="2:59" x14ac:dyDescent="0.2">
      <c r="B56" s="100">
        <v>48</v>
      </c>
      <c r="C56" s="836"/>
      <c r="D56" s="836" t="s">
        <v>9</v>
      </c>
      <c r="E56" s="102" t="s">
        <v>59</v>
      </c>
      <c r="F56" s="103">
        <v>0</v>
      </c>
      <c r="G56" s="103"/>
      <c r="H56" s="839"/>
      <c r="I56" s="841"/>
      <c r="J56" s="609">
        <v>1.8790000000000001E-2</v>
      </c>
      <c r="K56" s="613">
        <v>0</v>
      </c>
      <c r="L56" s="613">
        <v>0.26333000000000001</v>
      </c>
      <c r="M56" s="613">
        <v>4.1999999999999989E-3</v>
      </c>
      <c r="N56" s="125">
        <v>0.28632000000000002</v>
      </c>
      <c r="O56" s="609">
        <v>3.0799999999999998E-3</v>
      </c>
      <c r="P56" s="613">
        <v>-2.5000000000000001E-4</v>
      </c>
      <c r="Q56" s="613">
        <v>0</v>
      </c>
      <c r="R56" s="243">
        <v>2.8300000000000001E-3</v>
      </c>
      <c r="S56" s="609">
        <v>-4.4999999999999999E-4</v>
      </c>
      <c r="T56" s="613">
        <v>-2.4000000000000001E-4</v>
      </c>
      <c r="U56" s="613">
        <v>8.0000000000000007E-5</v>
      </c>
      <c r="V56" s="249">
        <v>2.2200000000000002E-3</v>
      </c>
      <c r="W56" s="602"/>
      <c r="X56" s="104">
        <v>1.8789999999999946E-2</v>
      </c>
      <c r="Y56" s="104"/>
      <c r="Z56" s="104">
        <v>0</v>
      </c>
      <c r="AA56" s="104">
        <v>0.34872999999999998</v>
      </c>
      <c r="AB56" s="104">
        <v>4.0209999999999996E-2</v>
      </c>
      <c r="AC56" s="337">
        <v>0.40772999999999993</v>
      </c>
      <c r="AD56" s="1494"/>
      <c r="AE56" s="104">
        <v>2.1619999999999945E-2</v>
      </c>
      <c r="AF56" s="104"/>
      <c r="AG56" s="104">
        <v>0</v>
      </c>
      <c r="AH56" s="104">
        <v>0.34872999999999998</v>
      </c>
      <c r="AI56" s="104">
        <v>3.9599999999999996E-2</v>
      </c>
      <c r="AJ56" s="1498">
        <v>0.40994999999999993</v>
      </c>
      <c r="AK56" s="1495"/>
      <c r="AL56" s="104">
        <v>1.7099999999999999E-3</v>
      </c>
      <c r="AM56" s="104">
        <v>-2.0000000000000002E-5</v>
      </c>
      <c r="AN56" s="104">
        <v>-4.4999999999999999E-4</v>
      </c>
      <c r="AO56" s="104">
        <v>-2.4000000000000001E-4</v>
      </c>
      <c r="AP56" s="912">
        <v>9.999999999999998E-4</v>
      </c>
      <c r="AQ56" s="121"/>
      <c r="AR56" s="104"/>
      <c r="AS56" s="104"/>
      <c r="AT56" s="104"/>
      <c r="AU56" s="104"/>
      <c r="AV56" s="104"/>
      <c r="AW56" s="337">
        <v>0</v>
      </c>
      <c r="AY56" s="104">
        <v>2.3329999999999945E-2</v>
      </c>
      <c r="AZ56" s="104">
        <v>0</v>
      </c>
      <c r="BA56" s="104">
        <v>0</v>
      </c>
      <c r="BB56" s="104">
        <v>0.34872999999999998</v>
      </c>
      <c r="BC56" s="104">
        <v>3.95E-2</v>
      </c>
      <c r="BD56" s="332">
        <v>0.41155999999999993</v>
      </c>
      <c r="BE56" s="91"/>
      <c r="BF56" s="91"/>
      <c r="BG56" s="91"/>
    </row>
    <row r="57" spans="2:59" x14ac:dyDescent="0.2">
      <c r="B57" s="100">
        <v>49</v>
      </c>
      <c r="C57" s="838" t="s">
        <v>258</v>
      </c>
      <c r="D57" s="838" t="s">
        <v>4</v>
      </c>
      <c r="E57" s="105">
        <v>10000</v>
      </c>
      <c r="F57" s="106">
        <v>156740</v>
      </c>
      <c r="G57" s="106">
        <v>1.9166666666666701</v>
      </c>
      <c r="H57" s="844">
        <v>1300</v>
      </c>
      <c r="I57" s="845">
        <v>1300</v>
      </c>
      <c r="J57" s="610">
        <v>0.14583999999999989</v>
      </c>
      <c r="K57" s="612">
        <v>0</v>
      </c>
      <c r="L57" s="612">
        <v>0.26333000000000001</v>
      </c>
      <c r="M57" s="612">
        <v>6.9699999999999996E-3</v>
      </c>
      <c r="N57" s="127">
        <v>0.4161399999999999</v>
      </c>
      <c r="O57" s="610">
        <v>1.495E-2</v>
      </c>
      <c r="P57" s="612">
        <v>-2.5400000000000002E-3</v>
      </c>
      <c r="Q57" s="612">
        <v>0</v>
      </c>
      <c r="R57" s="244">
        <v>1.2409999999999999E-2</v>
      </c>
      <c r="S57" s="610">
        <v>0</v>
      </c>
      <c r="T57" s="612">
        <v>-2.2799999999999999E-3</v>
      </c>
      <c r="U57" s="612">
        <v>8.0000000000000004E-4</v>
      </c>
      <c r="V57" s="250">
        <v>1.093E-2</v>
      </c>
      <c r="W57" s="602"/>
      <c r="X57" s="107">
        <v>0.14583999999999986</v>
      </c>
      <c r="Y57" s="107"/>
      <c r="Z57" s="107">
        <v>0</v>
      </c>
      <c r="AA57" s="107">
        <v>0.34872999999999998</v>
      </c>
      <c r="AB57" s="107">
        <v>4.3349999999999993E-2</v>
      </c>
      <c r="AC57" s="338">
        <v>0.53791999999999984</v>
      </c>
      <c r="AD57" s="1494"/>
      <c r="AE57" s="1486">
        <v>0.15824999999999986</v>
      </c>
      <c r="AF57" s="1486"/>
      <c r="AG57" s="1486">
        <v>0</v>
      </c>
      <c r="AH57" s="1486">
        <v>0.34872999999999998</v>
      </c>
      <c r="AI57" s="1486">
        <v>4.1869999999999997E-2</v>
      </c>
      <c r="AJ57" s="1502">
        <v>0.54884999999999984</v>
      </c>
      <c r="AK57" s="1495"/>
      <c r="AL57" s="107">
        <v>5.6600000000000001E-3</v>
      </c>
      <c r="AM57" s="107">
        <v>-2.2000000000000001E-4</v>
      </c>
      <c r="AN57" s="107">
        <v>0</v>
      </c>
      <c r="AO57" s="107">
        <v>-2.2100000000000002E-3</v>
      </c>
      <c r="AP57" s="913">
        <v>3.2300000000000002E-3</v>
      </c>
      <c r="AQ57" s="121"/>
      <c r="AR57" s="107"/>
      <c r="AS57" s="107"/>
      <c r="AT57" s="107"/>
      <c r="AU57" s="107"/>
      <c r="AV57" s="107"/>
      <c r="AW57" s="338">
        <v>0</v>
      </c>
      <c r="AY57" s="107">
        <v>0.16390999999999986</v>
      </c>
      <c r="AZ57" s="107">
        <v>0</v>
      </c>
      <c r="BA57" s="107">
        <v>0</v>
      </c>
      <c r="BB57" s="107">
        <v>0.34872999999999998</v>
      </c>
      <c r="BC57" s="107">
        <v>4.0919999999999998E-2</v>
      </c>
      <c r="BD57" s="333">
        <v>0.55355999999999983</v>
      </c>
      <c r="BE57" s="91"/>
      <c r="BF57" s="91"/>
      <c r="BG57" s="91"/>
    </row>
    <row r="58" spans="2:59" x14ac:dyDescent="0.2">
      <c r="B58" s="100">
        <v>50</v>
      </c>
      <c r="C58" s="838"/>
      <c r="D58" s="838" t="s">
        <v>5</v>
      </c>
      <c r="E58" s="105">
        <v>20000</v>
      </c>
      <c r="F58" s="106">
        <v>159690</v>
      </c>
      <c r="G58" s="106"/>
      <c r="H58" s="844"/>
      <c r="I58" s="845"/>
      <c r="J58" s="610">
        <v>0.13054999999999992</v>
      </c>
      <c r="K58" s="612">
        <v>0</v>
      </c>
      <c r="L58" s="612">
        <v>0.26333000000000001</v>
      </c>
      <c r="M58" s="612">
        <v>6.3499999999999997E-3</v>
      </c>
      <c r="N58" s="127">
        <v>0.40022999999999992</v>
      </c>
      <c r="O58" s="610">
        <v>1.338E-2</v>
      </c>
      <c r="P58" s="612">
        <v>-2.2699999999999999E-3</v>
      </c>
      <c r="Q58" s="612">
        <v>0</v>
      </c>
      <c r="R58" s="244">
        <v>1.111E-2</v>
      </c>
      <c r="S58" s="610">
        <v>0</v>
      </c>
      <c r="T58" s="612">
        <v>-2.0400000000000001E-3</v>
      </c>
      <c r="U58" s="612">
        <v>7.2000000000000005E-4</v>
      </c>
      <c r="V58" s="250">
        <v>9.7900000000000001E-3</v>
      </c>
      <c r="W58" s="602"/>
      <c r="X58" s="107">
        <v>0.13054999999999992</v>
      </c>
      <c r="Y58" s="107"/>
      <c r="Z58" s="107">
        <v>0</v>
      </c>
      <c r="AA58" s="107">
        <v>0.34872999999999998</v>
      </c>
      <c r="AB58" s="107">
        <v>4.2649999999999993E-2</v>
      </c>
      <c r="AC58" s="338">
        <v>0.52192999999999989</v>
      </c>
      <c r="AD58" s="1494"/>
      <c r="AE58" s="107">
        <v>0.14165999999999992</v>
      </c>
      <c r="AF58" s="107"/>
      <c r="AG58" s="107">
        <v>0</v>
      </c>
      <c r="AH58" s="107">
        <v>0.34872999999999998</v>
      </c>
      <c r="AI58" s="107">
        <v>4.1329999999999992E-2</v>
      </c>
      <c r="AJ58" s="1503">
        <v>0.53171999999999986</v>
      </c>
      <c r="AK58" s="1495"/>
      <c r="AL58" s="107">
        <v>5.0699999999999999E-3</v>
      </c>
      <c r="AM58" s="107">
        <v>-2.0000000000000001E-4</v>
      </c>
      <c r="AN58" s="107">
        <v>0</v>
      </c>
      <c r="AO58" s="107">
        <v>-1.97E-3</v>
      </c>
      <c r="AP58" s="913">
        <v>2.9000000000000002E-3</v>
      </c>
      <c r="AQ58" s="121"/>
      <c r="AR58" s="107"/>
      <c r="AS58" s="107"/>
      <c r="AT58" s="107"/>
      <c r="AU58" s="107"/>
      <c r="AV58" s="107"/>
      <c r="AW58" s="338">
        <v>0</v>
      </c>
      <c r="AY58" s="107">
        <v>0.14672999999999992</v>
      </c>
      <c r="AZ58" s="107">
        <v>0</v>
      </c>
      <c r="BA58" s="107">
        <v>0</v>
      </c>
      <c r="BB58" s="107">
        <v>0.34872999999999998</v>
      </c>
      <c r="BC58" s="107">
        <v>4.0479999999999988E-2</v>
      </c>
      <c r="BD58" s="333">
        <v>0.53593999999999986</v>
      </c>
      <c r="BE58" s="91"/>
      <c r="BF58" s="91"/>
      <c r="BG58" s="91"/>
    </row>
    <row r="59" spans="2:59" x14ac:dyDescent="0.2">
      <c r="B59" s="100">
        <v>51</v>
      </c>
      <c r="C59" s="838"/>
      <c r="D59" s="838" t="s">
        <v>6</v>
      </c>
      <c r="E59" s="105">
        <v>20000</v>
      </c>
      <c r="F59" s="106">
        <v>0</v>
      </c>
      <c r="G59" s="106"/>
      <c r="H59" s="844"/>
      <c r="I59" s="845"/>
      <c r="J59" s="610">
        <v>0.10011</v>
      </c>
      <c r="K59" s="612">
        <v>0</v>
      </c>
      <c r="L59" s="612">
        <v>0.26333000000000001</v>
      </c>
      <c r="M59" s="612">
        <v>5.1399999999999996E-3</v>
      </c>
      <c r="N59" s="127">
        <v>0.36857999999999996</v>
      </c>
      <c r="O59" s="610">
        <v>1.026E-2</v>
      </c>
      <c r="P59" s="612">
        <v>-1.74E-3</v>
      </c>
      <c r="Q59" s="612">
        <v>0</v>
      </c>
      <c r="R59" s="244">
        <v>8.5199999999999998E-3</v>
      </c>
      <c r="S59" s="610">
        <v>0</v>
      </c>
      <c r="T59" s="612">
        <v>-1.56E-3</v>
      </c>
      <c r="U59" s="612">
        <v>5.5000000000000003E-4</v>
      </c>
      <c r="V59" s="250">
        <v>7.5100000000000002E-3</v>
      </c>
      <c r="W59" s="602"/>
      <c r="X59" s="107">
        <v>0.10011</v>
      </c>
      <c r="Y59" s="107"/>
      <c r="Z59" s="107">
        <v>0</v>
      </c>
      <c r="AA59" s="107">
        <v>0.34872999999999998</v>
      </c>
      <c r="AB59" s="107">
        <v>4.1269999999999994E-2</v>
      </c>
      <c r="AC59" s="338">
        <v>0.49010999999999999</v>
      </c>
      <c r="AD59" s="1494"/>
      <c r="AE59" s="107">
        <v>0.10863</v>
      </c>
      <c r="AF59" s="107"/>
      <c r="AG59" s="107">
        <v>0</v>
      </c>
      <c r="AH59" s="107">
        <v>0.34872999999999998</v>
      </c>
      <c r="AI59" s="107">
        <v>4.0259999999999997E-2</v>
      </c>
      <c r="AJ59" s="1503">
        <v>0.49762000000000001</v>
      </c>
      <c r="AK59" s="1495"/>
      <c r="AL59" s="107">
        <v>3.8899999999999998E-3</v>
      </c>
      <c r="AM59" s="107">
        <v>-1.4999999999999999E-4</v>
      </c>
      <c r="AN59" s="107">
        <v>0</v>
      </c>
      <c r="AO59" s="107">
        <v>-1.5100000000000001E-3</v>
      </c>
      <c r="AP59" s="913">
        <v>2.2299999999999998E-3</v>
      </c>
      <c r="AQ59" s="121"/>
      <c r="AR59" s="107"/>
      <c r="AS59" s="107"/>
      <c r="AT59" s="107"/>
      <c r="AU59" s="107"/>
      <c r="AV59" s="107"/>
      <c r="AW59" s="338">
        <v>0</v>
      </c>
      <c r="AY59" s="107">
        <v>0.11252000000000001</v>
      </c>
      <c r="AZ59" s="107">
        <v>0</v>
      </c>
      <c r="BA59" s="107">
        <v>0</v>
      </c>
      <c r="BB59" s="107">
        <v>0.34872999999999998</v>
      </c>
      <c r="BC59" s="107">
        <v>3.9609999999999992E-2</v>
      </c>
      <c r="BD59" s="333">
        <v>0.50085999999999997</v>
      </c>
      <c r="BE59" s="91"/>
      <c r="BF59" s="91"/>
      <c r="BG59" s="91"/>
    </row>
    <row r="60" spans="2:59" x14ac:dyDescent="0.2">
      <c r="B60" s="100">
        <v>52</v>
      </c>
      <c r="C60" s="838"/>
      <c r="D60" s="838" t="s">
        <v>7</v>
      </c>
      <c r="E60" s="105">
        <v>100000</v>
      </c>
      <c r="F60" s="106">
        <v>0</v>
      </c>
      <c r="G60" s="106"/>
      <c r="H60" s="844"/>
      <c r="I60" s="845"/>
      <c r="J60" s="610">
        <v>8.0089999999999995E-2</v>
      </c>
      <c r="K60" s="612">
        <v>0</v>
      </c>
      <c r="L60" s="612">
        <v>0.26333000000000001</v>
      </c>
      <c r="M60" s="612">
        <v>4.3499999999999997E-3</v>
      </c>
      <c r="N60" s="127">
        <v>0.34777000000000002</v>
      </c>
      <c r="O60" s="610">
        <v>8.2100000000000003E-3</v>
      </c>
      <c r="P60" s="612">
        <v>-1.39E-3</v>
      </c>
      <c r="Q60" s="612">
        <v>0</v>
      </c>
      <c r="R60" s="244">
        <v>6.8200000000000005E-3</v>
      </c>
      <c r="S60" s="610">
        <v>0</v>
      </c>
      <c r="T60" s="612">
        <v>-1.25E-3</v>
      </c>
      <c r="U60" s="612">
        <v>4.4000000000000002E-4</v>
      </c>
      <c r="V60" s="250">
        <v>6.0100000000000006E-3</v>
      </c>
      <c r="W60" s="602"/>
      <c r="X60" s="107">
        <v>8.00899999999998E-2</v>
      </c>
      <c r="Y60" s="107"/>
      <c r="Z60" s="107">
        <v>0</v>
      </c>
      <c r="AA60" s="107">
        <v>0.34872999999999998</v>
      </c>
      <c r="AB60" s="107">
        <v>4.0369999999999996E-2</v>
      </c>
      <c r="AC60" s="338">
        <v>0.46918999999999977</v>
      </c>
      <c r="AD60" s="1494"/>
      <c r="AE60" s="107">
        <v>8.6909999999999793E-2</v>
      </c>
      <c r="AF60" s="107"/>
      <c r="AG60" s="107">
        <v>0</v>
      </c>
      <c r="AH60" s="107">
        <v>0.34872999999999998</v>
      </c>
      <c r="AI60" s="107">
        <v>3.9559999999999998E-2</v>
      </c>
      <c r="AJ60" s="1503">
        <v>0.47519999999999979</v>
      </c>
      <c r="AK60" s="1495"/>
      <c r="AL60" s="107">
        <v>3.1099999999999999E-3</v>
      </c>
      <c r="AM60" s="107">
        <v>-1.2E-4</v>
      </c>
      <c r="AN60" s="107">
        <v>0</v>
      </c>
      <c r="AO60" s="107">
        <v>-1.2099999999999999E-3</v>
      </c>
      <c r="AP60" s="913">
        <v>1.7800000000000001E-3</v>
      </c>
      <c r="AQ60" s="121"/>
      <c r="AR60" s="107"/>
      <c r="AS60" s="107"/>
      <c r="AT60" s="107"/>
      <c r="AU60" s="107"/>
      <c r="AV60" s="107"/>
      <c r="AW60" s="338">
        <v>0</v>
      </c>
      <c r="AY60" s="107">
        <v>9.0019999999999795E-2</v>
      </c>
      <c r="AZ60" s="107">
        <v>0</v>
      </c>
      <c r="BA60" s="107">
        <v>0</v>
      </c>
      <c r="BB60" s="107">
        <v>0.34872999999999998</v>
      </c>
      <c r="BC60" s="107">
        <v>3.9039999999999998E-2</v>
      </c>
      <c r="BD60" s="333">
        <v>0.47778999999999977</v>
      </c>
      <c r="BE60" s="91"/>
      <c r="BF60" s="91"/>
      <c r="BG60" s="91"/>
    </row>
    <row r="61" spans="2:59" x14ac:dyDescent="0.2">
      <c r="B61" s="100">
        <v>53</v>
      </c>
      <c r="C61" s="838"/>
      <c r="D61" s="838" t="s">
        <v>8</v>
      </c>
      <c r="E61" s="105">
        <v>600000</v>
      </c>
      <c r="F61" s="106">
        <v>0</v>
      </c>
      <c r="G61" s="106"/>
      <c r="H61" s="844"/>
      <c r="I61" s="845"/>
      <c r="J61" s="610">
        <v>5.339E-2</v>
      </c>
      <c r="K61" s="612">
        <v>0</v>
      </c>
      <c r="L61" s="612">
        <v>0.26333000000000001</v>
      </c>
      <c r="M61" s="612">
        <v>3.2999999999999995E-3</v>
      </c>
      <c r="N61" s="127">
        <v>0.32002000000000003</v>
      </c>
      <c r="O61" s="610">
        <v>5.47E-3</v>
      </c>
      <c r="P61" s="612">
        <v>-9.3000000000000005E-4</v>
      </c>
      <c r="Q61" s="612">
        <v>0</v>
      </c>
      <c r="R61" s="244">
        <v>4.5399999999999998E-3</v>
      </c>
      <c r="S61" s="610">
        <v>0</v>
      </c>
      <c r="T61" s="612">
        <v>-8.3000000000000001E-4</v>
      </c>
      <c r="U61" s="612">
        <v>2.9E-4</v>
      </c>
      <c r="V61" s="250">
        <v>4.0000000000000001E-3</v>
      </c>
      <c r="W61" s="602"/>
      <c r="X61" s="107">
        <v>5.3390000000000028E-2</v>
      </c>
      <c r="Y61" s="107"/>
      <c r="Z61" s="107">
        <v>0</v>
      </c>
      <c r="AA61" s="107">
        <v>0.34872999999999998</v>
      </c>
      <c r="AB61" s="107">
        <v>3.9159999999999993E-2</v>
      </c>
      <c r="AC61" s="338">
        <v>0.44128000000000001</v>
      </c>
      <c r="AD61" s="1494"/>
      <c r="AE61" s="107">
        <v>5.793000000000003E-2</v>
      </c>
      <c r="AF61" s="107"/>
      <c r="AG61" s="107">
        <v>0</v>
      </c>
      <c r="AH61" s="107">
        <v>0.34872999999999998</v>
      </c>
      <c r="AI61" s="107">
        <v>3.8619999999999995E-2</v>
      </c>
      <c r="AJ61" s="1503">
        <v>0.44528000000000001</v>
      </c>
      <c r="AK61" s="1495"/>
      <c r="AL61" s="107">
        <v>2.0699999999999998E-3</v>
      </c>
      <c r="AM61" s="107">
        <v>-8.0000000000000007E-5</v>
      </c>
      <c r="AN61" s="107">
        <v>0</v>
      </c>
      <c r="AO61" s="107">
        <v>-8.0999999999999996E-4</v>
      </c>
      <c r="AP61" s="913">
        <v>1.1799999999999996E-3</v>
      </c>
      <c r="AQ61" s="121"/>
      <c r="AR61" s="107"/>
      <c r="AS61" s="107"/>
      <c r="AT61" s="107"/>
      <c r="AU61" s="107"/>
      <c r="AV61" s="107"/>
      <c r="AW61" s="338">
        <v>0</v>
      </c>
      <c r="AY61" s="107">
        <v>6.0000000000000032E-2</v>
      </c>
      <c r="AZ61" s="107">
        <v>0</v>
      </c>
      <c r="BA61" s="107">
        <v>0</v>
      </c>
      <c r="BB61" s="107">
        <v>0.34872999999999998</v>
      </c>
      <c r="BC61" s="107">
        <v>3.8269999999999998E-2</v>
      </c>
      <c r="BD61" s="333">
        <v>0.44700000000000006</v>
      </c>
      <c r="BE61" s="91"/>
      <c r="BF61" s="91"/>
      <c r="BG61" s="91"/>
    </row>
    <row r="62" spans="2:59" x14ac:dyDescent="0.2">
      <c r="B62" s="100">
        <v>54</v>
      </c>
      <c r="C62" s="836"/>
      <c r="D62" s="836" t="s">
        <v>9</v>
      </c>
      <c r="E62" s="102" t="s">
        <v>59</v>
      </c>
      <c r="F62" s="103">
        <v>0</v>
      </c>
      <c r="G62" s="103"/>
      <c r="H62" s="839"/>
      <c r="I62" s="841"/>
      <c r="J62" s="609">
        <v>2.002E-2</v>
      </c>
      <c r="K62" s="613">
        <v>0</v>
      </c>
      <c r="L62" s="613">
        <v>0.26333000000000001</v>
      </c>
      <c r="M62" s="613">
        <v>1.9499999999999995E-3</v>
      </c>
      <c r="N62" s="125">
        <v>0.2853</v>
      </c>
      <c r="O62" s="609">
        <v>2.0500000000000002E-3</v>
      </c>
      <c r="P62" s="613">
        <v>-3.5E-4</v>
      </c>
      <c r="Q62" s="613">
        <v>0</v>
      </c>
      <c r="R62" s="243">
        <v>1.7000000000000001E-3</v>
      </c>
      <c r="S62" s="609">
        <v>0</v>
      </c>
      <c r="T62" s="613">
        <v>-3.1E-4</v>
      </c>
      <c r="U62" s="613">
        <v>1.1E-4</v>
      </c>
      <c r="V62" s="249">
        <v>1.5000000000000002E-3</v>
      </c>
      <c r="W62" s="602"/>
      <c r="X62" s="104">
        <v>2.0019999999999948E-2</v>
      </c>
      <c r="Y62" s="104"/>
      <c r="Z62" s="104">
        <v>0</v>
      </c>
      <c r="AA62" s="104">
        <v>0.34872999999999998</v>
      </c>
      <c r="AB62" s="104">
        <v>3.7649999999999996E-2</v>
      </c>
      <c r="AC62" s="337">
        <v>0.40639999999999993</v>
      </c>
      <c r="AD62" s="1494"/>
      <c r="AE62" s="104">
        <v>2.1719999999999948E-2</v>
      </c>
      <c r="AF62" s="104"/>
      <c r="AG62" s="104">
        <v>0</v>
      </c>
      <c r="AH62" s="104">
        <v>0.34872999999999998</v>
      </c>
      <c r="AI62" s="104">
        <v>3.7449999999999997E-2</v>
      </c>
      <c r="AJ62" s="1498">
        <v>0.40789999999999993</v>
      </c>
      <c r="AK62" s="1495"/>
      <c r="AL62" s="104">
        <v>7.7999999999999999E-4</v>
      </c>
      <c r="AM62" s="104">
        <v>-3.0000000000000001E-5</v>
      </c>
      <c r="AN62" s="104">
        <v>0</v>
      </c>
      <c r="AO62" s="104">
        <v>-2.9999999999999997E-4</v>
      </c>
      <c r="AP62" s="912">
        <v>4.5000000000000004E-4</v>
      </c>
      <c r="AQ62" s="121"/>
      <c r="AR62" s="104"/>
      <c r="AS62" s="104"/>
      <c r="AT62" s="104"/>
      <c r="AU62" s="104"/>
      <c r="AV62" s="104"/>
      <c r="AW62" s="337">
        <v>0</v>
      </c>
      <c r="AY62" s="104">
        <v>2.2499999999999947E-2</v>
      </c>
      <c r="AZ62" s="104">
        <v>0</v>
      </c>
      <c r="BA62" s="104">
        <v>0</v>
      </c>
      <c r="BB62" s="104">
        <v>0.34872999999999998</v>
      </c>
      <c r="BC62" s="104">
        <v>3.7319999999999992E-2</v>
      </c>
      <c r="BD62" s="332">
        <v>0.40854999999999997</v>
      </c>
      <c r="BE62" s="91"/>
      <c r="BF62" s="91"/>
      <c r="BG62" s="91"/>
    </row>
    <row r="63" spans="2:59" x14ac:dyDescent="0.2">
      <c r="B63" s="100">
        <v>55</v>
      </c>
      <c r="C63" s="838" t="s">
        <v>261</v>
      </c>
      <c r="D63" s="838" t="s">
        <v>4</v>
      </c>
      <c r="E63" s="105">
        <v>10000</v>
      </c>
      <c r="F63" s="106">
        <v>0</v>
      </c>
      <c r="G63" s="106">
        <v>0</v>
      </c>
      <c r="H63" s="844">
        <v>1550</v>
      </c>
      <c r="I63" s="845">
        <v>1550</v>
      </c>
      <c r="J63" s="610">
        <v>0.13402999999999998</v>
      </c>
      <c r="K63" s="612">
        <v>0</v>
      </c>
      <c r="L63" s="612">
        <v>0</v>
      </c>
      <c r="M63" s="612">
        <v>5.6999999999999998E-4</v>
      </c>
      <c r="N63" s="127">
        <v>0.13459999999999997</v>
      </c>
      <c r="O63" s="610">
        <v>6.1399999999999996E-3</v>
      </c>
      <c r="P63" s="612">
        <v>-1.2600000000000001E-3</v>
      </c>
      <c r="Q63" s="612">
        <v>0</v>
      </c>
      <c r="R63" s="244">
        <v>4.8799999999999998E-3</v>
      </c>
      <c r="S63" s="610">
        <v>0</v>
      </c>
      <c r="T63" s="612">
        <v>-1.1199999999999999E-3</v>
      </c>
      <c r="U63" s="612">
        <v>5.1000000000000004E-4</v>
      </c>
      <c r="V63" s="250">
        <v>4.2699999999999995E-3</v>
      </c>
      <c r="W63" s="602"/>
      <c r="X63" s="107">
        <v>0.13402999999999998</v>
      </c>
      <c r="Y63" s="107"/>
      <c r="Z63" s="107">
        <v>0</v>
      </c>
      <c r="AA63" s="107">
        <v>0</v>
      </c>
      <c r="AB63" s="107">
        <v>1.6000000000000001E-3</v>
      </c>
      <c r="AC63" s="338">
        <v>0.13562999999999997</v>
      </c>
      <c r="AD63" s="1494"/>
      <c r="AE63" s="1486">
        <v>0.13890999999999998</v>
      </c>
      <c r="AF63" s="1486"/>
      <c r="AG63" s="1486">
        <v>0</v>
      </c>
      <c r="AH63" s="1486">
        <v>0</v>
      </c>
      <c r="AI63" s="1486">
        <v>9.9000000000000021E-4</v>
      </c>
      <c r="AJ63" s="1502">
        <v>0.13989999999999997</v>
      </c>
      <c r="AK63" s="1495"/>
      <c r="AL63" s="107">
        <v>2.7799999999999999E-3</v>
      </c>
      <c r="AM63" s="107">
        <v>-1.1E-4</v>
      </c>
      <c r="AN63" s="107">
        <v>0</v>
      </c>
      <c r="AO63" s="107">
        <v>-1.08E-3</v>
      </c>
      <c r="AP63" s="913">
        <v>1.5900000000000001E-3</v>
      </c>
      <c r="AQ63" s="121"/>
      <c r="AR63" s="107"/>
      <c r="AS63" s="107"/>
      <c r="AT63" s="107"/>
      <c r="AU63" s="107"/>
      <c r="AV63" s="107"/>
      <c r="AW63" s="338">
        <v>0</v>
      </c>
      <c r="AY63" s="107">
        <v>0.14168999999999998</v>
      </c>
      <c r="AZ63" s="107">
        <v>0</v>
      </c>
      <c r="BA63" s="107">
        <v>0</v>
      </c>
      <c r="BB63" s="107">
        <v>0</v>
      </c>
      <c r="BC63" s="107">
        <v>4.0999999999999999E-4</v>
      </c>
      <c r="BD63" s="333">
        <v>0.14209999999999998</v>
      </c>
      <c r="BE63" s="91"/>
      <c r="BF63" s="91"/>
      <c r="BG63" s="91"/>
    </row>
    <row r="64" spans="2:59" x14ac:dyDescent="0.2">
      <c r="B64" s="100">
        <v>56</v>
      </c>
      <c r="C64" s="838"/>
      <c r="D64" s="838" t="s">
        <v>5</v>
      </c>
      <c r="E64" s="105">
        <v>20000</v>
      </c>
      <c r="F64" s="106">
        <v>0</v>
      </c>
      <c r="G64" s="106"/>
      <c r="H64" s="844"/>
      <c r="I64" s="845"/>
      <c r="J64" s="610">
        <v>0.11997999999999999</v>
      </c>
      <c r="K64" s="612">
        <v>0</v>
      </c>
      <c r="L64" s="612">
        <v>0</v>
      </c>
      <c r="M64" s="612">
        <v>5.1000000000000004E-4</v>
      </c>
      <c r="N64" s="127">
        <v>0.12048999999999999</v>
      </c>
      <c r="O64" s="610">
        <v>5.4999999999999997E-3</v>
      </c>
      <c r="P64" s="612">
        <v>-1.1199999999999999E-3</v>
      </c>
      <c r="Q64" s="612">
        <v>0</v>
      </c>
      <c r="R64" s="244">
        <v>4.3800000000000002E-3</v>
      </c>
      <c r="S64" s="610">
        <v>0</v>
      </c>
      <c r="T64" s="612">
        <v>-1E-3</v>
      </c>
      <c r="U64" s="612">
        <v>4.4999999999999999E-4</v>
      </c>
      <c r="V64" s="250">
        <v>3.8300000000000001E-3</v>
      </c>
      <c r="W64" s="602"/>
      <c r="X64" s="107">
        <v>0.11997999999999999</v>
      </c>
      <c r="Y64" s="107"/>
      <c r="Z64" s="107">
        <v>0</v>
      </c>
      <c r="AA64" s="107">
        <v>0</v>
      </c>
      <c r="AB64" s="107">
        <v>1.4300000000000001E-3</v>
      </c>
      <c r="AC64" s="338">
        <v>0.12140999999999999</v>
      </c>
      <c r="AD64" s="1494"/>
      <c r="AE64" s="107">
        <v>0.12435999999999998</v>
      </c>
      <c r="AF64" s="107"/>
      <c r="AG64" s="107">
        <v>0</v>
      </c>
      <c r="AH64" s="107">
        <v>0</v>
      </c>
      <c r="AI64" s="107">
        <v>8.8000000000000003E-4</v>
      </c>
      <c r="AJ64" s="1503">
        <v>0.12523999999999999</v>
      </c>
      <c r="AK64" s="1495"/>
      <c r="AL64" s="107">
        <v>2.49E-3</v>
      </c>
      <c r="AM64" s="107">
        <v>-1E-4</v>
      </c>
      <c r="AN64" s="107">
        <v>0</v>
      </c>
      <c r="AO64" s="107">
        <v>-9.7000000000000005E-4</v>
      </c>
      <c r="AP64" s="913">
        <v>1.4200000000000003E-3</v>
      </c>
      <c r="AQ64" s="121"/>
      <c r="AR64" s="107"/>
      <c r="AS64" s="107"/>
      <c r="AT64" s="107"/>
      <c r="AU64" s="107"/>
      <c r="AV64" s="107"/>
      <c r="AW64" s="338">
        <v>0</v>
      </c>
      <c r="AY64" s="107">
        <v>0.12684999999999999</v>
      </c>
      <c r="AZ64" s="107">
        <v>0</v>
      </c>
      <c r="BA64" s="107">
        <v>0</v>
      </c>
      <c r="BB64" s="107">
        <v>0</v>
      </c>
      <c r="BC64" s="107">
        <v>3.6000000000000008E-4</v>
      </c>
      <c r="BD64" s="333">
        <v>0.12720999999999999</v>
      </c>
      <c r="BE64" s="91"/>
      <c r="BF64" s="91"/>
      <c r="BG64" s="91"/>
    </row>
    <row r="65" spans="2:59" x14ac:dyDescent="0.2">
      <c r="B65" s="100">
        <v>57</v>
      </c>
      <c r="C65" s="838"/>
      <c r="D65" s="838" t="s">
        <v>6</v>
      </c>
      <c r="E65" s="105">
        <v>20000</v>
      </c>
      <c r="F65" s="106">
        <v>0</v>
      </c>
      <c r="G65" s="106"/>
      <c r="H65" s="844"/>
      <c r="I65" s="845"/>
      <c r="J65" s="610">
        <v>9.1999999999999998E-2</v>
      </c>
      <c r="K65" s="612">
        <v>0</v>
      </c>
      <c r="L65" s="612">
        <v>0</v>
      </c>
      <c r="M65" s="612">
        <v>3.7999999999999997E-4</v>
      </c>
      <c r="N65" s="127">
        <v>9.2380000000000004E-2</v>
      </c>
      <c r="O65" s="610">
        <v>4.2199999999999998E-3</v>
      </c>
      <c r="P65" s="612">
        <v>-8.5999999999999998E-4</v>
      </c>
      <c r="Q65" s="612">
        <v>0</v>
      </c>
      <c r="R65" s="244">
        <v>3.3599999999999997E-3</v>
      </c>
      <c r="S65" s="610">
        <v>0</v>
      </c>
      <c r="T65" s="612">
        <v>-7.6999999999999996E-4</v>
      </c>
      <c r="U65" s="612">
        <v>3.5E-4</v>
      </c>
      <c r="V65" s="250">
        <v>2.9399999999999999E-3</v>
      </c>
      <c r="W65" s="602"/>
      <c r="X65" s="107">
        <v>9.1999999999999998E-2</v>
      </c>
      <c r="Y65" s="107"/>
      <c r="Z65" s="107">
        <v>0</v>
      </c>
      <c r="AA65" s="107">
        <v>0</v>
      </c>
      <c r="AB65" s="107">
        <v>1.1000000000000001E-3</v>
      </c>
      <c r="AC65" s="338">
        <v>9.3100000000000002E-2</v>
      </c>
      <c r="AD65" s="1494"/>
      <c r="AE65" s="107">
        <v>9.536E-2</v>
      </c>
      <c r="AF65" s="107"/>
      <c r="AG65" s="107">
        <v>0</v>
      </c>
      <c r="AH65" s="107">
        <v>0</v>
      </c>
      <c r="AI65" s="107">
        <v>6.8000000000000005E-4</v>
      </c>
      <c r="AJ65" s="1503">
        <v>9.604E-2</v>
      </c>
      <c r="AK65" s="1495"/>
      <c r="AL65" s="107">
        <v>1.91E-3</v>
      </c>
      <c r="AM65" s="107">
        <v>-8.0000000000000007E-5</v>
      </c>
      <c r="AN65" s="107">
        <v>0</v>
      </c>
      <c r="AO65" s="107">
        <v>-7.3999999999999999E-4</v>
      </c>
      <c r="AP65" s="913">
        <v>1.09E-3</v>
      </c>
      <c r="AQ65" s="121"/>
      <c r="AR65" s="107"/>
      <c r="AS65" s="107"/>
      <c r="AT65" s="107"/>
      <c r="AU65" s="107"/>
      <c r="AV65" s="107"/>
      <c r="AW65" s="338">
        <v>0</v>
      </c>
      <c r="AY65" s="107">
        <v>9.7269999999999995E-2</v>
      </c>
      <c r="AZ65" s="107">
        <v>0</v>
      </c>
      <c r="BA65" s="107">
        <v>0</v>
      </c>
      <c r="BB65" s="107">
        <v>0</v>
      </c>
      <c r="BC65" s="107">
        <v>2.8000000000000014E-4</v>
      </c>
      <c r="BD65" s="333">
        <v>9.7549999999999998E-2</v>
      </c>
      <c r="BE65" s="91"/>
      <c r="BF65" s="91"/>
      <c r="BG65" s="91"/>
    </row>
    <row r="66" spans="2:59" x14ac:dyDescent="0.2">
      <c r="B66" s="100">
        <v>58</v>
      </c>
      <c r="C66" s="838"/>
      <c r="D66" s="838" t="s">
        <v>7</v>
      </c>
      <c r="E66" s="105">
        <v>100000</v>
      </c>
      <c r="F66" s="106">
        <v>0</v>
      </c>
      <c r="G66" s="106"/>
      <c r="H66" s="844"/>
      <c r="I66" s="845"/>
      <c r="J66" s="610">
        <v>7.3609999999999995E-2</v>
      </c>
      <c r="K66" s="612">
        <v>0</v>
      </c>
      <c r="L66" s="612">
        <v>0</v>
      </c>
      <c r="M66" s="612">
        <v>3.0999999999999995E-4</v>
      </c>
      <c r="N66" s="127">
        <v>7.392E-2</v>
      </c>
      <c r="O66" s="610">
        <v>3.3700000000000002E-3</v>
      </c>
      <c r="P66" s="612">
        <v>-6.8999999999999997E-4</v>
      </c>
      <c r="Q66" s="612">
        <v>0</v>
      </c>
      <c r="R66" s="244">
        <v>2.6800000000000001E-3</v>
      </c>
      <c r="S66" s="610">
        <v>0</v>
      </c>
      <c r="T66" s="612">
        <v>-6.0999999999999997E-4</v>
      </c>
      <c r="U66" s="612">
        <v>2.7999999999999998E-4</v>
      </c>
      <c r="V66" s="250">
        <v>2.3500000000000001E-3</v>
      </c>
      <c r="W66" s="602"/>
      <c r="X66" s="107">
        <v>7.3609999999999995E-2</v>
      </c>
      <c r="Y66" s="107"/>
      <c r="Z66" s="107">
        <v>0</v>
      </c>
      <c r="AA66" s="107">
        <v>0</v>
      </c>
      <c r="AB66" s="107">
        <v>8.8000000000000003E-4</v>
      </c>
      <c r="AC66" s="338">
        <v>7.4490000000000001E-2</v>
      </c>
      <c r="AD66" s="1494"/>
      <c r="AE66" s="107">
        <v>7.6289999999999997E-2</v>
      </c>
      <c r="AF66" s="107"/>
      <c r="AG66" s="107">
        <v>0</v>
      </c>
      <c r="AH66" s="107">
        <v>0</v>
      </c>
      <c r="AI66" s="107">
        <v>5.5000000000000003E-4</v>
      </c>
      <c r="AJ66" s="1503">
        <v>7.6839999999999992E-2</v>
      </c>
      <c r="AK66" s="1495"/>
      <c r="AL66" s="107">
        <v>1.5299999999999999E-3</v>
      </c>
      <c r="AM66" s="107">
        <v>-6.0000000000000002E-5</v>
      </c>
      <c r="AN66" s="107">
        <v>0</v>
      </c>
      <c r="AO66" s="107">
        <v>-5.9000000000000003E-4</v>
      </c>
      <c r="AP66" s="913">
        <v>8.7999999999999992E-4</v>
      </c>
      <c r="AQ66" s="121"/>
      <c r="AR66" s="107"/>
      <c r="AS66" s="107"/>
      <c r="AT66" s="107"/>
      <c r="AU66" s="107"/>
      <c r="AV66" s="107"/>
      <c r="AW66" s="338">
        <v>0</v>
      </c>
      <c r="AY66" s="107">
        <v>7.782E-2</v>
      </c>
      <c r="AZ66" s="107">
        <v>0</v>
      </c>
      <c r="BA66" s="107">
        <v>0</v>
      </c>
      <c r="BB66" s="107">
        <v>0</v>
      </c>
      <c r="BC66" s="107">
        <v>2.2999999999999995E-4</v>
      </c>
      <c r="BD66" s="333">
        <v>7.8049999999999994E-2</v>
      </c>
      <c r="BE66" s="91"/>
      <c r="BF66" s="91"/>
      <c r="BG66" s="91"/>
    </row>
    <row r="67" spans="2:59" x14ac:dyDescent="0.2">
      <c r="B67" s="100">
        <v>59</v>
      </c>
      <c r="C67" s="838"/>
      <c r="D67" s="838" t="s">
        <v>8</v>
      </c>
      <c r="E67" s="105">
        <v>600000</v>
      </c>
      <c r="F67" s="106">
        <v>0</v>
      </c>
      <c r="G67" s="106"/>
      <c r="H67" s="844"/>
      <c r="I67" s="845"/>
      <c r="J67" s="610">
        <v>4.9079999999999999E-2</v>
      </c>
      <c r="K67" s="612">
        <v>0</v>
      </c>
      <c r="L67" s="612">
        <v>0</v>
      </c>
      <c r="M67" s="612">
        <v>2.0999999999999998E-4</v>
      </c>
      <c r="N67" s="127">
        <v>4.929E-2</v>
      </c>
      <c r="O67" s="610">
        <v>2.2499999999999998E-3</v>
      </c>
      <c r="P67" s="612">
        <v>-4.6000000000000001E-4</v>
      </c>
      <c r="Q67" s="612">
        <v>0</v>
      </c>
      <c r="R67" s="244">
        <v>1.7899999999999999E-3</v>
      </c>
      <c r="S67" s="610">
        <v>0</v>
      </c>
      <c r="T67" s="612">
        <v>-4.0999999999999999E-4</v>
      </c>
      <c r="U67" s="612">
        <v>1.9000000000000001E-4</v>
      </c>
      <c r="V67" s="250">
        <v>1.57E-3</v>
      </c>
      <c r="W67" s="602"/>
      <c r="X67" s="107">
        <v>4.9079999999999999E-2</v>
      </c>
      <c r="Y67" s="107"/>
      <c r="Z67" s="107">
        <v>0</v>
      </c>
      <c r="AA67" s="107">
        <v>0</v>
      </c>
      <c r="AB67" s="107">
        <v>5.9000000000000003E-4</v>
      </c>
      <c r="AC67" s="338">
        <v>4.9669999999999999E-2</v>
      </c>
      <c r="AD67" s="1494"/>
      <c r="AE67" s="107">
        <v>5.0869999999999999E-2</v>
      </c>
      <c r="AF67" s="107"/>
      <c r="AG67" s="107">
        <v>0</v>
      </c>
      <c r="AH67" s="107">
        <v>0</v>
      </c>
      <c r="AI67" s="107">
        <v>3.7000000000000005E-4</v>
      </c>
      <c r="AJ67" s="1503">
        <v>5.1240000000000001E-2</v>
      </c>
      <c r="AK67" s="1495"/>
      <c r="AL67" s="107">
        <v>1.0200000000000001E-3</v>
      </c>
      <c r="AM67" s="107">
        <v>-4.0000000000000003E-5</v>
      </c>
      <c r="AN67" s="107">
        <v>0</v>
      </c>
      <c r="AO67" s="107">
        <v>-4.0000000000000002E-4</v>
      </c>
      <c r="AP67" s="913">
        <v>5.8E-4</v>
      </c>
      <c r="AQ67" s="121"/>
      <c r="AR67" s="107"/>
      <c r="AS67" s="107"/>
      <c r="AT67" s="107"/>
      <c r="AU67" s="107"/>
      <c r="AV67" s="107"/>
      <c r="AW67" s="338">
        <v>0</v>
      </c>
      <c r="AY67" s="107">
        <v>5.1889999999999999E-2</v>
      </c>
      <c r="AZ67" s="107">
        <v>0</v>
      </c>
      <c r="BA67" s="107">
        <v>0</v>
      </c>
      <c r="BB67" s="107">
        <v>0</v>
      </c>
      <c r="BC67" s="107">
        <v>1.4999999999999999E-4</v>
      </c>
      <c r="BD67" s="333">
        <v>5.2039999999999996E-2</v>
      </c>
      <c r="BE67" s="91"/>
      <c r="BF67" s="91"/>
      <c r="BG67" s="91"/>
    </row>
    <row r="68" spans="2:59" x14ac:dyDescent="0.2">
      <c r="B68" s="100">
        <v>60</v>
      </c>
      <c r="C68" s="836"/>
      <c r="D68" s="836" t="s">
        <v>9</v>
      </c>
      <c r="E68" s="102" t="s">
        <v>59</v>
      </c>
      <c r="F68" s="103">
        <v>0</v>
      </c>
      <c r="G68" s="103"/>
      <c r="H68" s="839"/>
      <c r="I68" s="841"/>
      <c r="J68" s="609">
        <v>1.839E-2</v>
      </c>
      <c r="K68" s="613">
        <v>0</v>
      </c>
      <c r="L68" s="613">
        <v>0</v>
      </c>
      <c r="M68" s="613">
        <v>6.9999999999999994E-5</v>
      </c>
      <c r="N68" s="125">
        <v>1.8460000000000001E-2</v>
      </c>
      <c r="O68" s="609">
        <v>8.4000000000000003E-4</v>
      </c>
      <c r="P68" s="613">
        <v>-1.7000000000000001E-4</v>
      </c>
      <c r="Q68" s="613">
        <v>0</v>
      </c>
      <c r="R68" s="243">
        <v>6.7000000000000002E-4</v>
      </c>
      <c r="S68" s="609">
        <v>0</v>
      </c>
      <c r="T68" s="613">
        <v>-1.4999999999999999E-4</v>
      </c>
      <c r="U68" s="613">
        <v>6.9999999999999994E-5</v>
      </c>
      <c r="V68" s="249">
        <v>5.9000000000000003E-4</v>
      </c>
      <c r="W68" s="602"/>
      <c r="X68" s="104">
        <v>1.839E-2</v>
      </c>
      <c r="Y68" s="104"/>
      <c r="Z68" s="104">
        <v>0</v>
      </c>
      <c r="AA68" s="104">
        <v>0</v>
      </c>
      <c r="AB68" s="104">
        <v>2.2000000000000001E-4</v>
      </c>
      <c r="AC68" s="337">
        <v>1.8610000000000002E-2</v>
      </c>
      <c r="AD68" s="1494"/>
      <c r="AE68" s="104">
        <v>1.9060000000000001E-2</v>
      </c>
      <c r="AF68" s="104"/>
      <c r="AG68" s="104">
        <v>0</v>
      </c>
      <c r="AH68" s="104">
        <v>0</v>
      </c>
      <c r="AI68" s="104">
        <v>1.4000000000000001E-4</v>
      </c>
      <c r="AJ68" s="1498">
        <v>1.9200000000000002E-2</v>
      </c>
      <c r="AK68" s="1495"/>
      <c r="AL68" s="104">
        <v>3.8000000000000002E-4</v>
      </c>
      <c r="AM68" s="104">
        <v>-2.0000000000000002E-5</v>
      </c>
      <c r="AN68" s="104">
        <v>0</v>
      </c>
      <c r="AO68" s="104">
        <v>-1.4999999999999999E-4</v>
      </c>
      <c r="AP68" s="912">
        <v>2.1000000000000004E-4</v>
      </c>
      <c r="AQ68" s="121"/>
      <c r="AR68" s="104"/>
      <c r="AS68" s="104"/>
      <c r="AT68" s="104"/>
      <c r="AU68" s="104"/>
      <c r="AV68" s="104"/>
      <c r="AW68" s="337">
        <v>0</v>
      </c>
      <c r="AY68" s="104">
        <v>1.9439999999999999E-2</v>
      </c>
      <c r="AZ68" s="104">
        <v>0</v>
      </c>
      <c r="BA68" s="104">
        <v>0</v>
      </c>
      <c r="BB68" s="104">
        <v>0</v>
      </c>
      <c r="BC68" s="104">
        <v>5.0000000000000023E-5</v>
      </c>
      <c r="BD68" s="332">
        <v>1.949E-2</v>
      </c>
      <c r="BE68" s="91"/>
      <c r="BF68" s="91"/>
      <c r="BG68" s="91"/>
    </row>
    <row r="69" spans="2:59" x14ac:dyDescent="0.2">
      <c r="B69" s="100">
        <v>61</v>
      </c>
      <c r="C69" s="838" t="s">
        <v>262</v>
      </c>
      <c r="D69" s="838" t="s">
        <v>4</v>
      </c>
      <c r="E69" s="105">
        <v>10000</v>
      </c>
      <c r="F69" s="106">
        <v>844078</v>
      </c>
      <c r="G69" s="106">
        <v>7</v>
      </c>
      <c r="H69" s="844">
        <v>1550</v>
      </c>
      <c r="I69" s="845">
        <v>1550</v>
      </c>
      <c r="J69" s="610">
        <v>0.13402999999999998</v>
      </c>
      <c r="K69" s="612">
        <v>0</v>
      </c>
      <c r="L69" s="612">
        <v>0</v>
      </c>
      <c r="M69" s="612">
        <v>5.6999999999999998E-4</v>
      </c>
      <c r="N69" s="127">
        <v>0.13459999999999997</v>
      </c>
      <c r="O69" s="610">
        <v>8.7899999999999992E-3</v>
      </c>
      <c r="P69" s="612">
        <v>-1.49E-3</v>
      </c>
      <c r="Q69" s="612">
        <v>0</v>
      </c>
      <c r="R69" s="244">
        <v>7.2999999999999992E-3</v>
      </c>
      <c r="S69" s="610">
        <v>0</v>
      </c>
      <c r="T69" s="612">
        <v>-1.34E-3</v>
      </c>
      <c r="U69" s="612">
        <v>4.6999999999999999E-4</v>
      </c>
      <c r="V69" s="250">
        <v>6.4299999999999991E-3</v>
      </c>
      <c r="W69" s="602"/>
      <c r="X69" s="107">
        <v>0.13402999999999998</v>
      </c>
      <c r="Y69" s="107"/>
      <c r="Z69" s="107">
        <v>0</v>
      </c>
      <c r="AA69" s="107">
        <v>0</v>
      </c>
      <c r="AB69" s="107">
        <v>1.6000000000000001E-3</v>
      </c>
      <c r="AC69" s="338">
        <v>0.13562999999999997</v>
      </c>
      <c r="AD69" s="1494"/>
      <c r="AE69" s="1486">
        <v>0.14132999999999998</v>
      </c>
      <c r="AF69" s="1486"/>
      <c r="AG69" s="1486">
        <v>0</v>
      </c>
      <c r="AH69" s="1486">
        <v>0</v>
      </c>
      <c r="AI69" s="1486">
        <v>7.2999999999999996E-4</v>
      </c>
      <c r="AJ69" s="1502">
        <v>0.14205999999999999</v>
      </c>
      <c r="AK69" s="1495"/>
      <c r="AL69" s="107">
        <v>3.3300000000000001E-3</v>
      </c>
      <c r="AM69" s="107">
        <v>-1.2999999999999999E-4</v>
      </c>
      <c r="AN69" s="107">
        <v>0</v>
      </c>
      <c r="AO69" s="107">
        <v>-1.2999999999999999E-3</v>
      </c>
      <c r="AP69" s="913">
        <v>1.9000000000000002E-3</v>
      </c>
      <c r="AQ69" s="121"/>
      <c r="AR69" s="107"/>
      <c r="AS69" s="107"/>
      <c r="AT69" s="107"/>
      <c r="AU69" s="107"/>
      <c r="AV69" s="107"/>
      <c r="AW69" s="338">
        <v>0</v>
      </c>
      <c r="AY69" s="107">
        <v>0.14465999999999998</v>
      </c>
      <c r="AZ69" s="107">
        <v>0</v>
      </c>
      <c r="BA69" s="107">
        <v>0</v>
      </c>
      <c r="BB69" s="107">
        <v>0</v>
      </c>
      <c r="BC69" s="107">
        <v>1.7000000000000023E-4</v>
      </c>
      <c r="BD69" s="333">
        <v>0.14482999999999999</v>
      </c>
      <c r="BE69" s="91"/>
      <c r="BF69" s="91"/>
      <c r="BG69" s="91"/>
    </row>
    <row r="70" spans="2:59" x14ac:dyDescent="0.2">
      <c r="B70" s="100">
        <v>62</v>
      </c>
      <c r="C70" s="838"/>
      <c r="D70" s="838" t="s">
        <v>5</v>
      </c>
      <c r="E70" s="105">
        <v>20000</v>
      </c>
      <c r="F70" s="106">
        <v>1445175</v>
      </c>
      <c r="G70" s="106"/>
      <c r="H70" s="844"/>
      <c r="I70" s="845"/>
      <c r="J70" s="610">
        <v>0.11997999999999999</v>
      </c>
      <c r="K70" s="612">
        <v>0</v>
      </c>
      <c r="L70" s="612">
        <v>0</v>
      </c>
      <c r="M70" s="612">
        <v>5.1000000000000004E-4</v>
      </c>
      <c r="N70" s="127">
        <v>0.12048999999999999</v>
      </c>
      <c r="O70" s="610">
        <v>7.8600000000000007E-3</v>
      </c>
      <c r="P70" s="612">
        <v>-1.33E-3</v>
      </c>
      <c r="Q70" s="612">
        <v>0</v>
      </c>
      <c r="R70" s="244">
        <v>6.5300000000000011E-3</v>
      </c>
      <c r="S70" s="610">
        <v>0</v>
      </c>
      <c r="T70" s="612">
        <v>-1.1999999999999999E-3</v>
      </c>
      <c r="U70" s="612">
        <v>4.2000000000000002E-4</v>
      </c>
      <c r="V70" s="250">
        <v>5.7500000000000016E-3</v>
      </c>
      <c r="W70" s="602"/>
      <c r="X70" s="107">
        <v>0.11997999999999999</v>
      </c>
      <c r="Y70" s="107"/>
      <c r="Z70" s="107">
        <v>0</v>
      </c>
      <c r="AA70" s="107">
        <v>0</v>
      </c>
      <c r="AB70" s="107">
        <v>1.4300000000000001E-3</v>
      </c>
      <c r="AC70" s="338">
        <v>0.12140999999999999</v>
      </c>
      <c r="AD70" s="1494"/>
      <c r="AE70" s="107">
        <v>0.12650999999999998</v>
      </c>
      <c r="AF70" s="107"/>
      <c r="AG70" s="107">
        <v>0</v>
      </c>
      <c r="AH70" s="107">
        <v>0</v>
      </c>
      <c r="AI70" s="107">
        <v>6.5000000000000019E-4</v>
      </c>
      <c r="AJ70" s="1503">
        <v>0.12716</v>
      </c>
      <c r="AK70" s="1495"/>
      <c r="AL70" s="107">
        <v>2.98E-3</v>
      </c>
      <c r="AM70" s="107">
        <v>-1.2E-4</v>
      </c>
      <c r="AN70" s="107">
        <v>0</v>
      </c>
      <c r="AO70" s="107">
        <v>-1.16E-3</v>
      </c>
      <c r="AP70" s="913">
        <v>1.7000000000000001E-3</v>
      </c>
      <c r="AQ70" s="121"/>
      <c r="AR70" s="107"/>
      <c r="AS70" s="107"/>
      <c r="AT70" s="107"/>
      <c r="AU70" s="107"/>
      <c r="AV70" s="107"/>
      <c r="AW70" s="338">
        <v>0</v>
      </c>
      <c r="AY70" s="107">
        <v>0.12948999999999999</v>
      </c>
      <c r="AZ70" s="107">
        <v>0</v>
      </c>
      <c r="BA70" s="107">
        <v>0</v>
      </c>
      <c r="BB70" s="107">
        <v>0</v>
      </c>
      <c r="BC70" s="107">
        <v>1.4999999999999996E-4</v>
      </c>
      <c r="BD70" s="333">
        <v>0.12964000000000001</v>
      </c>
      <c r="BE70" s="91"/>
      <c r="BF70" s="91"/>
      <c r="BG70" s="91"/>
    </row>
    <row r="71" spans="2:59" x14ac:dyDescent="0.2">
      <c r="B71" s="100">
        <v>63</v>
      </c>
      <c r="C71" s="838"/>
      <c r="D71" s="838" t="s">
        <v>6</v>
      </c>
      <c r="E71" s="105">
        <v>20000</v>
      </c>
      <c r="F71" s="106">
        <v>1034978</v>
      </c>
      <c r="G71" s="106"/>
      <c r="H71" s="844"/>
      <c r="I71" s="845"/>
      <c r="J71" s="610">
        <v>9.1999999999999998E-2</v>
      </c>
      <c r="K71" s="612">
        <v>0</v>
      </c>
      <c r="L71" s="612">
        <v>0</v>
      </c>
      <c r="M71" s="612">
        <v>3.7999999999999997E-4</v>
      </c>
      <c r="N71" s="127">
        <v>9.2380000000000004E-2</v>
      </c>
      <c r="O71" s="610">
        <v>6.0299999999999998E-3</v>
      </c>
      <c r="P71" s="612">
        <v>-1.0200000000000001E-3</v>
      </c>
      <c r="Q71" s="612">
        <v>0</v>
      </c>
      <c r="R71" s="244">
        <v>5.0099999999999997E-3</v>
      </c>
      <c r="S71" s="610">
        <v>0</v>
      </c>
      <c r="T71" s="612">
        <v>-9.2000000000000003E-4</v>
      </c>
      <c r="U71" s="612">
        <v>3.2000000000000003E-4</v>
      </c>
      <c r="V71" s="250">
        <v>4.4099999999999999E-3</v>
      </c>
      <c r="W71" s="602"/>
      <c r="X71" s="107">
        <v>9.1999999999999998E-2</v>
      </c>
      <c r="Y71" s="107"/>
      <c r="Z71" s="107">
        <v>0</v>
      </c>
      <c r="AA71" s="107">
        <v>0</v>
      </c>
      <c r="AB71" s="107">
        <v>1.1000000000000001E-3</v>
      </c>
      <c r="AC71" s="338">
        <v>9.3100000000000002E-2</v>
      </c>
      <c r="AD71" s="1494"/>
      <c r="AE71" s="107">
        <v>9.7009999999999985E-2</v>
      </c>
      <c r="AF71" s="107"/>
      <c r="AG71" s="107">
        <v>0</v>
      </c>
      <c r="AH71" s="107">
        <v>0</v>
      </c>
      <c r="AI71" s="107">
        <v>5.0000000000000001E-4</v>
      </c>
      <c r="AJ71" s="1503">
        <v>9.7509999999999986E-2</v>
      </c>
      <c r="AK71" s="1495"/>
      <c r="AL71" s="107">
        <v>2.2799999999999999E-3</v>
      </c>
      <c r="AM71" s="107">
        <v>-9.0000000000000006E-5</v>
      </c>
      <c r="AN71" s="107">
        <v>0</v>
      </c>
      <c r="AO71" s="107">
        <v>-8.8999999999999995E-4</v>
      </c>
      <c r="AP71" s="913">
        <v>1.3000000000000002E-3</v>
      </c>
      <c r="AQ71" s="121"/>
      <c r="AR71" s="107"/>
      <c r="AS71" s="107"/>
      <c r="AT71" s="107"/>
      <c r="AU71" s="107"/>
      <c r="AV71" s="107"/>
      <c r="AW71" s="338">
        <v>0</v>
      </c>
      <c r="AY71" s="107">
        <v>9.9289999999999989E-2</v>
      </c>
      <c r="AZ71" s="107">
        <v>0</v>
      </c>
      <c r="BA71" s="107">
        <v>0</v>
      </c>
      <c r="BB71" s="107">
        <v>0</v>
      </c>
      <c r="BC71" s="107">
        <v>1.200000000000001E-4</v>
      </c>
      <c r="BD71" s="333">
        <v>9.9409999999999984E-2</v>
      </c>
      <c r="BE71" s="91"/>
      <c r="BF71" s="91"/>
      <c r="BG71" s="91"/>
    </row>
    <row r="72" spans="2:59" x14ac:dyDescent="0.2">
      <c r="B72" s="100">
        <v>64</v>
      </c>
      <c r="C72" s="838"/>
      <c r="D72" s="838" t="s">
        <v>7</v>
      </c>
      <c r="E72" s="105">
        <v>100000</v>
      </c>
      <c r="F72" s="106">
        <v>3359916</v>
      </c>
      <c r="G72" s="106"/>
      <c r="H72" s="844"/>
      <c r="I72" s="845"/>
      <c r="J72" s="610">
        <v>7.3609999999999995E-2</v>
      </c>
      <c r="K72" s="612">
        <v>0</v>
      </c>
      <c r="L72" s="612">
        <v>0</v>
      </c>
      <c r="M72" s="612">
        <v>3.0999999999999995E-4</v>
      </c>
      <c r="N72" s="127">
        <v>7.392E-2</v>
      </c>
      <c r="O72" s="610">
        <v>4.8300000000000001E-3</v>
      </c>
      <c r="P72" s="612">
        <v>-8.1999999999999998E-4</v>
      </c>
      <c r="Q72" s="612">
        <v>0</v>
      </c>
      <c r="R72" s="244">
        <v>4.0099999999999997E-3</v>
      </c>
      <c r="S72" s="610">
        <v>0</v>
      </c>
      <c r="T72" s="612">
        <v>-7.3999999999999999E-4</v>
      </c>
      <c r="U72" s="612">
        <v>2.5999999999999998E-4</v>
      </c>
      <c r="V72" s="250">
        <v>3.5299999999999993E-3</v>
      </c>
      <c r="W72" s="602"/>
      <c r="X72" s="107">
        <v>7.3609999999999995E-2</v>
      </c>
      <c r="Y72" s="107"/>
      <c r="Z72" s="107">
        <v>0</v>
      </c>
      <c r="AA72" s="107">
        <v>0</v>
      </c>
      <c r="AB72" s="107">
        <v>8.8000000000000003E-4</v>
      </c>
      <c r="AC72" s="338">
        <v>7.4490000000000001E-2</v>
      </c>
      <c r="AD72" s="1494"/>
      <c r="AE72" s="107">
        <v>7.7619999999999995E-2</v>
      </c>
      <c r="AF72" s="107"/>
      <c r="AG72" s="107">
        <v>0</v>
      </c>
      <c r="AH72" s="107">
        <v>0</v>
      </c>
      <c r="AI72" s="107">
        <v>4.0000000000000002E-4</v>
      </c>
      <c r="AJ72" s="1503">
        <v>7.8019999999999992E-2</v>
      </c>
      <c r="AK72" s="1495"/>
      <c r="AL72" s="107">
        <v>1.83E-3</v>
      </c>
      <c r="AM72" s="107">
        <v>-6.9999999999999994E-5</v>
      </c>
      <c r="AN72" s="107">
        <v>0</v>
      </c>
      <c r="AO72" s="107">
        <v>-7.1000000000000002E-4</v>
      </c>
      <c r="AP72" s="913">
        <v>1.0500000000000002E-3</v>
      </c>
      <c r="AQ72" s="121"/>
      <c r="AR72" s="107"/>
      <c r="AS72" s="107"/>
      <c r="AT72" s="107"/>
      <c r="AU72" s="107"/>
      <c r="AV72" s="107"/>
      <c r="AW72" s="338">
        <v>0</v>
      </c>
      <c r="AY72" s="107">
        <v>7.9449999999999993E-2</v>
      </c>
      <c r="AZ72" s="107">
        <v>0</v>
      </c>
      <c r="BA72" s="107">
        <v>0</v>
      </c>
      <c r="BB72" s="107">
        <v>0</v>
      </c>
      <c r="BC72" s="107">
        <v>1.0000000000000005E-4</v>
      </c>
      <c r="BD72" s="333">
        <v>7.9549999999999996E-2</v>
      </c>
      <c r="BE72" s="91"/>
      <c r="BF72" s="91"/>
      <c r="BG72" s="91"/>
    </row>
    <row r="73" spans="2:59" x14ac:dyDescent="0.2">
      <c r="B73" s="100">
        <v>65</v>
      </c>
      <c r="C73" s="838"/>
      <c r="D73" s="838" t="s">
        <v>8</v>
      </c>
      <c r="E73" s="105">
        <v>600000</v>
      </c>
      <c r="F73" s="106">
        <v>1349120</v>
      </c>
      <c r="G73" s="106"/>
      <c r="H73" s="844"/>
      <c r="I73" s="845"/>
      <c r="J73" s="610">
        <v>4.9079999999999999E-2</v>
      </c>
      <c r="K73" s="612">
        <v>0</v>
      </c>
      <c r="L73" s="612">
        <v>0</v>
      </c>
      <c r="M73" s="612">
        <v>2.0999999999999998E-4</v>
      </c>
      <c r="N73" s="127">
        <v>4.929E-2</v>
      </c>
      <c r="O73" s="610">
        <v>3.2200000000000002E-3</v>
      </c>
      <c r="P73" s="612">
        <v>-5.5000000000000003E-4</v>
      </c>
      <c r="Q73" s="612">
        <v>0</v>
      </c>
      <c r="R73" s="244">
        <v>2.6700000000000001E-3</v>
      </c>
      <c r="S73" s="610">
        <v>0</v>
      </c>
      <c r="T73" s="612">
        <v>-4.8999999999999998E-4</v>
      </c>
      <c r="U73" s="612">
        <v>1.7000000000000001E-4</v>
      </c>
      <c r="V73" s="250">
        <v>2.3500000000000001E-3</v>
      </c>
      <c r="W73" s="602"/>
      <c r="X73" s="107">
        <v>4.9079999999999999E-2</v>
      </c>
      <c r="Y73" s="107"/>
      <c r="Z73" s="107">
        <v>0</v>
      </c>
      <c r="AA73" s="107">
        <v>0</v>
      </c>
      <c r="AB73" s="107">
        <v>5.9000000000000003E-4</v>
      </c>
      <c r="AC73" s="338">
        <v>4.9669999999999999E-2</v>
      </c>
      <c r="AD73" s="1494"/>
      <c r="AE73" s="107">
        <v>5.1749999999999997E-2</v>
      </c>
      <c r="AF73" s="107"/>
      <c r="AG73" s="107">
        <v>0</v>
      </c>
      <c r="AH73" s="107">
        <v>0</v>
      </c>
      <c r="AI73" s="107">
        <v>2.7000000000000006E-4</v>
      </c>
      <c r="AJ73" s="1503">
        <v>5.2019999999999997E-2</v>
      </c>
      <c r="AK73" s="1495"/>
      <c r="AL73" s="107">
        <v>1.2199999999999999E-3</v>
      </c>
      <c r="AM73" s="107">
        <v>-5.0000000000000002E-5</v>
      </c>
      <c r="AN73" s="107">
        <v>0</v>
      </c>
      <c r="AO73" s="107">
        <v>-4.6999999999999999E-4</v>
      </c>
      <c r="AP73" s="913">
        <v>7.000000000000001E-4</v>
      </c>
      <c r="AQ73" s="121"/>
      <c r="AR73" s="107"/>
      <c r="AS73" s="107"/>
      <c r="AT73" s="107"/>
      <c r="AU73" s="107"/>
      <c r="AV73" s="107"/>
      <c r="AW73" s="338">
        <v>0</v>
      </c>
      <c r="AY73" s="107">
        <v>5.2969999999999996E-2</v>
      </c>
      <c r="AZ73" s="107">
        <v>0</v>
      </c>
      <c r="BA73" s="107">
        <v>0</v>
      </c>
      <c r="BB73" s="107">
        <v>0</v>
      </c>
      <c r="BC73" s="107">
        <v>7.0000000000000075E-5</v>
      </c>
      <c r="BD73" s="333">
        <v>5.3039999999999997E-2</v>
      </c>
      <c r="BE73" s="91"/>
      <c r="BF73" s="91"/>
      <c r="BG73" s="91"/>
    </row>
    <row r="74" spans="2:59" x14ac:dyDescent="0.2">
      <c r="B74" s="100">
        <v>66</v>
      </c>
      <c r="C74" s="836"/>
      <c r="D74" s="836" t="s">
        <v>9</v>
      </c>
      <c r="E74" s="102" t="s">
        <v>59</v>
      </c>
      <c r="F74" s="103">
        <v>0</v>
      </c>
      <c r="G74" s="103"/>
      <c r="H74" s="839"/>
      <c r="I74" s="841"/>
      <c r="J74" s="610">
        <v>1.839E-2</v>
      </c>
      <c r="K74" s="612">
        <v>0</v>
      </c>
      <c r="L74" s="612">
        <v>0</v>
      </c>
      <c r="M74" s="612">
        <v>6.9999999999999994E-5</v>
      </c>
      <c r="N74" s="611">
        <v>1.8460000000000001E-2</v>
      </c>
      <c r="O74" s="610">
        <v>1.2099999999999999E-3</v>
      </c>
      <c r="P74" s="612">
        <v>-2.0000000000000001E-4</v>
      </c>
      <c r="Q74" s="612">
        <v>0</v>
      </c>
      <c r="R74" s="244">
        <v>1.0099999999999998E-3</v>
      </c>
      <c r="S74" s="610">
        <v>0</v>
      </c>
      <c r="T74" s="612">
        <v>-1.8000000000000001E-4</v>
      </c>
      <c r="U74" s="612">
        <v>6.0000000000000002E-5</v>
      </c>
      <c r="V74" s="250">
        <v>8.8999999999999984E-4</v>
      </c>
      <c r="W74" s="602"/>
      <c r="X74" s="107">
        <v>1.839E-2</v>
      </c>
      <c r="Y74" s="107"/>
      <c r="Z74" s="107">
        <v>0</v>
      </c>
      <c r="AA74" s="107">
        <v>0</v>
      </c>
      <c r="AB74" s="107">
        <v>2.2000000000000001E-4</v>
      </c>
      <c r="AC74" s="338">
        <v>1.8610000000000002E-2</v>
      </c>
      <c r="AD74" s="1494"/>
      <c r="AE74" s="104">
        <v>1.9400000000000001E-2</v>
      </c>
      <c r="AF74" s="104"/>
      <c r="AG74" s="104">
        <v>0</v>
      </c>
      <c r="AH74" s="104">
        <v>0</v>
      </c>
      <c r="AI74" s="104">
        <v>9.9999999999999991E-5</v>
      </c>
      <c r="AJ74" s="1498">
        <v>1.95E-2</v>
      </c>
      <c r="AK74" s="1495"/>
      <c r="AL74" s="107">
        <v>4.6000000000000001E-4</v>
      </c>
      <c r="AM74" s="107">
        <v>-2.0000000000000002E-5</v>
      </c>
      <c r="AN74" s="107">
        <v>0</v>
      </c>
      <c r="AO74" s="107">
        <v>-1.8000000000000001E-4</v>
      </c>
      <c r="AP74" s="913">
        <v>2.6000000000000003E-4</v>
      </c>
      <c r="AQ74" s="121"/>
      <c r="AR74" s="107"/>
      <c r="AS74" s="107"/>
      <c r="AT74" s="107"/>
      <c r="AU74" s="107"/>
      <c r="AV74" s="107"/>
      <c r="AW74" s="338">
        <v>0</v>
      </c>
      <c r="AY74" s="107">
        <v>1.9859999999999999E-2</v>
      </c>
      <c r="AZ74" s="107">
        <v>0</v>
      </c>
      <c r="BA74" s="107">
        <v>0</v>
      </c>
      <c r="BB74" s="107">
        <v>0</v>
      </c>
      <c r="BC74" s="107">
        <v>1.9999999999999998E-5</v>
      </c>
      <c r="BD74" s="333">
        <v>1.9879999999999998E-2</v>
      </c>
      <c r="BE74" s="91"/>
      <c r="BF74" s="91"/>
      <c r="BG74" s="91"/>
    </row>
    <row r="75" spans="2:59" x14ac:dyDescent="0.2">
      <c r="B75" s="100">
        <v>67</v>
      </c>
      <c r="C75" s="837" t="s">
        <v>263</v>
      </c>
      <c r="D75" s="836" t="s">
        <v>248</v>
      </c>
      <c r="E75" s="101" t="s">
        <v>248</v>
      </c>
      <c r="F75" s="103">
        <v>0</v>
      </c>
      <c r="G75" s="103">
        <v>0</v>
      </c>
      <c r="H75" s="839">
        <v>38000</v>
      </c>
      <c r="I75" s="841">
        <v>38000</v>
      </c>
      <c r="J75" s="607">
        <v>4.9099999999999994E-3</v>
      </c>
      <c r="K75" s="608">
        <v>0</v>
      </c>
      <c r="L75" s="608">
        <v>0</v>
      </c>
      <c r="M75" s="608">
        <v>1.0000000000000001E-5</v>
      </c>
      <c r="N75" s="125">
        <v>4.919999999999999E-3</v>
      </c>
      <c r="O75" s="607">
        <v>0</v>
      </c>
      <c r="P75" s="608">
        <v>0</v>
      </c>
      <c r="Q75" s="608">
        <v>0</v>
      </c>
      <c r="R75" s="846">
        <v>0</v>
      </c>
      <c r="S75" s="607">
        <v>0</v>
      </c>
      <c r="T75" s="608">
        <v>-4.0000000000000003E-5</v>
      </c>
      <c r="U75" s="608">
        <v>2.0000000000000002E-5</v>
      </c>
      <c r="V75" s="847">
        <v>-2.0000000000000002E-5</v>
      </c>
      <c r="W75" s="602"/>
      <c r="X75" s="109">
        <v>4.9099999999999994E-3</v>
      </c>
      <c r="Y75" s="109"/>
      <c r="Z75" s="109">
        <v>0</v>
      </c>
      <c r="AA75" s="109">
        <v>0</v>
      </c>
      <c r="AB75" s="109">
        <v>6.0000000000000002E-5</v>
      </c>
      <c r="AC75" s="339">
        <v>4.9699999999999996E-3</v>
      </c>
      <c r="AD75" s="1494"/>
      <c r="AE75" s="1497">
        <v>4.9099999999999994E-3</v>
      </c>
      <c r="AF75" s="104"/>
      <c r="AG75" s="104">
        <v>0</v>
      </c>
      <c r="AH75" s="104">
        <v>0</v>
      </c>
      <c r="AI75" s="1497">
        <v>3.9999999999999996E-5</v>
      </c>
      <c r="AJ75" s="1498">
        <v>4.9499999999999995E-3</v>
      </c>
      <c r="AK75" s="1495"/>
      <c r="AL75" s="109">
        <v>0</v>
      </c>
      <c r="AM75" s="109">
        <v>0</v>
      </c>
      <c r="AN75" s="109">
        <v>0</v>
      </c>
      <c r="AO75" s="109">
        <v>-4.0000000000000003E-5</v>
      </c>
      <c r="AP75" s="914">
        <v>-4.0000000000000003E-5</v>
      </c>
      <c r="AQ75" s="121"/>
      <c r="AR75" s="109"/>
      <c r="AS75" s="109"/>
      <c r="AT75" s="109"/>
      <c r="AU75" s="109"/>
      <c r="AV75" s="109"/>
      <c r="AW75" s="339">
        <v>0</v>
      </c>
      <c r="AY75" s="109">
        <v>4.9099999999999994E-3</v>
      </c>
      <c r="AZ75" s="109">
        <v>0</v>
      </c>
      <c r="BA75" s="109">
        <v>0</v>
      </c>
      <c r="BB75" s="109">
        <v>0</v>
      </c>
      <c r="BC75" s="109">
        <v>1.9999999999999998E-5</v>
      </c>
      <c r="BD75" s="334">
        <v>4.9299999999999995E-3</v>
      </c>
      <c r="BE75" s="91"/>
      <c r="BF75" s="91"/>
      <c r="BG75" s="91"/>
    </row>
    <row r="76" spans="2:59" x14ac:dyDescent="0.2">
      <c r="B76" s="100">
        <v>68</v>
      </c>
      <c r="C76" s="837" t="s">
        <v>265</v>
      </c>
      <c r="D76" s="836" t="s">
        <v>248</v>
      </c>
      <c r="E76" s="101" t="s">
        <v>248</v>
      </c>
      <c r="F76" s="103">
        <v>0</v>
      </c>
      <c r="G76" s="103">
        <v>0</v>
      </c>
      <c r="H76" s="839">
        <v>38000</v>
      </c>
      <c r="I76" s="841">
        <v>38000</v>
      </c>
      <c r="J76" s="607">
        <v>4.9099999999999994E-3</v>
      </c>
      <c r="K76" s="608">
        <v>0</v>
      </c>
      <c r="L76" s="608">
        <v>0</v>
      </c>
      <c r="M76" s="608">
        <v>1.0000000000000001E-5</v>
      </c>
      <c r="N76" s="125">
        <v>4.919999999999999E-3</v>
      </c>
      <c r="O76" s="607">
        <v>0</v>
      </c>
      <c r="P76" s="608">
        <v>0</v>
      </c>
      <c r="Q76" s="608">
        <v>0</v>
      </c>
      <c r="R76" s="846">
        <v>0</v>
      </c>
      <c r="S76" s="607">
        <v>0</v>
      </c>
      <c r="T76" s="608">
        <v>-4.0000000000000003E-5</v>
      </c>
      <c r="U76" s="608">
        <v>2.0000000000000002E-5</v>
      </c>
      <c r="V76" s="847">
        <v>-2.0000000000000002E-5</v>
      </c>
      <c r="W76" s="602"/>
      <c r="X76" s="109">
        <v>4.9099999999999994E-3</v>
      </c>
      <c r="Y76" s="109"/>
      <c r="Z76" s="109">
        <v>0</v>
      </c>
      <c r="AA76" s="109">
        <v>0</v>
      </c>
      <c r="AB76" s="109">
        <v>6.0000000000000002E-5</v>
      </c>
      <c r="AC76" s="339">
        <v>4.9699999999999996E-3</v>
      </c>
      <c r="AD76" s="1494"/>
      <c r="AE76" s="1497">
        <v>4.9099999999999994E-3</v>
      </c>
      <c r="AF76" s="104"/>
      <c r="AG76" s="104">
        <v>0</v>
      </c>
      <c r="AH76" s="104">
        <v>0</v>
      </c>
      <c r="AI76" s="1497">
        <v>3.9999999999999996E-5</v>
      </c>
      <c r="AJ76" s="1498">
        <v>4.9499999999999995E-3</v>
      </c>
      <c r="AK76" s="1495"/>
      <c r="AL76" s="109">
        <v>0</v>
      </c>
      <c r="AM76" s="109">
        <v>0</v>
      </c>
      <c r="AN76" s="109">
        <v>0</v>
      </c>
      <c r="AO76" s="109">
        <v>-4.0000000000000003E-5</v>
      </c>
      <c r="AP76" s="914">
        <v>-4.0000000000000003E-5</v>
      </c>
      <c r="AQ76" s="121"/>
      <c r="AR76" s="109"/>
      <c r="AS76" s="109"/>
      <c r="AT76" s="109"/>
      <c r="AU76" s="109"/>
      <c r="AV76" s="109"/>
      <c r="AW76" s="339">
        <v>0</v>
      </c>
      <c r="AY76" s="109">
        <v>4.9099999999999994E-3</v>
      </c>
      <c r="AZ76" s="109">
        <v>0</v>
      </c>
      <c r="BA76" s="109">
        <v>0</v>
      </c>
      <c r="BB76" s="109">
        <v>0</v>
      </c>
      <c r="BC76" s="109">
        <v>1.9999999999999998E-5</v>
      </c>
      <c r="BD76" s="334">
        <v>4.9299999999999995E-3</v>
      </c>
      <c r="BE76" s="91"/>
      <c r="BF76" s="91"/>
      <c r="BG76" s="91"/>
    </row>
    <row r="77" spans="2:59" ht="13.5" thickBot="1" x14ac:dyDescent="0.25">
      <c r="B77" s="100">
        <v>69</v>
      </c>
      <c r="C77" s="837" t="s">
        <v>282</v>
      </c>
      <c r="D77" s="836" t="s">
        <v>248</v>
      </c>
      <c r="E77" s="101" t="s">
        <v>248</v>
      </c>
      <c r="F77" s="103">
        <v>2895114</v>
      </c>
      <c r="G77" s="103">
        <v>1</v>
      </c>
      <c r="H77" s="839">
        <v>0</v>
      </c>
      <c r="I77" s="841">
        <v>0</v>
      </c>
      <c r="J77" s="607">
        <v>0</v>
      </c>
      <c r="K77" s="608">
        <v>0</v>
      </c>
      <c r="L77" s="608">
        <v>0</v>
      </c>
      <c r="M77" s="608">
        <v>0</v>
      </c>
      <c r="N77" s="125">
        <v>0</v>
      </c>
      <c r="O77" s="108">
        <v>0</v>
      </c>
      <c r="P77" s="608">
        <v>0</v>
      </c>
      <c r="Q77" s="608">
        <v>0</v>
      </c>
      <c r="R77" s="245">
        <v>0</v>
      </c>
      <c r="S77" s="108">
        <v>0</v>
      </c>
      <c r="T77" s="608">
        <v>0</v>
      </c>
      <c r="U77" s="608">
        <v>0</v>
      </c>
      <c r="V77" s="251">
        <v>0</v>
      </c>
      <c r="W77" s="602"/>
      <c r="X77" s="109"/>
      <c r="Y77" s="109"/>
      <c r="Z77" s="109"/>
      <c r="AA77" s="109"/>
      <c r="AB77" s="109"/>
      <c r="AC77" s="339">
        <v>0</v>
      </c>
      <c r="AD77" s="1494"/>
      <c r="AE77" s="104">
        <v>0</v>
      </c>
      <c r="AF77" s="104"/>
      <c r="AG77" s="104">
        <v>0</v>
      </c>
      <c r="AH77" s="104">
        <v>0</v>
      </c>
      <c r="AI77" s="104">
        <v>0</v>
      </c>
      <c r="AJ77" s="1498">
        <v>0</v>
      </c>
      <c r="AK77" s="1495"/>
      <c r="AL77" s="109">
        <v>0</v>
      </c>
      <c r="AM77" s="109">
        <v>0</v>
      </c>
      <c r="AN77" s="109">
        <v>0</v>
      </c>
      <c r="AO77" s="109">
        <v>0</v>
      </c>
      <c r="AP77" s="914">
        <v>0</v>
      </c>
      <c r="AQ77" s="121"/>
      <c r="AR77" s="109"/>
      <c r="AS77" s="109"/>
      <c r="AT77" s="109"/>
      <c r="AU77" s="109"/>
      <c r="AV77" s="109"/>
      <c r="AW77" s="339">
        <v>0</v>
      </c>
      <c r="AY77" s="109">
        <v>0</v>
      </c>
      <c r="AZ77" s="109">
        <v>0</v>
      </c>
      <c r="BA77" s="109">
        <v>0</v>
      </c>
      <c r="BB77" s="109">
        <v>0</v>
      </c>
      <c r="BC77" s="109">
        <v>0</v>
      </c>
      <c r="BD77" s="334">
        <v>0</v>
      </c>
      <c r="BE77" s="91"/>
      <c r="BF77" s="91"/>
      <c r="BG77" s="91"/>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5">
    <mergeCell ref="X6:AC6"/>
    <mergeCell ref="AE6:AJ6"/>
    <mergeCell ref="J6:N6"/>
    <mergeCell ref="AR6:AW6"/>
    <mergeCell ref="AY6:BD6"/>
  </mergeCells>
  <printOptions verticalCentered="1"/>
  <pageMargins left="0.5" right="0.5" top="0.5" bottom="0.5" header="0.25" footer="0.25"/>
  <pageSetup scale="19" orientation="landscape" r:id="rId3"/>
  <headerFooter alignWithMargins="0">
    <oddHeader>&amp;RUG-200994 et al. / NWN WUTC Advice 21-09A
WP1 /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0F00-E532-43F0-9C17-1B2DEEF9B9EC}">
  <sheetPr>
    <tabColor rgb="FF009900"/>
    <pageSetUpPr fitToPage="1"/>
  </sheetPr>
  <dimension ref="A1:R99"/>
  <sheetViews>
    <sheetView zoomScale="90" zoomScaleNormal="90" workbookViewId="0">
      <pane xSplit="3" ySplit="13" topLeftCell="E14" activePane="bottomRight" state="frozen"/>
      <selection pane="topRight" activeCell="D1" sqref="D1"/>
      <selection pane="bottomLeft" activeCell="A14" sqref="A14"/>
      <selection pane="bottomRight" activeCell="N34" sqref="N34"/>
    </sheetView>
  </sheetViews>
  <sheetFormatPr defaultColWidth="9.33203125" defaultRowHeight="12.75" x14ac:dyDescent="0.2"/>
  <cols>
    <col min="1" max="1" width="6.83203125" style="45" customWidth="1"/>
    <col min="2" max="2" width="17.83203125" style="46" customWidth="1"/>
    <col min="3" max="3" width="9.33203125" style="46"/>
    <col min="4" max="4" width="17.5" style="46" customWidth="1"/>
    <col min="5" max="5" width="13.33203125" style="46" customWidth="1"/>
    <col min="6" max="6" width="13.6640625" style="46" customWidth="1"/>
    <col min="7" max="7" width="14" style="46" customWidth="1"/>
    <col min="8" max="8" width="14.1640625" style="46" customWidth="1"/>
    <col min="9" max="10" width="11.83203125" style="46" customWidth="1"/>
    <col min="11" max="12" width="15.5" style="46" customWidth="1"/>
    <col min="13" max="18" width="23.83203125" style="46" customWidth="1"/>
    <col min="19" max="16384" width="9.33203125" style="45"/>
  </cols>
  <sheetData>
    <row r="1" spans="1:18" ht="15" x14ac:dyDescent="0.25">
      <c r="A1" s="163" t="s">
        <v>0</v>
      </c>
      <c r="M1" s="341"/>
      <c r="N1" s="341"/>
      <c r="P1" s="341"/>
      <c r="Q1" s="341"/>
    </row>
    <row r="2" spans="1:18" ht="15" x14ac:dyDescent="0.25">
      <c r="A2" s="163" t="s">
        <v>1</v>
      </c>
      <c r="G2" s="45"/>
      <c r="H2" s="45"/>
      <c r="I2" s="45"/>
      <c r="J2" s="45"/>
      <c r="M2" s="341"/>
      <c r="N2" s="341"/>
      <c r="O2" s="340"/>
      <c r="P2" s="341"/>
      <c r="Q2" s="341"/>
      <c r="R2" s="340"/>
    </row>
    <row r="3" spans="1:18" ht="14.45" customHeight="1" x14ac:dyDescent="0.25">
      <c r="A3" s="163" t="s">
        <v>241</v>
      </c>
      <c r="G3" s="581"/>
      <c r="H3" s="76"/>
      <c r="I3" s="361"/>
      <c r="J3" s="361"/>
      <c r="M3" s="161"/>
      <c r="N3" s="341"/>
      <c r="O3" s="341"/>
      <c r="Q3" s="341"/>
      <c r="R3" s="341"/>
    </row>
    <row r="4" spans="1:18" ht="14.45" customHeight="1" thickBot="1" x14ac:dyDescent="0.3">
      <c r="A4" s="403" t="s">
        <v>214</v>
      </c>
      <c r="G4" s="581"/>
      <c r="H4" s="146"/>
      <c r="I4" s="1513"/>
      <c r="J4" s="1513"/>
      <c r="M4" s="1140"/>
      <c r="N4" s="341"/>
      <c r="Q4" s="341"/>
    </row>
    <row r="5" spans="1:18" ht="15.75" thickBot="1" x14ac:dyDescent="0.3">
      <c r="G5" s="581"/>
      <c r="H5" s="146"/>
      <c r="I5" s="1513"/>
      <c r="J5" s="1513"/>
      <c r="K5" s="392"/>
      <c r="L5" s="392"/>
      <c r="M5" s="1658" t="s">
        <v>332</v>
      </c>
      <c r="N5" s="1659"/>
      <c r="O5" s="1660"/>
      <c r="P5" s="1650" t="s">
        <v>327</v>
      </c>
      <c r="Q5" s="1650"/>
      <c r="R5" s="1651"/>
    </row>
    <row r="6" spans="1:18" ht="15" x14ac:dyDescent="0.25">
      <c r="A6" s="640"/>
      <c r="G6" s="45"/>
      <c r="H6" s="45"/>
      <c r="I6" s="45"/>
      <c r="J6" s="45"/>
      <c r="K6" s="45"/>
      <c r="L6" s="45"/>
      <c r="M6" s="1704" t="s">
        <v>632</v>
      </c>
      <c r="N6" s="1705"/>
      <c r="O6" s="1706"/>
      <c r="P6" s="1704" t="s">
        <v>632</v>
      </c>
      <c r="Q6" s="1705"/>
      <c r="R6" s="1706"/>
    </row>
    <row r="7" spans="1:18" ht="13.5" thickBot="1" x14ac:dyDescent="0.25">
      <c r="F7" s="51" t="s">
        <v>494</v>
      </c>
      <c r="G7" s="45"/>
      <c r="K7" s="48" t="s">
        <v>18</v>
      </c>
      <c r="L7" s="48" t="s">
        <v>330</v>
      </c>
      <c r="M7" s="394"/>
      <c r="N7" s="393"/>
      <c r="O7" s="395"/>
      <c r="P7" s="394"/>
      <c r="Q7" s="393"/>
      <c r="R7" s="395"/>
    </row>
    <row r="8" spans="1:18" x14ac:dyDescent="0.2">
      <c r="A8" s="76">
        <v>1</v>
      </c>
      <c r="D8" s="51" t="s">
        <v>494</v>
      </c>
      <c r="F8" s="342" t="s">
        <v>65</v>
      </c>
      <c r="G8" s="51" t="s">
        <v>18</v>
      </c>
      <c r="H8" s="342" t="s">
        <v>494</v>
      </c>
      <c r="I8" s="51" t="s">
        <v>18</v>
      </c>
      <c r="J8" s="51" t="s">
        <v>330</v>
      </c>
      <c r="K8" s="342" t="s">
        <v>494</v>
      </c>
      <c r="L8" s="342" t="s">
        <v>494</v>
      </c>
      <c r="M8" s="560" t="s">
        <v>503</v>
      </c>
      <c r="N8" s="345" t="s">
        <v>503</v>
      </c>
      <c r="O8" s="945" t="s">
        <v>503</v>
      </c>
      <c r="P8" s="560" t="s">
        <v>503</v>
      </c>
      <c r="Q8" s="345" t="s">
        <v>503</v>
      </c>
      <c r="R8" s="945" t="s">
        <v>503</v>
      </c>
    </row>
    <row r="9" spans="1:18" x14ac:dyDescent="0.2">
      <c r="A9" s="76">
        <v>2</v>
      </c>
      <c r="D9" s="51" t="s">
        <v>285</v>
      </c>
      <c r="E9" s="342"/>
      <c r="F9" s="342" t="s">
        <v>52</v>
      </c>
      <c r="G9" s="51" t="s">
        <v>54</v>
      </c>
      <c r="H9" s="51" t="s">
        <v>54</v>
      </c>
      <c r="I9" s="342">
        <v>44136</v>
      </c>
      <c r="J9" s="342">
        <v>44501</v>
      </c>
      <c r="K9" s="342">
        <v>44136</v>
      </c>
      <c r="L9" s="342">
        <v>44501</v>
      </c>
      <c r="M9" s="560">
        <v>44501</v>
      </c>
      <c r="N9" s="345">
        <v>44501</v>
      </c>
      <c r="O9" s="346">
        <v>44501</v>
      </c>
      <c r="P9" s="560">
        <v>44866</v>
      </c>
      <c r="Q9" s="345">
        <v>44866</v>
      </c>
      <c r="R9" s="346">
        <v>44866</v>
      </c>
    </row>
    <row r="10" spans="1:18" x14ac:dyDescent="0.2">
      <c r="A10" s="76">
        <v>3</v>
      </c>
      <c r="D10" s="51" t="s">
        <v>171</v>
      </c>
      <c r="E10" s="51" t="s">
        <v>51</v>
      </c>
      <c r="F10" s="51" t="s">
        <v>55</v>
      </c>
      <c r="G10" s="51" t="s">
        <v>55</v>
      </c>
      <c r="H10" s="51" t="s">
        <v>55</v>
      </c>
      <c r="I10" s="51" t="s">
        <v>15</v>
      </c>
      <c r="J10" s="51" t="s">
        <v>15</v>
      </c>
      <c r="K10" s="51" t="s">
        <v>18</v>
      </c>
      <c r="L10" s="51" t="s">
        <v>18</v>
      </c>
      <c r="M10" s="411" t="s">
        <v>21</v>
      </c>
      <c r="N10" s="76" t="s">
        <v>21</v>
      </c>
      <c r="O10" s="559" t="s">
        <v>21</v>
      </c>
      <c r="P10" s="411" t="s">
        <v>21</v>
      </c>
      <c r="Q10" s="76" t="s">
        <v>21</v>
      </c>
      <c r="R10" s="559" t="s">
        <v>21</v>
      </c>
    </row>
    <row r="11" spans="1:18" s="47" customFormat="1" ht="13.5" thickBot="1" x14ac:dyDescent="0.25">
      <c r="A11" s="76">
        <v>4</v>
      </c>
      <c r="B11" s="46"/>
      <c r="C11" s="46"/>
      <c r="D11" s="347" t="s">
        <v>153</v>
      </c>
      <c r="E11" s="347" t="s">
        <v>3</v>
      </c>
      <c r="F11" s="347" t="s">
        <v>53</v>
      </c>
      <c r="G11" s="347" t="s">
        <v>56</v>
      </c>
      <c r="H11" s="347" t="s">
        <v>56</v>
      </c>
      <c r="I11" s="347" t="s">
        <v>16</v>
      </c>
      <c r="J11" s="347" t="s">
        <v>16</v>
      </c>
      <c r="K11" s="347" t="s">
        <v>57</v>
      </c>
      <c r="L11" s="347" t="s">
        <v>57</v>
      </c>
      <c r="M11" s="284" t="s">
        <v>16</v>
      </c>
      <c r="N11" s="1516" t="s">
        <v>57</v>
      </c>
      <c r="O11" s="349" t="s">
        <v>58</v>
      </c>
      <c r="P11" s="284" t="s">
        <v>16</v>
      </c>
      <c r="Q11" s="1516" t="s">
        <v>57</v>
      </c>
      <c r="R11" s="349" t="s">
        <v>58</v>
      </c>
    </row>
    <row r="12" spans="1:18" s="47" customFormat="1" x14ac:dyDescent="0.2">
      <c r="A12" s="76">
        <v>5</v>
      </c>
      <c r="B12" s="46"/>
      <c r="C12" s="399"/>
      <c r="D12" s="140"/>
      <c r="E12" s="140"/>
      <c r="F12" s="140"/>
      <c r="G12" s="140"/>
      <c r="H12" s="140"/>
      <c r="I12" s="140"/>
      <c r="J12" s="140"/>
      <c r="K12" s="49" t="s">
        <v>633</v>
      </c>
      <c r="L12" s="49" t="s">
        <v>634</v>
      </c>
      <c r="M12" s="138"/>
      <c r="N12" s="1515" t="s">
        <v>635</v>
      </c>
      <c r="O12" s="351" t="s">
        <v>636</v>
      </c>
      <c r="P12" s="138"/>
      <c r="Q12" s="1515" t="s">
        <v>638</v>
      </c>
      <c r="R12" s="585" t="s">
        <v>637</v>
      </c>
    </row>
    <row r="13" spans="1:18" s="47" customFormat="1" x14ac:dyDescent="0.2">
      <c r="A13" s="76">
        <v>6</v>
      </c>
      <c r="B13" s="685" t="s">
        <v>2</v>
      </c>
      <c r="C13" s="811" t="s">
        <v>3</v>
      </c>
      <c r="D13" s="667" t="s">
        <v>35</v>
      </c>
      <c r="E13" s="667" t="s">
        <v>36</v>
      </c>
      <c r="F13" s="667" t="s">
        <v>13</v>
      </c>
      <c r="G13" s="667" t="s">
        <v>37</v>
      </c>
      <c r="H13" s="667" t="s">
        <v>38</v>
      </c>
      <c r="I13" s="667" t="s">
        <v>39</v>
      </c>
      <c r="J13" s="667" t="s">
        <v>40</v>
      </c>
      <c r="K13" s="667" t="s">
        <v>41</v>
      </c>
      <c r="L13" s="667" t="s">
        <v>42</v>
      </c>
      <c r="M13" s="142" t="s">
        <v>109</v>
      </c>
      <c r="N13" s="667" t="s">
        <v>110</v>
      </c>
      <c r="O13" s="352" t="s">
        <v>43</v>
      </c>
      <c r="P13" s="142" t="s">
        <v>111</v>
      </c>
      <c r="Q13" s="667" t="s">
        <v>112</v>
      </c>
      <c r="R13" s="352" t="s">
        <v>113</v>
      </c>
    </row>
    <row r="14" spans="1:18" x14ac:dyDescent="0.2">
      <c r="A14" s="76">
        <v>7</v>
      </c>
      <c r="B14" s="925" t="s">
        <v>246</v>
      </c>
      <c r="C14" s="1507" t="s">
        <v>248</v>
      </c>
      <c r="D14" s="353">
        <v>214704.20066131229</v>
      </c>
      <c r="E14" s="354" t="s">
        <v>248</v>
      </c>
      <c r="F14" s="355">
        <v>19.639970000000002</v>
      </c>
      <c r="G14" s="815">
        <v>5.5</v>
      </c>
      <c r="H14" s="356">
        <v>5.5</v>
      </c>
      <c r="I14" s="113">
        <v>1.1525299999999998</v>
      </c>
      <c r="J14" s="113">
        <v>1.3474699999999995</v>
      </c>
      <c r="K14" s="356">
        <v>28.14</v>
      </c>
      <c r="L14" s="356">
        <v>31.96</v>
      </c>
      <c r="M14" s="357">
        <v>1.3474699999999995</v>
      </c>
      <c r="N14" s="356">
        <v>31.96</v>
      </c>
      <c r="O14" s="358">
        <v>0.13600000000000001</v>
      </c>
      <c r="P14" s="357">
        <v>1.4051699999999996</v>
      </c>
      <c r="Q14" s="356">
        <v>33.1</v>
      </c>
      <c r="R14" s="358">
        <v>3.5999999999999997E-2</v>
      </c>
    </row>
    <row r="15" spans="1:18" x14ac:dyDescent="0.2">
      <c r="A15" s="76">
        <v>8</v>
      </c>
      <c r="B15" s="925" t="s">
        <v>247</v>
      </c>
      <c r="C15" s="1507" t="s">
        <v>248</v>
      </c>
      <c r="D15" s="353">
        <v>46539.057144390383</v>
      </c>
      <c r="E15" s="354" t="s">
        <v>248</v>
      </c>
      <c r="F15" s="355">
        <v>114.06632</v>
      </c>
      <c r="G15" s="815">
        <v>7</v>
      </c>
      <c r="H15" s="356">
        <v>7</v>
      </c>
      <c r="I15" s="113">
        <v>1.18929</v>
      </c>
      <c r="J15" s="113">
        <v>1.36829</v>
      </c>
      <c r="K15" s="356">
        <v>142.66</v>
      </c>
      <c r="L15" s="356">
        <v>163.08000000000001</v>
      </c>
      <c r="M15" s="357">
        <v>1.36829</v>
      </c>
      <c r="N15" s="356">
        <v>163.08000000000001</v>
      </c>
      <c r="O15" s="358">
        <v>0.14299999999999999</v>
      </c>
      <c r="P15" s="357">
        <v>1.41628</v>
      </c>
      <c r="Q15" s="356">
        <v>168.55</v>
      </c>
      <c r="R15" s="358">
        <v>3.4000000000000002E-2</v>
      </c>
    </row>
    <row r="16" spans="1:18" x14ac:dyDescent="0.2">
      <c r="A16" s="76">
        <v>9</v>
      </c>
      <c r="B16" s="925" t="s">
        <v>12</v>
      </c>
      <c r="C16" s="1507" t="s">
        <v>248</v>
      </c>
      <c r="D16" s="353">
        <v>54953515.785084128</v>
      </c>
      <c r="E16" s="354" t="s">
        <v>248</v>
      </c>
      <c r="F16" s="355">
        <v>56.453600000000002</v>
      </c>
      <c r="G16" s="815">
        <v>8</v>
      </c>
      <c r="H16" s="356">
        <v>8</v>
      </c>
      <c r="I16" s="113">
        <v>0.88947999999999972</v>
      </c>
      <c r="J16" s="113">
        <v>1.0514699999999997</v>
      </c>
      <c r="K16" s="356">
        <v>58.21</v>
      </c>
      <c r="L16" s="356">
        <v>67.36</v>
      </c>
      <c r="M16" s="357">
        <v>1.0514699999999997</v>
      </c>
      <c r="N16" s="356">
        <v>67.36</v>
      </c>
      <c r="O16" s="358">
        <v>0.157</v>
      </c>
      <c r="P16" s="357">
        <v>1.0879799999999997</v>
      </c>
      <c r="Q16" s="356">
        <v>69.42</v>
      </c>
      <c r="R16" s="358">
        <v>3.1E-2</v>
      </c>
    </row>
    <row r="17" spans="1:18" x14ac:dyDescent="0.2">
      <c r="A17" s="76">
        <v>10</v>
      </c>
      <c r="B17" s="925" t="s">
        <v>10</v>
      </c>
      <c r="C17" s="1507" t="s">
        <v>248</v>
      </c>
      <c r="D17" s="353">
        <v>17867210.60654201</v>
      </c>
      <c r="E17" s="354" t="s">
        <v>248</v>
      </c>
      <c r="F17" s="355">
        <v>235.66542999999999</v>
      </c>
      <c r="G17" s="815">
        <v>22</v>
      </c>
      <c r="H17" s="356">
        <v>22</v>
      </c>
      <c r="I17" s="113">
        <v>0.86690000000000011</v>
      </c>
      <c r="J17" s="113">
        <v>1.0228199999999998</v>
      </c>
      <c r="K17" s="356">
        <v>226.3</v>
      </c>
      <c r="L17" s="356">
        <v>263.04000000000002</v>
      </c>
      <c r="M17" s="357">
        <v>1.0228199999999998</v>
      </c>
      <c r="N17" s="356">
        <v>263.04000000000002</v>
      </c>
      <c r="O17" s="358">
        <v>0.16200000000000001</v>
      </c>
      <c r="P17" s="357">
        <v>1.0555999999999999</v>
      </c>
      <c r="Q17" s="356">
        <v>270.77</v>
      </c>
      <c r="R17" s="358">
        <v>2.9000000000000001E-2</v>
      </c>
    </row>
    <row r="18" spans="1:18" x14ac:dyDescent="0.2">
      <c r="A18" s="76">
        <v>11</v>
      </c>
      <c r="B18" s="925" t="s">
        <v>11</v>
      </c>
      <c r="C18" s="1507" t="s">
        <v>248</v>
      </c>
      <c r="D18" s="353">
        <v>283651.99999999994</v>
      </c>
      <c r="E18" s="354" t="s">
        <v>248</v>
      </c>
      <c r="F18" s="355">
        <v>974.74914000000001</v>
      </c>
      <c r="G18" s="815">
        <v>22</v>
      </c>
      <c r="H18" s="356">
        <v>22</v>
      </c>
      <c r="I18" s="113">
        <v>0.82713999999999999</v>
      </c>
      <c r="J18" s="113">
        <v>0.97858000000000012</v>
      </c>
      <c r="K18" s="356">
        <v>828.25</v>
      </c>
      <c r="L18" s="356">
        <v>975.87</v>
      </c>
      <c r="M18" s="357">
        <v>0.97858000000000012</v>
      </c>
      <c r="N18" s="356">
        <v>975.87</v>
      </c>
      <c r="O18" s="358">
        <v>0.17799999999999999</v>
      </c>
      <c r="P18" s="357">
        <v>1.0082800000000001</v>
      </c>
      <c r="Q18" s="356">
        <v>1004.82</v>
      </c>
      <c r="R18" s="358">
        <v>0.03</v>
      </c>
    </row>
    <row r="19" spans="1:18" x14ac:dyDescent="0.2">
      <c r="A19" s="76">
        <v>12</v>
      </c>
      <c r="B19" s="925" t="s">
        <v>365</v>
      </c>
      <c r="C19" s="1507" t="s">
        <v>248</v>
      </c>
      <c r="D19" s="353">
        <v>461371.76933137607</v>
      </c>
      <c r="E19" s="354" t="s">
        <v>248</v>
      </c>
      <c r="F19" s="355">
        <v>49.545940000000002</v>
      </c>
      <c r="G19" s="815">
        <v>9</v>
      </c>
      <c r="H19" s="356">
        <v>9</v>
      </c>
      <c r="I19" s="113">
        <v>0.64432999999999974</v>
      </c>
      <c r="J19" s="113">
        <v>0.78956999999999966</v>
      </c>
      <c r="K19" s="356">
        <v>40.92</v>
      </c>
      <c r="L19" s="356">
        <v>48.12</v>
      </c>
      <c r="M19" s="357">
        <v>0.78956999999999966</v>
      </c>
      <c r="N19" s="356">
        <v>48.12</v>
      </c>
      <c r="O19" s="358">
        <v>0.17599999999999999</v>
      </c>
      <c r="P19" s="357">
        <v>0.81555999999999962</v>
      </c>
      <c r="Q19" s="356">
        <v>49.41</v>
      </c>
      <c r="R19" s="358">
        <v>2.7E-2</v>
      </c>
    </row>
    <row r="20" spans="1:18" x14ac:dyDescent="0.2">
      <c r="A20" s="76">
        <v>13</v>
      </c>
      <c r="B20" s="1508" t="s">
        <v>249</v>
      </c>
      <c r="C20" s="1509" t="s">
        <v>4</v>
      </c>
      <c r="D20" s="288">
        <v>1777065.1510316674</v>
      </c>
      <c r="E20" s="360">
        <v>2000</v>
      </c>
      <c r="F20" s="289">
        <v>3436</v>
      </c>
      <c r="G20" s="816">
        <v>250</v>
      </c>
      <c r="H20" s="361">
        <v>250</v>
      </c>
      <c r="I20" s="112">
        <v>0.65150000000000008</v>
      </c>
      <c r="J20" s="112">
        <v>0.79066000000000003</v>
      </c>
      <c r="K20" s="361"/>
      <c r="L20" s="361"/>
      <c r="M20" s="362">
        <v>0.79066000000000003</v>
      </c>
      <c r="N20" s="361"/>
      <c r="O20" s="363"/>
      <c r="P20" s="362">
        <v>0.81668999999999992</v>
      </c>
      <c r="Q20" s="361"/>
      <c r="R20" s="363"/>
    </row>
    <row r="21" spans="1:18" x14ac:dyDescent="0.2">
      <c r="A21" s="76">
        <v>14</v>
      </c>
      <c r="B21" s="76"/>
      <c r="C21" s="1509" t="s">
        <v>5</v>
      </c>
      <c r="D21" s="288">
        <v>1974656.4658023661</v>
      </c>
      <c r="E21" s="360" t="s">
        <v>59</v>
      </c>
      <c r="F21" s="289"/>
      <c r="G21" s="816"/>
      <c r="H21" s="361"/>
      <c r="I21" s="112">
        <v>0.60426999999999997</v>
      </c>
      <c r="J21" s="112">
        <v>0.7381899999999999</v>
      </c>
      <c r="K21" s="361"/>
      <c r="L21" s="361"/>
      <c r="M21" s="362">
        <v>0.7381899999999999</v>
      </c>
      <c r="N21" s="361"/>
      <c r="O21" s="363"/>
      <c r="P21" s="362">
        <v>0.76112999999999997</v>
      </c>
      <c r="Q21" s="361"/>
      <c r="R21" s="363"/>
    </row>
    <row r="22" spans="1:18" x14ac:dyDescent="0.2">
      <c r="A22" s="76">
        <v>15</v>
      </c>
      <c r="B22" s="151"/>
      <c r="C22" s="1510" t="s">
        <v>62</v>
      </c>
      <c r="D22" s="364"/>
      <c r="E22" s="365"/>
      <c r="F22" s="366"/>
      <c r="G22" s="817"/>
      <c r="H22" s="368"/>
      <c r="I22" s="367"/>
      <c r="J22" s="367"/>
      <c r="K22" s="368">
        <v>2420.73</v>
      </c>
      <c r="L22" s="368">
        <v>2891.36</v>
      </c>
      <c r="M22" s="370"/>
      <c r="N22" s="368">
        <v>2891.36</v>
      </c>
      <c r="O22" s="371">
        <v>0.19400000000000001</v>
      </c>
      <c r="P22" s="370"/>
      <c r="Q22" s="368">
        <v>2976.36</v>
      </c>
      <c r="R22" s="371">
        <v>2.9000000000000001E-2</v>
      </c>
    </row>
    <row r="23" spans="1:18" x14ac:dyDescent="0.2">
      <c r="A23" s="76">
        <v>16</v>
      </c>
      <c r="B23" s="1508" t="s">
        <v>253</v>
      </c>
      <c r="C23" s="1509" t="s">
        <v>4</v>
      </c>
      <c r="D23" s="288">
        <v>392890.20000000007</v>
      </c>
      <c r="E23" s="360">
        <v>2000</v>
      </c>
      <c r="F23" s="289">
        <v>4741</v>
      </c>
      <c r="G23" s="816">
        <v>250</v>
      </c>
      <c r="H23" s="361">
        <v>250</v>
      </c>
      <c r="I23" s="112">
        <v>0.60577000000000025</v>
      </c>
      <c r="J23" s="112">
        <v>0.71891000000000027</v>
      </c>
      <c r="K23" s="361"/>
      <c r="L23" s="361"/>
      <c r="M23" s="362">
        <v>0.71891000000000027</v>
      </c>
      <c r="N23" s="361"/>
      <c r="O23" s="363"/>
      <c r="P23" s="362">
        <v>0.7261700000000002</v>
      </c>
      <c r="Q23" s="361"/>
      <c r="R23" s="363"/>
    </row>
    <row r="24" spans="1:18" x14ac:dyDescent="0.2">
      <c r="A24" s="76">
        <v>17</v>
      </c>
      <c r="B24" s="76"/>
      <c r="C24" s="1509" t="s">
        <v>5</v>
      </c>
      <c r="D24" s="288">
        <v>621650.00000000012</v>
      </c>
      <c r="E24" s="360" t="s">
        <v>59</v>
      </c>
      <c r="F24" s="289"/>
      <c r="G24" s="816"/>
      <c r="H24" s="361"/>
      <c r="I24" s="112">
        <v>0.56396000000000013</v>
      </c>
      <c r="J24" s="112">
        <v>0.67496000000000023</v>
      </c>
      <c r="K24" s="361"/>
      <c r="L24" s="361"/>
      <c r="M24" s="362">
        <v>0.67496000000000023</v>
      </c>
      <c r="N24" s="361"/>
      <c r="O24" s="363"/>
      <c r="P24" s="362">
        <v>0.68137000000000014</v>
      </c>
      <c r="Q24" s="361"/>
      <c r="R24" s="363"/>
    </row>
    <row r="25" spans="1:18" x14ac:dyDescent="0.2">
      <c r="A25" s="76">
        <v>18</v>
      </c>
      <c r="B25" s="151"/>
      <c r="C25" s="1510" t="s">
        <v>62</v>
      </c>
      <c r="D25" s="364"/>
      <c r="E25" s="365"/>
      <c r="F25" s="366"/>
      <c r="G25" s="817"/>
      <c r="H25" s="368"/>
      <c r="I25" s="367"/>
      <c r="J25" s="367"/>
      <c r="K25" s="368">
        <v>3007.35</v>
      </c>
      <c r="L25" s="368">
        <v>3537.89</v>
      </c>
      <c r="M25" s="370"/>
      <c r="N25" s="368">
        <v>3537.89</v>
      </c>
      <c r="O25" s="371">
        <v>0.17599999999999999</v>
      </c>
      <c r="P25" s="370"/>
      <c r="Q25" s="368">
        <v>3569.98</v>
      </c>
      <c r="R25" s="371">
        <v>8.9999999999999993E-3</v>
      </c>
    </row>
    <row r="26" spans="1:18" x14ac:dyDescent="0.2">
      <c r="A26" s="76">
        <v>19</v>
      </c>
      <c r="B26" s="76" t="s">
        <v>251</v>
      </c>
      <c r="C26" s="1509" t="s">
        <v>4</v>
      </c>
      <c r="D26" s="288">
        <v>0</v>
      </c>
      <c r="E26" s="360">
        <v>2000</v>
      </c>
      <c r="F26" s="289">
        <v>0</v>
      </c>
      <c r="G26" s="816">
        <v>250</v>
      </c>
      <c r="H26" s="361">
        <v>250</v>
      </c>
      <c r="I26" s="112">
        <v>0.66024999999999989</v>
      </c>
      <c r="J26" s="112">
        <v>0.81380999999999981</v>
      </c>
      <c r="K26" s="361"/>
      <c r="L26" s="361"/>
      <c r="M26" s="362">
        <v>0.81380999999999981</v>
      </c>
      <c r="N26" s="361"/>
      <c r="O26" s="363"/>
      <c r="P26" s="362">
        <v>0.83380999999999983</v>
      </c>
      <c r="Q26" s="361"/>
      <c r="R26" s="363"/>
    </row>
    <row r="27" spans="1:18" x14ac:dyDescent="0.2">
      <c r="A27" s="76">
        <v>20</v>
      </c>
      <c r="B27" s="76"/>
      <c r="C27" s="1509" t="s">
        <v>5</v>
      </c>
      <c r="D27" s="288">
        <v>0</v>
      </c>
      <c r="E27" s="360" t="s">
        <v>59</v>
      </c>
      <c r="F27" s="289"/>
      <c r="G27" s="816"/>
      <c r="H27" s="361"/>
      <c r="I27" s="112">
        <v>0.61316999999999988</v>
      </c>
      <c r="J27" s="112">
        <v>0.76286999999999983</v>
      </c>
      <c r="K27" s="361"/>
      <c r="L27" s="361"/>
      <c r="M27" s="362">
        <v>0.76286999999999983</v>
      </c>
      <c r="N27" s="361"/>
      <c r="O27" s="363"/>
      <c r="P27" s="362">
        <v>0.78050999999999982</v>
      </c>
      <c r="Q27" s="361"/>
      <c r="R27" s="363"/>
    </row>
    <row r="28" spans="1:18" x14ac:dyDescent="0.2">
      <c r="A28" s="76">
        <v>21</v>
      </c>
      <c r="B28" s="151"/>
      <c r="C28" s="1510" t="s">
        <v>62</v>
      </c>
      <c r="D28" s="364"/>
      <c r="E28" s="365"/>
      <c r="F28" s="366"/>
      <c r="G28" s="817"/>
      <c r="H28" s="368"/>
      <c r="I28" s="367"/>
      <c r="J28" s="367"/>
      <c r="K28" s="368">
        <v>250</v>
      </c>
      <c r="L28" s="368">
        <v>250</v>
      </c>
      <c r="M28" s="370"/>
      <c r="N28" s="368">
        <v>250</v>
      </c>
      <c r="O28" s="371">
        <v>0</v>
      </c>
      <c r="P28" s="370"/>
      <c r="Q28" s="368">
        <v>250</v>
      </c>
      <c r="R28" s="371">
        <v>0</v>
      </c>
    </row>
    <row r="29" spans="1:18" x14ac:dyDescent="0.2">
      <c r="A29" s="76">
        <v>22</v>
      </c>
      <c r="B29" s="76" t="s">
        <v>257</v>
      </c>
      <c r="C29" s="1509" t="s">
        <v>4</v>
      </c>
      <c r="D29" s="288">
        <v>0</v>
      </c>
      <c r="E29" s="360">
        <v>2000</v>
      </c>
      <c r="F29" s="289">
        <v>0</v>
      </c>
      <c r="G29" s="816">
        <v>250</v>
      </c>
      <c r="H29" s="361">
        <v>250</v>
      </c>
      <c r="I29" s="112">
        <v>0.61580999999999997</v>
      </c>
      <c r="J29" s="112">
        <v>0.74958000000000002</v>
      </c>
      <c r="K29" s="361"/>
      <c r="L29" s="361"/>
      <c r="M29" s="362">
        <v>0.74958000000000002</v>
      </c>
      <c r="N29" s="361"/>
      <c r="O29" s="363"/>
      <c r="P29" s="362">
        <v>0.75522999999999996</v>
      </c>
      <c r="Q29" s="361"/>
      <c r="R29" s="363"/>
    </row>
    <row r="30" spans="1:18" x14ac:dyDescent="0.2">
      <c r="A30" s="76">
        <v>23</v>
      </c>
      <c r="B30" s="76"/>
      <c r="C30" s="1509" t="s">
        <v>5</v>
      </c>
      <c r="D30" s="288">
        <v>0</v>
      </c>
      <c r="E30" s="360" t="s">
        <v>59</v>
      </c>
      <c r="F30" s="372"/>
      <c r="G30" s="818"/>
      <c r="H30" s="637"/>
      <c r="I30" s="112">
        <v>0.57401999999999986</v>
      </c>
      <c r="J30" s="112">
        <v>0.70627999999999991</v>
      </c>
      <c r="K30" s="361"/>
      <c r="L30" s="361"/>
      <c r="M30" s="362">
        <v>0.70627999999999991</v>
      </c>
      <c r="N30" s="361"/>
      <c r="O30" s="363"/>
      <c r="P30" s="362">
        <v>0.71124999999999994</v>
      </c>
      <c r="Q30" s="361"/>
      <c r="R30" s="363"/>
    </row>
    <row r="31" spans="1:18" x14ac:dyDescent="0.2">
      <c r="A31" s="76">
        <v>24</v>
      </c>
      <c r="B31" s="151"/>
      <c r="C31" s="1510" t="s">
        <v>62</v>
      </c>
      <c r="D31" s="364"/>
      <c r="E31" s="365"/>
      <c r="F31" s="366"/>
      <c r="G31" s="817"/>
      <c r="H31" s="368"/>
      <c r="I31" s="367"/>
      <c r="J31" s="367"/>
      <c r="K31" s="368">
        <v>250</v>
      </c>
      <c r="L31" s="368">
        <v>250</v>
      </c>
      <c r="M31" s="370"/>
      <c r="N31" s="368">
        <v>250</v>
      </c>
      <c r="O31" s="371">
        <v>0</v>
      </c>
      <c r="P31" s="370"/>
      <c r="Q31" s="368">
        <v>250</v>
      </c>
      <c r="R31" s="371">
        <v>0</v>
      </c>
    </row>
    <row r="32" spans="1:18" x14ac:dyDescent="0.2">
      <c r="A32" s="76">
        <v>25</v>
      </c>
      <c r="B32" s="76" t="s">
        <v>260</v>
      </c>
      <c r="C32" s="1509" t="s">
        <v>4</v>
      </c>
      <c r="D32" s="288">
        <v>168721</v>
      </c>
      <c r="E32" s="360">
        <v>2000</v>
      </c>
      <c r="F32" s="289">
        <v>4648</v>
      </c>
      <c r="G32" s="816">
        <v>500</v>
      </c>
      <c r="H32" s="361">
        <v>500</v>
      </c>
      <c r="I32" s="112">
        <v>0.34945999999999999</v>
      </c>
      <c r="J32" s="112">
        <v>0.37100000000000005</v>
      </c>
      <c r="K32" s="361"/>
      <c r="L32" s="361"/>
      <c r="M32" s="362">
        <v>0.37100000000000005</v>
      </c>
      <c r="N32" s="361"/>
      <c r="O32" s="363"/>
      <c r="P32" s="362">
        <v>0.37908000000000003</v>
      </c>
      <c r="Q32" s="361"/>
      <c r="R32" s="363"/>
    </row>
    <row r="33" spans="1:18" x14ac:dyDescent="0.2">
      <c r="A33" s="76">
        <v>26</v>
      </c>
      <c r="B33" s="76"/>
      <c r="C33" s="1509" t="s">
        <v>5</v>
      </c>
      <c r="D33" s="288">
        <v>272866</v>
      </c>
      <c r="E33" s="360" t="s">
        <v>59</v>
      </c>
      <c r="F33" s="372"/>
      <c r="G33" s="818"/>
      <c r="H33" s="637"/>
      <c r="I33" s="112">
        <v>0.30789000000000011</v>
      </c>
      <c r="J33" s="112">
        <v>0.32688000000000006</v>
      </c>
      <c r="K33" s="361"/>
      <c r="L33" s="361"/>
      <c r="M33" s="362">
        <v>0.32688000000000006</v>
      </c>
      <c r="N33" s="361"/>
      <c r="O33" s="363"/>
      <c r="P33" s="362">
        <v>0.33399000000000006</v>
      </c>
      <c r="Q33" s="361"/>
      <c r="R33" s="363"/>
    </row>
    <row r="34" spans="1:18" x14ac:dyDescent="0.2">
      <c r="A34" s="76">
        <v>27</v>
      </c>
      <c r="B34" s="151"/>
      <c r="C34" s="1510" t="s">
        <v>62</v>
      </c>
      <c r="D34" s="364"/>
      <c r="E34" s="365"/>
      <c r="F34" s="366"/>
      <c r="G34" s="817"/>
      <c r="H34" s="368"/>
      <c r="I34" s="367"/>
      <c r="J34" s="367"/>
      <c r="K34" s="368">
        <v>2014.21</v>
      </c>
      <c r="L34" s="368">
        <v>2107.58</v>
      </c>
      <c r="M34" s="370"/>
      <c r="N34" s="368">
        <v>2107.58</v>
      </c>
      <c r="O34" s="371">
        <v>4.5999999999999999E-2</v>
      </c>
      <c r="P34" s="370"/>
      <c r="Q34" s="368">
        <v>2142.5699999999997</v>
      </c>
      <c r="R34" s="371">
        <v>1.7000000000000001E-2</v>
      </c>
    </row>
    <row r="35" spans="1:18" x14ac:dyDescent="0.2">
      <c r="A35" s="76">
        <v>28</v>
      </c>
      <c r="B35" s="76" t="s">
        <v>254</v>
      </c>
      <c r="C35" s="1509" t="s">
        <v>4</v>
      </c>
      <c r="D35" s="288">
        <v>0</v>
      </c>
      <c r="E35" s="360">
        <v>2000</v>
      </c>
      <c r="F35" s="289">
        <v>0</v>
      </c>
      <c r="G35" s="816">
        <v>500</v>
      </c>
      <c r="H35" s="361">
        <v>500</v>
      </c>
      <c r="I35" s="112">
        <v>0.34945999999999999</v>
      </c>
      <c r="J35" s="112">
        <v>0.36336999999999997</v>
      </c>
      <c r="K35" s="361"/>
      <c r="L35" s="361"/>
      <c r="M35" s="362">
        <v>0.36336999999999997</v>
      </c>
      <c r="N35" s="361"/>
      <c r="O35" s="363"/>
      <c r="P35" s="362">
        <v>0.36906</v>
      </c>
      <c r="Q35" s="361"/>
      <c r="R35" s="363"/>
    </row>
    <row r="36" spans="1:18" x14ac:dyDescent="0.2">
      <c r="A36" s="76">
        <v>29</v>
      </c>
      <c r="B36" s="76"/>
      <c r="C36" s="1509" t="s">
        <v>5</v>
      </c>
      <c r="D36" s="288">
        <v>0</v>
      </c>
      <c r="E36" s="360" t="s">
        <v>59</v>
      </c>
      <c r="F36" s="289"/>
      <c r="G36" s="816"/>
      <c r="H36" s="361"/>
      <c r="I36" s="112">
        <v>0.30789000000000011</v>
      </c>
      <c r="J36" s="112">
        <v>0.3201500000000001</v>
      </c>
      <c r="K36" s="361"/>
      <c r="L36" s="361"/>
      <c r="M36" s="362">
        <v>0.3201500000000001</v>
      </c>
      <c r="N36" s="361"/>
      <c r="O36" s="363"/>
      <c r="P36" s="362">
        <v>0.32518000000000014</v>
      </c>
      <c r="Q36" s="361"/>
      <c r="R36" s="363"/>
    </row>
    <row r="37" spans="1:18" x14ac:dyDescent="0.2">
      <c r="A37" s="76">
        <v>30</v>
      </c>
      <c r="B37" s="151"/>
      <c r="C37" s="1510" t="s">
        <v>62</v>
      </c>
      <c r="D37" s="364"/>
      <c r="E37" s="365"/>
      <c r="F37" s="366"/>
      <c r="G37" s="817"/>
      <c r="H37" s="368"/>
      <c r="I37" s="367"/>
      <c r="J37" s="367"/>
      <c r="K37" s="368">
        <v>500</v>
      </c>
      <c r="L37" s="368">
        <v>500</v>
      </c>
      <c r="M37" s="370"/>
      <c r="N37" s="368">
        <v>500</v>
      </c>
      <c r="O37" s="371">
        <v>0</v>
      </c>
      <c r="P37" s="370"/>
      <c r="Q37" s="368">
        <v>500</v>
      </c>
      <c r="R37" s="371">
        <v>0</v>
      </c>
    </row>
    <row r="38" spans="1:18" x14ac:dyDescent="0.2">
      <c r="A38" s="76">
        <v>31</v>
      </c>
      <c r="B38" s="76" t="s">
        <v>250</v>
      </c>
      <c r="C38" s="1509" t="s">
        <v>4</v>
      </c>
      <c r="D38" s="288">
        <v>350769.66174469434</v>
      </c>
      <c r="E38" s="288">
        <v>10000</v>
      </c>
      <c r="F38" s="289">
        <v>11949</v>
      </c>
      <c r="G38" s="816">
        <v>1300</v>
      </c>
      <c r="H38" s="361">
        <v>1300</v>
      </c>
      <c r="I38" s="112">
        <v>0.43535000000000001</v>
      </c>
      <c r="J38" s="112">
        <v>0.56289</v>
      </c>
      <c r="K38" s="361"/>
      <c r="L38" s="361"/>
      <c r="M38" s="362">
        <v>0.56289</v>
      </c>
      <c r="N38" s="361"/>
      <c r="O38" s="363"/>
      <c r="P38" s="362">
        <v>0.58250000000000002</v>
      </c>
      <c r="Q38" s="361"/>
      <c r="R38" s="363"/>
    </row>
    <row r="39" spans="1:18" x14ac:dyDescent="0.2">
      <c r="A39" s="76">
        <v>32</v>
      </c>
      <c r="B39" s="76"/>
      <c r="C39" s="1509" t="s">
        <v>5</v>
      </c>
      <c r="D39" s="288">
        <v>303088.75426472601</v>
      </c>
      <c r="E39" s="288">
        <v>20000</v>
      </c>
      <c r="F39" s="289"/>
      <c r="G39" s="816"/>
      <c r="H39" s="361"/>
      <c r="I39" s="112">
        <v>0.41633999999999971</v>
      </c>
      <c r="J39" s="112">
        <v>0.54045999999999972</v>
      </c>
      <c r="K39" s="361"/>
      <c r="L39" s="361"/>
      <c r="M39" s="362">
        <v>0.54045999999999972</v>
      </c>
      <c r="N39" s="361"/>
      <c r="O39" s="363"/>
      <c r="P39" s="362">
        <v>0.55799999999999983</v>
      </c>
      <c r="Q39" s="361"/>
      <c r="R39" s="363"/>
    </row>
    <row r="40" spans="1:18" x14ac:dyDescent="0.2">
      <c r="A40" s="76">
        <v>33</v>
      </c>
      <c r="B40" s="76"/>
      <c r="C40" s="1509" t="s">
        <v>6</v>
      </c>
      <c r="D40" s="288">
        <v>59441.942130257296</v>
      </c>
      <c r="E40" s="288">
        <v>20000</v>
      </c>
      <c r="F40" s="289"/>
      <c r="G40" s="816"/>
      <c r="H40" s="361"/>
      <c r="I40" s="112">
        <v>0.37851999999999986</v>
      </c>
      <c r="J40" s="112">
        <v>0.4958599999999998</v>
      </c>
      <c r="K40" s="361"/>
      <c r="L40" s="361"/>
      <c r="M40" s="362">
        <v>0.4958599999999998</v>
      </c>
      <c r="N40" s="361"/>
      <c r="O40" s="363"/>
      <c r="P40" s="362">
        <v>0.50931999999999977</v>
      </c>
      <c r="Q40" s="361"/>
      <c r="R40" s="363"/>
    </row>
    <row r="41" spans="1:18" x14ac:dyDescent="0.2">
      <c r="A41" s="76">
        <v>34</v>
      </c>
      <c r="B41" s="76"/>
      <c r="C41" s="1509" t="s">
        <v>7</v>
      </c>
      <c r="D41" s="288">
        <v>3614.6071898605187</v>
      </c>
      <c r="E41" s="288">
        <v>100000</v>
      </c>
      <c r="F41" s="289"/>
      <c r="G41" s="816"/>
      <c r="H41" s="361"/>
      <c r="I41" s="112">
        <v>0.35361000000000004</v>
      </c>
      <c r="J41" s="112">
        <v>0.46651000000000004</v>
      </c>
      <c r="K41" s="361"/>
      <c r="L41" s="361"/>
      <c r="M41" s="362">
        <v>0.46651000000000004</v>
      </c>
      <c r="N41" s="361"/>
      <c r="O41" s="363"/>
      <c r="P41" s="362">
        <v>0.47728000000000004</v>
      </c>
      <c r="Q41" s="361"/>
      <c r="R41" s="363"/>
    </row>
    <row r="42" spans="1:18" x14ac:dyDescent="0.2">
      <c r="A42" s="76">
        <v>35</v>
      </c>
      <c r="B42" s="76"/>
      <c r="C42" s="1509" t="s">
        <v>8</v>
      </c>
      <c r="D42" s="288">
        <v>0</v>
      </c>
      <c r="E42" s="288">
        <v>600000</v>
      </c>
      <c r="F42" s="289"/>
      <c r="G42" s="816"/>
      <c r="H42" s="361"/>
      <c r="I42" s="112">
        <v>0.32038</v>
      </c>
      <c r="J42" s="112">
        <v>0.42738999999999994</v>
      </c>
      <c r="K42" s="361"/>
      <c r="L42" s="361"/>
      <c r="M42" s="362">
        <v>0.42738999999999994</v>
      </c>
      <c r="N42" s="361"/>
      <c r="O42" s="363"/>
      <c r="P42" s="362">
        <v>0.43456999999999996</v>
      </c>
      <c r="Q42" s="361"/>
      <c r="R42" s="363"/>
    </row>
    <row r="43" spans="1:18" x14ac:dyDescent="0.2">
      <c r="A43" s="76">
        <v>36</v>
      </c>
      <c r="B43" s="76"/>
      <c r="C43" s="1509" t="s">
        <v>9</v>
      </c>
      <c r="D43" s="288">
        <v>0</v>
      </c>
      <c r="E43" s="360" t="s">
        <v>59</v>
      </c>
      <c r="F43" s="289"/>
      <c r="G43" s="816"/>
      <c r="H43" s="361"/>
      <c r="I43" s="112">
        <v>0.27890000000000004</v>
      </c>
      <c r="J43" s="112">
        <v>0.37845999999999996</v>
      </c>
      <c r="K43" s="361"/>
      <c r="L43" s="361"/>
      <c r="M43" s="362">
        <v>0.37845999999999996</v>
      </c>
      <c r="N43" s="361"/>
      <c r="O43" s="363"/>
      <c r="P43" s="362">
        <v>0.38116</v>
      </c>
      <c r="Q43" s="361"/>
      <c r="R43" s="363"/>
    </row>
    <row r="44" spans="1:18" x14ac:dyDescent="0.2">
      <c r="A44" s="76">
        <v>37</v>
      </c>
      <c r="B44" s="151"/>
      <c r="C44" s="1510" t="s">
        <v>62</v>
      </c>
      <c r="D44" s="364"/>
      <c r="E44" s="365"/>
      <c r="F44" s="366"/>
      <c r="G44" s="817"/>
      <c r="H44" s="368"/>
      <c r="I44" s="367"/>
      <c r="J44" s="367"/>
      <c r="K44" s="368">
        <v>6464.95</v>
      </c>
      <c r="L44" s="368">
        <v>7982.26</v>
      </c>
      <c r="M44" s="370"/>
      <c r="N44" s="368">
        <v>7982.26</v>
      </c>
      <c r="O44" s="371">
        <v>0.23499999999999999</v>
      </c>
      <c r="P44" s="370"/>
      <c r="Q44" s="368">
        <v>8212.5400000000009</v>
      </c>
      <c r="R44" s="371">
        <v>2.9000000000000001E-2</v>
      </c>
    </row>
    <row r="45" spans="1:18" x14ac:dyDescent="0.2">
      <c r="A45" s="76">
        <v>38</v>
      </c>
      <c r="B45" s="76" t="s">
        <v>259</v>
      </c>
      <c r="C45" s="1509" t="s">
        <v>4</v>
      </c>
      <c r="D45" s="288">
        <v>1093724.2000000002</v>
      </c>
      <c r="E45" s="288">
        <v>10000</v>
      </c>
      <c r="F45" s="289">
        <v>12869</v>
      </c>
      <c r="G45" s="816">
        <v>1300</v>
      </c>
      <c r="H45" s="361">
        <v>1300</v>
      </c>
      <c r="I45" s="112">
        <v>0.40593000000000001</v>
      </c>
      <c r="J45" s="112">
        <v>0.51346999999999998</v>
      </c>
      <c r="K45" s="361"/>
      <c r="L45" s="361"/>
      <c r="M45" s="362">
        <v>0.51346999999999998</v>
      </c>
      <c r="N45" s="361"/>
      <c r="O45" s="363"/>
      <c r="P45" s="362">
        <v>0.51858000000000004</v>
      </c>
      <c r="Q45" s="361"/>
      <c r="R45" s="363"/>
    </row>
    <row r="46" spans="1:18" x14ac:dyDescent="0.2">
      <c r="A46" s="76">
        <v>39</v>
      </c>
      <c r="B46" s="76"/>
      <c r="C46" s="1509" t="s">
        <v>5</v>
      </c>
      <c r="D46" s="288">
        <v>655939.80000000005</v>
      </c>
      <c r="E46" s="288">
        <v>20000</v>
      </c>
      <c r="F46" s="289"/>
      <c r="G46" s="816"/>
      <c r="H46" s="361"/>
      <c r="I46" s="112">
        <v>0.38999</v>
      </c>
      <c r="J46" s="112">
        <v>0.49624000000000001</v>
      </c>
      <c r="K46" s="361"/>
      <c r="L46" s="361"/>
      <c r="M46" s="362">
        <v>0.49624000000000001</v>
      </c>
      <c r="N46" s="361"/>
      <c r="O46" s="363"/>
      <c r="P46" s="362">
        <v>0.50082000000000004</v>
      </c>
      <c r="Q46" s="361"/>
      <c r="R46" s="363"/>
    </row>
    <row r="47" spans="1:18" x14ac:dyDescent="0.2">
      <c r="A47" s="76">
        <v>40</v>
      </c>
      <c r="B47" s="76"/>
      <c r="C47" s="1509" t="s">
        <v>6</v>
      </c>
      <c r="D47" s="288">
        <v>81241.3</v>
      </c>
      <c r="E47" s="288">
        <v>20000</v>
      </c>
      <c r="F47" s="289"/>
      <c r="G47" s="816"/>
      <c r="H47" s="361"/>
      <c r="I47" s="112">
        <v>0.35830999999999985</v>
      </c>
      <c r="J47" s="112">
        <v>0.46193999999999985</v>
      </c>
      <c r="K47" s="361"/>
      <c r="L47" s="361"/>
      <c r="M47" s="362">
        <v>0.46193999999999985</v>
      </c>
      <c r="N47" s="361"/>
      <c r="O47" s="363"/>
      <c r="P47" s="362">
        <v>0.46544999999999986</v>
      </c>
      <c r="Q47" s="361"/>
      <c r="R47" s="363"/>
    </row>
    <row r="48" spans="1:18" x14ac:dyDescent="0.2">
      <c r="A48" s="76">
        <v>41</v>
      </c>
      <c r="B48" s="76"/>
      <c r="C48" s="1509" t="s">
        <v>7</v>
      </c>
      <c r="D48" s="288">
        <v>9320.1</v>
      </c>
      <c r="E48" s="288">
        <v>100000</v>
      </c>
      <c r="F48" s="289"/>
      <c r="G48" s="816"/>
      <c r="H48" s="361"/>
      <c r="I48" s="112">
        <v>0.33743999999999996</v>
      </c>
      <c r="J48" s="112">
        <v>0.43937999999999994</v>
      </c>
      <c r="K48" s="361"/>
      <c r="L48" s="361"/>
      <c r="M48" s="362">
        <v>0.43937999999999994</v>
      </c>
      <c r="N48" s="361"/>
      <c r="O48" s="363"/>
      <c r="P48" s="362">
        <v>0.44218999999999992</v>
      </c>
      <c r="Q48" s="361"/>
      <c r="R48" s="363"/>
    </row>
    <row r="49" spans="1:18" x14ac:dyDescent="0.2">
      <c r="A49" s="76">
        <v>42</v>
      </c>
      <c r="B49" s="76"/>
      <c r="C49" s="1509" t="s">
        <v>8</v>
      </c>
      <c r="D49" s="288">
        <v>0</v>
      </c>
      <c r="E49" s="288">
        <v>600000</v>
      </c>
      <c r="F49" s="289"/>
      <c r="G49" s="816"/>
      <c r="H49" s="361"/>
      <c r="I49" s="112">
        <v>0.30965000000000004</v>
      </c>
      <c r="J49" s="112">
        <v>0.40932000000000002</v>
      </c>
      <c r="K49" s="361"/>
      <c r="L49" s="361"/>
      <c r="M49" s="362">
        <v>0.40932000000000002</v>
      </c>
      <c r="N49" s="361"/>
      <c r="O49" s="363"/>
      <c r="P49" s="362">
        <v>0.41118999999999994</v>
      </c>
      <c r="Q49" s="361"/>
      <c r="R49" s="363"/>
    </row>
    <row r="50" spans="1:18" x14ac:dyDescent="0.2">
      <c r="A50" s="76">
        <v>43</v>
      </c>
      <c r="B50" s="76"/>
      <c r="C50" s="1509" t="s">
        <v>9</v>
      </c>
      <c r="D50" s="288">
        <v>0</v>
      </c>
      <c r="E50" s="360" t="s">
        <v>59</v>
      </c>
      <c r="F50" s="289"/>
      <c r="G50" s="816"/>
      <c r="H50" s="361"/>
      <c r="I50" s="112">
        <v>0.27485999999999999</v>
      </c>
      <c r="J50" s="112">
        <v>0.37169999999999997</v>
      </c>
      <c r="K50" s="361"/>
      <c r="L50" s="361"/>
      <c r="M50" s="362">
        <v>0.37169999999999997</v>
      </c>
      <c r="N50" s="361"/>
      <c r="O50" s="363"/>
      <c r="P50" s="362">
        <v>0.37239999999999995</v>
      </c>
      <c r="Q50" s="361"/>
      <c r="R50" s="363"/>
    </row>
    <row r="51" spans="1:18" x14ac:dyDescent="0.2">
      <c r="A51" s="76">
        <v>44</v>
      </c>
      <c r="B51" s="151"/>
      <c r="C51" s="1510" t="s">
        <v>62</v>
      </c>
      <c r="D51" s="364"/>
      <c r="E51" s="365"/>
      <c r="F51" s="366"/>
      <c r="G51" s="817"/>
      <c r="H51" s="368"/>
      <c r="I51" s="367"/>
      <c r="J51" s="367"/>
      <c r="K51" s="368">
        <v>6478.18</v>
      </c>
      <c r="L51" s="368">
        <v>7858.41</v>
      </c>
      <c r="M51" s="370"/>
      <c r="N51" s="368">
        <v>7858.41</v>
      </c>
      <c r="O51" s="371">
        <v>0.21299999999999999</v>
      </c>
      <c r="P51" s="370"/>
      <c r="Q51" s="368">
        <v>7922.65</v>
      </c>
      <c r="R51" s="371">
        <v>8.0000000000000002E-3</v>
      </c>
    </row>
    <row r="52" spans="1:18" x14ac:dyDescent="0.2">
      <c r="A52" s="76">
        <v>45</v>
      </c>
      <c r="B52" s="76" t="s">
        <v>255</v>
      </c>
      <c r="C52" s="1509" t="s">
        <v>4</v>
      </c>
      <c r="D52" s="288">
        <v>480000</v>
      </c>
      <c r="E52" s="288">
        <v>10000</v>
      </c>
      <c r="F52" s="289">
        <v>51470</v>
      </c>
      <c r="G52" s="816">
        <v>1550</v>
      </c>
      <c r="H52" s="361">
        <v>1550</v>
      </c>
      <c r="I52" s="112">
        <v>0.13851999999999998</v>
      </c>
      <c r="J52" s="112">
        <v>0.14960999999999997</v>
      </c>
      <c r="K52" s="361"/>
      <c r="L52" s="361"/>
      <c r="M52" s="362">
        <v>0.14960999999999997</v>
      </c>
      <c r="N52" s="361"/>
      <c r="O52" s="363"/>
      <c r="P52" s="362">
        <v>0.15485999999999997</v>
      </c>
      <c r="Q52" s="361"/>
      <c r="R52" s="363"/>
    </row>
    <row r="53" spans="1:18" x14ac:dyDescent="0.2">
      <c r="A53" s="76">
        <v>46</v>
      </c>
      <c r="B53" s="76"/>
      <c r="C53" s="1509" t="s">
        <v>5</v>
      </c>
      <c r="D53" s="288">
        <v>807846</v>
      </c>
      <c r="E53" s="288">
        <v>20000</v>
      </c>
      <c r="F53" s="289"/>
      <c r="G53" s="816"/>
      <c r="H53" s="361"/>
      <c r="I53" s="112">
        <v>0.12399999999999999</v>
      </c>
      <c r="J53" s="112">
        <v>0.13391999999999998</v>
      </c>
      <c r="K53" s="361"/>
      <c r="L53" s="361"/>
      <c r="M53" s="362">
        <v>0.13391999999999998</v>
      </c>
      <c r="N53" s="361"/>
      <c r="O53" s="363"/>
      <c r="P53" s="362">
        <v>0.13862999999999998</v>
      </c>
      <c r="Q53" s="361"/>
      <c r="R53" s="363"/>
    </row>
    <row r="54" spans="1:18" x14ac:dyDescent="0.2">
      <c r="A54" s="76">
        <v>47</v>
      </c>
      <c r="B54" s="76"/>
      <c r="C54" s="1509" t="s">
        <v>6</v>
      </c>
      <c r="D54" s="288">
        <v>583779</v>
      </c>
      <c r="E54" s="288">
        <v>20000</v>
      </c>
      <c r="F54" s="289"/>
      <c r="G54" s="816"/>
      <c r="H54" s="361"/>
      <c r="I54" s="112">
        <v>9.5079999999999998E-2</v>
      </c>
      <c r="J54" s="112">
        <v>0.1027</v>
      </c>
      <c r="K54" s="361"/>
      <c r="L54" s="361"/>
      <c r="M54" s="362">
        <v>0.1027</v>
      </c>
      <c r="N54" s="361"/>
      <c r="O54" s="363"/>
      <c r="P54" s="362">
        <v>0.10629000000000001</v>
      </c>
      <c r="Q54" s="361"/>
      <c r="R54" s="363"/>
    </row>
    <row r="55" spans="1:18" x14ac:dyDescent="0.2">
      <c r="A55" s="76">
        <v>48</v>
      </c>
      <c r="B55" s="76"/>
      <c r="C55" s="1509" t="s">
        <v>7</v>
      </c>
      <c r="D55" s="288">
        <v>598933</v>
      </c>
      <c r="E55" s="288">
        <v>100000</v>
      </c>
      <c r="F55" s="289"/>
      <c r="G55" s="816"/>
      <c r="H55" s="361"/>
      <c r="I55" s="112">
        <v>7.6070000000000013E-2</v>
      </c>
      <c r="J55" s="112">
        <v>8.2170000000000021E-2</v>
      </c>
      <c r="K55" s="361"/>
      <c r="L55" s="361"/>
      <c r="M55" s="362">
        <v>8.2170000000000021E-2</v>
      </c>
      <c r="N55" s="361"/>
      <c r="O55" s="363"/>
      <c r="P55" s="362">
        <v>8.5060000000000024E-2</v>
      </c>
      <c r="Q55" s="361"/>
      <c r="R55" s="363"/>
    </row>
    <row r="56" spans="1:18" x14ac:dyDescent="0.2">
      <c r="A56" s="76">
        <v>49</v>
      </c>
      <c r="B56" s="76"/>
      <c r="C56" s="1509" t="s">
        <v>8</v>
      </c>
      <c r="D56" s="288">
        <v>0</v>
      </c>
      <c r="E56" s="288">
        <v>600000</v>
      </c>
      <c r="F56" s="289"/>
      <c r="G56" s="816"/>
      <c r="H56" s="361"/>
      <c r="I56" s="112">
        <v>5.0710000000000005E-2</v>
      </c>
      <c r="J56" s="112">
        <v>5.4790000000000005E-2</v>
      </c>
      <c r="K56" s="361"/>
      <c r="L56" s="361"/>
      <c r="M56" s="362">
        <v>5.4790000000000005E-2</v>
      </c>
      <c r="N56" s="361"/>
      <c r="O56" s="363"/>
      <c r="P56" s="362">
        <v>5.6700000000000007E-2</v>
      </c>
      <c r="Q56" s="361"/>
      <c r="R56" s="363"/>
    </row>
    <row r="57" spans="1:18" x14ac:dyDescent="0.2">
      <c r="A57" s="76">
        <v>50</v>
      </c>
      <c r="B57" s="76"/>
      <c r="C57" s="1509" t="s">
        <v>9</v>
      </c>
      <c r="D57" s="288">
        <v>0</v>
      </c>
      <c r="E57" s="360" t="s">
        <v>59</v>
      </c>
      <c r="F57" s="289"/>
      <c r="G57" s="816"/>
      <c r="H57" s="361"/>
      <c r="I57" s="112">
        <v>1.9009999999999999E-2</v>
      </c>
      <c r="J57" s="112">
        <v>2.0539999999999999E-2</v>
      </c>
      <c r="K57" s="361"/>
      <c r="L57" s="361"/>
      <c r="M57" s="362">
        <v>2.0539999999999999E-2</v>
      </c>
      <c r="N57" s="361"/>
      <c r="O57" s="363"/>
      <c r="P57" s="362">
        <v>2.1260000000000001E-2</v>
      </c>
      <c r="Q57" s="361"/>
      <c r="R57" s="363"/>
    </row>
    <row r="58" spans="1:18" x14ac:dyDescent="0.2">
      <c r="A58" s="76">
        <v>51</v>
      </c>
      <c r="B58" s="151"/>
      <c r="C58" s="1510" t="s">
        <v>62</v>
      </c>
      <c r="D58" s="364"/>
      <c r="E58" s="365"/>
      <c r="F58" s="366"/>
      <c r="G58" s="817"/>
      <c r="H58" s="368"/>
      <c r="I58" s="367"/>
      <c r="J58" s="367"/>
      <c r="K58" s="368">
        <v>7428.62</v>
      </c>
      <c r="L58" s="368">
        <v>7899.29</v>
      </c>
      <c r="M58" s="370"/>
      <c r="N58" s="368">
        <v>7899.29</v>
      </c>
      <c r="O58" s="371">
        <v>6.3E-2</v>
      </c>
      <c r="P58" s="370"/>
      <c r="Q58" s="368">
        <v>8122.04</v>
      </c>
      <c r="R58" s="371">
        <v>2.8000000000000001E-2</v>
      </c>
    </row>
    <row r="59" spans="1:18" x14ac:dyDescent="0.2">
      <c r="A59" s="76">
        <v>52</v>
      </c>
      <c r="B59" s="76" t="s">
        <v>256</v>
      </c>
      <c r="C59" s="1509" t="s">
        <v>4</v>
      </c>
      <c r="D59" s="288">
        <v>924395</v>
      </c>
      <c r="E59" s="288">
        <v>10000</v>
      </c>
      <c r="F59" s="289">
        <v>63374</v>
      </c>
      <c r="G59" s="816">
        <v>1550</v>
      </c>
      <c r="H59" s="361">
        <v>1550</v>
      </c>
      <c r="I59" s="112">
        <v>0.14000000000000001</v>
      </c>
      <c r="J59" s="112">
        <v>0.14867000000000002</v>
      </c>
      <c r="K59" s="361"/>
      <c r="L59" s="361"/>
      <c r="M59" s="362">
        <v>0.14867000000000002</v>
      </c>
      <c r="N59" s="361"/>
      <c r="O59" s="363"/>
      <c r="P59" s="362">
        <v>0.15196000000000001</v>
      </c>
      <c r="Q59" s="361"/>
      <c r="R59" s="363"/>
    </row>
    <row r="60" spans="1:18" x14ac:dyDescent="0.2">
      <c r="A60" s="76">
        <v>53</v>
      </c>
      <c r="B60" s="76"/>
      <c r="C60" s="1509" t="s">
        <v>5</v>
      </c>
      <c r="D60" s="288">
        <v>1036796</v>
      </c>
      <c r="E60" s="288">
        <v>20000</v>
      </c>
      <c r="F60" s="289"/>
      <c r="G60" s="816"/>
      <c r="H60" s="361"/>
      <c r="I60" s="112">
        <v>0.12530999999999998</v>
      </c>
      <c r="J60" s="112">
        <v>0.13306999999999997</v>
      </c>
      <c r="K60" s="361"/>
      <c r="L60" s="361"/>
      <c r="M60" s="362">
        <v>0.13306999999999997</v>
      </c>
      <c r="N60" s="361"/>
      <c r="O60" s="363"/>
      <c r="P60" s="362">
        <v>0.13601999999999995</v>
      </c>
      <c r="Q60" s="361"/>
      <c r="R60" s="363"/>
    </row>
    <row r="61" spans="1:18" x14ac:dyDescent="0.2">
      <c r="A61" s="76">
        <v>54</v>
      </c>
      <c r="B61" s="76"/>
      <c r="C61" s="1509" t="s">
        <v>6</v>
      </c>
      <c r="D61" s="288">
        <v>937215</v>
      </c>
      <c r="E61" s="288">
        <v>20000</v>
      </c>
      <c r="F61" s="289"/>
      <c r="G61" s="816"/>
      <c r="H61" s="361"/>
      <c r="I61" s="112">
        <v>9.6100000000000005E-2</v>
      </c>
      <c r="J61" s="112">
        <v>0.10205</v>
      </c>
      <c r="K61" s="361"/>
      <c r="L61" s="361"/>
      <c r="M61" s="362">
        <v>0.10205</v>
      </c>
      <c r="N61" s="361"/>
      <c r="O61" s="363"/>
      <c r="P61" s="362">
        <v>0.1043</v>
      </c>
      <c r="Q61" s="361"/>
      <c r="R61" s="363"/>
    </row>
    <row r="62" spans="1:18" x14ac:dyDescent="0.2">
      <c r="A62" s="76">
        <v>55</v>
      </c>
      <c r="B62" s="76"/>
      <c r="C62" s="1509" t="s">
        <v>7</v>
      </c>
      <c r="D62" s="288">
        <v>2390318</v>
      </c>
      <c r="E62" s="288">
        <v>100000</v>
      </c>
      <c r="F62" s="289"/>
      <c r="G62" s="816"/>
      <c r="H62" s="361"/>
      <c r="I62" s="112">
        <v>7.6880000000000018E-2</v>
      </c>
      <c r="J62" s="112">
        <v>8.1650000000000014E-2</v>
      </c>
      <c r="K62" s="361"/>
      <c r="L62" s="361"/>
      <c r="M62" s="362">
        <v>8.1650000000000014E-2</v>
      </c>
      <c r="N62" s="361"/>
      <c r="O62" s="363"/>
      <c r="P62" s="362">
        <v>8.3440000000000028E-2</v>
      </c>
      <c r="Q62" s="361"/>
      <c r="R62" s="363"/>
    </row>
    <row r="63" spans="1:18" x14ac:dyDescent="0.2">
      <c r="A63" s="76">
        <v>56</v>
      </c>
      <c r="B63" s="76"/>
      <c r="C63" s="1509" t="s">
        <v>8</v>
      </c>
      <c r="D63" s="288">
        <v>1492257</v>
      </c>
      <c r="E63" s="288">
        <v>600000</v>
      </c>
      <c r="F63" s="289"/>
      <c r="G63" s="816"/>
      <c r="H63" s="361"/>
      <c r="I63" s="112">
        <v>5.1250000000000004E-2</v>
      </c>
      <c r="J63" s="112">
        <v>5.4429999999999999E-2</v>
      </c>
      <c r="K63" s="361"/>
      <c r="L63" s="361"/>
      <c r="M63" s="362">
        <v>5.4429999999999999E-2</v>
      </c>
      <c r="N63" s="361"/>
      <c r="O63" s="363"/>
      <c r="P63" s="362">
        <v>5.5629999999999999E-2</v>
      </c>
      <c r="Q63" s="361"/>
      <c r="R63" s="363"/>
    </row>
    <row r="64" spans="1:18" x14ac:dyDescent="0.2">
      <c r="A64" s="76">
        <v>57</v>
      </c>
      <c r="B64" s="76"/>
      <c r="C64" s="1509" t="s">
        <v>9</v>
      </c>
      <c r="D64" s="288">
        <v>0</v>
      </c>
      <c r="E64" s="360" t="s">
        <v>59</v>
      </c>
      <c r="F64" s="289"/>
      <c r="G64" s="816"/>
      <c r="H64" s="361"/>
      <c r="I64" s="112">
        <v>1.9220000000000001E-2</v>
      </c>
      <c r="J64" s="112">
        <v>2.0410000000000001E-2</v>
      </c>
      <c r="K64" s="361"/>
      <c r="L64" s="361"/>
      <c r="M64" s="362">
        <v>2.0410000000000001E-2</v>
      </c>
      <c r="N64" s="361"/>
      <c r="O64" s="363"/>
      <c r="P64" s="362">
        <v>2.086E-2</v>
      </c>
      <c r="Q64" s="361"/>
      <c r="R64" s="363"/>
    </row>
    <row r="65" spans="1:18" x14ac:dyDescent="0.2">
      <c r="A65" s="76">
        <v>58</v>
      </c>
      <c r="B65" s="151"/>
      <c r="C65" s="1510" t="s">
        <v>62</v>
      </c>
      <c r="D65" s="364"/>
      <c r="E65" s="365"/>
      <c r="F65" s="366"/>
      <c r="G65" s="817"/>
      <c r="H65" s="368"/>
      <c r="I65" s="367"/>
      <c r="J65" s="367"/>
      <c r="K65" s="368">
        <v>8406.39</v>
      </c>
      <c r="L65" s="368">
        <v>8831.09</v>
      </c>
      <c r="M65" s="370"/>
      <c r="N65" s="368">
        <v>8831.09</v>
      </c>
      <c r="O65" s="371">
        <v>5.0999999999999997E-2</v>
      </c>
      <c r="P65" s="370"/>
      <c r="Q65" s="368">
        <v>8991.93</v>
      </c>
      <c r="R65" s="371">
        <v>1.7999999999999999E-2</v>
      </c>
    </row>
    <row r="66" spans="1:18" x14ac:dyDescent="0.2">
      <c r="A66" s="76">
        <v>59</v>
      </c>
      <c r="B66" s="76" t="s">
        <v>252</v>
      </c>
      <c r="C66" s="1509" t="s">
        <v>4</v>
      </c>
      <c r="D66" s="288">
        <v>240000</v>
      </c>
      <c r="E66" s="288">
        <v>10000</v>
      </c>
      <c r="F66" s="289">
        <v>39322</v>
      </c>
      <c r="G66" s="816">
        <v>1300</v>
      </c>
      <c r="H66" s="361">
        <v>1300</v>
      </c>
      <c r="I66" s="112">
        <v>0.42349000000000003</v>
      </c>
      <c r="J66" s="112">
        <v>0.56372</v>
      </c>
      <c r="K66" s="361"/>
      <c r="L66" s="361"/>
      <c r="M66" s="362">
        <v>0.56372</v>
      </c>
      <c r="N66" s="361"/>
      <c r="O66" s="363"/>
      <c r="P66" s="362">
        <v>0.57536999999999994</v>
      </c>
      <c r="Q66" s="361"/>
      <c r="R66" s="363"/>
    </row>
    <row r="67" spans="1:18" x14ac:dyDescent="0.2">
      <c r="A67" s="76">
        <v>60</v>
      </c>
      <c r="B67" s="76"/>
      <c r="C67" s="1509" t="s">
        <v>5</v>
      </c>
      <c r="D67" s="288">
        <v>467511</v>
      </c>
      <c r="E67" s="288">
        <v>20000</v>
      </c>
      <c r="F67" s="372"/>
      <c r="G67" s="818"/>
      <c r="H67" s="637"/>
      <c r="I67" s="112">
        <v>0.40679999999999994</v>
      </c>
      <c r="J67" s="112">
        <v>0.5450299999999999</v>
      </c>
      <c r="K67" s="361"/>
      <c r="L67" s="361"/>
      <c r="M67" s="362">
        <v>0.5450299999999999</v>
      </c>
      <c r="N67" s="361"/>
      <c r="O67" s="363"/>
      <c r="P67" s="362">
        <v>0.55545</v>
      </c>
      <c r="Q67" s="361"/>
      <c r="R67" s="363"/>
    </row>
    <row r="68" spans="1:18" x14ac:dyDescent="0.2">
      <c r="A68" s="76">
        <v>61</v>
      </c>
      <c r="B68" s="76"/>
      <c r="C68" s="1509" t="s">
        <v>6</v>
      </c>
      <c r="D68" s="288">
        <v>218004</v>
      </c>
      <c r="E68" s="288">
        <v>20000</v>
      </c>
      <c r="F68" s="372"/>
      <c r="G68" s="818"/>
      <c r="H68" s="637"/>
      <c r="I68" s="112">
        <v>0.37361</v>
      </c>
      <c r="J68" s="112">
        <v>0.50780999999999998</v>
      </c>
      <c r="K68" s="361"/>
      <c r="L68" s="361"/>
      <c r="M68" s="362">
        <v>0.50780999999999998</v>
      </c>
      <c r="N68" s="361"/>
      <c r="O68" s="363"/>
      <c r="P68" s="362">
        <v>0.51580999999999999</v>
      </c>
      <c r="Q68" s="361"/>
      <c r="R68" s="363"/>
    </row>
    <row r="69" spans="1:18" x14ac:dyDescent="0.2">
      <c r="A69" s="76">
        <v>62</v>
      </c>
      <c r="B69" s="76"/>
      <c r="C69" s="1509" t="s">
        <v>7</v>
      </c>
      <c r="D69" s="288">
        <v>18208</v>
      </c>
      <c r="E69" s="288">
        <v>100000</v>
      </c>
      <c r="F69" s="372"/>
      <c r="G69" s="818"/>
      <c r="H69" s="637"/>
      <c r="I69" s="112">
        <v>0.35180000000000006</v>
      </c>
      <c r="J69" s="112">
        <v>0.48334000000000005</v>
      </c>
      <c r="K69" s="361"/>
      <c r="L69" s="361"/>
      <c r="M69" s="362">
        <v>0.48334000000000005</v>
      </c>
      <c r="N69" s="361"/>
      <c r="O69" s="363"/>
      <c r="P69" s="362">
        <v>0.48973000000000005</v>
      </c>
      <c r="Q69" s="361"/>
      <c r="R69" s="363"/>
    </row>
    <row r="70" spans="1:18" x14ac:dyDescent="0.2">
      <c r="A70" s="76">
        <v>63</v>
      </c>
      <c r="B70" s="76"/>
      <c r="C70" s="1509" t="s">
        <v>8</v>
      </c>
      <c r="D70" s="288">
        <v>0</v>
      </c>
      <c r="E70" s="288">
        <v>600000</v>
      </c>
      <c r="F70" s="372"/>
      <c r="G70" s="818"/>
      <c r="H70" s="637"/>
      <c r="I70" s="112">
        <v>0.32268999999999998</v>
      </c>
      <c r="J70" s="112">
        <v>0.45072999999999996</v>
      </c>
      <c r="K70" s="361"/>
      <c r="L70" s="361"/>
      <c r="M70" s="362">
        <v>0.45072999999999996</v>
      </c>
      <c r="N70" s="361"/>
      <c r="O70" s="363"/>
      <c r="P70" s="362">
        <v>0.45498999999999995</v>
      </c>
      <c r="Q70" s="361"/>
      <c r="R70" s="363"/>
    </row>
    <row r="71" spans="1:18" x14ac:dyDescent="0.2">
      <c r="A71" s="76">
        <v>64</v>
      </c>
      <c r="B71" s="76"/>
      <c r="C71" s="1509" t="s">
        <v>9</v>
      </c>
      <c r="D71" s="288">
        <v>0</v>
      </c>
      <c r="E71" s="360" t="s">
        <v>59</v>
      </c>
      <c r="F71" s="372"/>
      <c r="G71" s="818"/>
      <c r="H71" s="637"/>
      <c r="I71" s="112">
        <v>0.28632000000000002</v>
      </c>
      <c r="J71" s="112">
        <v>0.40994999999999998</v>
      </c>
      <c r="K71" s="361"/>
      <c r="L71" s="361"/>
      <c r="M71" s="362">
        <v>0.40994999999999998</v>
      </c>
      <c r="N71" s="361"/>
      <c r="O71" s="363"/>
      <c r="P71" s="362">
        <v>0.41155999999999998</v>
      </c>
      <c r="Q71" s="361"/>
      <c r="R71" s="363"/>
    </row>
    <row r="72" spans="1:18" x14ac:dyDescent="0.2">
      <c r="A72" s="76">
        <v>65</v>
      </c>
      <c r="B72" s="151"/>
      <c r="C72" s="1510" t="s">
        <v>62</v>
      </c>
      <c r="D72" s="364"/>
      <c r="E72" s="365"/>
      <c r="F72" s="366"/>
      <c r="G72" s="817"/>
      <c r="H72" s="368"/>
      <c r="I72" s="367"/>
      <c r="J72" s="367"/>
      <c r="K72" s="368">
        <v>17153.690000000002</v>
      </c>
      <c r="L72" s="368">
        <v>22571.599999999999</v>
      </c>
      <c r="M72" s="370"/>
      <c r="N72" s="368">
        <v>22571.599999999999</v>
      </c>
      <c r="O72" s="371">
        <v>0.316</v>
      </c>
      <c r="P72" s="370"/>
      <c r="Q72" s="368">
        <v>22971.08</v>
      </c>
      <c r="R72" s="371">
        <v>1.7999999999999999E-2</v>
      </c>
    </row>
    <row r="73" spans="1:18" x14ac:dyDescent="0.2">
      <c r="A73" s="76">
        <v>66</v>
      </c>
      <c r="B73" s="76" t="s">
        <v>258</v>
      </c>
      <c r="C73" s="1509" t="s">
        <v>4</v>
      </c>
      <c r="D73" s="288">
        <v>156740</v>
      </c>
      <c r="E73" s="288">
        <v>10000</v>
      </c>
      <c r="F73" s="289">
        <v>13758</v>
      </c>
      <c r="G73" s="816">
        <v>1300</v>
      </c>
      <c r="H73" s="361">
        <v>1300</v>
      </c>
      <c r="I73" s="112">
        <v>0.4161399999999999</v>
      </c>
      <c r="J73" s="112">
        <v>0.54884999999999984</v>
      </c>
      <c r="K73" s="361"/>
      <c r="L73" s="361"/>
      <c r="M73" s="362">
        <v>0.54884999999999984</v>
      </c>
      <c r="N73" s="361"/>
      <c r="O73" s="363"/>
      <c r="P73" s="362">
        <v>0.55355999999999983</v>
      </c>
      <c r="Q73" s="361"/>
      <c r="R73" s="363"/>
    </row>
    <row r="74" spans="1:18" x14ac:dyDescent="0.2">
      <c r="A74" s="76">
        <v>67</v>
      </c>
      <c r="B74" s="76"/>
      <c r="C74" s="1509" t="s">
        <v>5</v>
      </c>
      <c r="D74" s="288">
        <v>159690</v>
      </c>
      <c r="E74" s="288">
        <v>20000</v>
      </c>
      <c r="F74" s="289"/>
      <c r="G74" s="816"/>
      <c r="H74" s="361"/>
      <c r="I74" s="112">
        <v>0.40022999999999992</v>
      </c>
      <c r="J74" s="112">
        <v>0.53171999999999986</v>
      </c>
      <c r="K74" s="361"/>
      <c r="L74" s="361"/>
      <c r="M74" s="362">
        <v>0.53171999999999986</v>
      </c>
      <c r="N74" s="361"/>
      <c r="O74" s="363"/>
      <c r="P74" s="362">
        <v>0.53593999999999986</v>
      </c>
      <c r="Q74" s="361"/>
      <c r="R74" s="363"/>
    </row>
    <row r="75" spans="1:18" x14ac:dyDescent="0.2">
      <c r="A75" s="76">
        <v>68</v>
      </c>
      <c r="B75" s="76"/>
      <c r="C75" s="1509" t="s">
        <v>6</v>
      </c>
      <c r="D75" s="288">
        <v>0</v>
      </c>
      <c r="E75" s="288">
        <v>20000</v>
      </c>
      <c r="F75" s="289"/>
      <c r="G75" s="816"/>
      <c r="H75" s="361"/>
      <c r="I75" s="112">
        <v>0.36857999999999996</v>
      </c>
      <c r="J75" s="112">
        <v>0.49761999999999995</v>
      </c>
      <c r="K75" s="361"/>
      <c r="L75" s="361"/>
      <c r="M75" s="362">
        <v>0.49761999999999995</v>
      </c>
      <c r="N75" s="361"/>
      <c r="O75" s="363"/>
      <c r="P75" s="362">
        <v>0.50085999999999986</v>
      </c>
      <c r="Q75" s="361"/>
      <c r="R75" s="363"/>
    </row>
    <row r="76" spans="1:18" x14ac:dyDescent="0.2">
      <c r="A76" s="76">
        <v>69</v>
      </c>
      <c r="B76" s="76"/>
      <c r="C76" s="1509" t="s">
        <v>7</v>
      </c>
      <c r="D76" s="288">
        <v>0</v>
      </c>
      <c r="E76" s="288">
        <v>100000</v>
      </c>
      <c r="F76" s="289"/>
      <c r="G76" s="816"/>
      <c r="H76" s="361"/>
      <c r="I76" s="112">
        <v>0.34777000000000002</v>
      </c>
      <c r="J76" s="112">
        <v>0.47520000000000001</v>
      </c>
      <c r="K76" s="361"/>
      <c r="L76" s="361"/>
      <c r="M76" s="362">
        <v>0.47520000000000001</v>
      </c>
      <c r="N76" s="361"/>
      <c r="O76" s="363"/>
      <c r="P76" s="362">
        <v>0.47778999999999999</v>
      </c>
      <c r="Q76" s="361"/>
      <c r="R76" s="363"/>
    </row>
    <row r="77" spans="1:18" x14ac:dyDescent="0.2">
      <c r="A77" s="76">
        <v>70</v>
      </c>
      <c r="B77" s="76"/>
      <c r="C77" s="1509" t="s">
        <v>8</v>
      </c>
      <c r="D77" s="288">
        <v>0</v>
      </c>
      <c r="E77" s="288">
        <v>600000</v>
      </c>
      <c r="F77" s="289"/>
      <c r="G77" s="816"/>
      <c r="H77" s="361"/>
      <c r="I77" s="112">
        <v>0.32002000000000003</v>
      </c>
      <c r="J77" s="112">
        <v>0.44528000000000001</v>
      </c>
      <c r="K77" s="361"/>
      <c r="L77" s="361"/>
      <c r="M77" s="362">
        <v>0.44528000000000001</v>
      </c>
      <c r="N77" s="361"/>
      <c r="O77" s="363"/>
      <c r="P77" s="362">
        <v>0.44700000000000001</v>
      </c>
      <c r="Q77" s="361"/>
      <c r="R77" s="363"/>
    </row>
    <row r="78" spans="1:18" x14ac:dyDescent="0.2">
      <c r="A78" s="76">
        <v>71</v>
      </c>
      <c r="B78" s="76"/>
      <c r="C78" s="1509" t="s">
        <v>9</v>
      </c>
      <c r="D78" s="288">
        <v>0</v>
      </c>
      <c r="E78" s="360" t="s">
        <v>59</v>
      </c>
      <c r="F78" s="289"/>
      <c r="G78" s="816"/>
      <c r="H78" s="361"/>
      <c r="I78" s="112">
        <v>0.2853</v>
      </c>
      <c r="J78" s="112">
        <v>0.40789999999999998</v>
      </c>
      <c r="K78" s="361"/>
      <c r="L78" s="361"/>
      <c r="M78" s="362">
        <v>0.40789999999999998</v>
      </c>
      <c r="N78" s="361"/>
      <c r="O78" s="363"/>
      <c r="P78" s="362">
        <v>0.40854999999999997</v>
      </c>
      <c r="Q78" s="361"/>
      <c r="R78" s="363"/>
    </row>
    <row r="79" spans="1:18" x14ac:dyDescent="0.2">
      <c r="A79" s="76">
        <v>72</v>
      </c>
      <c r="B79" s="151"/>
      <c r="C79" s="1510" t="s">
        <v>62</v>
      </c>
      <c r="D79" s="364"/>
      <c r="E79" s="365"/>
      <c r="F79" s="366"/>
      <c r="G79" s="817"/>
      <c r="H79" s="368"/>
      <c r="I79" s="367"/>
      <c r="J79" s="367"/>
      <c r="K79" s="368">
        <v>6965.46</v>
      </c>
      <c r="L79" s="368">
        <v>8786.7000000000007</v>
      </c>
      <c r="M79" s="370"/>
      <c r="N79" s="368">
        <v>8786.7000000000007</v>
      </c>
      <c r="O79" s="371">
        <v>0.26100000000000001</v>
      </c>
      <c r="P79" s="370"/>
      <c r="Q79" s="368">
        <v>8849.66</v>
      </c>
      <c r="R79" s="371">
        <v>7.0000000000000001E-3</v>
      </c>
    </row>
    <row r="80" spans="1:18" x14ac:dyDescent="0.2">
      <c r="A80" s="76">
        <v>73</v>
      </c>
      <c r="B80" s="76" t="s">
        <v>261</v>
      </c>
      <c r="C80" s="1509" t="s">
        <v>4</v>
      </c>
      <c r="D80" s="373">
        <v>0</v>
      </c>
      <c r="E80" s="288">
        <v>10000</v>
      </c>
      <c r="F80" s="374">
        <v>0</v>
      </c>
      <c r="G80" s="816">
        <v>1550</v>
      </c>
      <c r="H80" s="361">
        <v>1550</v>
      </c>
      <c r="I80" s="375">
        <v>0.13459999999999997</v>
      </c>
      <c r="J80" s="375">
        <v>0.13989999999999997</v>
      </c>
      <c r="K80" s="361"/>
      <c r="L80" s="361"/>
      <c r="M80" s="362">
        <v>0.13989999999999997</v>
      </c>
      <c r="N80" s="361"/>
      <c r="O80" s="363"/>
      <c r="P80" s="362">
        <v>0.14209999999999998</v>
      </c>
      <c r="Q80" s="361"/>
      <c r="R80" s="363"/>
    </row>
    <row r="81" spans="1:18" x14ac:dyDescent="0.2">
      <c r="A81" s="76">
        <v>74</v>
      </c>
      <c r="B81" s="76"/>
      <c r="C81" s="1509" t="s">
        <v>5</v>
      </c>
      <c r="D81" s="373">
        <v>0</v>
      </c>
      <c r="E81" s="288">
        <v>20000</v>
      </c>
      <c r="F81" s="374"/>
      <c r="G81" s="819"/>
      <c r="H81" s="638"/>
      <c r="I81" s="375">
        <v>0.12048999999999999</v>
      </c>
      <c r="J81" s="375">
        <v>0.12523999999999999</v>
      </c>
      <c r="K81" s="361"/>
      <c r="L81" s="361"/>
      <c r="M81" s="362">
        <v>0.12523999999999999</v>
      </c>
      <c r="N81" s="361"/>
      <c r="O81" s="363"/>
      <c r="P81" s="362">
        <v>0.12720999999999999</v>
      </c>
      <c r="Q81" s="361"/>
      <c r="R81" s="363"/>
    </row>
    <row r="82" spans="1:18" x14ac:dyDescent="0.2">
      <c r="A82" s="76">
        <v>75</v>
      </c>
      <c r="B82" s="76"/>
      <c r="C82" s="1509" t="s">
        <v>6</v>
      </c>
      <c r="D82" s="373">
        <v>0</v>
      </c>
      <c r="E82" s="288">
        <v>20000</v>
      </c>
      <c r="F82" s="374"/>
      <c r="G82" s="819"/>
      <c r="H82" s="638"/>
      <c r="I82" s="375">
        <v>9.2380000000000004E-2</v>
      </c>
      <c r="J82" s="375">
        <v>9.604E-2</v>
      </c>
      <c r="K82" s="361"/>
      <c r="L82" s="361"/>
      <c r="M82" s="362">
        <v>9.604E-2</v>
      </c>
      <c r="N82" s="361"/>
      <c r="O82" s="363"/>
      <c r="P82" s="362">
        <v>9.7549999999999998E-2</v>
      </c>
      <c r="Q82" s="361"/>
      <c r="R82" s="363"/>
    </row>
    <row r="83" spans="1:18" x14ac:dyDescent="0.2">
      <c r="A83" s="76">
        <v>76</v>
      </c>
      <c r="B83" s="76"/>
      <c r="C83" s="1509" t="s">
        <v>7</v>
      </c>
      <c r="D83" s="373">
        <v>0</v>
      </c>
      <c r="E83" s="288">
        <v>100000</v>
      </c>
      <c r="F83" s="374"/>
      <c r="G83" s="819"/>
      <c r="H83" s="638"/>
      <c r="I83" s="375">
        <v>7.392E-2</v>
      </c>
      <c r="J83" s="375">
        <v>7.6840000000000006E-2</v>
      </c>
      <c r="K83" s="361"/>
      <c r="L83" s="361"/>
      <c r="M83" s="362">
        <v>7.6840000000000006E-2</v>
      </c>
      <c r="N83" s="361"/>
      <c r="O83" s="363"/>
      <c r="P83" s="362">
        <v>7.8050000000000008E-2</v>
      </c>
      <c r="Q83" s="361"/>
      <c r="R83" s="363"/>
    </row>
    <row r="84" spans="1:18" x14ac:dyDescent="0.2">
      <c r="A84" s="76">
        <v>77</v>
      </c>
      <c r="B84" s="76"/>
      <c r="C84" s="1509" t="s">
        <v>8</v>
      </c>
      <c r="D84" s="373">
        <v>0</v>
      </c>
      <c r="E84" s="288">
        <v>600000</v>
      </c>
      <c r="F84" s="374"/>
      <c r="G84" s="819"/>
      <c r="H84" s="638"/>
      <c r="I84" s="375">
        <v>4.929E-2</v>
      </c>
      <c r="J84" s="375">
        <v>5.1240000000000001E-2</v>
      </c>
      <c r="K84" s="361"/>
      <c r="L84" s="361"/>
      <c r="M84" s="362">
        <v>5.1240000000000001E-2</v>
      </c>
      <c r="N84" s="361"/>
      <c r="O84" s="363"/>
      <c r="P84" s="362">
        <v>5.2039999999999996E-2</v>
      </c>
      <c r="Q84" s="361"/>
      <c r="R84" s="363"/>
    </row>
    <row r="85" spans="1:18" x14ac:dyDescent="0.2">
      <c r="A85" s="76">
        <v>78</v>
      </c>
      <c r="B85" s="76"/>
      <c r="C85" s="1509" t="s">
        <v>9</v>
      </c>
      <c r="D85" s="373">
        <v>0</v>
      </c>
      <c r="E85" s="360" t="s">
        <v>59</v>
      </c>
      <c r="F85" s="374"/>
      <c r="G85" s="819"/>
      <c r="H85" s="638"/>
      <c r="I85" s="375">
        <v>1.8460000000000001E-2</v>
      </c>
      <c r="J85" s="375">
        <v>1.9200000000000002E-2</v>
      </c>
      <c r="K85" s="361"/>
      <c r="L85" s="361"/>
      <c r="M85" s="362">
        <v>1.9200000000000002E-2</v>
      </c>
      <c r="N85" s="361"/>
      <c r="O85" s="363"/>
      <c r="P85" s="362">
        <v>1.949E-2</v>
      </c>
      <c r="Q85" s="361"/>
      <c r="R85" s="363"/>
    </row>
    <row r="86" spans="1:18" x14ac:dyDescent="0.2">
      <c r="A86" s="76">
        <v>79</v>
      </c>
      <c r="B86" s="151"/>
      <c r="C86" s="1510" t="s">
        <v>62</v>
      </c>
      <c r="D86" s="364"/>
      <c r="E86" s="365"/>
      <c r="F86" s="366"/>
      <c r="G86" s="817"/>
      <c r="H86" s="368"/>
      <c r="I86" s="367"/>
      <c r="J86" s="367"/>
      <c r="K86" s="368">
        <v>1550</v>
      </c>
      <c r="L86" s="368">
        <v>1550</v>
      </c>
      <c r="M86" s="370"/>
      <c r="N86" s="368">
        <v>1550</v>
      </c>
      <c r="O86" s="371">
        <v>0</v>
      </c>
      <c r="P86" s="370"/>
      <c r="Q86" s="368">
        <v>1550</v>
      </c>
      <c r="R86" s="371">
        <v>0</v>
      </c>
    </row>
    <row r="87" spans="1:18" x14ac:dyDescent="0.2">
      <c r="A87" s="76">
        <v>80</v>
      </c>
      <c r="B87" s="76" t="s">
        <v>262</v>
      </c>
      <c r="C87" s="1509" t="s">
        <v>4</v>
      </c>
      <c r="D87" s="373">
        <v>844078</v>
      </c>
      <c r="E87" s="288">
        <v>10000</v>
      </c>
      <c r="F87" s="374">
        <v>95634</v>
      </c>
      <c r="G87" s="816">
        <v>1550</v>
      </c>
      <c r="H87" s="361">
        <v>1550</v>
      </c>
      <c r="I87" s="375">
        <v>0.13459999999999997</v>
      </c>
      <c r="J87" s="375">
        <v>0.14205999999999996</v>
      </c>
      <c r="K87" s="361"/>
      <c r="L87" s="361"/>
      <c r="M87" s="362">
        <v>0.14205999999999996</v>
      </c>
      <c r="N87" s="361"/>
      <c r="O87" s="363"/>
      <c r="P87" s="362">
        <v>0.14482999999999999</v>
      </c>
      <c r="Q87" s="361"/>
      <c r="R87" s="363"/>
    </row>
    <row r="88" spans="1:18" x14ac:dyDescent="0.2">
      <c r="A88" s="76">
        <v>81</v>
      </c>
      <c r="B88" s="76"/>
      <c r="C88" s="1509" t="s">
        <v>5</v>
      </c>
      <c r="D88" s="373">
        <v>1445175</v>
      </c>
      <c r="E88" s="288">
        <v>20000</v>
      </c>
      <c r="F88" s="374"/>
      <c r="G88" s="819"/>
      <c r="H88" s="638"/>
      <c r="I88" s="375">
        <v>0.12048999999999999</v>
      </c>
      <c r="J88" s="375">
        <v>0.12716</v>
      </c>
      <c r="K88" s="361"/>
      <c r="L88" s="361"/>
      <c r="M88" s="362">
        <v>0.12716</v>
      </c>
      <c r="N88" s="361"/>
      <c r="O88" s="363"/>
      <c r="P88" s="362">
        <v>0.12964000000000001</v>
      </c>
      <c r="Q88" s="361"/>
      <c r="R88" s="363"/>
    </row>
    <row r="89" spans="1:18" x14ac:dyDescent="0.2">
      <c r="A89" s="76">
        <v>82</v>
      </c>
      <c r="B89" s="76"/>
      <c r="C89" s="1509" t="s">
        <v>6</v>
      </c>
      <c r="D89" s="373">
        <v>1034978</v>
      </c>
      <c r="E89" s="288">
        <v>20000</v>
      </c>
      <c r="F89" s="374"/>
      <c r="G89" s="819"/>
      <c r="H89" s="638"/>
      <c r="I89" s="375">
        <v>9.2380000000000004E-2</v>
      </c>
      <c r="J89" s="375">
        <v>9.7509999999999999E-2</v>
      </c>
      <c r="K89" s="361"/>
      <c r="L89" s="361"/>
      <c r="M89" s="362">
        <v>9.7509999999999999E-2</v>
      </c>
      <c r="N89" s="361"/>
      <c r="O89" s="363"/>
      <c r="P89" s="362">
        <v>9.9410000000000012E-2</v>
      </c>
      <c r="Q89" s="361"/>
      <c r="R89" s="363"/>
    </row>
    <row r="90" spans="1:18" x14ac:dyDescent="0.2">
      <c r="A90" s="76">
        <v>83</v>
      </c>
      <c r="B90" s="76"/>
      <c r="C90" s="1509" t="s">
        <v>7</v>
      </c>
      <c r="D90" s="373">
        <v>3359916</v>
      </c>
      <c r="E90" s="288">
        <v>100000</v>
      </c>
      <c r="F90" s="374"/>
      <c r="G90" s="819"/>
      <c r="H90" s="638"/>
      <c r="I90" s="375">
        <v>7.392E-2</v>
      </c>
      <c r="J90" s="375">
        <v>7.8020000000000006E-2</v>
      </c>
      <c r="K90" s="361"/>
      <c r="L90" s="361"/>
      <c r="M90" s="362">
        <v>7.8020000000000006E-2</v>
      </c>
      <c r="N90" s="361"/>
      <c r="O90" s="363"/>
      <c r="P90" s="362">
        <v>7.9549999999999996E-2</v>
      </c>
      <c r="Q90" s="361"/>
      <c r="R90" s="363"/>
    </row>
    <row r="91" spans="1:18" x14ac:dyDescent="0.2">
      <c r="A91" s="76">
        <v>84</v>
      </c>
      <c r="B91" s="76"/>
      <c r="C91" s="1509" t="s">
        <v>8</v>
      </c>
      <c r="D91" s="373">
        <v>1349120</v>
      </c>
      <c r="E91" s="288">
        <v>600000</v>
      </c>
      <c r="F91" s="374"/>
      <c r="G91" s="819"/>
      <c r="H91" s="638"/>
      <c r="I91" s="375">
        <v>4.929E-2</v>
      </c>
      <c r="J91" s="375">
        <v>5.2019999999999997E-2</v>
      </c>
      <c r="K91" s="361"/>
      <c r="L91" s="361"/>
      <c r="M91" s="362">
        <v>5.2019999999999997E-2</v>
      </c>
      <c r="N91" s="361"/>
      <c r="O91" s="363"/>
      <c r="P91" s="362">
        <v>5.3039999999999997E-2</v>
      </c>
      <c r="Q91" s="361"/>
      <c r="R91" s="363"/>
    </row>
    <row r="92" spans="1:18" x14ac:dyDescent="0.2">
      <c r="A92" s="76">
        <v>85</v>
      </c>
      <c r="B92" s="76"/>
      <c r="C92" s="1509" t="s">
        <v>9</v>
      </c>
      <c r="D92" s="373">
        <v>0</v>
      </c>
      <c r="E92" s="360" t="s">
        <v>59</v>
      </c>
      <c r="F92" s="374"/>
      <c r="G92" s="819"/>
      <c r="H92" s="638"/>
      <c r="I92" s="375">
        <v>1.8460000000000001E-2</v>
      </c>
      <c r="J92" s="375">
        <v>1.9500000000000003E-2</v>
      </c>
      <c r="K92" s="361"/>
      <c r="L92" s="361"/>
      <c r="M92" s="362">
        <v>1.9500000000000003E-2</v>
      </c>
      <c r="N92" s="361"/>
      <c r="O92" s="363"/>
      <c r="P92" s="362">
        <v>1.9880000000000002E-2</v>
      </c>
      <c r="Q92" s="361"/>
      <c r="R92" s="363"/>
    </row>
    <row r="93" spans="1:18" x14ac:dyDescent="0.2">
      <c r="A93" s="76">
        <v>86</v>
      </c>
      <c r="B93" s="151"/>
      <c r="C93" s="1510" t="s">
        <v>62</v>
      </c>
      <c r="D93" s="364"/>
      <c r="E93" s="365"/>
      <c r="F93" s="366"/>
      <c r="G93" s="817"/>
      <c r="H93" s="368"/>
      <c r="I93" s="367"/>
      <c r="J93" s="367"/>
      <c r="K93" s="368">
        <v>10526.67</v>
      </c>
      <c r="L93" s="368">
        <v>11024.36</v>
      </c>
      <c r="M93" s="377"/>
      <c r="N93" s="368">
        <v>11024.36</v>
      </c>
      <c r="O93" s="371">
        <v>4.7E-2</v>
      </c>
      <c r="P93" s="377"/>
      <c r="Q93" s="368">
        <v>11209.48</v>
      </c>
      <c r="R93" s="371">
        <v>1.7000000000000001E-2</v>
      </c>
    </row>
    <row r="94" spans="1:18" x14ac:dyDescent="0.2">
      <c r="A94" s="76">
        <v>87</v>
      </c>
      <c r="B94" s="151" t="s">
        <v>263</v>
      </c>
      <c r="C94" s="1511" t="s">
        <v>248</v>
      </c>
      <c r="D94" s="378">
        <v>0</v>
      </c>
      <c r="E94" s="379" t="s">
        <v>248</v>
      </c>
      <c r="F94" s="380">
        <v>0</v>
      </c>
      <c r="G94" s="820">
        <v>38000</v>
      </c>
      <c r="H94" s="639">
        <v>38000</v>
      </c>
      <c r="I94" s="381">
        <v>4.919999999999999E-3</v>
      </c>
      <c r="J94" s="381">
        <v>4.9499999999999987E-3</v>
      </c>
      <c r="K94" s="356">
        <v>38000</v>
      </c>
      <c r="L94" s="356">
        <v>38000</v>
      </c>
      <c r="M94" s="384">
        <v>4.9499999999999987E-3</v>
      </c>
      <c r="N94" s="356">
        <v>38000</v>
      </c>
      <c r="O94" s="383">
        <v>0</v>
      </c>
      <c r="P94" s="384">
        <v>4.9299999999999986E-3</v>
      </c>
      <c r="Q94" s="356">
        <v>38000</v>
      </c>
      <c r="R94" s="383">
        <v>0</v>
      </c>
    </row>
    <row r="95" spans="1:18" x14ac:dyDescent="0.2">
      <c r="A95" s="76">
        <v>88</v>
      </c>
      <c r="B95" s="151" t="s">
        <v>265</v>
      </c>
      <c r="C95" s="1507" t="s">
        <v>248</v>
      </c>
      <c r="D95" s="378">
        <v>0</v>
      </c>
      <c r="E95" s="379" t="s">
        <v>248</v>
      </c>
      <c r="F95" s="380">
        <v>0</v>
      </c>
      <c r="G95" s="820">
        <v>38000</v>
      </c>
      <c r="H95" s="639">
        <v>38000</v>
      </c>
      <c r="I95" s="381">
        <v>4.919999999999999E-3</v>
      </c>
      <c r="J95" s="381">
        <v>4.9499999999999987E-3</v>
      </c>
      <c r="K95" s="356">
        <v>38000</v>
      </c>
      <c r="L95" s="356">
        <v>38000</v>
      </c>
      <c r="M95" s="384">
        <v>4.9499999999999987E-3</v>
      </c>
      <c r="N95" s="356">
        <v>38000</v>
      </c>
      <c r="O95" s="383">
        <v>0</v>
      </c>
      <c r="P95" s="384">
        <v>4.9299999999999986E-3</v>
      </c>
      <c r="Q95" s="356">
        <v>38000</v>
      </c>
      <c r="R95" s="383">
        <v>0</v>
      </c>
    </row>
    <row r="96" spans="1:18" x14ac:dyDescent="0.2">
      <c r="A96" s="76">
        <v>89</v>
      </c>
      <c r="B96" s="76" t="s">
        <v>282</v>
      </c>
      <c r="C96" s="1512" t="s">
        <v>248</v>
      </c>
      <c r="D96" s="927">
        <v>2895114</v>
      </c>
      <c r="E96" s="928" t="s">
        <v>248</v>
      </c>
      <c r="F96" s="652">
        <v>241259.5</v>
      </c>
      <c r="G96" s="819">
        <v>0</v>
      </c>
      <c r="H96" s="638">
        <v>0</v>
      </c>
      <c r="I96" s="929">
        <v>0</v>
      </c>
      <c r="J96" s="929">
        <v>0</v>
      </c>
      <c r="K96" s="361">
        <v>0</v>
      </c>
      <c r="L96" s="361">
        <v>0</v>
      </c>
      <c r="M96" s="384">
        <v>0</v>
      </c>
      <c r="N96" s="356">
        <v>0</v>
      </c>
      <c r="O96" s="383">
        <v>0</v>
      </c>
      <c r="P96" s="384">
        <v>0</v>
      </c>
      <c r="Q96" s="356">
        <v>0</v>
      </c>
      <c r="R96" s="383">
        <v>0</v>
      </c>
    </row>
    <row r="97" spans="1:18" ht="13.5" thickBot="1" x14ac:dyDescent="0.25">
      <c r="A97" s="76">
        <v>90</v>
      </c>
      <c r="B97" s="1518" t="s">
        <v>62</v>
      </c>
      <c r="C97" s="1519"/>
      <c r="D97" s="930">
        <v>103032055.6009268</v>
      </c>
      <c r="E97" s="689"/>
      <c r="F97" s="930">
        <v>543910.62040000001</v>
      </c>
      <c r="G97" s="1514"/>
      <c r="H97" s="1514"/>
      <c r="I97" s="932"/>
      <c r="J97" s="932"/>
      <c r="K97" s="933"/>
      <c r="L97" s="933"/>
      <c r="M97" s="386"/>
      <c r="N97" s="387"/>
      <c r="O97" s="389"/>
      <c r="P97" s="386"/>
      <c r="Q97" s="387"/>
      <c r="R97" s="389"/>
    </row>
    <row r="98" spans="1:18" ht="12.6" customHeight="1" x14ac:dyDescent="0.2">
      <c r="A98" s="76">
        <v>91</v>
      </c>
      <c r="B98" s="1527"/>
      <c r="C98" s="1517"/>
      <c r="D98" s="1517"/>
      <c r="E98" s="1517"/>
      <c r="F98" s="1517"/>
      <c r="G98" s="1517"/>
      <c r="H98" s="1517"/>
      <c r="I98" s="400"/>
      <c r="J98" s="400"/>
      <c r="K98" s="400"/>
      <c r="L98" s="400"/>
      <c r="M98" s="45"/>
      <c r="N98" s="45"/>
      <c r="O98" s="45"/>
      <c r="P98" s="45"/>
      <c r="Q98" s="45"/>
      <c r="R98" s="45"/>
    </row>
    <row r="99" spans="1:18" ht="12.6" customHeight="1" x14ac:dyDescent="0.2">
      <c r="A99" s="76">
        <v>92</v>
      </c>
      <c r="B99" s="1528" t="s">
        <v>286</v>
      </c>
      <c r="C99" s="1517"/>
      <c r="D99" s="1517"/>
      <c r="E99" s="1517"/>
      <c r="F99" s="1517"/>
      <c r="G99" s="1517"/>
      <c r="H99" s="1517"/>
      <c r="I99" s="401"/>
      <c r="J99" s="401"/>
      <c r="K99" s="401"/>
      <c r="L99" s="401"/>
      <c r="M99" s="45"/>
      <c r="N99" s="45"/>
      <c r="O99" s="45"/>
      <c r="P99" s="45"/>
      <c r="Q99" s="45"/>
      <c r="R99" s="45"/>
    </row>
  </sheetData>
  <mergeCells count="4">
    <mergeCell ref="P6:R6"/>
    <mergeCell ref="M5:O5"/>
    <mergeCell ref="P5:R5"/>
    <mergeCell ref="M6:O6"/>
  </mergeCells>
  <printOptions horizontalCentered="1" verticalCentered="1"/>
  <pageMargins left="0.25" right="0.25" top="0.25" bottom="0.25" header="0.25" footer="0.25"/>
  <pageSetup scale="44" orientation="landscape" r:id="rId1"/>
  <headerFooter alignWithMargins="0">
    <oddHeader>&amp;RUG-200994 et al. / NWN WUTC Advice 21-09A
WP1 / &amp;A</oddHeader>
  </headerFooter>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9E152-EEB9-4908-B288-CC3AD76DDF77}">
  <sheetPr>
    <tabColor rgb="FF009900"/>
    <pageSetUpPr fitToPage="1"/>
  </sheetPr>
  <dimension ref="B1:U79"/>
  <sheetViews>
    <sheetView zoomScale="95" zoomScaleNormal="95" workbookViewId="0">
      <pane xSplit="4" ySplit="8" topLeftCell="E9" activePane="bottomRight" state="frozen"/>
      <selection activeCell="M5" sqref="M5:O5"/>
      <selection pane="topRight" activeCell="M5" sqref="M5:O5"/>
      <selection pane="bottomLeft" activeCell="M5" sqref="M5:O5"/>
      <selection pane="bottomRight" activeCell="J11" sqref="J11"/>
    </sheetView>
  </sheetViews>
  <sheetFormatPr defaultColWidth="9.33203125" defaultRowHeight="12.75" x14ac:dyDescent="0.2"/>
  <cols>
    <col min="1" max="1" width="3.1640625" style="42" customWidth="1"/>
    <col min="2" max="2" width="8.6640625" style="42" customWidth="1"/>
    <col min="3" max="3" width="16.33203125" style="42" customWidth="1"/>
    <col min="4" max="5" width="14" style="42" customWidth="1"/>
    <col min="6" max="6" width="15" style="42" customWidth="1"/>
    <col min="7" max="8" width="14" style="42" customWidth="1"/>
    <col min="9" max="12" width="15.1640625" style="42" customWidth="1"/>
    <col min="13" max="13" width="15.1640625" style="82" customWidth="1"/>
    <col min="14" max="14" width="1.83203125" style="120" customWidth="1"/>
    <col min="15" max="15" width="15.1640625" style="42" customWidth="1"/>
    <col min="16" max="16" width="11.33203125" style="42" hidden="1" customWidth="1"/>
    <col min="17" max="19" width="15.1640625" style="42" customWidth="1"/>
    <col min="20" max="20" width="15.1640625" style="82" customWidth="1"/>
    <col min="21" max="21" width="13" style="42" customWidth="1"/>
    <col min="22" max="16384" width="9.33203125" style="42"/>
  </cols>
  <sheetData>
    <row r="1" spans="2:21" x14ac:dyDescent="0.2">
      <c r="B1" s="81" t="s">
        <v>0</v>
      </c>
    </row>
    <row r="2" spans="2:21" x14ac:dyDescent="0.2">
      <c r="B2" s="81" t="s">
        <v>242</v>
      </c>
    </row>
    <row r="3" spans="2:21" x14ac:dyDescent="0.2">
      <c r="B3" s="81" t="s">
        <v>243</v>
      </c>
    </row>
    <row r="4" spans="2:21" ht="13.5" thickBot="1" x14ac:dyDescent="0.25">
      <c r="B4" s="81" t="s">
        <v>507</v>
      </c>
      <c r="I4" s="591"/>
      <c r="K4" s="91"/>
      <c r="L4" s="591"/>
      <c r="M4" s="128"/>
      <c r="N4" s="121"/>
      <c r="O4" s="591"/>
      <c r="R4" s="91"/>
      <c r="S4" s="591"/>
    </row>
    <row r="5" spans="2:21" ht="13.5" thickBot="1" x14ac:dyDescent="0.25">
      <c r="I5" s="1707" t="s">
        <v>332</v>
      </c>
      <c r="J5" s="1708"/>
      <c r="K5" s="1708"/>
      <c r="L5" s="1708"/>
      <c r="M5" s="1709"/>
      <c r="O5" s="1710" t="s">
        <v>327</v>
      </c>
      <c r="P5" s="1711"/>
      <c r="Q5" s="1711"/>
      <c r="R5" s="1711"/>
      <c r="S5" s="1711"/>
      <c r="T5" s="1712"/>
    </row>
    <row r="6" spans="2:21" x14ac:dyDescent="0.2">
      <c r="B6" s="93"/>
      <c r="C6" s="93"/>
      <c r="D6" s="93"/>
      <c r="E6" s="93"/>
      <c r="F6" s="93"/>
      <c r="G6" s="93"/>
      <c r="H6" s="614" t="s">
        <v>230</v>
      </c>
      <c r="I6" s="1713" t="s">
        <v>632</v>
      </c>
      <c r="J6" s="1713"/>
      <c r="K6" s="1713"/>
      <c r="L6" s="1713"/>
      <c r="M6" s="1713"/>
      <c r="O6" s="1713" t="s">
        <v>632</v>
      </c>
      <c r="P6" s="1713"/>
      <c r="Q6" s="1713"/>
      <c r="R6" s="1713"/>
      <c r="S6" s="1713"/>
      <c r="T6" s="1713"/>
    </row>
    <row r="7" spans="2:21" ht="38.25" x14ac:dyDescent="0.2">
      <c r="B7" s="95" t="s">
        <v>130</v>
      </c>
      <c r="C7" s="56" t="s">
        <v>2</v>
      </c>
      <c r="D7" s="56" t="s">
        <v>3</v>
      </c>
      <c r="E7" s="56" t="s">
        <v>143</v>
      </c>
      <c r="F7" s="56" t="s">
        <v>141</v>
      </c>
      <c r="G7" s="56" t="s">
        <v>142</v>
      </c>
      <c r="H7" s="96" t="s">
        <v>139</v>
      </c>
      <c r="I7" s="1520" t="s">
        <v>72</v>
      </c>
      <c r="J7" s="1520" t="s">
        <v>631</v>
      </c>
      <c r="K7" s="1520" t="s">
        <v>202</v>
      </c>
      <c r="L7" s="1520" t="s">
        <v>200</v>
      </c>
      <c r="M7" s="1521" t="s">
        <v>516</v>
      </c>
      <c r="N7" s="1522"/>
      <c r="O7" s="1520" t="s">
        <v>72</v>
      </c>
      <c r="P7" s="1520" t="s">
        <v>204</v>
      </c>
      <c r="Q7" s="1520" t="s">
        <v>631</v>
      </c>
      <c r="R7" s="1520" t="s">
        <v>202</v>
      </c>
      <c r="S7" s="1520" t="s">
        <v>200</v>
      </c>
      <c r="T7" s="1521" t="s">
        <v>521</v>
      </c>
    </row>
    <row r="8" spans="2:21" ht="13.5" thickBot="1" x14ac:dyDescent="0.25">
      <c r="B8" s="622"/>
      <c r="C8" s="623" t="s">
        <v>35</v>
      </c>
      <c r="D8" s="623" t="s">
        <v>36</v>
      </c>
      <c r="E8" s="623" t="s">
        <v>13</v>
      </c>
      <c r="F8" s="623" t="s">
        <v>37</v>
      </c>
      <c r="G8" s="623" t="s">
        <v>38</v>
      </c>
      <c r="H8" s="624" t="s">
        <v>39</v>
      </c>
      <c r="I8" s="1523" t="s">
        <v>40</v>
      </c>
      <c r="J8" s="1524" t="s">
        <v>41</v>
      </c>
      <c r="K8" s="1524" t="s">
        <v>42</v>
      </c>
      <c r="L8" s="1524" t="s">
        <v>109</v>
      </c>
      <c r="M8" s="1525" t="s">
        <v>110</v>
      </c>
      <c r="N8" s="1526"/>
      <c r="O8" s="1523" t="s">
        <v>43</v>
      </c>
      <c r="P8" s="1524"/>
      <c r="Q8" s="1524" t="s">
        <v>111</v>
      </c>
      <c r="R8" s="1524" t="s">
        <v>112</v>
      </c>
      <c r="S8" s="1524" t="s">
        <v>113</v>
      </c>
      <c r="T8" s="1525" t="s">
        <v>114</v>
      </c>
    </row>
    <row r="9" spans="2:21" x14ac:dyDescent="0.2">
      <c r="B9" s="100">
        <v>1</v>
      </c>
      <c r="C9" s="101" t="s">
        <v>246</v>
      </c>
      <c r="D9" s="101" t="s">
        <v>248</v>
      </c>
      <c r="E9" s="101" t="s">
        <v>248</v>
      </c>
      <c r="F9" s="103">
        <v>214704.20066131229</v>
      </c>
      <c r="G9" s="103">
        <v>911</v>
      </c>
      <c r="H9" s="839">
        <v>5.5</v>
      </c>
      <c r="I9" s="104">
        <v>0.7785700000000001</v>
      </c>
      <c r="J9" s="104">
        <v>0.10689</v>
      </c>
      <c r="K9" s="104">
        <v>0.34872999999999998</v>
      </c>
      <c r="L9" s="104">
        <v>0.11328000000000001</v>
      </c>
      <c r="M9" s="104">
        <v>1.3474700000000002</v>
      </c>
      <c r="N9" s="1495"/>
      <c r="O9" s="104">
        <v>0.84022000000000008</v>
      </c>
      <c r="P9" s="104">
        <v>0</v>
      </c>
      <c r="Q9" s="104">
        <v>0.10689</v>
      </c>
      <c r="R9" s="104">
        <v>0.34872999999999998</v>
      </c>
      <c r="S9" s="104">
        <v>0.10933000000000002</v>
      </c>
      <c r="T9" s="104">
        <v>1.40517</v>
      </c>
      <c r="U9" s="1531"/>
    </row>
    <row r="10" spans="2:21" x14ac:dyDescent="0.2">
      <c r="B10" s="100">
        <v>2</v>
      </c>
      <c r="C10" s="101" t="s">
        <v>247</v>
      </c>
      <c r="D10" s="101" t="s">
        <v>248</v>
      </c>
      <c r="E10" s="101" t="s">
        <v>248</v>
      </c>
      <c r="F10" s="103">
        <v>46539.057144390383</v>
      </c>
      <c r="G10" s="103">
        <v>34</v>
      </c>
      <c r="H10" s="839">
        <v>7</v>
      </c>
      <c r="I10" s="104">
        <v>0.8163399999999994</v>
      </c>
      <c r="J10" s="104">
        <v>0.10689</v>
      </c>
      <c r="K10" s="104">
        <v>0.34872999999999998</v>
      </c>
      <c r="L10" s="104">
        <v>9.6329999999999999E-2</v>
      </c>
      <c r="M10" s="104">
        <v>1.3682899999999996</v>
      </c>
      <c r="N10" s="1496"/>
      <c r="O10" s="104">
        <v>0.86759999999999937</v>
      </c>
      <c r="P10" s="104">
        <v>0</v>
      </c>
      <c r="Q10" s="104">
        <v>0.10689</v>
      </c>
      <c r="R10" s="104">
        <v>0.34872999999999998</v>
      </c>
      <c r="S10" s="104">
        <v>9.305999999999999E-2</v>
      </c>
      <c r="T10" s="104">
        <v>1.4162799999999993</v>
      </c>
      <c r="U10" s="1531"/>
    </row>
    <row r="11" spans="2:21" x14ac:dyDescent="0.2">
      <c r="B11" s="100">
        <v>3</v>
      </c>
      <c r="C11" s="101" t="s">
        <v>12</v>
      </c>
      <c r="D11" s="101" t="s">
        <v>248</v>
      </c>
      <c r="E11" s="101" t="s">
        <v>248</v>
      </c>
      <c r="F11" s="103">
        <v>54953515.785084128</v>
      </c>
      <c r="G11" s="103">
        <v>81119</v>
      </c>
      <c r="H11" s="839">
        <v>8</v>
      </c>
      <c r="I11" s="104">
        <v>0.52273999999999987</v>
      </c>
      <c r="J11" s="104">
        <v>0.10689</v>
      </c>
      <c r="K11" s="104">
        <v>0.34872999999999998</v>
      </c>
      <c r="L11" s="104">
        <v>7.3109999999999981E-2</v>
      </c>
      <c r="M11" s="104">
        <v>1.0514699999999999</v>
      </c>
      <c r="N11" s="1495"/>
      <c r="O11" s="104">
        <v>0.56175999999999982</v>
      </c>
      <c r="P11" s="104">
        <v>0</v>
      </c>
      <c r="Q11" s="104">
        <v>0.10689</v>
      </c>
      <c r="R11" s="104">
        <v>0.34872999999999998</v>
      </c>
      <c r="S11" s="104">
        <v>7.0599999999999982E-2</v>
      </c>
      <c r="T11" s="104">
        <v>1.0879799999999997</v>
      </c>
      <c r="U11" s="1531"/>
    </row>
    <row r="12" spans="2:21" x14ac:dyDescent="0.2">
      <c r="B12" s="100">
        <v>4</v>
      </c>
      <c r="C12" s="101" t="s">
        <v>10</v>
      </c>
      <c r="D12" s="101" t="s">
        <v>248</v>
      </c>
      <c r="E12" s="101" t="s">
        <v>248</v>
      </c>
      <c r="F12" s="103">
        <v>17867210.60654201</v>
      </c>
      <c r="G12" s="103">
        <v>6318</v>
      </c>
      <c r="H12" s="839">
        <v>22</v>
      </c>
      <c r="I12" s="104">
        <v>0.50167000000000017</v>
      </c>
      <c r="J12" s="104">
        <v>0.10689</v>
      </c>
      <c r="K12" s="104">
        <v>0.34872999999999998</v>
      </c>
      <c r="L12" s="104">
        <v>6.5529999999999991E-2</v>
      </c>
      <c r="M12" s="104">
        <v>1.0228200000000003</v>
      </c>
      <c r="N12" s="1495"/>
      <c r="O12" s="104">
        <v>0.53670000000000018</v>
      </c>
      <c r="P12" s="104">
        <v>0</v>
      </c>
      <c r="Q12" s="104">
        <v>0.10689</v>
      </c>
      <c r="R12" s="104">
        <v>0.34872999999999998</v>
      </c>
      <c r="S12" s="104">
        <v>6.3279999999999989E-2</v>
      </c>
      <c r="T12" s="104">
        <v>1.0556000000000001</v>
      </c>
      <c r="U12" s="1531"/>
    </row>
    <row r="13" spans="2:21" x14ac:dyDescent="0.2">
      <c r="B13" s="100">
        <v>5</v>
      </c>
      <c r="C13" s="101" t="s">
        <v>11</v>
      </c>
      <c r="D13" s="101" t="s">
        <v>248</v>
      </c>
      <c r="E13" s="101" t="s">
        <v>248</v>
      </c>
      <c r="F13" s="103">
        <v>283651.99999999994</v>
      </c>
      <c r="G13" s="103">
        <v>24.25</v>
      </c>
      <c r="H13" s="839">
        <v>22</v>
      </c>
      <c r="I13" s="104">
        <v>0.51500999999999963</v>
      </c>
      <c r="J13" s="104">
        <v>0.10689</v>
      </c>
      <c r="K13" s="104">
        <v>0.34872999999999998</v>
      </c>
      <c r="L13" s="104">
        <v>7.9499999999999935E-3</v>
      </c>
      <c r="M13" s="104">
        <v>0.97857999999999967</v>
      </c>
      <c r="N13" s="1495"/>
      <c r="O13" s="104">
        <v>0.54673999999999967</v>
      </c>
      <c r="P13" s="104">
        <v>0</v>
      </c>
      <c r="Q13" s="104">
        <v>0.10689</v>
      </c>
      <c r="R13" s="104">
        <v>0.34872999999999998</v>
      </c>
      <c r="S13" s="104">
        <v>5.9199999999999938E-3</v>
      </c>
      <c r="T13" s="104">
        <v>1.0082799999999996</v>
      </c>
      <c r="U13" s="1531"/>
    </row>
    <row r="14" spans="2:21" x14ac:dyDescent="0.2">
      <c r="B14" s="100">
        <v>6</v>
      </c>
      <c r="C14" s="1225" t="s">
        <v>365</v>
      </c>
      <c r="D14" s="101" t="s">
        <v>248</v>
      </c>
      <c r="E14" s="101" t="s">
        <v>248</v>
      </c>
      <c r="F14" s="103">
        <v>461371.76933137607</v>
      </c>
      <c r="G14" s="103">
        <v>776</v>
      </c>
      <c r="H14" s="842">
        <v>9</v>
      </c>
      <c r="I14" s="104">
        <v>0.28683999999999987</v>
      </c>
      <c r="J14" s="104">
        <v>0.10689</v>
      </c>
      <c r="K14" s="104">
        <v>0.34872999999999998</v>
      </c>
      <c r="L14" s="104">
        <v>4.7109999999999999E-2</v>
      </c>
      <c r="M14" s="104">
        <v>0.78956999999999988</v>
      </c>
      <c r="N14" s="1495"/>
      <c r="O14" s="104">
        <v>0.31460999999999989</v>
      </c>
      <c r="P14" s="104">
        <v>0</v>
      </c>
      <c r="Q14" s="104">
        <v>0.10689</v>
      </c>
      <c r="R14" s="104">
        <v>0.34872999999999998</v>
      </c>
      <c r="S14" s="104">
        <v>4.5329999999999988E-2</v>
      </c>
      <c r="T14" s="104">
        <v>0.81555999999999984</v>
      </c>
      <c r="U14" s="1531"/>
    </row>
    <row r="15" spans="2:21" x14ac:dyDescent="0.2">
      <c r="B15" s="100">
        <v>7</v>
      </c>
      <c r="C15" s="1226" t="s">
        <v>249</v>
      </c>
      <c r="D15" s="1226" t="s">
        <v>4</v>
      </c>
      <c r="E15" s="105">
        <v>2000</v>
      </c>
      <c r="F15" s="106">
        <v>1777065.1510316674</v>
      </c>
      <c r="G15" s="106">
        <v>91</v>
      </c>
      <c r="H15" s="844">
        <v>250</v>
      </c>
      <c r="I15" s="1486">
        <v>0.39079000000000008</v>
      </c>
      <c r="J15" s="1484">
        <v>0</v>
      </c>
      <c r="K15" s="1486">
        <v>0.34872999999999998</v>
      </c>
      <c r="L15" s="1486">
        <v>5.1139999999999991E-2</v>
      </c>
      <c r="M15" s="1485">
        <v>0.79066000000000003</v>
      </c>
      <c r="N15" s="1495"/>
      <c r="O15" s="107">
        <v>0.41861000000000009</v>
      </c>
      <c r="P15" s="107">
        <v>0</v>
      </c>
      <c r="Q15" s="107">
        <v>0</v>
      </c>
      <c r="R15" s="107">
        <v>0.34872999999999998</v>
      </c>
      <c r="S15" s="107">
        <v>4.9349999999999991E-2</v>
      </c>
      <c r="T15" s="107">
        <v>0.81669000000000014</v>
      </c>
      <c r="U15" s="1531"/>
    </row>
    <row r="16" spans="2:21" x14ac:dyDescent="0.2">
      <c r="B16" s="100">
        <v>8</v>
      </c>
      <c r="C16" s="101"/>
      <c r="D16" s="101" t="s">
        <v>5</v>
      </c>
      <c r="E16" s="102" t="s">
        <v>59</v>
      </c>
      <c r="F16" s="103">
        <v>1974656.4658023661</v>
      </c>
      <c r="G16" s="103"/>
      <c r="H16" s="839"/>
      <c r="I16" s="104">
        <v>0.34434999999999999</v>
      </c>
      <c r="J16" s="1237">
        <v>0</v>
      </c>
      <c r="K16" s="104">
        <v>0.34872999999999998</v>
      </c>
      <c r="L16" s="104">
        <v>4.5110000000000011E-2</v>
      </c>
      <c r="M16" s="1439">
        <v>0.7381899999999999</v>
      </c>
      <c r="N16" s="1495"/>
      <c r="O16" s="104">
        <v>0.36885999999999997</v>
      </c>
      <c r="P16" s="104">
        <v>0</v>
      </c>
      <c r="Q16" s="104">
        <v>0</v>
      </c>
      <c r="R16" s="104">
        <v>0.34872999999999998</v>
      </c>
      <c r="S16" s="104">
        <v>4.3540000000000002E-2</v>
      </c>
      <c r="T16" s="104">
        <v>0.76112999999999997</v>
      </c>
      <c r="U16" s="1531"/>
    </row>
    <row r="17" spans="2:21" x14ac:dyDescent="0.2">
      <c r="B17" s="100">
        <v>9</v>
      </c>
      <c r="C17" s="1226" t="s">
        <v>253</v>
      </c>
      <c r="D17" s="1226" t="s">
        <v>4</v>
      </c>
      <c r="E17" s="105">
        <v>2000</v>
      </c>
      <c r="F17" s="106">
        <v>392890.20000000007</v>
      </c>
      <c r="G17" s="106">
        <v>17.833333333333332</v>
      </c>
      <c r="H17" s="844">
        <v>250</v>
      </c>
      <c r="I17" s="1486">
        <v>0.36329000000000033</v>
      </c>
      <c r="J17" s="1484">
        <v>0</v>
      </c>
      <c r="K17" s="1486">
        <v>0.34872999999999998</v>
      </c>
      <c r="L17" s="1486">
        <v>6.8899999999999934E-3</v>
      </c>
      <c r="M17" s="1485">
        <v>0.71891000000000027</v>
      </c>
      <c r="N17" s="1495"/>
      <c r="O17" s="107">
        <v>0.37202000000000035</v>
      </c>
      <c r="P17" s="107">
        <v>0</v>
      </c>
      <c r="Q17" s="107">
        <v>0</v>
      </c>
      <c r="R17" s="107">
        <v>0.34872999999999998</v>
      </c>
      <c r="S17" s="107">
        <v>5.4199999999999934E-3</v>
      </c>
      <c r="T17" s="107">
        <v>0.72617000000000032</v>
      </c>
      <c r="U17" s="1531"/>
    </row>
    <row r="18" spans="2:21" x14ac:dyDescent="0.2">
      <c r="B18" s="100">
        <v>10</v>
      </c>
      <c r="C18" s="101"/>
      <c r="D18" s="101" t="s">
        <v>5</v>
      </c>
      <c r="E18" s="102" t="s">
        <v>59</v>
      </c>
      <c r="F18" s="103">
        <v>621650.00000000012</v>
      </c>
      <c r="G18" s="103"/>
      <c r="H18" s="839"/>
      <c r="I18" s="104">
        <v>0.32010999999999989</v>
      </c>
      <c r="J18" s="1237">
        <v>0</v>
      </c>
      <c r="K18" s="104">
        <v>0.34872999999999998</v>
      </c>
      <c r="L18" s="104">
        <v>6.1199999999999926E-3</v>
      </c>
      <c r="M18" s="1439">
        <v>0.67495999999999989</v>
      </c>
      <c r="N18" s="1495"/>
      <c r="O18" s="104">
        <v>0.32779999999999987</v>
      </c>
      <c r="P18" s="104">
        <v>0</v>
      </c>
      <c r="Q18" s="104">
        <v>0</v>
      </c>
      <c r="R18" s="104">
        <v>0.34872999999999998</v>
      </c>
      <c r="S18" s="104">
        <v>4.8399999999999919E-3</v>
      </c>
      <c r="T18" s="104">
        <v>0.68136999999999981</v>
      </c>
      <c r="U18" s="1531"/>
    </row>
    <row r="19" spans="2:21" x14ac:dyDescent="0.2">
      <c r="B19" s="100">
        <v>11</v>
      </c>
      <c r="C19" s="1226" t="s">
        <v>251</v>
      </c>
      <c r="D19" s="1226" t="s">
        <v>4</v>
      </c>
      <c r="E19" s="105">
        <v>2000</v>
      </c>
      <c r="F19" s="106">
        <v>0</v>
      </c>
      <c r="G19" s="106">
        <v>0</v>
      </c>
      <c r="H19" s="844">
        <v>250</v>
      </c>
      <c r="I19" s="1486">
        <v>0.37659999999999999</v>
      </c>
      <c r="J19" s="1484">
        <v>0</v>
      </c>
      <c r="K19" s="1486">
        <v>0.34872999999999998</v>
      </c>
      <c r="L19" s="1486">
        <v>8.8479999999999989E-2</v>
      </c>
      <c r="M19" s="1485">
        <v>0.81381000000000003</v>
      </c>
      <c r="N19" s="1495"/>
      <c r="O19" s="107">
        <v>0.39822000000000002</v>
      </c>
      <c r="P19" s="107">
        <v>0</v>
      </c>
      <c r="Q19" s="107">
        <v>0</v>
      </c>
      <c r="R19" s="107">
        <v>0.34872999999999998</v>
      </c>
      <c r="S19" s="107">
        <v>8.6859999999999993E-2</v>
      </c>
      <c r="T19" s="107">
        <v>0.83380999999999994</v>
      </c>
      <c r="U19" s="1531"/>
    </row>
    <row r="20" spans="2:21" x14ac:dyDescent="0.2">
      <c r="B20" s="100">
        <v>12</v>
      </c>
      <c r="C20" s="101"/>
      <c r="D20" s="101" t="s">
        <v>5</v>
      </c>
      <c r="E20" s="102" t="s">
        <v>59</v>
      </c>
      <c r="F20" s="103">
        <v>0</v>
      </c>
      <c r="G20" s="103"/>
      <c r="H20" s="839"/>
      <c r="I20" s="104">
        <v>0.33180999999999999</v>
      </c>
      <c r="J20" s="1237">
        <v>0</v>
      </c>
      <c r="K20" s="104">
        <v>0.34872999999999998</v>
      </c>
      <c r="L20" s="104">
        <v>8.2329999999999987E-2</v>
      </c>
      <c r="M20" s="1439">
        <v>0.76286999999999994</v>
      </c>
      <c r="N20" s="1495"/>
      <c r="O20" s="104">
        <v>0.35086000000000001</v>
      </c>
      <c r="P20" s="104">
        <v>0</v>
      </c>
      <c r="Q20" s="104">
        <v>0</v>
      </c>
      <c r="R20" s="104">
        <v>0.34872999999999998</v>
      </c>
      <c r="S20" s="104">
        <v>8.0919999999999992E-2</v>
      </c>
      <c r="T20" s="104">
        <v>0.78050999999999993</v>
      </c>
      <c r="U20" s="1531"/>
    </row>
    <row r="21" spans="2:21" x14ac:dyDescent="0.2">
      <c r="B21" s="100">
        <v>13</v>
      </c>
      <c r="C21" s="1226" t="s">
        <v>257</v>
      </c>
      <c r="D21" s="1226" t="s">
        <v>4</v>
      </c>
      <c r="E21" s="105">
        <v>2000</v>
      </c>
      <c r="F21" s="106">
        <v>0</v>
      </c>
      <c r="G21" s="106">
        <v>0</v>
      </c>
      <c r="H21" s="844">
        <v>250</v>
      </c>
      <c r="I21" s="1486">
        <v>0.35626999999999986</v>
      </c>
      <c r="J21" s="1484">
        <v>0</v>
      </c>
      <c r="K21" s="1486">
        <v>0.34872999999999998</v>
      </c>
      <c r="L21" s="1486">
        <v>4.4580000000000002E-2</v>
      </c>
      <c r="M21" s="1485">
        <v>0.7495799999999998</v>
      </c>
      <c r="N21" s="1495"/>
      <c r="O21" s="107">
        <v>0.36339999999999989</v>
      </c>
      <c r="P21" s="107">
        <v>0</v>
      </c>
      <c r="Q21" s="107">
        <v>0</v>
      </c>
      <c r="R21" s="107">
        <v>0.34872999999999998</v>
      </c>
      <c r="S21" s="107">
        <v>4.3099999999999992E-2</v>
      </c>
      <c r="T21" s="107">
        <v>0.75522999999999996</v>
      </c>
      <c r="U21" s="1531"/>
    </row>
    <row r="22" spans="2:21" x14ac:dyDescent="0.2">
      <c r="B22" s="100">
        <v>14</v>
      </c>
      <c r="C22" s="101"/>
      <c r="D22" s="101" t="s">
        <v>5</v>
      </c>
      <c r="E22" s="102" t="s">
        <v>59</v>
      </c>
      <c r="F22" s="103">
        <v>0</v>
      </c>
      <c r="G22" s="103"/>
      <c r="H22" s="839"/>
      <c r="I22" s="104">
        <v>0.31388999999999995</v>
      </c>
      <c r="J22" s="1237">
        <v>0</v>
      </c>
      <c r="K22" s="104">
        <v>0.34872999999999998</v>
      </c>
      <c r="L22" s="104">
        <v>4.3659999999999997E-2</v>
      </c>
      <c r="M22" s="1439">
        <v>0.70628000000000002</v>
      </c>
      <c r="N22" s="1495"/>
      <c r="O22" s="104">
        <v>0.32016999999999995</v>
      </c>
      <c r="P22" s="104">
        <v>0</v>
      </c>
      <c r="Q22" s="104">
        <v>0</v>
      </c>
      <c r="R22" s="104">
        <v>0.34872999999999998</v>
      </c>
      <c r="S22" s="104">
        <v>4.2349999999999999E-2</v>
      </c>
      <c r="T22" s="104">
        <v>0.71124999999999994</v>
      </c>
      <c r="U22" s="1531"/>
    </row>
    <row r="23" spans="2:21" x14ac:dyDescent="0.2">
      <c r="B23" s="100">
        <v>15</v>
      </c>
      <c r="C23" s="1226" t="s">
        <v>260</v>
      </c>
      <c r="D23" s="1226" t="s">
        <v>4</v>
      </c>
      <c r="E23" s="105">
        <v>2000</v>
      </c>
      <c r="F23" s="106">
        <v>168721</v>
      </c>
      <c r="G23" s="106">
        <v>7.916666666666667</v>
      </c>
      <c r="H23" s="844">
        <v>500</v>
      </c>
      <c r="I23" s="1486">
        <v>0.36917999999999995</v>
      </c>
      <c r="J23" s="1484">
        <v>0</v>
      </c>
      <c r="K23" s="1486">
        <v>0</v>
      </c>
      <c r="L23" s="1486">
        <v>1.8199999999999994E-3</v>
      </c>
      <c r="M23" s="1485">
        <v>0.37099999999999994</v>
      </c>
      <c r="N23" s="1495"/>
      <c r="O23" s="107">
        <v>0.37888999999999995</v>
      </c>
      <c r="P23" s="107">
        <v>0</v>
      </c>
      <c r="Q23" s="107">
        <v>0</v>
      </c>
      <c r="R23" s="107">
        <v>0</v>
      </c>
      <c r="S23" s="107">
        <v>1.9000000000000006E-4</v>
      </c>
      <c r="T23" s="107">
        <v>0.37907999999999997</v>
      </c>
      <c r="U23" s="1531"/>
    </row>
    <row r="24" spans="2:21" x14ac:dyDescent="0.2">
      <c r="B24" s="100">
        <v>16</v>
      </c>
      <c r="C24" s="101"/>
      <c r="D24" s="101" t="s">
        <v>5</v>
      </c>
      <c r="E24" s="102" t="s">
        <v>59</v>
      </c>
      <c r="F24" s="103">
        <v>272866</v>
      </c>
      <c r="G24" s="103"/>
      <c r="H24" s="839"/>
      <c r="I24" s="104">
        <v>0.32527000000000006</v>
      </c>
      <c r="J24" s="1237">
        <v>0</v>
      </c>
      <c r="K24" s="104">
        <v>0</v>
      </c>
      <c r="L24" s="104">
        <v>1.6100000000000001E-3</v>
      </c>
      <c r="M24" s="1439">
        <v>0.32688000000000006</v>
      </c>
      <c r="N24" s="1495"/>
      <c r="O24" s="104">
        <v>0.33382000000000006</v>
      </c>
      <c r="P24" s="104">
        <v>0</v>
      </c>
      <c r="Q24" s="104">
        <v>0</v>
      </c>
      <c r="R24" s="104">
        <v>0</v>
      </c>
      <c r="S24" s="104">
        <v>1.7000000000000001E-4</v>
      </c>
      <c r="T24" s="104">
        <v>0.33399000000000006</v>
      </c>
      <c r="U24" s="1531"/>
    </row>
    <row r="25" spans="2:21" x14ac:dyDescent="0.2">
      <c r="B25" s="100">
        <v>17</v>
      </c>
      <c r="C25" s="1226" t="s">
        <v>254</v>
      </c>
      <c r="D25" s="1226" t="s">
        <v>4</v>
      </c>
      <c r="E25" s="105">
        <v>2000</v>
      </c>
      <c r="F25" s="106">
        <v>0</v>
      </c>
      <c r="G25" s="106">
        <v>0</v>
      </c>
      <c r="H25" s="844">
        <v>500</v>
      </c>
      <c r="I25" s="1486">
        <v>0.36060000000000003</v>
      </c>
      <c r="J25" s="1484">
        <v>0</v>
      </c>
      <c r="K25" s="1486">
        <v>0</v>
      </c>
      <c r="L25" s="1486">
        <v>2.7699999999999999E-3</v>
      </c>
      <c r="M25" s="1485">
        <v>0.36337000000000003</v>
      </c>
      <c r="N25" s="1495"/>
      <c r="O25" s="107">
        <v>0.36781000000000003</v>
      </c>
      <c r="P25" s="107">
        <v>0</v>
      </c>
      <c r="Q25" s="107">
        <v>0</v>
      </c>
      <c r="R25" s="107">
        <v>0</v>
      </c>
      <c r="S25" s="107">
        <v>1.2499999999999996E-3</v>
      </c>
      <c r="T25" s="107">
        <v>0.36906</v>
      </c>
      <c r="U25" s="1531"/>
    </row>
    <row r="26" spans="2:21" x14ac:dyDescent="0.2">
      <c r="B26" s="100">
        <v>18</v>
      </c>
      <c r="C26" s="101"/>
      <c r="D26" s="101" t="s">
        <v>5</v>
      </c>
      <c r="E26" s="102" t="s">
        <v>59</v>
      </c>
      <c r="F26" s="103">
        <v>0</v>
      </c>
      <c r="G26" s="103"/>
      <c r="H26" s="839"/>
      <c r="I26" s="104">
        <v>0.3177100000000001</v>
      </c>
      <c r="J26" s="1246">
        <v>0</v>
      </c>
      <c r="K26" s="107">
        <v>0</v>
      </c>
      <c r="L26" s="107">
        <v>2.4399999999999999E-3</v>
      </c>
      <c r="M26" s="1440">
        <v>0.3201500000000001</v>
      </c>
      <c r="N26" s="1495"/>
      <c r="O26" s="104">
        <v>0.32406000000000013</v>
      </c>
      <c r="P26" s="104">
        <v>0</v>
      </c>
      <c r="Q26" s="104">
        <v>0</v>
      </c>
      <c r="R26" s="104">
        <v>0</v>
      </c>
      <c r="S26" s="104">
        <v>1.1199999999999999E-3</v>
      </c>
      <c r="T26" s="104">
        <v>0.32518000000000014</v>
      </c>
      <c r="U26" s="1531"/>
    </row>
    <row r="27" spans="2:21" x14ac:dyDescent="0.2">
      <c r="B27" s="100">
        <v>19</v>
      </c>
      <c r="C27" s="1226" t="s">
        <v>250</v>
      </c>
      <c r="D27" s="1226" t="s">
        <v>4</v>
      </c>
      <c r="E27" s="105">
        <v>10000</v>
      </c>
      <c r="F27" s="106">
        <v>350769.66174469434</v>
      </c>
      <c r="G27" s="106">
        <v>5</v>
      </c>
      <c r="H27" s="844">
        <v>1300</v>
      </c>
      <c r="I27" s="1486">
        <v>0.18713999999999992</v>
      </c>
      <c r="J27" s="1486">
        <v>0</v>
      </c>
      <c r="K27" s="1486">
        <v>0.34872999999999998</v>
      </c>
      <c r="L27" s="1486">
        <v>2.7019999999999995E-2</v>
      </c>
      <c r="M27" s="1486">
        <v>0.56288999999999989</v>
      </c>
      <c r="N27" s="1495"/>
      <c r="O27" s="107">
        <v>0.20808999999999991</v>
      </c>
      <c r="P27" s="107">
        <v>0</v>
      </c>
      <c r="Q27" s="107">
        <v>0</v>
      </c>
      <c r="R27" s="107">
        <v>0.34872999999999998</v>
      </c>
      <c r="S27" s="107">
        <v>2.5679999999999994E-2</v>
      </c>
      <c r="T27" s="107">
        <v>0.58249999999999991</v>
      </c>
      <c r="U27" s="1531"/>
    </row>
    <row r="28" spans="2:21" x14ac:dyDescent="0.2">
      <c r="B28" s="100">
        <v>20</v>
      </c>
      <c r="C28" s="1226"/>
      <c r="D28" s="1226" t="s">
        <v>5</v>
      </c>
      <c r="E28" s="105">
        <v>20000</v>
      </c>
      <c r="F28" s="106">
        <v>303088.75426472601</v>
      </c>
      <c r="G28" s="106"/>
      <c r="H28" s="844"/>
      <c r="I28" s="107">
        <v>0.1675099999999996</v>
      </c>
      <c r="J28" s="107">
        <v>0</v>
      </c>
      <c r="K28" s="107">
        <v>0.34872999999999998</v>
      </c>
      <c r="L28" s="107">
        <v>2.4219999999999995E-2</v>
      </c>
      <c r="M28" s="107">
        <v>0.54045999999999961</v>
      </c>
      <c r="N28" s="1495"/>
      <c r="O28" s="107">
        <v>0.18625999999999959</v>
      </c>
      <c r="P28" s="107">
        <v>0</v>
      </c>
      <c r="Q28" s="107">
        <v>0</v>
      </c>
      <c r="R28" s="107">
        <v>0.34872999999999998</v>
      </c>
      <c r="S28" s="107">
        <v>2.3009999999999996E-2</v>
      </c>
      <c r="T28" s="107">
        <v>0.55799999999999961</v>
      </c>
      <c r="U28" s="1531"/>
    </row>
    <row r="29" spans="2:21" x14ac:dyDescent="0.2">
      <c r="B29" s="100">
        <v>21</v>
      </c>
      <c r="C29" s="1226"/>
      <c r="D29" s="1226" t="s">
        <v>6</v>
      </c>
      <c r="E29" s="105">
        <v>20000</v>
      </c>
      <c r="F29" s="106">
        <v>59441.942130257296</v>
      </c>
      <c r="G29" s="106"/>
      <c r="H29" s="844"/>
      <c r="I29" s="107">
        <v>0.12847999999999993</v>
      </c>
      <c r="J29" s="107">
        <v>0</v>
      </c>
      <c r="K29" s="107">
        <v>0.34872999999999998</v>
      </c>
      <c r="L29" s="107">
        <v>1.8649999999999993E-2</v>
      </c>
      <c r="M29" s="107">
        <v>0.49585999999999991</v>
      </c>
      <c r="N29" s="1495"/>
      <c r="O29" s="107">
        <v>0.14285999999999993</v>
      </c>
      <c r="P29" s="107">
        <v>0</v>
      </c>
      <c r="Q29" s="107">
        <v>0</v>
      </c>
      <c r="R29" s="107">
        <v>0.34872999999999998</v>
      </c>
      <c r="S29" s="107">
        <v>1.7729999999999996E-2</v>
      </c>
      <c r="T29" s="107">
        <v>0.50931999999999988</v>
      </c>
      <c r="U29" s="1531"/>
    </row>
    <row r="30" spans="2:21" x14ac:dyDescent="0.2">
      <c r="B30" s="100">
        <v>22</v>
      </c>
      <c r="C30" s="1226"/>
      <c r="D30" s="1226" t="s">
        <v>7</v>
      </c>
      <c r="E30" s="105">
        <v>100000</v>
      </c>
      <c r="F30" s="106">
        <v>3614.6071898605187</v>
      </c>
      <c r="G30" s="106"/>
      <c r="H30" s="844"/>
      <c r="I30" s="107">
        <v>0.10277000000000026</v>
      </c>
      <c r="J30" s="107">
        <v>0</v>
      </c>
      <c r="K30" s="107">
        <v>0.34872999999999998</v>
      </c>
      <c r="L30" s="107">
        <v>1.500999999999999E-2</v>
      </c>
      <c r="M30" s="107">
        <v>0.4665100000000002</v>
      </c>
      <c r="N30" s="1495"/>
      <c r="O30" s="107">
        <v>0.11428000000000027</v>
      </c>
      <c r="P30" s="107">
        <v>0</v>
      </c>
      <c r="Q30" s="107">
        <v>0</v>
      </c>
      <c r="R30" s="107">
        <v>0.34872999999999998</v>
      </c>
      <c r="S30" s="107">
        <v>1.4269999999999993E-2</v>
      </c>
      <c r="T30" s="107">
        <v>0.47728000000000026</v>
      </c>
      <c r="U30" s="1531"/>
    </row>
    <row r="31" spans="2:21" x14ac:dyDescent="0.2">
      <c r="B31" s="100">
        <v>23</v>
      </c>
      <c r="C31" s="1226"/>
      <c r="D31" s="1226" t="s">
        <v>8</v>
      </c>
      <c r="E31" s="105">
        <v>600000</v>
      </c>
      <c r="F31" s="106">
        <v>0</v>
      </c>
      <c r="G31" s="106"/>
      <c r="H31" s="844"/>
      <c r="I31" s="107">
        <v>6.850999999999996E-2</v>
      </c>
      <c r="J31" s="107">
        <v>0</v>
      </c>
      <c r="K31" s="107">
        <v>0.34872999999999998</v>
      </c>
      <c r="L31" s="107">
        <v>1.0149999999999996E-2</v>
      </c>
      <c r="M31" s="107">
        <v>0.42738999999999994</v>
      </c>
      <c r="N31" s="1495"/>
      <c r="O31" s="107">
        <v>7.6179999999999956E-2</v>
      </c>
      <c r="P31" s="107">
        <v>0</v>
      </c>
      <c r="Q31" s="107">
        <v>0</v>
      </c>
      <c r="R31" s="107">
        <v>0.34872999999999998</v>
      </c>
      <c r="S31" s="107">
        <v>9.659999999999995E-3</v>
      </c>
      <c r="T31" s="107">
        <v>0.43456999999999996</v>
      </c>
      <c r="U31" s="1531"/>
    </row>
    <row r="32" spans="2:21" x14ac:dyDescent="0.2">
      <c r="B32" s="100">
        <v>24</v>
      </c>
      <c r="C32" s="101"/>
      <c r="D32" s="101" t="s">
        <v>9</v>
      </c>
      <c r="E32" s="102" t="s">
        <v>59</v>
      </c>
      <c r="F32" s="103">
        <v>0</v>
      </c>
      <c r="G32" s="103"/>
      <c r="H32" s="839"/>
      <c r="I32" s="104">
        <v>2.5680000000000078E-2</v>
      </c>
      <c r="J32" s="104">
        <v>0</v>
      </c>
      <c r="K32" s="104">
        <v>0.34872999999999998</v>
      </c>
      <c r="L32" s="104">
        <v>4.0499999999999928E-3</v>
      </c>
      <c r="M32" s="104">
        <v>0.37846000000000007</v>
      </c>
      <c r="N32" s="1495"/>
      <c r="O32" s="104">
        <v>2.8560000000000078E-2</v>
      </c>
      <c r="P32" s="104">
        <v>0</v>
      </c>
      <c r="Q32" s="104">
        <v>0</v>
      </c>
      <c r="R32" s="104">
        <v>0.34872999999999998</v>
      </c>
      <c r="S32" s="104">
        <v>3.8699999999999932E-3</v>
      </c>
      <c r="T32" s="104">
        <v>0.38116000000000005</v>
      </c>
      <c r="U32" s="1531"/>
    </row>
    <row r="33" spans="2:21" x14ac:dyDescent="0.2">
      <c r="B33" s="100">
        <v>25</v>
      </c>
      <c r="C33" s="1226" t="s">
        <v>259</v>
      </c>
      <c r="D33" s="1226" t="s">
        <v>4</v>
      </c>
      <c r="E33" s="105">
        <v>10000</v>
      </c>
      <c r="F33" s="106">
        <v>1093724.2000000002</v>
      </c>
      <c r="G33" s="106">
        <v>11.916666666666666</v>
      </c>
      <c r="H33" s="844">
        <v>1300</v>
      </c>
      <c r="I33" s="1486">
        <v>0.16067999999999996</v>
      </c>
      <c r="J33" s="1486">
        <v>0</v>
      </c>
      <c r="K33" s="1486">
        <v>0.34872999999999998</v>
      </c>
      <c r="L33" s="1486">
        <v>4.0599999999999933E-3</v>
      </c>
      <c r="M33" s="1486">
        <v>0.51346999999999987</v>
      </c>
      <c r="N33" s="1495"/>
      <c r="O33" s="107">
        <v>0.16681999999999997</v>
      </c>
      <c r="P33" s="107">
        <v>0</v>
      </c>
      <c r="Q33" s="107">
        <v>0</v>
      </c>
      <c r="R33" s="107">
        <v>0.34872999999999998</v>
      </c>
      <c r="S33" s="107">
        <v>3.0299999999999928E-3</v>
      </c>
      <c r="T33" s="107">
        <v>0.51857999999999993</v>
      </c>
      <c r="U33" s="1531"/>
    </row>
    <row r="34" spans="2:21" x14ac:dyDescent="0.2">
      <c r="B34" s="100">
        <v>26</v>
      </c>
      <c r="C34" s="1226"/>
      <c r="D34" s="1226" t="s">
        <v>5</v>
      </c>
      <c r="E34" s="105">
        <v>20000</v>
      </c>
      <c r="F34" s="106">
        <v>655939.80000000005</v>
      </c>
      <c r="G34" s="106"/>
      <c r="H34" s="844"/>
      <c r="I34" s="107">
        <v>0.14383000000000004</v>
      </c>
      <c r="J34" s="107">
        <v>0</v>
      </c>
      <c r="K34" s="107">
        <v>0.34872999999999998</v>
      </c>
      <c r="L34" s="107">
        <v>3.679999999999994E-3</v>
      </c>
      <c r="M34" s="107">
        <v>0.49624000000000001</v>
      </c>
      <c r="N34" s="1495"/>
      <c r="O34" s="107">
        <v>0.14933000000000005</v>
      </c>
      <c r="P34" s="107">
        <v>0</v>
      </c>
      <c r="Q34" s="107">
        <v>0</v>
      </c>
      <c r="R34" s="107">
        <v>0.34872999999999998</v>
      </c>
      <c r="S34" s="107">
        <v>2.7599999999999951E-3</v>
      </c>
      <c r="T34" s="107">
        <v>0.50082000000000004</v>
      </c>
      <c r="U34" s="1531"/>
    </row>
    <row r="35" spans="2:21" x14ac:dyDescent="0.2">
      <c r="B35" s="100">
        <v>27</v>
      </c>
      <c r="C35" s="1226"/>
      <c r="D35" s="1226" t="s">
        <v>6</v>
      </c>
      <c r="E35" s="105">
        <v>20000</v>
      </c>
      <c r="F35" s="106">
        <v>81241.3</v>
      </c>
      <c r="G35" s="106"/>
      <c r="H35" s="844"/>
      <c r="I35" s="107">
        <v>0.11028999999999983</v>
      </c>
      <c r="J35" s="107">
        <v>0</v>
      </c>
      <c r="K35" s="107">
        <v>0.34872999999999998</v>
      </c>
      <c r="L35" s="107">
        <v>2.9199999999999929E-3</v>
      </c>
      <c r="M35" s="107">
        <v>0.4619399999999998</v>
      </c>
      <c r="N35" s="1495"/>
      <c r="O35" s="107">
        <v>0.11450999999999983</v>
      </c>
      <c r="P35" s="107">
        <v>0</v>
      </c>
      <c r="Q35" s="107">
        <v>0</v>
      </c>
      <c r="R35" s="107">
        <v>0.34872999999999998</v>
      </c>
      <c r="S35" s="107">
        <v>2.2099999999999932E-3</v>
      </c>
      <c r="T35" s="107">
        <v>0.46544999999999981</v>
      </c>
      <c r="U35" s="1531"/>
    </row>
    <row r="36" spans="2:21" x14ac:dyDescent="0.2">
      <c r="B36" s="100">
        <v>28</v>
      </c>
      <c r="C36" s="1226"/>
      <c r="D36" s="1226" t="s">
        <v>7</v>
      </c>
      <c r="E36" s="105">
        <v>100000</v>
      </c>
      <c r="F36" s="106">
        <v>9320.1</v>
      </c>
      <c r="G36" s="106"/>
      <c r="H36" s="844"/>
      <c r="I36" s="107">
        <v>8.8240000000000166E-2</v>
      </c>
      <c r="J36" s="107">
        <v>0</v>
      </c>
      <c r="K36" s="107">
        <v>0.34872999999999998</v>
      </c>
      <c r="L36" s="107">
        <v>2.4099999999999933E-3</v>
      </c>
      <c r="M36" s="107">
        <v>0.4393800000000001</v>
      </c>
      <c r="N36" s="1495"/>
      <c r="O36" s="107">
        <v>9.1610000000000164E-2</v>
      </c>
      <c r="P36" s="107">
        <v>0</v>
      </c>
      <c r="Q36" s="107">
        <v>0</v>
      </c>
      <c r="R36" s="107">
        <v>0.34872999999999998</v>
      </c>
      <c r="S36" s="107">
        <v>1.849999999999994E-3</v>
      </c>
      <c r="T36" s="107">
        <v>0.44219000000000019</v>
      </c>
      <c r="U36" s="1531"/>
    </row>
    <row r="37" spans="2:21" x14ac:dyDescent="0.2">
      <c r="B37" s="100">
        <v>29</v>
      </c>
      <c r="C37" s="1226"/>
      <c r="D37" s="1226" t="s">
        <v>8</v>
      </c>
      <c r="E37" s="105">
        <v>600000</v>
      </c>
      <c r="F37" s="106">
        <v>0</v>
      </c>
      <c r="G37" s="106"/>
      <c r="H37" s="844"/>
      <c r="I37" s="107">
        <v>5.8840000000000198E-2</v>
      </c>
      <c r="J37" s="107">
        <v>0</v>
      </c>
      <c r="K37" s="107">
        <v>0.34872999999999998</v>
      </c>
      <c r="L37" s="107">
        <v>1.749999999999994E-3</v>
      </c>
      <c r="M37" s="107">
        <v>0.40932000000000018</v>
      </c>
      <c r="N37" s="1495"/>
      <c r="O37" s="107">
        <v>6.10900000000002E-2</v>
      </c>
      <c r="P37" s="107">
        <v>0</v>
      </c>
      <c r="Q37" s="107">
        <v>0</v>
      </c>
      <c r="R37" s="107">
        <v>0.34872999999999998</v>
      </c>
      <c r="S37" s="107">
        <v>1.3699999999999945E-3</v>
      </c>
      <c r="T37" s="107">
        <v>0.41119000000000017</v>
      </c>
      <c r="U37" s="1531"/>
    </row>
    <row r="38" spans="2:21" x14ac:dyDescent="0.2">
      <c r="B38" s="100">
        <v>30</v>
      </c>
      <c r="C38" s="101"/>
      <c r="D38" s="101" t="s">
        <v>9</v>
      </c>
      <c r="E38" s="102" t="s">
        <v>59</v>
      </c>
      <c r="F38" s="103">
        <v>0</v>
      </c>
      <c r="G38" s="103"/>
      <c r="H38" s="839"/>
      <c r="I38" s="104">
        <v>2.204999999999992E-2</v>
      </c>
      <c r="J38" s="104">
        <v>0</v>
      </c>
      <c r="K38" s="104">
        <v>0.34872999999999998</v>
      </c>
      <c r="L38" s="104">
        <v>9.1999999999999363E-4</v>
      </c>
      <c r="M38" s="104">
        <v>0.37169999999999986</v>
      </c>
      <c r="N38" s="1495"/>
      <c r="O38" s="104">
        <v>2.2889999999999921E-2</v>
      </c>
      <c r="P38" s="104">
        <v>0</v>
      </c>
      <c r="Q38" s="104">
        <v>0</v>
      </c>
      <c r="R38" s="104">
        <v>0.34872999999999998</v>
      </c>
      <c r="S38" s="104">
        <v>7.7999999999999424E-4</v>
      </c>
      <c r="T38" s="104">
        <v>0.3723999999999999</v>
      </c>
      <c r="U38" s="1531"/>
    </row>
    <row r="39" spans="2:21" x14ac:dyDescent="0.2">
      <c r="B39" s="100">
        <v>31</v>
      </c>
      <c r="C39" s="1226" t="s">
        <v>255</v>
      </c>
      <c r="D39" s="1226" t="s">
        <v>4</v>
      </c>
      <c r="E39" s="105">
        <v>10000</v>
      </c>
      <c r="F39" s="106">
        <v>480000</v>
      </c>
      <c r="G39" s="106">
        <v>4</v>
      </c>
      <c r="H39" s="844">
        <v>1550</v>
      </c>
      <c r="I39" s="1486">
        <v>0.14911999999999997</v>
      </c>
      <c r="J39" s="1486">
        <v>0</v>
      </c>
      <c r="K39" s="1486">
        <v>0</v>
      </c>
      <c r="L39" s="1486">
        <v>4.8999999999999998E-4</v>
      </c>
      <c r="M39" s="1486">
        <v>0.14960999999999997</v>
      </c>
      <c r="N39" s="1495"/>
      <c r="O39" s="107">
        <v>0.15505999999999998</v>
      </c>
      <c r="P39" s="107">
        <v>0</v>
      </c>
      <c r="Q39" s="107">
        <v>0</v>
      </c>
      <c r="R39" s="107">
        <v>0</v>
      </c>
      <c r="S39" s="107">
        <v>-1.9999999999999977E-4</v>
      </c>
      <c r="T39" s="107">
        <v>0.15485999999999997</v>
      </c>
      <c r="U39" s="1531"/>
    </row>
    <row r="40" spans="2:21" x14ac:dyDescent="0.2">
      <c r="B40" s="100">
        <v>32</v>
      </c>
      <c r="C40" s="1226"/>
      <c r="D40" s="1226" t="s">
        <v>5</v>
      </c>
      <c r="E40" s="105">
        <v>20000</v>
      </c>
      <c r="F40" s="106">
        <v>807846</v>
      </c>
      <c r="G40" s="106"/>
      <c r="H40" s="844"/>
      <c r="I40" s="107">
        <v>0.13349</v>
      </c>
      <c r="J40" s="107">
        <v>0</v>
      </c>
      <c r="K40" s="107">
        <v>0</v>
      </c>
      <c r="L40" s="107">
        <v>4.3000000000000004E-4</v>
      </c>
      <c r="M40" s="107">
        <v>0.13392000000000001</v>
      </c>
      <c r="N40" s="1495"/>
      <c r="O40" s="107">
        <v>0.13880000000000001</v>
      </c>
      <c r="P40" s="107">
        <v>0</v>
      </c>
      <c r="Q40" s="107">
        <v>0</v>
      </c>
      <c r="R40" s="107">
        <v>0</v>
      </c>
      <c r="S40" s="107">
        <v>-1.699999999999999E-4</v>
      </c>
      <c r="T40" s="107">
        <v>0.13863</v>
      </c>
      <c r="U40" s="1531"/>
    </row>
    <row r="41" spans="2:21" x14ac:dyDescent="0.2">
      <c r="B41" s="100">
        <v>33</v>
      </c>
      <c r="C41" s="1226"/>
      <c r="D41" s="1226" t="s">
        <v>6</v>
      </c>
      <c r="E41" s="105">
        <v>20000</v>
      </c>
      <c r="F41" s="106">
        <v>583779</v>
      </c>
      <c r="G41" s="106"/>
      <c r="H41" s="844"/>
      <c r="I41" s="107">
        <v>0.10235999999999999</v>
      </c>
      <c r="J41" s="107">
        <v>0</v>
      </c>
      <c r="K41" s="107">
        <v>0</v>
      </c>
      <c r="L41" s="107">
        <v>3.3999999999999986E-4</v>
      </c>
      <c r="M41" s="107">
        <v>0.10269999999999999</v>
      </c>
      <c r="N41" s="1495"/>
      <c r="O41" s="107">
        <v>0.10643</v>
      </c>
      <c r="P41" s="107">
        <v>0</v>
      </c>
      <c r="Q41" s="107">
        <v>0</v>
      </c>
      <c r="R41" s="107">
        <v>0</v>
      </c>
      <c r="S41" s="107">
        <v>-1.4000000000000015E-4</v>
      </c>
      <c r="T41" s="107">
        <v>0.10629</v>
      </c>
      <c r="U41" s="1531"/>
    </row>
    <row r="42" spans="2:21" x14ac:dyDescent="0.2">
      <c r="B42" s="100">
        <v>34</v>
      </c>
      <c r="C42" s="1226"/>
      <c r="D42" s="1226" t="s">
        <v>7</v>
      </c>
      <c r="E42" s="105">
        <v>100000</v>
      </c>
      <c r="F42" s="106">
        <v>598933</v>
      </c>
      <c r="G42" s="106"/>
      <c r="H42" s="844"/>
      <c r="I42" s="107">
        <v>8.1900000000000014E-2</v>
      </c>
      <c r="J42" s="107">
        <v>0</v>
      </c>
      <c r="K42" s="107">
        <v>0</v>
      </c>
      <c r="L42" s="107">
        <v>2.7E-4</v>
      </c>
      <c r="M42" s="107">
        <v>8.2170000000000021E-2</v>
      </c>
      <c r="N42" s="1495"/>
      <c r="O42" s="107">
        <v>8.5160000000000013E-2</v>
      </c>
      <c r="P42" s="107">
        <v>0</v>
      </c>
      <c r="Q42" s="107">
        <v>0</v>
      </c>
      <c r="R42" s="107">
        <v>0</v>
      </c>
      <c r="S42" s="107">
        <v>-9.9999999999999937E-5</v>
      </c>
      <c r="T42" s="107">
        <v>8.5060000000000011E-2</v>
      </c>
      <c r="U42" s="1531"/>
    </row>
    <row r="43" spans="2:21" x14ac:dyDescent="0.2">
      <c r="B43" s="100">
        <v>35</v>
      </c>
      <c r="C43" s="1226"/>
      <c r="D43" s="1226" t="s">
        <v>8</v>
      </c>
      <c r="E43" s="105">
        <v>600000</v>
      </c>
      <c r="F43" s="106">
        <v>0</v>
      </c>
      <c r="G43" s="106"/>
      <c r="H43" s="844"/>
      <c r="I43" s="107">
        <v>5.4600000000000003E-2</v>
      </c>
      <c r="J43" s="107">
        <v>0</v>
      </c>
      <c r="K43" s="107">
        <v>0</v>
      </c>
      <c r="L43" s="107">
        <v>1.8999999999999996E-4</v>
      </c>
      <c r="M43" s="107">
        <v>5.4790000000000005E-2</v>
      </c>
      <c r="N43" s="1495"/>
      <c r="O43" s="107">
        <v>5.6770000000000001E-2</v>
      </c>
      <c r="P43" s="107">
        <v>0</v>
      </c>
      <c r="Q43" s="107">
        <v>0</v>
      </c>
      <c r="R43" s="107">
        <v>0</v>
      </c>
      <c r="S43" s="107">
        <v>-7.0000000000000075E-5</v>
      </c>
      <c r="T43" s="107">
        <v>5.67E-2</v>
      </c>
      <c r="U43" s="1531"/>
    </row>
    <row r="44" spans="2:21" x14ac:dyDescent="0.2">
      <c r="B44" s="100">
        <v>36</v>
      </c>
      <c r="C44" s="101"/>
      <c r="D44" s="101" t="s">
        <v>9</v>
      </c>
      <c r="E44" s="102" t="s">
        <v>59</v>
      </c>
      <c r="F44" s="103">
        <v>0</v>
      </c>
      <c r="G44" s="103"/>
      <c r="H44" s="839"/>
      <c r="I44" s="104">
        <v>2.0469999999999999E-2</v>
      </c>
      <c r="J44" s="104">
        <v>0</v>
      </c>
      <c r="K44" s="104">
        <v>0</v>
      </c>
      <c r="L44" s="104">
        <v>7.0000000000000007E-5</v>
      </c>
      <c r="M44" s="104">
        <v>2.0539999999999999E-2</v>
      </c>
      <c r="N44" s="1495"/>
      <c r="O44" s="104">
        <v>2.128E-2</v>
      </c>
      <c r="P44" s="104">
        <v>0</v>
      </c>
      <c r="Q44" s="104">
        <v>0</v>
      </c>
      <c r="R44" s="104">
        <v>0</v>
      </c>
      <c r="S44" s="104">
        <v>-1.9999999999999998E-5</v>
      </c>
      <c r="T44" s="104">
        <v>2.1260000000000001E-2</v>
      </c>
      <c r="U44" s="1531"/>
    </row>
    <row r="45" spans="2:21" x14ac:dyDescent="0.2">
      <c r="B45" s="100">
        <v>37</v>
      </c>
      <c r="C45" s="1226" t="s">
        <v>256</v>
      </c>
      <c r="D45" s="1226" t="s">
        <v>4</v>
      </c>
      <c r="E45" s="105">
        <v>10000</v>
      </c>
      <c r="F45" s="106">
        <v>924395</v>
      </c>
      <c r="G45" s="106">
        <v>8.9166666666666661</v>
      </c>
      <c r="H45" s="844">
        <v>1550</v>
      </c>
      <c r="I45" s="1486">
        <v>0.14808000000000002</v>
      </c>
      <c r="J45" s="1486">
        <v>0</v>
      </c>
      <c r="K45" s="1486">
        <v>0</v>
      </c>
      <c r="L45" s="1486">
        <v>5.8999999999999981E-4</v>
      </c>
      <c r="M45" s="1486">
        <v>0.14867000000000002</v>
      </c>
      <c r="N45" s="1495"/>
      <c r="O45" s="107">
        <v>0.15204000000000001</v>
      </c>
      <c r="P45" s="107">
        <v>0</v>
      </c>
      <c r="Q45" s="107">
        <v>0</v>
      </c>
      <c r="R45" s="107">
        <v>0</v>
      </c>
      <c r="S45" s="107">
        <v>-7.9999999999999776E-5</v>
      </c>
      <c r="T45" s="107">
        <v>0.15196000000000001</v>
      </c>
      <c r="U45" s="1531"/>
    </row>
    <row r="46" spans="2:21" x14ac:dyDescent="0.2">
      <c r="B46" s="100">
        <v>38</v>
      </c>
      <c r="C46" s="1226"/>
      <c r="D46" s="1226" t="s">
        <v>5</v>
      </c>
      <c r="E46" s="105">
        <v>20000</v>
      </c>
      <c r="F46" s="106">
        <v>1036796</v>
      </c>
      <c r="G46" s="106"/>
      <c r="H46" s="844"/>
      <c r="I46" s="107">
        <v>0.13254999999999995</v>
      </c>
      <c r="J46" s="107">
        <v>0</v>
      </c>
      <c r="K46" s="107">
        <v>0</v>
      </c>
      <c r="L46" s="107">
        <v>5.1999999999999985E-4</v>
      </c>
      <c r="M46" s="107">
        <v>0.13306999999999994</v>
      </c>
      <c r="N46" s="1495"/>
      <c r="O46" s="107">
        <v>0.13608999999999993</v>
      </c>
      <c r="P46" s="107">
        <v>0</v>
      </c>
      <c r="Q46" s="107">
        <v>0</v>
      </c>
      <c r="R46" s="107">
        <v>0</v>
      </c>
      <c r="S46" s="107">
        <v>-6.9999999999999967E-5</v>
      </c>
      <c r="T46" s="107">
        <v>0.13601999999999995</v>
      </c>
      <c r="U46" s="1531"/>
    </row>
    <row r="47" spans="2:21" x14ac:dyDescent="0.2">
      <c r="B47" s="100">
        <v>39</v>
      </c>
      <c r="C47" s="1226"/>
      <c r="D47" s="1226" t="s">
        <v>6</v>
      </c>
      <c r="E47" s="105">
        <v>20000</v>
      </c>
      <c r="F47" s="106">
        <v>937215</v>
      </c>
      <c r="G47" s="106"/>
      <c r="H47" s="844"/>
      <c r="I47" s="107">
        <v>0.10164000000000001</v>
      </c>
      <c r="J47" s="107">
        <v>0</v>
      </c>
      <c r="K47" s="107">
        <v>0</v>
      </c>
      <c r="L47" s="107">
        <v>4.1000000000000005E-4</v>
      </c>
      <c r="M47" s="107">
        <v>0.10205</v>
      </c>
      <c r="N47" s="1495"/>
      <c r="O47" s="107">
        <v>0.10436000000000001</v>
      </c>
      <c r="P47" s="107">
        <v>0</v>
      </c>
      <c r="Q47" s="107">
        <v>0</v>
      </c>
      <c r="R47" s="107">
        <v>0</v>
      </c>
      <c r="S47" s="107">
        <v>-5.9999999999999941E-5</v>
      </c>
      <c r="T47" s="107">
        <v>0.1043</v>
      </c>
      <c r="U47" s="1531"/>
    </row>
    <row r="48" spans="2:21" x14ac:dyDescent="0.2">
      <c r="B48" s="100">
        <v>40</v>
      </c>
      <c r="C48" s="1226"/>
      <c r="D48" s="1226" t="s">
        <v>7</v>
      </c>
      <c r="E48" s="105">
        <v>100000</v>
      </c>
      <c r="F48" s="106">
        <v>2390318</v>
      </c>
      <c r="G48" s="106"/>
      <c r="H48" s="844"/>
      <c r="I48" s="107">
        <v>8.1320000000000017E-2</v>
      </c>
      <c r="J48" s="107">
        <v>0</v>
      </c>
      <c r="K48" s="107">
        <v>0</v>
      </c>
      <c r="L48" s="107">
        <v>3.2999999999999994E-4</v>
      </c>
      <c r="M48" s="107">
        <v>8.1650000000000014E-2</v>
      </c>
      <c r="N48" s="1495"/>
      <c r="O48" s="107">
        <v>8.3490000000000023E-2</v>
      </c>
      <c r="P48" s="107">
        <v>0</v>
      </c>
      <c r="Q48" s="107">
        <v>0</v>
      </c>
      <c r="R48" s="107">
        <v>0</v>
      </c>
      <c r="S48" s="107">
        <v>-5.0000000000000023E-5</v>
      </c>
      <c r="T48" s="107">
        <v>8.3440000000000028E-2</v>
      </c>
      <c r="U48" s="1531"/>
    </row>
    <row r="49" spans="2:21" x14ac:dyDescent="0.2">
      <c r="B49" s="100">
        <v>41</v>
      </c>
      <c r="C49" s="1226"/>
      <c r="D49" s="1226" t="s">
        <v>8</v>
      </c>
      <c r="E49" s="105">
        <v>600000</v>
      </c>
      <c r="F49" s="106">
        <v>1492257</v>
      </c>
      <c r="G49" s="106"/>
      <c r="H49" s="844"/>
      <c r="I49" s="107">
        <v>5.4210000000000001E-2</v>
      </c>
      <c r="J49" s="107">
        <v>0</v>
      </c>
      <c r="K49" s="107">
        <v>0</v>
      </c>
      <c r="L49" s="107">
        <v>2.2000000000000003E-4</v>
      </c>
      <c r="M49" s="107">
        <v>5.4429999999999999E-2</v>
      </c>
      <c r="N49" s="1495"/>
      <c r="O49" s="107">
        <v>5.5660000000000001E-2</v>
      </c>
      <c r="P49" s="107">
        <v>0</v>
      </c>
      <c r="Q49" s="107">
        <v>0</v>
      </c>
      <c r="R49" s="107">
        <v>0</v>
      </c>
      <c r="S49" s="107">
        <v>-2.999999999999997E-5</v>
      </c>
      <c r="T49" s="107">
        <v>5.5629999999999999E-2</v>
      </c>
      <c r="U49" s="1531"/>
    </row>
    <row r="50" spans="2:21" x14ac:dyDescent="0.2">
      <c r="B50" s="100">
        <v>42</v>
      </c>
      <c r="C50" s="101"/>
      <c r="D50" s="101" t="s">
        <v>9</v>
      </c>
      <c r="E50" s="102" t="s">
        <v>59</v>
      </c>
      <c r="F50" s="103">
        <v>0</v>
      </c>
      <c r="G50" s="103"/>
      <c r="H50" s="839"/>
      <c r="I50" s="104">
        <v>2.0330000000000001E-2</v>
      </c>
      <c r="J50" s="104">
        <v>0</v>
      </c>
      <c r="K50" s="104">
        <v>0</v>
      </c>
      <c r="L50" s="104">
        <v>8.0000000000000007E-5</v>
      </c>
      <c r="M50" s="104">
        <v>2.0410000000000001E-2</v>
      </c>
      <c r="N50" s="1495"/>
      <c r="O50" s="104">
        <v>2.087E-2</v>
      </c>
      <c r="P50" s="104">
        <v>0</v>
      </c>
      <c r="Q50" s="104">
        <v>0</v>
      </c>
      <c r="R50" s="104">
        <v>0</v>
      </c>
      <c r="S50" s="104">
        <v>-9.9999999999999991E-6</v>
      </c>
      <c r="T50" s="104">
        <v>2.086E-2</v>
      </c>
      <c r="U50" s="1531"/>
    </row>
    <row r="51" spans="2:21" x14ac:dyDescent="0.2">
      <c r="B51" s="100">
        <v>43</v>
      </c>
      <c r="C51" s="1226" t="s">
        <v>252</v>
      </c>
      <c r="D51" s="1226" t="s">
        <v>4</v>
      </c>
      <c r="E51" s="105">
        <v>10000</v>
      </c>
      <c r="F51" s="106">
        <v>240000</v>
      </c>
      <c r="G51" s="106">
        <v>2</v>
      </c>
      <c r="H51" s="844">
        <v>1300</v>
      </c>
      <c r="I51" s="1486">
        <v>0.15742000000000012</v>
      </c>
      <c r="J51" s="1486">
        <v>0</v>
      </c>
      <c r="K51" s="1486">
        <v>0.34872999999999998</v>
      </c>
      <c r="L51" s="1486">
        <v>5.7569999999999996E-2</v>
      </c>
      <c r="M51" s="1486">
        <v>0.56372000000000011</v>
      </c>
      <c r="N51" s="1495"/>
      <c r="O51" s="107">
        <v>0.1698700000000001</v>
      </c>
      <c r="P51" s="107">
        <v>0</v>
      </c>
      <c r="Q51" s="107">
        <v>0</v>
      </c>
      <c r="R51" s="107">
        <v>0.34872999999999998</v>
      </c>
      <c r="S51" s="107">
        <v>5.6769999999999994E-2</v>
      </c>
      <c r="T51" s="107">
        <v>0.57537000000000005</v>
      </c>
      <c r="U51" s="1531"/>
    </row>
    <row r="52" spans="2:21" x14ac:dyDescent="0.2">
      <c r="B52" s="100">
        <v>44</v>
      </c>
      <c r="C52" s="1226"/>
      <c r="D52" s="1226" t="s">
        <v>5</v>
      </c>
      <c r="E52" s="105">
        <v>20000</v>
      </c>
      <c r="F52" s="106">
        <v>467511</v>
      </c>
      <c r="G52" s="106"/>
      <c r="H52" s="844"/>
      <c r="I52" s="107">
        <v>0.14091999999999985</v>
      </c>
      <c r="J52" s="107">
        <v>0</v>
      </c>
      <c r="K52" s="107">
        <v>0.34872999999999998</v>
      </c>
      <c r="L52" s="107">
        <v>5.5379999999999999E-2</v>
      </c>
      <c r="M52" s="107">
        <v>0.54502999999999979</v>
      </c>
      <c r="N52" s="1495"/>
      <c r="O52" s="107">
        <v>0.15205999999999986</v>
      </c>
      <c r="P52" s="107">
        <v>0</v>
      </c>
      <c r="Q52" s="107">
        <v>0</v>
      </c>
      <c r="R52" s="107">
        <v>0.34872999999999998</v>
      </c>
      <c r="S52" s="107">
        <v>5.4659999999999993E-2</v>
      </c>
      <c r="T52" s="107">
        <v>0.55544999999999989</v>
      </c>
      <c r="U52" s="1531"/>
    </row>
    <row r="53" spans="2:21" x14ac:dyDescent="0.2">
      <c r="B53" s="100">
        <v>45</v>
      </c>
      <c r="C53" s="1226"/>
      <c r="D53" s="1226" t="s">
        <v>6</v>
      </c>
      <c r="E53" s="105">
        <v>20000</v>
      </c>
      <c r="F53" s="106">
        <v>218004</v>
      </c>
      <c r="G53" s="106"/>
      <c r="H53" s="844"/>
      <c r="I53" s="107">
        <v>0.1080500000000001</v>
      </c>
      <c r="J53" s="107">
        <v>0</v>
      </c>
      <c r="K53" s="107">
        <v>0.34872999999999998</v>
      </c>
      <c r="L53" s="107">
        <v>5.1029999999999992E-2</v>
      </c>
      <c r="M53" s="107">
        <v>0.50781000000000009</v>
      </c>
      <c r="N53" s="1495"/>
      <c r="O53" s="107">
        <v>0.11659000000000011</v>
      </c>
      <c r="P53" s="107">
        <v>0</v>
      </c>
      <c r="Q53" s="107">
        <v>0</v>
      </c>
      <c r="R53" s="107">
        <v>0.34872999999999998</v>
      </c>
      <c r="S53" s="107">
        <v>5.0489999999999993E-2</v>
      </c>
      <c r="T53" s="107">
        <v>0.5158100000000001</v>
      </c>
      <c r="U53" s="1531"/>
    </row>
    <row r="54" spans="2:21" x14ac:dyDescent="0.2">
      <c r="B54" s="100">
        <v>46</v>
      </c>
      <c r="C54" s="1226"/>
      <c r="D54" s="1226" t="s">
        <v>7</v>
      </c>
      <c r="E54" s="105">
        <v>100000</v>
      </c>
      <c r="F54" s="106">
        <v>18208</v>
      </c>
      <c r="G54" s="106"/>
      <c r="H54" s="844"/>
      <c r="I54" s="107">
        <v>8.6440000000000058E-2</v>
      </c>
      <c r="J54" s="107">
        <v>0</v>
      </c>
      <c r="K54" s="107">
        <v>0.34872999999999998</v>
      </c>
      <c r="L54" s="107">
        <v>4.8169999999999991E-2</v>
      </c>
      <c r="M54" s="107">
        <v>0.48334000000000005</v>
      </c>
      <c r="N54" s="1495"/>
      <c r="O54" s="107">
        <v>9.3270000000000061E-2</v>
      </c>
      <c r="P54" s="107">
        <v>0</v>
      </c>
      <c r="Q54" s="107">
        <v>0</v>
      </c>
      <c r="R54" s="107">
        <v>0.34872999999999998</v>
      </c>
      <c r="S54" s="107">
        <v>4.7729999999999995E-2</v>
      </c>
      <c r="T54" s="107">
        <v>0.48973000000000005</v>
      </c>
      <c r="U54" s="1531"/>
    </row>
    <row r="55" spans="2:21" x14ac:dyDescent="0.2">
      <c r="B55" s="100">
        <v>47</v>
      </c>
      <c r="C55" s="1226"/>
      <c r="D55" s="1226" t="s">
        <v>8</v>
      </c>
      <c r="E55" s="105">
        <v>600000</v>
      </c>
      <c r="F55" s="106">
        <v>0</v>
      </c>
      <c r="G55" s="106"/>
      <c r="H55" s="844"/>
      <c r="I55" s="107">
        <v>5.7639999999999983E-2</v>
      </c>
      <c r="J55" s="107">
        <v>0</v>
      </c>
      <c r="K55" s="107">
        <v>0.34872999999999998</v>
      </c>
      <c r="L55" s="107">
        <v>4.4359999999999997E-2</v>
      </c>
      <c r="M55" s="107">
        <v>0.45072999999999996</v>
      </c>
      <c r="N55" s="1495"/>
      <c r="O55" s="107">
        <v>6.2199999999999984E-2</v>
      </c>
      <c r="P55" s="107">
        <v>0</v>
      </c>
      <c r="Q55" s="107">
        <v>0</v>
      </c>
      <c r="R55" s="107">
        <v>0.34872999999999998</v>
      </c>
      <c r="S55" s="107">
        <v>4.4059999999999995E-2</v>
      </c>
      <c r="T55" s="107">
        <v>0.45498999999999995</v>
      </c>
      <c r="U55" s="1531"/>
    </row>
    <row r="56" spans="2:21" x14ac:dyDescent="0.2">
      <c r="B56" s="100">
        <v>48</v>
      </c>
      <c r="C56" s="101"/>
      <c r="D56" s="101" t="s">
        <v>9</v>
      </c>
      <c r="E56" s="102" t="s">
        <v>59</v>
      </c>
      <c r="F56" s="103">
        <v>0</v>
      </c>
      <c r="G56" s="103"/>
      <c r="H56" s="839"/>
      <c r="I56" s="104">
        <v>2.1619999999999945E-2</v>
      </c>
      <c r="J56" s="104">
        <v>0</v>
      </c>
      <c r="K56" s="104">
        <v>0.34872999999999998</v>
      </c>
      <c r="L56" s="104">
        <v>3.9599999999999996E-2</v>
      </c>
      <c r="M56" s="104">
        <v>0.40994999999999993</v>
      </c>
      <c r="N56" s="1495"/>
      <c r="O56" s="104">
        <v>2.3329999999999945E-2</v>
      </c>
      <c r="P56" s="104">
        <v>0</v>
      </c>
      <c r="Q56" s="104">
        <v>0</v>
      </c>
      <c r="R56" s="104">
        <v>0.34872999999999998</v>
      </c>
      <c r="S56" s="104">
        <v>3.95E-2</v>
      </c>
      <c r="T56" s="104">
        <v>0.41155999999999993</v>
      </c>
      <c r="U56" s="1531"/>
    </row>
    <row r="57" spans="2:21" x14ac:dyDescent="0.2">
      <c r="B57" s="100">
        <v>49</v>
      </c>
      <c r="C57" s="1226" t="s">
        <v>258</v>
      </c>
      <c r="D57" s="1226" t="s">
        <v>4</v>
      </c>
      <c r="E57" s="105">
        <v>10000</v>
      </c>
      <c r="F57" s="106">
        <v>156740</v>
      </c>
      <c r="G57" s="106">
        <v>1.9166666666666701</v>
      </c>
      <c r="H57" s="844">
        <v>1300</v>
      </c>
      <c r="I57" s="1486">
        <v>0.15824999999999986</v>
      </c>
      <c r="J57" s="1486">
        <v>0</v>
      </c>
      <c r="K57" s="1486">
        <v>0.34872999999999998</v>
      </c>
      <c r="L57" s="1486">
        <v>4.1869999999999997E-2</v>
      </c>
      <c r="M57" s="1486">
        <v>0.54884999999999984</v>
      </c>
      <c r="N57" s="1495"/>
      <c r="O57" s="107">
        <v>0.16390999999999986</v>
      </c>
      <c r="P57" s="107">
        <v>0</v>
      </c>
      <c r="Q57" s="107">
        <v>0</v>
      </c>
      <c r="R57" s="107">
        <v>0.34872999999999998</v>
      </c>
      <c r="S57" s="107">
        <v>4.0919999999999998E-2</v>
      </c>
      <c r="T57" s="107">
        <v>0.55355999999999983</v>
      </c>
      <c r="U57" s="1531"/>
    </row>
    <row r="58" spans="2:21" x14ac:dyDescent="0.2">
      <c r="B58" s="100">
        <v>50</v>
      </c>
      <c r="C58" s="1226"/>
      <c r="D58" s="1226" t="s">
        <v>5</v>
      </c>
      <c r="E58" s="105">
        <v>20000</v>
      </c>
      <c r="F58" s="106">
        <v>159690</v>
      </c>
      <c r="G58" s="106"/>
      <c r="H58" s="844"/>
      <c r="I58" s="107">
        <v>0.14165999999999992</v>
      </c>
      <c r="J58" s="107">
        <v>0</v>
      </c>
      <c r="K58" s="107">
        <v>0.34872999999999998</v>
      </c>
      <c r="L58" s="107">
        <v>4.1329999999999992E-2</v>
      </c>
      <c r="M58" s="107">
        <v>0.53171999999999986</v>
      </c>
      <c r="N58" s="1495"/>
      <c r="O58" s="107">
        <v>0.14672999999999992</v>
      </c>
      <c r="P58" s="107">
        <v>0</v>
      </c>
      <c r="Q58" s="107">
        <v>0</v>
      </c>
      <c r="R58" s="107">
        <v>0.34872999999999998</v>
      </c>
      <c r="S58" s="107">
        <v>4.0479999999999988E-2</v>
      </c>
      <c r="T58" s="107">
        <v>0.53593999999999986</v>
      </c>
      <c r="U58" s="1531"/>
    </row>
    <row r="59" spans="2:21" x14ac:dyDescent="0.2">
      <c r="B59" s="100">
        <v>51</v>
      </c>
      <c r="C59" s="1226"/>
      <c r="D59" s="1226" t="s">
        <v>6</v>
      </c>
      <c r="E59" s="105">
        <v>20000</v>
      </c>
      <c r="F59" s="106">
        <v>0</v>
      </c>
      <c r="G59" s="106"/>
      <c r="H59" s="844"/>
      <c r="I59" s="107">
        <v>0.10863</v>
      </c>
      <c r="J59" s="107">
        <v>0</v>
      </c>
      <c r="K59" s="107">
        <v>0.34872999999999998</v>
      </c>
      <c r="L59" s="107">
        <v>4.0259999999999997E-2</v>
      </c>
      <c r="M59" s="107">
        <v>0.49762000000000001</v>
      </c>
      <c r="N59" s="1495"/>
      <c r="O59" s="107">
        <v>0.11252000000000001</v>
      </c>
      <c r="P59" s="107">
        <v>0</v>
      </c>
      <c r="Q59" s="107">
        <v>0</v>
      </c>
      <c r="R59" s="107">
        <v>0.34872999999999998</v>
      </c>
      <c r="S59" s="107">
        <v>3.9609999999999992E-2</v>
      </c>
      <c r="T59" s="107">
        <v>0.50085999999999997</v>
      </c>
      <c r="U59" s="1531"/>
    </row>
    <row r="60" spans="2:21" x14ac:dyDescent="0.2">
      <c r="B60" s="100">
        <v>52</v>
      </c>
      <c r="C60" s="1226"/>
      <c r="D60" s="1226" t="s">
        <v>7</v>
      </c>
      <c r="E60" s="105">
        <v>100000</v>
      </c>
      <c r="F60" s="106">
        <v>0</v>
      </c>
      <c r="G60" s="106"/>
      <c r="H60" s="844"/>
      <c r="I60" s="107">
        <v>8.6909999999999793E-2</v>
      </c>
      <c r="J60" s="107">
        <v>0</v>
      </c>
      <c r="K60" s="107">
        <v>0.34872999999999998</v>
      </c>
      <c r="L60" s="107">
        <v>3.9559999999999998E-2</v>
      </c>
      <c r="M60" s="107">
        <v>0.47519999999999979</v>
      </c>
      <c r="N60" s="1495"/>
      <c r="O60" s="107">
        <v>9.0019999999999795E-2</v>
      </c>
      <c r="P60" s="107">
        <v>0</v>
      </c>
      <c r="Q60" s="107">
        <v>0</v>
      </c>
      <c r="R60" s="107">
        <v>0.34872999999999998</v>
      </c>
      <c r="S60" s="107">
        <v>3.9039999999999998E-2</v>
      </c>
      <c r="T60" s="107">
        <v>0.47778999999999977</v>
      </c>
      <c r="U60" s="1531"/>
    </row>
    <row r="61" spans="2:21" x14ac:dyDescent="0.2">
      <c r="B61" s="100">
        <v>53</v>
      </c>
      <c r="C61" s="1226"/>
      <c r="D61" s="1226" t="s">
        <v>8</v>
      </c>
      <c r="E61" s="105">
        <v>600000</v>
      </c>
      <c r="F61" s="106">
        <v>0</v>
      </c>
      <c r="G61" s="106"/>
      <c r="H61" s="844"/>
      <c r="I61" s="107">
        <v>5.793000000000003E-2</v>
      </c>
      <c r="J61" s="107">
        <v>0</v>
      </c>
      <c r="K61" s="107">
        <v>0.34872999999999998</v>
      </c>
      <c r="L61" s="107">
        <v>3.8619999999999995E-2</v>
      </c>
      <c r="M61" s="107">
        <v>0.44528000000000001</v>
      </c>
      <c r="N61" s="1495"/>
      <c r="O61" s="107">
        <v>6.0000000000000032E-2</v>
      </c>
      <c r="P61" s="107">
        <v>0</v>
      </c>
      <c r="Q61" s="107">
        <v>0</v>
      </c>
      <c r="R61" s="107">
        <v>0.34872999999999998</v>
      </c>
      <c r="S61" s="107">
        <v>3.8269999999999998E-2</v>
      </c>
      <c r="T61" s="107">
        <v>0.44700000000000006</v>
      </c>
      <c r="U61" s="1531"/>
    </row>
    <row r="62" spans="2:21" x14ac:dyDescent="0.2">
      <c r="B62" s="100">
        <v>54</v>
      </c>
      <c r="C62" s="101"/>
      <c r="D62" s="101" t="s">
        <v>9</v>
      </c>
      <c r="E62" s="102" t="s">
        <v>59</v>
      </c>
      <c r="F62" s="103">
        <v>0</v>
      </c>
      <c r="G62" s="103"/>
      <c r="H62" s="839"/>
      <c r="I62" s="104">
        <v>2.1719999999999948E-2</v>
      </c>
      <c r="J62" s="104">
        <v>0</v>
      </c>
      <c r="K62" s="104">
        <v>0.34872999999999998</v>
      </c>
      <c r="L62" s="104">
        <v>3.7449999999999997E-2</v>
      </c>
      <c r="M62" s="104">
        <v>0.40789999999999993</v>
      </c>
      <c r="N62" s="1495"/>
      <c r="O62" s="104">
        <v>2.2499999999999947E-2</v>
      </c>
      <c r="P62" s="104">
        <v>0</v>
      </c>
      <c r="Q62" s="104">
        <v>0</v>
      </c>
      <c r="R62" s="104">
        <v>0.34872999999999998</v>
      </c>
      <c r="S62" s="104">
        <v>3.7319999999999992E-2</v>
      </c>
      <c r="T62" s="104">
        <v>0.40854999999999997</v>
      </c>
      <c r="U62" s="1531"/>
    </row>
    <row r="63" spans="2:21" x14ac:dyDescent="0.2">
      <c r="B63" s="100">
        <v>55</v>
      </c>
      <c r="C63" s="1226" t="s">
        <v>261</v>
      </c>
      <c r="D63" s="1226" t="s">
        <v>4</v>
      </c>
      <c r="E63" s="105">
        <v>10000</v>
      </c>
      <c r="F63" s="106">
        <v>0</v>
      </c>
      <c r="G63" s="106">
        <v>0</v>
      </c>
      <c r="H63" s="844">
        <v>1550</v>
      </c>
      <c r="I63" s="1486">
        <v>0.13890999999999998</v>
      </c>
      <c r="J63" s="1486">
        <v>0</v>
      </c>
      <c r="K63" s="1486">
        <v>0</v>
      </c>
      <c r="L63" s="1486">
        <v>9.9000000000000021E-4</v>
      </c>
      <c r="M63" s="1486">
        <v>0.13989999999999997</v>
      </c>
      <c r="N63" s="1495"/>
      <c r="O63" s="107">
        <v>0.14168999999999998</v>
      </c>
      <c r="P63" s="107">
        <v>0</v>
      </c>
      <c r="Q63" s="107">
        <v>0</v>
      </c>
      <c r="R63" s="107">
        <v>0</v>
      </c>
      <c r="S63" s="107">
        <v>4.0999999999999999E-4</v>
      </c>
      <c r="T63" s="107">
        <v>0.14209999999999998</v>
      </c>
      <c r="U63" s="1531"/>
    </row>
    <row r="64" spans="2:21" x14ac:dyDescent="0.2">
      <c r="B64" s="100">
        <v>56</v>
      </c>
      <c r="C64" s="1226"/>
      <c r="D64" s="1226" t="s">
        <v>5</v>
      </c>
      <c r="E64" s="105">
        <v>20000</v>
      </c>
      <c r="F64" s="106">
        <v>0</v>
      </c>
      <c r="G64" s="106"/>
      <c r="H64" s="844"/>
      <c r="I64" s="107">
        <v>0.12435999999999998</v>
      </c>
      <c r="J64" s="107">
        <v>0</v>
      </c>
      <c r="K64" s="107">
        <v>0</v>
      </c>
      <c r="L64" s="107">
        <v>8.8000000000000003E-4</v>
      </c>
      <c r="M64" s="107">
        <v>0.12523999999999999</v>
      </c>
      <c r="N64" s="1495"/>
      <c r="O64" s="107">
        <v>0.12684999999999999</v>
      </c>
      <c r="P64" s="107">
        <v>0</v>
      </c>
      <c r="Q64" s="107">
        <v>0</v>
      </c>
      <c r="R64" s="107">
        <v>0</v>
      </c>
      <c r="S64" s="107">
        <v>3.6000000000000008E-4</v>
      </c>
      <c r="T64" s="107">
        <v>0.12720999999999999</v>
      </c>
      <c r="U64" s="1531"/>
    </row>
    <row r="65" spans="2:21" x14ac:dyDescent="0.2">
      <c r="B65" s="100">
        <v>57</v>
      </c>
      <c r="C65" s="1226"/>
      <c r="D65" s="1226" t="s">
        <v>6</v>
      </c>
      <c r="E65" s="105">
        <v>20000</v>
      </c>
      <c r="F65" s="106">
        <v>0</v>
      </c>
      <c r="G65" s="106"/>
      <c r="H65" s="844"/>
      <c r="I65" s="107">
        <v>9.536E-2</v>
      </c>
      <c r="J65" s="107">
        <v>0</v>
      </c>
      <c r="K65" s="107">
        <v>0</v>
      </c>
      <c r="L65" s="107">
        <v>6.8000000000000005E-4</v>
      </c>
      <c r="M65" s="107">
        <v>9.604E-2</v>
      </c>
      <c r="N65" s="1495"/>
      <c r="O65" s="107">
        <v>9.7269999999999995E-2</v>
      </c>
      <c r="P65" s="107">
        <v>0</v>
      </c>
      <c r="Q65" s="107">
        <v>0</v>
      </c>
      <c r="R65" s="107">
        <v>0</v>
      </c>
      <c r="S65" s="107">
        <v>2.8000000000000014E-4</v>
      </c>
      <c r="T65" s="107">
        <v>9.7549999999999998E-2</v>
      </c>
      <c r="U65" s="1531"/>
    </row>
    <row r="66" spans="2:21" x14ac:dyDescent="0.2">
      <c r="B66" s="100">
        <v>58</v>
      </c>
      <c r="C66" s="1226"/>
      <c r="D66" s="1226" t="s">
        <v>7</v>
      </c>
      <c r="E66" s="105">
        <v>100000</v>
      </c>
      <c r="F66" s="106">
        <v>0</v>
      </c>
      <c r="G66" s="106"/>
      <c r="H66" s="844"/>
      <c r="I66" s="107">
        <v>7.6289999999999997E-2</v>
      </c>
      <c r="J66" s="107">
        <v>0</v>
      </c>
      <c r="K66" s="107">
        <v>0</v>
      </c>
      <c r="L66" s="107">
        <v>5.5000000000000003E-4</v>
      </c>
      <c r="M66" s="107">
        <v>7.6839999999999992E-2</v>
      </c>
      <c r="N66" s="1495"/>
      <c r="O66" s="107">
        <v>7.782E-2</v>
      </c>
      <c r="P66" s="107">
        <v>0</v>
      </c>
      <c r="Q66" s="107">
        <v>0</v>
      </c>
      <c r="R66" s="107">
        <v>0</v>
      </c>
      <c r="S66" s="107">
        <v>2.2999999999999995E-4</v>
      </c>
      <c r="T66" s="107">
        <v>7.8049999999999994E-2</v>
      </c>
      <c r="U66" s="1531"/>
    </row>
    <row r="67" spans="2:21" x14ac:dyDescent="0.2">
      <c r="B67" s="100">
        <v>59</v>
      </c>
      <c r="C67" s="1226"/>
      <c r="D67" s="1226" t="s">
        <v>8</v>
      </c>
      <c r="E67" s="105">
        <v>600000</v>
      </c>
      <c r="F67" s="106">
        <v>0</v>
      </c>
      <c r="G67" s="106"/>
      <c r="H67" s="844"/>
      <c r="I67" s="107">
        <v>5.0869999999999999E-2</v>
      </c>
      <c r="J67" s="107">
        <v>0</v>
      </c>
      <c r="K67" s="107">
        <v>0</v>
      </c>
      <c r="L67" s="107">
        <v>3.7000000000000005E-4</v>
      </c>
      <c r="M67" s="107">
        <v>5.1240000000000001E-2</v>
      </c>
      <c r="N67" s="1495"/>
      <c r="O67" s="107">
        <v>5.1889999999999999E-2</v>
      </c>
      <c r="P67" s="107">
        <v>0</v>
      </c>
      <c r="Q67" s="107">
        <v>0</v>
      </c>
      <c r="R67" s="107">
        <v>0</v>
      </c>
      <c r="S67" s="107">
        <v>1.4999999999999999E-4</v>
      </c>
      <c r="T67" s="107">
        <v>5.2039999999999996E-2</v>
      </c>
      <c r="U67" s="1531"/>
    </row>
    <row r="68" spans="2:21" x14ac:dyDescent="0.2">
      <c r="B68" s="100">
        <v>60</v>
      </c>
      <c r="C68" s="101"/>
      <c r="D68" s="101" t="s">
        <v>9</v>
      </c>
      <c r="E68" s="102" t="s">
        <v>59</v>
      </c>
      <c r="F68" s="103">
        <v>0</v>
      </c>
      <c r="G68" s="103"/>
      <c r="H68" s="839"/>
      <c r="I68" s="104">
        <v>1.9060000000000001E-2</v>
      </c>
      <c r="J68" s="104">
        <v>0</v>
      </c>
      <c r="K68" s="104">
        <v>0</v>
      </c>
      <c r="L68" s="104">
        <v>1.4000000000000001E-4</v>
      </c>
      <c r="M68" s="104">
        <v>1.9200000000000002E-2</v>
      </c>
      <c r="N68" s="1495"/>
      <c r="O68" s="104">
        <v>1.9439999999999999E-2</v>
      </c>
      <c r="P68" s="104">
        <v>0</v>
      </c>
      <c r="Q68" s="104">
        <v>0</v>
      </c>
      <c r="R68" s="104">
        <v>0</v>
      </c>
      <c r="S68" s="104">
        <v>5.0000000000000023E-5</v>
      </c>
      <c r="T68" s="104">
        <v>1.949E-2</v>
      </c>
      <c r="U68" s="1531"/>
    </row>
    <row r="69" spans="2:21" x14ac:dyDescent="0.2">
      <c r="B69" s="100">
        <v>61</v>
      </c>
      <c r="C69" s="1226" t="s">
        <v>262</v>
      </c>
      <c r="D69" s="1226" t="s">
        <v>4</v>
      </c>
      <c r="E69" s="105">
        <v>10000</v>
      </c>
      <c r="F69" s="106">
        <v>844078</v>
      </c>
      <c r="G69" s="106">
        <v>7</v>
      </c>
      <c r="H69" s="844">
        <v>1550</v>
      </c>
      <c r="I69" s="1486">
        <v>0.14132999999999998</v>
      </c>
      <c r="J69" s="1486">
        <v>0</v>
      </c>
      <c r="K69" s="1486">
        <v>0</v>
      </c>
      <c r="L69" s="1486">
        <v>7.2999999999999996E-4</v>
      </c>
      <c r="M69" s="1486">
        <v>0.14205999999999999</v>
      </c>
      <c r="N69" s="1495"/>
      <c r="O69" s="107">
        <v>0.14465999999999998</v>
      </c>
      <c r="P69" s="107">
        <v>0</v>
      </c>
      <c r="Q69" s="107">
        <v>0</v>
      </c>
      <c r="R69" s="107">
        <v>0</v>
      </c>
      <c r="S69" s="107">
        <v>1.7000000000000023E-4</v>
      </c>
      <c r="T69" s="107">
        <v>0.14482999999999999</v>
      </c>
      <c r="U69" s="1531"/>
    </row>
    <row r="70" spans="2:21" x14ac:dyDescent="0.2">
      <c r="B70" s="100">
        <v>62</v>
      </c>
      <c r="C70" s="1226"/>
      <c r="D70" s="1226" t="s">
        <v>5</v>
      </c>
      <c r="E70" s="105">
        <v>20000</v>
      </c>
      <c r="F70" s="106">
        <v>1445175</v>
      </c>
      <c r="G70" s="106"/>
      <c r="H70" s="844"/>
      <c r="I70" s="107">
        <v>0.12650999999999998</v>
      </c>
      <c r="J70" s="107">
        <v>0</v>
      </c>
      <c r="K70" s="107">
        <v>0</v>
      </c>
      <c r="L70" s="107">
        <v>6.5000000000000019E-4</v>
      </c>
      <c r="M70" s="107">
        <v>0.12716</v>
      </c>
      <c r="N70" s="1495"/>
      <c r="O70" s="107">
        <v>0.12948999999999999</v>
      </c>
      <c r="P70" s="107">
        <v>0</v>
      </c>
      <c r="Q70" s="107">
        <v>0</v>
      </c>
      <c r="R70" s="107">
        <v>0</v>
      </c>
      <c r="S70" s="107">
        <v>1.4999999999999996E-4</v>
      </c>
      <c r="T70" s="107">
        <v>0.12964000000000001</v>
      </c>
      <c r="U70" s="1531"/>
    </row>
    <row r="71" spans="2:21" x14ac:dyDescent="0.2">
      <c r="B71" s="100">
        <v>63</v>
      </c>
      <c r="C71" s="1226"/>
      <c r="D71" s="1226" t="s">
        <v>6</v>
      </c>
      <c r="E71" s="105">
        <v>20000</v>
      </c>
      <c r="F71" s="106">
        <v>1034978</v>
      </c>
      <c r="G71" s="106"/>
      <c r="H71" s="844"/>
      <c r="I71" s="107">
        <v>9.7009999999999985E-2</v>
      </c>
      <c r="J71" s="107">
        <v>0</v>
      </c>
      <c r="K71" s="107">
        <v>0</v>
      </c>
      <c r="L71" s="107">
        <v>5.0000000000000001E-4</v>
      </c>
      <c r="M71" s="107">
        <v>9.7509999999999986E-2</v>
      </c>
      <c r="N71" s="1495"/>
      <c r="O71" s="107">
        <v>9.9289999999999989E-2</v>
      </c>
      <c r="P71" s="107">
        <v>0</v>
      </c>
      <c r="Q71" s="107">
        <v>0</v>
      </c>
      <c r="R71" s="107">
        <v>0</v>
      </c>
      <c r="S71" s="107">
        <v>1.200000000000001E-4</v>
      </c>
      <c r="T71" s="107">
        <v>9.9409999999999984E-2</v>
      </c>
      <c r="U71" s="1531"/>
    </row>
    <row r="72" spans="2:21" x14ac:dyDescent="0.2">
      <c r="B72" s="100">
        <v>64</v>
      </c>
      <c r="C72" s="1226"/>
      <c r="D72" s="1226" t="s">
        <v>7</v>
      </c>
      <c r="E72" s="105">
        <v>100000</v>
      </c>
      <c r="F72" s="106">
        <v>3359916</v>
      </c>
      <c r="G72" s="106"/>
      <c r="H72" s="844"/>
      <c r="I72" s="107">
        <v>7.7619999999999995E-2</v>
      </c>
      <c r="J72" s="107">
        <v>0</v>
      </c>
      <c r="K72" s="107">
        <v>0</v>
      </c>
      <c r="L72" s="107">
        <v>4.0000000000000002E-4</v>
      </c>
      <c r="M72" s="107">
        <v>7.8019999999999992E-2</v>
      </c>
      <c r="N72" s="1495"/>
      <c r="O72" s="107">
        <v>7.9449999999999993E-2</v>
      </c>
      <c r="P72" s="107">
        <v>0</v>
      </c>
      <c r="Q72" s="107">
        <v>0</v>
      </c>
      <c r="R72" s="107">
        <v>0</v>
      </c>
      <c r="S72" s="107">
        <v>1.0000000000000005E-4</v>
      </c>
      <c r="T72" s="107">
        <v>7.9549999999999996E-2</v>
      </c>
      <c r="U72" s="1531"/>
    </row>
    <row r="73" spans="2:21" x14ac:dyDescent="0.2">
      <c r="B73" s="100">
        <v>65</v>
      </c>
      <c r="C73" s="1226"/>
      <c r="D73" s="1226" t="s">
        <v>8</v>
      </c>
      <c r="E73" s="105">
        <v>600000</v>
      </c>
      <c r="F73" s="106">
        <v>1349120</v>
      </c>
      <c r="G73" s="106"/>
      <c r="H73" s="844"/>
      <c r="I73" s="107">
        <v>5.1749999999999997E-2</v>
      </c>
      <c r="J73" s="107">
        <v>0</v>
      </c>
      <c r="K73" s="107">
        <v>0</v>
      </c>
      <c r="L73" s="107">
        <v>2.7000000000000006E-4</v>
      </c>
      <c r="M73" s="107">
        <v>5.2019999999999997E-2</v>
      </c>
      <c r="N73" s="1495"/>
      <c r="O73" s="107">
        <v>5.2969999999999996E-2</v>
      </c>
      <c r="P73" s="107">
        <v>0</v>
      </c>
      <c r="Q73" s="107">
        <v>0</v>
      </c>
      <c r="R73" s="107">
        <v>0</v>
      </c>
      <c r="S73" s="107">
        <v>7.0000000000000075E-5</v>
      </c>
      <c r="T73" s="107">
        <v>5.3039999999999997E-2</v>
      </c>
      <c r="U73" s="1531"/>
    </row>
    <row r="74" spans="2:21" x14ac:dyDescent="0.2">
      <c r="B74" s="100">
        <v>66</v>
      </c>
      <c r="C74" s="101"/>
      <c r="D74" s="101" t="s">
        <v>9</v>
      </c>
      <c r="E74" s="102" t="s">
        <v>59</v>
      </c>
      <c r="F74" s="103">
        <v>0</v>
      </c>
      <c r="G74" s="103"/>
      <c r="H74" s="839"/>
      <c r="I74" s="104">
        <v>1.9400000000000001E-2</v>
      </c>
      <c r="J74" s="104">
        <v>0</v>
      </c>
      <c r="K74" s="104">
        <v>0</v>
      </c>
      <c r="L74" s="104">
        <v>9.9999999999999991E-5</v>
      </c>
      <c r="M74" s="104">
        <v>1.95E-2</v>
      </c>
      <c r="N74" s="1495"/>
      <c r="O74" s="107">
        <v>1.9859999999999999E-2</v>
      </c>
      <c r="P74" s="107">
        <v>0</v>
      </c>
      <c r="Q74" s="107">
        <v>0</v>
      </c>
      <c r="R74" s="107">
        <v>0</v>
      </c>
      <c r="S74" s="107">
        <v>1.9999999999999998E-5</v>
      </c>
      <c r="T74" s="107">
        <v>1.9879999999999998E-2</v>
      </c>
      <c r="U74" s="1531"/>
    </row>
    <row r="75" spans="2:21" x14ac:dyDescent="0.2">
      <c r="B75" s="100">
        <v>67</v>
      </c>
      <c r="C75" s="1225" t="s">
        <v>263</v>
      </c>
      <c r="D75" s="101" t="s">
        <v>248</v>
      </c>
      <c r="E75" s="101" t="s">
        <v>248</v>
      </c>
      <c r="F75" s="103">
        <v>0</v>
      </c>
      <c r="G75" s="103">
        <v>0</v>
      </c>
      <c r="H75" s="839">
        <v>38000</v>
      </c>
      <c r="I75" s="104">
        <v>4.9099999999999994E-3</v>
      </c>
      <c r="J75" s="104">
        <v>0</v>
      </c>
      <c r="K75" s="104">
        <v>0</v>
      </c>
      <c r="L75" s="104">
        <v>3.9999999999999996E-5</v>
      </c>
      <c r="M75" s="104">
        <v>4.9499999999999995E-3</v>
      </c>
      <c r="N75" s="1495"/>
      <c r="O75" s="109">
        <v>4.9099999999999994E-3</v>
      </c>
      <c r="P75" s="109">
        <v>0</v>
      </c>
      <c r="Q75" s="109">
        <v>0</v>
      </c>
      <c r="R75" s="109">
        <v>0</v>
      </c>
      <c r="S75" s="109">
        <v>1.9999999999999998E-5</v>
      </c>
      <c r="T75" s="109">
        <v>4.9299999999999995E-3</v>
      </c>
      <c r="U75" s="1532"/>
    </row>
    <row r="76" spans="2:21" x14ac:dyDescent="0.2">
      <c r="B76" s="100">
        <v>68</v>
      </c>
      <c r="C76" s="1225" t="s">
        <v>265</v>
      </c>
      <c r="D76" s="101" t="s">
        <v>248</v>
      </c>
      <c r="E76" s="101" t="s">
        <v>248</v>
      </c>
      <c r="F76" s="103">
        <v>0</v>
      </c>
      <c r="G76" s="103">
        <v>0</v>
      </c>
      <c r="H76" s="839">
        <v>38000</v>
      </c>
      <c r="I76" s="104">
        <v>4.9099999999999994E-3</v>
      </c>
      <c r="J76" s="104">
        <v>0</v>
      </c>
      <c r="K76" s="104">
        <v>0</v>
      </c>
      <c r="L76" s="104">
        <v>3.9999999999999996E-5</v>
      </c>
      <c r="M76" s="104">
        <v>4.9499999999999995E-3</v>
      </c>
      <c r="N76" s="1495"/>
      <c r="O76" s="109">
        <v>4.9099999999999994E-3</v>
      </c>
      <c r="P76" s="109">
        <v>0</v>
      </c>
      <c r="Q76" s="109">
        <v>0</v>
      </c>
      <c r="R76" s="109">
        <v>0</v>
      </c>
      <c r="S76" s="109">
        <v>1.9999999999999998E-5</v>
      </c>
      <c r="T76" s="109">
        <v>4.9299999999999995E-3</v>
      </c>
      <c r="U76" s="1532"/>
    </row>
    <row r="77" spans="2:21" x14ac:dyDescent="0.2">
      <c r="B77" s="100">
        <v>69</v>
      </c>
      <c r="C77" s="1225" t="s">
        <v>282</v>
      </c>
      <c r="D77" s="101" t="s">
        <v>248</v>
      </c>
      <c r="E77" s="101" t="s">
        <v>248</v>
      </c>
      <c r="F77" s="103">
        <v>2895114</v>
      </c>
      <c r="G77" s="103">
        <v>1</v>
      </c>
      <c r="H77" s="839">
        <v>0</v>
      </c>
      <c r="I77" s="104">
        <v>0</v>
      </c>
      <c r="J77" s="104">
        <v>0</v>
      </c>
      <c r="K77" s="104">
        <v>0</v>
      </c>
      <c r="L77" s="104">
        <v>0</v>
      </c>
      <c r="M77" s="104">
        <v>0</v>
      </c>
      <c r="N77" s="1495"/>
      <c r="O77" s="109">
        <v>0</v>
      </c>
      <c r="P77" s="109">
        <v>0</v>
      </c>
      <c r="Q77" s="109">
        <v>0</v>
      </c>
      <c r="R77" s="109">
        <v>0</v>
      </c>
      <c r="S77" s="109">
        <v>0</v>
      </c>
      <c r="T77" s="109">
        <v>0</v>
      </c>
      <c r="U77" s="1531"/>
    </row>
    <row r="78" spans="2:21" x14ac:dyDescent="0.2">
      <c r="B78" s="100">
        <v>70</v>
      </c>
      <c r="C78" s="1529"/>
      <c r="D78" s="1226"/>
      <c r="E78" s="1226"/>
      <c r="F78" s="106"/>
      <c r="G78" s="106"/>
      <c r="H78" s="1530"/>
      <c r="I78" s="1246"/>
      <c r="J78" s="1246"/>
      <c r="K78" s="1246"/>
      <c r="L78" s="1246"/>
      <c r="M78" s="1246"/>
      <c r="N78" s="1495"/>
      <c r="O78" s="1246"/>
      <c r="P78" s="1246"/>
      <c r="Q78" s="1246"/>
      <c r="R78" s="1246"/>
      <c r="S78" s="1246"/>
      <c r="T78" s="1246"/>
    </row>
    <row r="79" spans="2:21" x14ac:dyDescent="0.2">
      <c r="B79" s="1299">
        <v>71</v>
      </c>
      <c r="C79" s="46" t="s">
        <v>639</v>
      </c>
    </row>
  </sheetData>
  <mergeCells count="4">
    <mergeCell ref="I5:M5"/>
    <mergeCell ref="O5:T5"/>
    <mergeCell ref="I6:M6"/>
    <mergeCell ref="O6:T6"/>
  </mergeCells>
  <printOptions horizontalCentered="1" verticalCentered="1"/>
  <pageMargins left="0.25" right="0.25" top="0.25" bottom="0.25" header="0.25" footer="0.25"/>
  <pageSetup scale="55" orientation="landscape" r:id="rId1"/>
  <headerFooter alignWithMargins="0">
    <oddHeader>&amp;RUG-200994 et al. / NWN WUTC Advice 21-09A
WP1 /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zoomScale="90" zoomScaleNormal="90" workbookViewId="0">
      <pane xSplit="3" ySplit="15" topLeftCell="D19"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x14ac:dyDescent="0.2"/>
  <cols>
    <col min="1" max="1" width="3.1640625" style="46" customWidth="1"/>
    <col min="2" max="2" width="7.6640625" style="46" customWidth="1"/>
    <col min="3" max="3" width="11.33203125" style="46" bestFit="1" customWidth="1"/>
    <col min="4" max="5" width="18.1640625" style="46" customWidth="1"/>
    <col min="6" max="6" width="21.6640625" style="46" customWidth="1"/>
    <col min="7" max="7" width="21.1640625" style="46" customWidth="1"/>
    <col min="8" max="9" width="18.1640625" style="46" customWidth="1"/>
    <col min="10" max="12" width="11.1640625" style="46" customWidth="1"/>
    <col min="13" max="14" width="3.1640625" style="46" customWidth="1"/>
    <col min="15" max="15" width="7.6640625" style="46" customWidth="1"/>
    <col min="16" max="16" width="11.33203125" style="46" bestFit="1" customWidth="1"/>
    <col min="17" max="17" width="18" style="46" customWidth="1"/>
    <col min="18" max="18" width="15.83203125" style="46" customWidth="1"/>
    <col min="19" max="19" width="22.33203125" style="46" bestFit="1" customWidth="1"/>
    <col min="20" max="20" width="17.6640625" style="46" customWidth="1"/>
    <col min="21" max="21" width="17" style="46" customWidth="1"/>
    <col min="22" max="24" width="11.5" style="46" customWidth="1"/>
    <col min="25" max="25" width="3.1640625" style="46" customWidth="1"/>
    <col min="26" max="16384" width="9.33203125" style="46"/>
  </cols>
  <sheetData>
    <row r="1" spans="2:24" x14ac:dyDescent="0.2">
      <c r="B1" s="827" t="s">
        <v>0</v>
      </c>
      <c r="C1" s="828"/>
      <c r="D1" s="828"/>
      <c r="E1" s="828"/>
      <c r="F1" s="828"/>
      <c r="G1" s="828"/>
      <c r="H1" s="828"/>
      <c r="I1" s="828"/>
      <c r="O1" s="827" t="s">
        <v>0</v>
      </c>
      <c r="P1" s="828"/>
    </row>
    <row r="2" spans="2:24" x14ac:dyDescent="0.2">
      <c r="B2" s="827" t="s">
        <v>242</v>
      </c>
      <c r="C2" s="828"/>
      <c r="D2" s="828"/>
      <c r="E2" s="828"/>
      <c r="F2" s="828"/>
      <c r="G2" s="828"/>
      <c r="H2" s="828"/>
      <c r="I2" s="828"/>
      <c r="O2" s="827" t="s">
        <v>242</v>
      </c>
      <c r="P2" s="828"/>
    </row>
    <row r="3" spans="2:24" x14ac:dyDescent="0.2">
      <c r="B3" s="827" t="s">
        <v>243</v>
      </c>
      <c r="C3" s="828"/>
      <c r="D3" s="828"/>
      <c r="E3" s="828"/>
      <c r="F3" s="828"/>
      <c r="G3" s="828"/>
      <c r="H3" s="828"/>
      <c r="I3" s="828"/>
      <c r="O3" s="827" t="s">
        <v>243</v>
      </c>
      <c r="P3" s="828"/>
    </row>
    <row r="4" spans="2:24" x14ac:dyDescent="0.2">
      <c r="B4" s="827" t="s">
        <v>504</v>
      </c>
      <c r="C4" s="828"/>
      <c r="D4" s="828"/>
      <c r="E4" s="828"/>
      <c r="F4" s="828"/>
      <c r="G4" s="828"/>
      <c r="H4" s="828"/>
      <c r="I4" s="828"/>
      <c r="O4" s="827" t="s">
        <v>504</v>
      </c>
      <c r="P4" s="828"/>
    </row>
    <row r="5" spans="2:24" x14ac:dyDescent="0.2">
      <c r="B5" s="827" t="s">
        <v>467</v>
      </c>
      <c r="C5" s="828"/>
      <c r="D5" s="828"/>
      <c r="E5" s="828"/>
      <c r="F5" s="828"/>
      <c r="G5" s="828"/>
      <c r="H5" s="828"/>
      <c r="I5" s="828"/>
      <c r="O5" s="827" t="s">
        <v>467</v>
      </c>
      <c r="P5" s="828"/>
    </row>
    <row r="6" spans="2:24" x14ac:dyDescent="0.2">
      <c r="C6" s="828"/>
      <c r="D6" s="828"/>
      <c r="E6" s="828"/>
      <c r="F6" s="828"/>
      <c r="G6" s="828"/>
      <c r="H6" s="828"/>
      <c r="I6" s="828"/>
      <c r="P6" s="828"/>
    </row>
    <row r="7" spans="2:24" x14ac:dyDescent="0.2">
      <c r="B7" s="158" t="s">
        <v>429</v>
      </c>
      <c r="C7" s="828"/>
      <c r="D7" s="828"/>
      <c r="E7" s="828"/>
      <c r="F7" s="828"/>
      <c r="G7" s="828"/>
      <c r="H7" s="828"/>
      <c r="I7" s="828"/>
      <c r="O7" s="158" t="s">
        <v>430</v>
      </c>
      <c r="P7" s="828"/>
    </row>
    <row r="8" spans="2:24" x14ac:dyDescent="0.2">
      <c r="B8" s="586" t="s">
        <v>524</v>
      </c>
      <c r="C8" s="828"/>
      <c r="D8" s="828"/>
      <c r="E8" s="828"/>
      <c r="F8" s="828"/>
      <c r="G8" s="828"/>
      <c r="H8" s="828"/>
      <c r="I8" s="828"/>
      <c r="O8" s="586" t="s">
        <v>525</v>
      </c>
      <c r="P8" s="828"/>
    </row>
    <row r="9" spans="2:24" x14ac:dyDescent="0.2">
      <c r="B9" s="586" t="s">
        <v>428</v>
      </c>
      <c r="C9" s="828"/>
      <c r="D9" s="828"/>
      <c r="E9" s="828"/>
      <c r="F9" s="828"/>
      <c r="G9" s="828"/>
      <c r="H9" s="828"/>
      <c r="I9" s="828"/>
      <c r="O9" s="586" t="s">
        <v>526</v>
      </c>
      <c r="P9" s="828"/>
    </row>
    <row r="10" spans="2:24" ht="13.5" thickBot="1" x14ac:dyDescent="0.25">
      <c r="C10" s="828"/>
      <c r="D10" s="828"/>
      <c r="E10" s="828"/>
      <c r="F10" s="828"/>
      <c r="G10" s="828"/>
      <c r="H10" s="828"/>
      <c r="I10" s="828"/>
      <c r="P10" s="828"/>
    </row>
    <row r="11" spans="2:24" ht="13.5" thickBot="1" x14ac:dyDescent="0.25">
      <c r="B11" s="829"/>
      <c r="C11" s="828"/>
      <c r="D11" s="1661" t="s">
        <v>431</v>
      </c>
      <c r="E11" s="1662"/>
      <c r="F11" s="1662"/>
      <c r="G11" s="1662"/>
      <c r="H11" s="1662"/>
      <c r="I11" s="1662"/>
      <c r="J11" s="1662"/>
      <c r="K11" s="1662"/>
      <c r="L11" s="1663"/>
      <c r="M11" s="1177"/>
      <c r="N11" s="1177"/>
      <c r="O11" s="829"/>
      <c r="P11" s="828"/>
      <c r="Q11" s="1618" t="s">
        <v>432</v>
      </c>
      <c r="R11" s="1619"/>
      <c r="S11" s="1619"/>
      <c r="T11" s="1619"/>
      <c r="U11" s="1619"/>
      <c r="V11" s="1619"/>
      <c r="W11" s="1619"/>
      <c r="X11" s="1620"/>
    </row>
    <row r="12" spans="2:24" ht="13.5" customHeight="1" thickBot="1" x14ac:dyDescent="0.25">
      <c r="B12" s="935"/>
      <c r="C12" s="1305"/>
      <c r="D12" s="936"/>
      <c r="E12" s="936"/>
      <c r="F12" s="890" t="s">
        <v>157</v>
      </c>
      <c r="G12" s="890" t="s">
        <v>380</v>
      </c>
      <c r="H12" s="936"/>
      <c r="I12" s="936"/>
      <c r="J12" s="1626" t="s">
        <v>192</v>
      </c>
      <c r="K12" s="1627"/>
      <c r="L12" s="1628"/>
      <c r="M12" s="48"/>
      <c r="N12" s="48"/>
      <c r="O12" s="935"/>
      <c r="P12" s="936"/>
      <c r="Q12" s="935"/>
      <c r="R12" s="936"/>
      <c r="S12" s="890" t="s">
        <v>157</v>
      </c>
      <c r="T12" s="936"/>
      <c r="U12" s="936"/>
      <c r="V12" s="1626" t="s">
        <v>192</v>
      </c>
      <c r="W12" s="1627"/>
      <c r="X12" s="1628"/>
    </row>
    <row r="13" spans="2:24" ht="51" x14ac:dyDescent="0.2">
      <c r="B13" s="1270" t="s">
        <v>152</v>
      </c>
      <c r="C13" s="60" t="s">
        <v>138</v>
      </c>
      <c r="D13" s="59" t="s">
        <v>186</v>
      </c>
      <c r="E13" s="59" t="s">
        <v>187</v>
      </c>
      <c r="F13" s="57" t="s">
        <v>180</v>
      </c>
      <c r="G13" s="1085" t="s">
        <v>391</v>
      </c>
      <c r="H13" s="59" t="s">
        <v>181</v>
      </c>
      <c r="I13" s="59" t="s">
        <v>182</v>
      </c>
      <c r="J13" s="1182" t="s">
        <v>183</v>
      </c>
      <c r="K13" s="1183" t="s">
        <v>184</v>
      </c>
      <c r="L13" s="1184" t="s">
        <v>185</v>
      </c>
      <c r="M13" s="59"/>
      <c r="N13" s="59"/>
      <c r="O13" s="1270" t="s">
        <v>152</v>
      </c>
      <c r="P13" s="59" t="s">
        <v>138</v>
      </c>
      <c r="Q13" s="948" t="s">
        <v>186</v>
      </c>
      <c r="R13" s="59" t="s">
        <v>187</v>
      </c>
      <c r="S13" s="57" t="s">
        <v>180</v>
      </c>
      <c r="T13" s="59" t="s">
        <v>181</v>
      </c>
      <c r="U13" s="59" t="s">
        <v>182</v>
      </c>
      <c r="V13" s="58" t="s">
        <v>183</v>
      </c>
      <c r="W13" s="59" t="s">
        <v>184</v>
      </c>
      <c r="X13" s="60" t="s">
        <v>185</v>
      </c>
    </row>
    <row r="14" spans="2:24" x14ac:dyDescent="0.2">
      <c r="B14" s="1190"/>
      <c r="C14" s="64"/>
      <c r="D14" s="62"/>
      <c r="E14" s="62"/>
      <c r="F14" s="1180" t="s">
        <v>176</v>
      </c>
      <c r="G14" s="1180" t="s">
        <v>177</v>
      </c>
      <c r="H14" s="62"/>
      <c r="I14" s="62"/>
      <c r="J14" s="63"/>
      <c r="K14" s="62"/>
      <c r="L14" s="64"/>
      <c r="M14" s="59"/>
      <c r="N14" s="59"/>
      <c r="O14" s="1190"/>
      <c r="P14" s="62"/>
      <c r="Q14" s="946"/>
      <c r="R14" s="62"/>
      <c r="S14" s="1180" t="s">
        <v>176</v>
      </c>
      <c r="T14" s="62"/>
      <c r="U14" s="62"/>
      <c r="V14" s="63"/>
      <c r="W14" s="62"/>
      <c r="X14" s="64"/>
    </row>
    <row r="15" spans="2:24" ht="13.5" thickBot="1" x14ac:dyDescent="0.25">
      <c r="B15" s="1192"/>
      <c r="C15" s="1301"/>
      <c r="D15" s="99" t="s">
        <v>35</v>
      </c>
      <c r="E15" s="99" t="s">
        <v>36</v>
      </c>
      <c r="F15" s="119" t="s">
        <v>13</v>
      </c>
      <c r="G15" s="119" t="s">
        <v>37</v>
      </c>
      <c r="H15" s="99" t="s">
        <v>395</v>
      </c>
      <c r="I15" s="99" t="s">
        <v>382</v>
      </c>
      <c r="J15" s="115" t="s">
        <v>40</v>
      </c>
      <c r="K15" s="99" t="s">
        <v>41</v>
      </c>
      <c r="L15" s="116" t="s">
        <v>42</v>
      </c>
      <c r="M15" s="601"/>
      <c r="N15" s="601"/>
      <c r="O15" s="1192"/>
      <c r="P15" s="66"/>
      <c r="Q15" s="947" t="s">
        <v>35</v>
      </c>
      <c r="R15" s="99" t="s">
        <v>36</v>
      </c>
      <c r="S15" s="119" t="s">
        <v>13</v>
      </c>
      <c r="T15" s="99" t="s">
        <v>193</v>
      </c>
      <c r="U15" s="99" t="s">
        <v>194</v>
      </c>
      <c r="V15" s="115" t="s">
        <v>39</v>
      </c>
      <c r="W15" s="99" t="s">
        <v>40</v>
      </c>
      <c r="X15" s="116" t="s">
        <v>41</v>
      </c>
    </row>
    <row r="16" spans="2:24" ht="12" customHeight="1" thickTop="1" x14ac:dyDescent="0.2">
      <c r="B16" s="273"/>
      <c r="C16" s="60"/>
      <c r="D16" s="59"/>
      <c r="E16" s="59"/>
      <c r="F16" s="57"/>
      <c r="G16" s="57"/>
      <c r="H16" s="59"/>
      <c r="I16" s="59"/>
      <c r="J16" s="58"/>
      <c r="K16" s="59"/>
      <c r="L16" s="60"/>
      <c r="M16" s="59"/>
      <c r="N16" s="59"/>
      <c r="O16" s="273"/>
      <c r="P16" s="59"/>
      <c r="Q16" s="948"/>
      <c r="R16" s="59"/>
      <c r="S16" s="57"/>
      <c r="T16" s="59"/>
      <c r="U16" s="59"/>
      <c r="V16" s="58"/>
      <c r="W16" s="59"/>
      <c r="X16" s="60"/>
    </row>
    <row r="17" spans="2:24" x14ac:dyDescent="0.2">
      <c r="B17" s="273">
        <v>1</v>
      </c>
      <c r="C17" s="1302" t="s">
        <v>246</v>
      </c>
      <c r="D17" s="70">
        <f>'Rate Spread SETTLEMENT'!E$15</f>
        <v>208635.1321174161</v>
      </c>
      <c r="E17" s="71">
        <f>'Rate Spread SETTLEMENT'!E$14</f>
        <v>283691.13211741613</v>
      </c>
      <c r="F17" s="72" t="e">
        <f>SUM('Rev Req Proof Yr1'!AF14:AH14)</f>
        <v>#REF!</v>
      </c>
      <c r="G17" s="72" t="e">
        <f>SUM('Rev Req Proof Yr1'!AM14:AO14)</f>
        <v>#REF!</v>
      </c>
      <c r="H17" s="71" t="e">
        <f>D17+F17+G17</f>
        <v>#REF!</v>
      </c>
      <c r="I17" s="71" t="e">
        <f>E17+F17+G17</f>
        <v>#REF!</v>
      </c>
      <c r="J17" s="73">
        <f>IFERROR((F17+G17)/D17,0)</f>
        <v>0</v>
      </c>
      <c r="K17" s="74">
        <f>IFERROR((F17+G17)/E17,0)</f>
        <v>0</v>
      </c>
      <c r="L17" s="1174">
        <f>'Avg Bill by RS'!S14</f>
        <v>7.0999999999999994E-2</v>
      </c>
      <c r="M17" s="1175"/>
      <c r="N17" s="1175"/>
      <c r="O17" s="273">
        <v>1</v>
      </c>
      <c r="P17" s="69" t="s">
        <v>246</v>
      </c>
      <c r="Q17" s="1088" t="e">
        <f t="shared" ref="Q17:Q39" si="0">H17</f>
        <v>#REF!</v>
      </c>
      <c r="R17" s="71" t="e">
        <f t="shared" ref="R17:R39" si="1">I17</f>
        <v>#REF!</v>
      </c>
      <c r="S17" s="72" t="e">
        <f>SUM('Rev Req Proof Yr2'!AF14:AH14)</f>
        <v>#REF!</v>
      </c>
      <c r="T17" s="71" t="e">
        <f>Q17+S17</f>
        <v>#REF!</v>
      </c>
      <c r="U17" s="71" t="e">
        <f>R17+S17</f>
        <v>#REF!</v>
      </c>
      <c r="V17" s="73">
        <f>IFERROR((S17)/Q17,0)</f>
        <v>0</v>
      </c>
      <c r="W17" s="74">
        <f>IFERROR((S17)/R17,0)</f>
        <v>0</v>
      </c>
      <c r="X17" s="576">
        <f>'Avg Bill by RS'!AO14</f>
        <v>3.7999999999999999E-2</v>
      </c>
    </row>
    <row r="18" spans="2:24" x14ac:dyDescent="0.2">
      <c r="B18" s="273">
        <v>2</v>
      </c>
      <c r="C18" s="720" t="s">
        <v>247</v>
      </c>
      <c r="D18" s="70">
        <f>'Rate Spread SETTLEMENT'!F$15</f>
        <v>37604.380821902283</v>
      </c>
      <c r="E18" s="71">
        <f>'Rate Spread SETTLEMENT'!F$14</f>
        <v>53871.380821902283</v>
      </c>
      <c r="F18" s="72" t="e">
        <f>SUM('Rev Req Proof Yr1'!AF15:AH15)</f>
        <v>#REF!</v>
      </c>
      <c r="G18" s="72" t="e">
        <f>SUM('Rev Req Proof Yr1'!AM15:AO15)</f>
        <v>#REF!</v>
      </c>
      <c r="H18" s="71" t="e">
        <f t="shared" ref="H18:H39" si="2">D18+F18+G18</f>
        <v>#REF!</v>
      </c>
      <c r="I18" s="71" t="e">
        <f t="shared" ref="I18:I39" si="3">E18+F18+G18</f>
        <v>#REF!</v>
      </c>
      <c r="J18" s="73">
        <f t="shared" ref="J18:J39" si="4">IFERROR((F18+G18)/D18,0)</f>
        <v>0</v>
      </c>
      <c r="K18" s="74">
        <f t="shared" ref="K18:K39" si="5">IFERROR((F18+G18)/E18,0)</f>
        <v>0</v>
      </c>
      <c r="L18" s="1174">
        <f>'Avg Bill by RS'!S15</f>
        <v>6.8000000000000005E-2</v>
      </c>
      <c r="M18" s="1175"/>
      <c r="N18" s="1175"/>
      <c r="O18" s="273">
        <v>2</v>
      </c>
      <c r="P18" s="76" t="s">
        <v>247</v>
      </c>
      <c r="Q18" s="1088" t="e">
        <f t="shared" si="0"/>
        <v>#REF!</v>
      </c>
      <c r="R18" s="71" t="e">
        <f t="shared" si="1"/>
        <v>#REF!</v>
      </c>
      <c r="S18" s="72" t="e">
        <f>SUM('Rev Req Proof Yr2'!AF15:AH15)</f>
        <v>#REF!</v>
      </c>
      <c r="T18" s="71" t="e">
        <f t="shared" ref="T18:T39" si="6">Q18+S18</f>
        <v>#REF!</v>
      </c>
      <c r="U18" s="71" t="e">
        <f t="shared" ref="U18:U39" si="7">R18+S18</f>
        <v>#REF!</v>
      </c>
      <c r="V18" s="73">
        <f t="shared" ref="V18:V38" si="8">IFERROR((S18)/Q18,0)</f>
        <v>0</v>
      </c>
      <c r="W18" s="74">
        <f>IFERROR((S18)/R18,0)</f>
        <v>0</v>
      </c>
      <c r="X18" s="576">
        <f>'Avg Bill by RS'!AO15</f>
        <v>3.5999999999999997E-2</v>
      </c>
    </row>
    <row r="19" spans="2:24" x14ac:dyDescent="0.2">
      <c r="B19" s="273">
        <v>3</v>
      </c>
      <c r="C19" s="720" t="s">
        <v>12</v>
      </c>
      <c r="D19" s="70">
        <f>'Rate Spread SETTLEMENT'!G$15</f>
        <v>33798099.589697547</v>
      </c>
      <c r="E19" s="71">
        <f>'Rate Spread SETTLEMENT'!G$14</f>
        <v>53008197.589697547</v>
      </c>
      <c r="F19" s="72" t="e">
        <f>SUM('Rev Req Proof Yr1'!AF16:AH16)</f>
        <v>#REF!</v>
      </c>
      <c r="G19" s="72" t="e">
        <f>SUM('Rev Req Proof Yr1'!AM16:AO16)</f>
        <v>#REF!</v>
      </c>
      <c r="H19" s="71" t="e">
        <f t="shared" si="2"/>
        <v>#REF!</v>
      </c>
      <c r="I19" s="71" t="e">
        <f t="shared" si="3"/>
        <v>#REF!</v>
      </c>
      <c r="J19" s="73">
        <f t="shared" si="4"/>
        <v>0</v>
      </c>
      <c r="K19" s="74">
        <f t="shared" si="5"/>
        <v>0</v>
      </c>
      <c r="L19" s="1174">
        <f>'Avg Bill by RS'!S16</f>
        <v>6.3E-2</v>
      </c>
      <c r="M19" s="1175"/>
      <c r="N19" s="1175"/>
      <c r="O19" s="273">
        <v>3</v>
      </c>
      <c r="P19" s="76" t="s">
        <v>12</v>
      </c>
      <c r="Q19" s="1088" t="e">
        <f t="shared" si="0"/>
        <v>#REF!</v>
      </c>
      <c r="R19" s="71" t="e">
        <f t="shared" si="1"/>
        <v>#REF!</v>
      </c>
      <c r="S19" s="72" t="e">
        <f>SUM('Rev Req Proof Yr2'!AF16:AH16)</f>
        <v>#REF!</v>
      </c>
      <c r="T19" s="71" t="e">
        <f t="shared" si="6"/>
        <v>#REF!</v>
      </c>
      <c r="U19" s="71" t="e">
        <f t="shared" si="7"/>
        <v>#REF!</v>
      </c>
      <c r="V19" s="73">
        <f t="shared" si="8"/>
        <v>0</v>
      </c>
      <c r="W19" s="74">
        <f t="shared" ref="W19:W38" si="9">IFERROR((S19)/R19,0)</f>
        <v>0</v>
      </c>
      <c r="X19" s="576">
        <f>'Avg Bill by RS'!AO16</f>
        <v>3.3000000000000002E-2</v>
      </c>
    </row>
    <row r="20" spans="2:24" x14ac:dyDescent="0.2">
      <c r="B20" s="273">
        <v>4</v>
      </c>
      <c r="C20" s="720" t="s">
        <v>10</v>
      </c>
      <c r="D20" s="70">
        <f>'Rate Spread SETTLEMENT'!H$15</f>
        <v>9866168.0688334089</v>
      </c>
      <c r="E20" s="71">
        <f>'Rate Spread SETTLEMENT'!H$14</f>
        <v>16112007.068833409</v>
      </c>
      <c r="F20" s="72" t="e">
        <f>SUM('Rev Req Proof Yr1'!AF17:AH17)</f>
        <v>#REF!</v>
      </c>
      <c r="G20" s="72" t="e">
        <f>SUM('Rev Req Proof Yr1'!AM17:AO17)</f>
        <v>#REF!</v>
      </c>
      <c r="H20" s="71" t="e">
        <f t="shared" si="2"/>
        <v>#REF!</v>
      </c>
      <c r="I20" s="71" t="e">
        <f t="shared" si="3"/>
        <v>#REF!</v>
      </c>
      <c r="J20" s="73">
        <f t="shared" si="4"/>
        <v>0</v>
      </c>
      <c r="K20" s="74">
        <f t="shared" si="5"/>
        <v>0</v>
      </c>
      <c r="L20" s="1174">
        <f>'Avg Bill by RS'!S17</f>
        <v>0.06</v>
      </c>
      <c r="M20" s="1175"/>
      <c r="N20" s="1175"/>
      <c r="O20" s="273">
        <v>4</v>
      </c>
      <c r="P20" s="76" t="s">
        <v>10</v>
      </c>
      <c r="Q20" s="1088" t="e">
        <f t="shared" si="0"/>
        <v>#REF!</v>
      </c>
      <c r="R20" s="71" t="e">
        <f t="shared" si="1"/>
        <v>#REF!</v>
      </c>
      <c r="S20" s="72" t="e">
        <f>SUM('Rev Req Proof Yr2'!AF17:AH17)</f>
        <v>#REF!</v>
      </c>
      <c r="T20" s="71" t="e">
        <f t="shared" si="6"/>
        <v>#REF!</v>
      </c>
      <c r="U20" s="71" t="e">
        <f t="shared" si="7"/>
        <v>#REF!</v>
      </c>
      <c r="V20" s="73">
        <f t="shared" si="8"/>
        <v>0</v>
      </c>
      <c r="W20" s="74">
        <f t="shared" si="9"/>
        <v>0</v>
      </c>
      <c r="X20" s="576">
        <f>'Avg Bill by RS'!AO17</f>
        <v>3.1E-2</v>
      </c>
    </row>
    <row r="21" spans="2:24" x14ac:dyDescent="0.2">
      <c r="B21" s="273">
        <v>5</v>
      </c>
      <c r="C21" s="720" t="s">
        <v>11</v>
      </c>
      <c r="D21" s="70">
        <f>'Rate Spread SETTLEMENT'!I$15</f>
        <v>141888.72505190157</v>
      </c>
      <c r="E21" s="71">
        <f>'Rate Spread SETTLEMENT'!I$14</f>
        <v>241043.72505190157</v>
      </c>
      <c r="F21" s="72" t="e">
        <f>SUM('Rev Req Proof Yr1'!AF18:AH18)</f>
        <v>#REF!</v>
      </c>
      <c r="G21" s="72" t="e">
        <f>SUM('Rev Req Proof Yr1'!AM18:AO18)</f>
        <v>#REF!</v>
      </c>
      <c r="H21" s="71" t="e">
        <f t="shared" si="2"/>
        <v>#REF!</v>
      </c>
      <c r="I21" s="71" t="e">
        <f t="shared" si="3"/>
        <v>#REF!</v>
      </c>
      <c r="J21" s="73">
        <f t="shared" si="4"/>
        <v>0</v>
      </c>
      <c r="K21" s="74">
        <f t="shared" si="5"/>
        <v>0</v>
      </c>
      <c r="L21" s="1174">
        <f>'Avg Bill by RS'!S18</f>
        <v>6.2E-2</v>
      </c>
      <c r="M21" s="1175"/>
      <c r="N21" s="1175"/>
      <c r="O21" s="273">
        <v>5</v>
      </c>
      <c r="P21" s="76" t="s">
        <v>11</v>
      </c>
      <c r="Q21" s="1088" t="e">
        <f t="shared" si="0"/>
        <v>#REF!</v>
      </c>
      <c r="R21" s="71" t="e">
        <f t="shared" si="1"/>
        <v>#REF!</v>
      </c>
      <c r="S21" s="72" t="e">
        <f>SUM('Rev Req Proof Yr2'!AF18:AH18)</f>
        <v>#REF!</v>
      </c>
      <c r="T21" s="71" t="e">
        <f t="shared" si="6"/>
        <v>#REF!</v>
      </c>
      <c r="U21" s="71" t="e">
        <f t="shared" si="7"/>
        <v>#REF!</v>
      </c>
      <c r="V21" s="73">
        <f t="shared" si="8"/>
        <v>0</v>
      </c>
      <c r="W21" s="74">
        <f t="shared" si="9"/>
        <v>0</v>
      </c>
      <c r="X21" s="576">
        <f>'Avg Bill by RS'!AO18</f>
        <v>3.2000000000000001E-2</v>
      </c>
    </row>
    <row r="22" spans="2:24" x14ac:dyDescent="0.2">
      <c r="B22" s="273">
        <v>6</v>
      </c>
      <c r="C22" s="720" t="s">
        <v>365</v>
      </c>
      <c r="D22" s="70">
        <f>'Rate Spread SETTLEMENT'!J$15</f>
        <v>201938.20437801833</v>
      </c>
      <c r="E22" s="71">
        <f>'Rate Spread SETTLEMENT'!J$14</f>
        <v>363218.20437801839</v>
      </c>
      <c r="F22" s="72" t="e">
        <f>SUM('Rev Req Proof Yr1'!AF19:AH19)</f>
        <v>#REF!</v>
      </c>
      <c r="G22" s="72" t="e">
        <f>SUM('Rev Req Proof Yr1'!AM19:AO19)</f>
        <v>#REF!</v>
      </c>
      <c r="H22" s="71" t="e">
        <f t="shared" si="2"/>
        <v>#REF!</v>
      </c>
      <c r="I22" s="71" t="e">
        <f t="shared" si="3"/>
        <v>#REF!</v>
      </c>
      <c r="J22" s="73">
        <f t="shared" si="4"/>
        <v>0</v>
      </c>
      <c r="K22" s="74">
        <f t="shared" si="5"/>
        <v>0</v>
      </c>
      <c r="L22" s="1174">
        <f>'Avg Bill by RS'!S19</f>
        <v>5.6000000000000001E-2</v>
      </c>
      <c r="M22" s="1175"/>
      <c r="N22" s="1175"/>
      <c r="O22" s="273">
        <v>6</v>
      </c>
      <c r="P22" s="76" t="s">
        <v>365</v>
      </c>
      <c r="Q22" s="1088" t="e">
        <f t="shared" si="0"/>
        <v>#REF!</v>
      </c>
      <c r="R22" s="71" t="e">
        <f t="shared" si="1"/>
        <v>#REF!</v>
      </c>
      <c r="S22" s="72" t="e">
        <f>SUM('Rev Req Proof Yr2'!AF19:AH19)</f>
        <v>#REF!</v>
      </c>
      <c r="T22" s="71" t="e">
        <f t="shared" si="6"/>
        <v>#REF!</v>
      </c>
      <c r="U22" s="71" t="e">
        <f t="shared" si="7"/>
        <v>#REF!</v>
      </c>
      <c r="V22" s="73">
        <f t="shared" si="8"/>
        <v>0</v>
      </c>
      <c r="W22" s="74">
        <f t="shared" si="9"/>
        <v>0</v>
      </c>
      <c r="X22" s="576">
        <f>'Avg Bill by RS'!AO19</f>
        <v>2.9000000000000001E-2</v>
      </c>
    </row>
    <row r="23" spans="2:24" x14ac:dyDescent="0.2">
      <c r="B23" s="273">
        <v>7</v>
      </c>
      <c r="C23" s="720" t="s">
        <v>266</v>
      </c>
      <c r="D23" s="70">
        <f>'Rate Spread SETTLEMENT'!K$15</f>
        <v>1542348.175315036</v>
      </c>
      <c r="E23" s="71">
        <f>'Rate Spread SETTLEMENT'!K$14</f>
        <v>2853836.1753150364</v>
      </c>
      <c r="F23" s="72" t="e">
        <f>SUM('Rev Req Proof Yr1'!AF22:AH22)</f>
        <v>#REF!</v>
      </c>
      <c r="G23" s="72" t="e">
        <f>SUM('Rev Req Proof Yr1'!AM22:AO22)</f>
        <v>#REF!</v>
      </c>
      <c r="H23" s="71" t="e">
        <f t="shared" si="2"/>
        <v>#REF!</v>
      </c>
      <c r="I23" s="71" t="e">
        <f t="shared" si="3"/>
        <v>#REF!</v>
      </c>
      <c r="J23" s="73">
        <f t="shared" si="4"/>
        <v>0</v>
      </c>
      <c r="K23" s="74">
        <f t="shared" si="5"/>
        <v>0</v>
      </c>
      <c r="L23" s="1174">
        <f>'Avg Bill by RS'!S22</f>
        <v>6.2E-2</v>
      </c>
      <c r="M23" s="1175"/>
      <c r="N23" s="1175"/>
      <c r="O23" s="273">
        <v>7</v>
      </c>
      <c r="P23" s="76" t="s">
        <v>266</v>
      </c>
      <c r="Q23" s="1088" t="e">
        <f t="shared" si="0"/>
        <v>#REF!</v>
      </c>
      <c r="R23" s="71" t="e">
        <f t="shared" si="1"/>
        <v>#REF!</v>
      </c>
      <c r="S23" s="72" t="e">
        <f>SUM('Rev Req Proof Yr2'!AF22:AH22)</f>
        <v>#REF!</v>
      </c>
      <c r="T23" s="71" t="e">
        <f t="shared" si="6"/>
        <v>#REF!</v>
      </c>
      <c r="U23" s="71" t="e">
        <f t="shared" si="7"/>
        <v>#REF!</v>
      </c>
      <c r="V23" s="73">
        <f t="shared" si="8"/>
        <v>0</v>
      </c>
      <c r="W23" s="74">
        <f t="shared" si="9"/>
        <v>0</v>
      </c>
      <c r="X23" s="576">
        <f>'Avg Bill by RS'!AO22</f>
        <v>3.1E-2</v>
      </c>
    </row>
    <row r="24" spans="2:24" x14ac:dyDescent="0.2">
      <c r="B24" s="273">
        <v>8</v>
      </c>
      <c r="C24" s="720" t="s">
        <v>267</v>
      </c>
      <c r="D24" s="70">
        <f>'Rate Spread SETTLEMENT'!L$15</f>
        <v>392614.2804678994</v>
      </c>
      <c r="E24" s="71">
        <f>'Rate Spread SETTLEMENT'!L$14</f>
        <v>747266.28046789952</v>
      </c>
      <c r="F24" s="72" t="e">
        <f>SUM('Rev Req Proof Yr1'!AF25:AH25)</f>
        <v>#REF!</v>
      </c>
      <c r="G24" s="72" t="e">
        <f>SUM('Rev Req Proof Yr1'!AM25:AO25)</f>
        <v>#REF!</v>
      </c>
      <c r="H24" s="71" t="e">
        <f t="shared" si="2"/>
        <v>#REF!</v>
      </c>
      <c r="I24" s="71" t="e">
        <f t="shared" si="3"/>
        <v>#REF!</v>
      </c>
      <c r="J24" s="73">
        <f t="shared" si="4"/>
        <v>0</v>
      </c>
      <c r="K24" s="74">
        <f t="shared" si="5"/>
        <v>0</v>
      </c>
      <c r="L24" s="1174">
        <f>'Avg Bill by RS'!S25</f>
        <v>2.8000000000000001E-2</v>
      </c>
      <c r="M24" s="1175"/>
      <c r="N24" s="1175"/>
      <c r="O24" s="273">
        <v>8</v>
      </c>
      <c r="P24" s="76" t="s">
        <v>267</v>
      </c>
      <c r="Q24" s="1088" t="e">
        <f t="shared" si="0"/>
        <v>#REF!</v>
      </c>
      <c r="R24" s="71" t="e">
        <f t="shared" si="1"/>
        <v>#REF!</v>
      </c>
      <c r="S24" s="72" t="e">
        <f>SUM('Rev Req Proof Yr2'!AF25:AH25)</f>
        <v>#REF!</v>
      </c>
      <c r="T24" s="71" t="e">
        <f t="shared" si="6"/>
        <v>#REF!</v>
      </c>
      <c r="U24" s="71" t="e">
        <f t="shared" si="7"/>
        <v>#REF!</v>
      </c>
      <c r="V24" s="73">
        <f t="shared" si="8"/>
        <v>0</v>
      </c>
      <c r="W24" s="74">
        <f t="shared" si="9"/>
        <v>0</v>
      </c>
      <c r="X24" s="576">
        <f>'Avg Bill by RS'!AO25</f>
        <v>1.0999999999999999E-2</v>
      </c>
    </row>
    <row r="25" spans="2:24" x14ac:dyDescent="0.2">
      <c r="B25" s="273">
        <v>9</v>
      </c>
      <c r="C25" s="720" t="s">
        <v>269</v>
      </c>
      <c r="D25" s="70">
        <f>'Rate Spread SETTLEMENT'!M$15</f>
        <v>0</v>
      </c>
      <c r="E25" s="71">
        <f>'Rate Spread SETTLEMENT'!M$14</f>
        <v>0</v>
      </c>
      <c r="F25" s="72" t="e">
        <f>SUM('Rev Req Proof Yr1'!AF28:AH28)</f>
        <v>#REF!</v>
      </c>
      <c r="G25" s="72" t="e">
        <f>SUM('Rev Req Proof Yr1'!AM28:AO28)</f>
        <v>#REF!</v>
      </c>
      <c r="H25" s="71" t="e">
        <f t="shared" si="2"/>
        <v>#REF!</v>
      </c>
      <c r="I25" s="71" t="e">
        <f t="shared" si="3"/>
        <v>#REF!</v>
      </c>
      <c r="J25" s="73">
        <f t="shared" si="4"/>
        <v>0</v>
      </c>
      <c r="K25" s="74">
        <f t="shared" si="5"/>
        <v>0</v>
      </c>
      <c r="L25" s="1174">
        <f>'Avg Bill by RS'!S28</f>
        <v>0</v>
      </c>
      <c r="M25" s="1175"/>
      <c r="N25" s="1175"/>
      <c r="O25" s="273">
        <v>9</v>
      </c>
      <c r="P25" s="76" t="s">
        <v>269</v>
      </c>
      <c r="Q25" s="1088" t="e">
        <f t="shared" si="0"/>
        <v>#REF!</v>
      </c>
      <c r="R25" s="71" t="e">
        <f t="shared" si="1"/>
        <v>#REF!</v>
      </c>
      <c r="S25" s="72" t="e">
        <f>SUM('Rev Req Proof Yr2'!AF28:AH28)</f>
        <v>#REF!</v>
      </c>
      <c r="T25" s="71" t="e">
        <f t="shared" si="6"/>
        <v>#REF!</v>
      </c>
      <c r="U25" s="71" t="e">
        <f t="shared" si="7"/>
        <v>#REF!</v>
      </c>
      <c r="V25" s="73">
        <f t="shared" si="8"/>
        <v>0</v>
      </c>
      <c r="W25" s="74">
        <f t="shared" si="9"/>
        <v>0</v>
      </c>
      <c r="X25" s="576">
        <f>'Avg Bill by RS'!AO28</f>
        <v>0</v>
      </c>
    </row>
    <row r="26" spans="2:24" x14ac:dyDescent="0.2">
      <c r="B26" s="273">
        <v>10</v>
      </c>
      <c r="C26" s="720" t="s">
        <v>270</v>
      </c>
      <c r="D26" s="70">
        <f>'Rate Spread SETTLEMENT'!N$15</f>
        <v>0</v>
      </c>
      <c r="E26" s="71">
        <f>'Rate Spread SETTLEMENT'!N$14</f>
        <v>0</v>
      </c>
      <c r="F26" s="72" t="e">
        <f>SUM('Rev Req Proof Yr1'!AF31:AH31)</f>
        <v>#REF!</v>
      </c>
      <c r="G26" s="72" t="e">
        <f>SUM('Rev Req Proof Yr1'!AM31:AO31)</f>
        <v>#REF!</v>
      </c>
      <c r="H26" s="71" t="e">
        <f t="shared" si="2"/>
        <v>#REF!</v>
      </c>
      <c r="I26" s="71" t="e">
        <f t="shared" si="3"/>
        <v>#REF!</v>
      </c>
      <c r="J26" s="73">
        <f t="shared" si="4"/>
        <v>0</v>
      </c>
      <c r="K26" s="74">
        <f t="shared" si="5"/>
        <v>0</v>
      </c>
      <c r="L26" s="1174">
        <f>'Avg Bill by RS'!S31</f>
        <v>0</v>
      </c>
      <c r="M26" s="1175"/>
      <c r="N26" s="1175"/>
      <c r="O26" s="273">
        <v>10</v>
      </c>
      <c r="P26" s="76" t="s">
        <v>270</v>
      </c>
      <c r="Q26" s="1088" t="e">
        <f t="shared" si="0"/>
        <v>#REF!</v>
      </c>
      <c r="R26" s="71" t="e">
        <f t="shared" si="1"/>
        <v>#REF!</v>
      </c>
      <c r="S26" s="72" t="e">
        <f>SUM('Rev Req Proof Yr2'!AF31:AH31)</f>
        <v>#REF!</v>
      </c>
      <c r="T26" s="71" t="e">
        <f t="shared" si="6"/>
        <v>#REF!</v>
      </c>
      <c r="U26" s="71" t="e">
        <f t="shared" si="7"/>
        <v>#REF!</v>
      </c>
      <c r="V26" s="73">
        <f t="shared" si="8"/>
        <v>0</v>
      </c>
      <c r="W26" s="74">
        <f t="shared" si="9"/>
        <v>0</v>
      </c>
      <c r="X26" s="576">
        <f>'Avg Bill by RS'!AO31</f>
        <v>0</v>
      </c>
    </row>
    <row r="27" spans="2:24" x14ac:dyDescent="0.2">
      <c r="B27" s="273">
        <v>11</v>
      </c>
      <c r="C27" s="720" t="s">
        <v>271</v>
      </c>
      <c r="D27" s="70">
        <f>'Rate Spread SETTLEMENT'!O$15</f>
        <v>189841.33809000003</v>
      </c>
      <c r="E27" s="71">
        <f>'Rate Spread SETTLEMENT'!O$14</f>
        <v>189841.33809000003</v>
      </c>
      <c r="F27" s="72" t="e">
        <f>SUM('Rev Req Proof Yr1'!AF34:AH34)</f>
        <v>#REF!</v>
      </c>
      <c r="G27" s="72" t="e">
        <f>SUM('Rev Req Proof Yr1'!AM34:AO34)</f>
        <v>#REF!</v>
      </c>
      <c r="H27" s="71" t="e">
        <f t="shared" si="2"/>
        <v>#REF!</v>
      </c>
      <c r="I27" s="71" t="e">
        <f t="shared" si="3"/>
        <v>#REF!</v>
      </c>
      <c r="J27" s="73">
        <f t="shared" si="4"/>
        <v>0</v>
      </c>
      <c r="K27" s="74">
        <f t="shared" si="5"/>
        <v>0</v>
      </c>
      <c r="L27" s="1174">
        <f>'Avg Bill by RS'!S34</f>
        <v>4.5999999999999999E-2</v>
      </c>
      <c r="M27" s="1175"/>
      <c r="N27" s="1175"/>
      <c r="O27" s="273">
        <v>11</v>
      </c>
      <c r="P27" s="76" t="s">
        <v>271</v>
      </c>
      <c r="Q27" s="1088" t="e">
        <f t="shared" si="0"/>
        <v>#REF!</v>
      </c>
      <c r="R27" s="71" t="e">
        <f t="shared" si="1"/>
        <v>#REF!</v>
      </c>
      <c r="S27" s="72" t="e">
        <f>SUM('Rev Req Proof Yr2'!AF34:AH34)</f>
        <v>#REF!</v>
      </c>
      <c r="T27" s="71" t="e">
        <f t="shared" si="6"/>
        <v>#REF!</v>
      </c>
      <c r="U27" s="71" t="e">
        <f t="shared" si="7"/>
        <v>#REF!</v>
      </c>
      <c r="V27" s="73">
        <f>IFERROR((S27)/Q27,0)</f>
        <v>0</v>
      </c>
      <c r="W27" s="74">
        <f t="shared" si="9"/>
        <v>0</v>
      </c>
      <c r="X27" s="576">
        <f>'Avg Bill by RS'!AO34</f>
        <v>0.02</v>
      </c>
    </row>
    <row r="28" spans="2:24" x14ac:dyDescent="0.2">
      <c r="B28" s="273">
        <v>12</v>
      </c>
      <c r="C28" s="720" t="s">
        <v>272</v>
      </c>
      <c r="D28" s="70">
        <f>'Rate Spread SETTLEMENT'!P$15</f>
        <v>0</v>
      </c>
      <c r="E28" s="71">
        <f>'Rate Spread SETTLEMENT'!P$14</f>
        <v>0</v>
      </c>
      <c r="F28" s="72" t="e">
        <f>SUM('Rev Req Proof Yr1'!AF37:AH37)</f>
        <v>#REF!</v>
      </c>
      <c r="G28" s="72" t="e">
        <f>SUM('Rev Req Proof Yr1'!AM37:AO37)</f>
        <v>#REF!</v>
      </c>
      <c r="H28" s="71" t="e">
        <f t="shared" si="2"/>
        <v>#REF!</v>
      </c>
      <c r="I28" s="71" t="e">
        <f t="shared" si="3"/>
        <v>#REF!</v>
      </c>
      <c r="J28" s="73">
        <f t="shared" si="4"/>
        <v>0</v>
      </c>
      <c r="K28" s="74">
        <f t="shared" si="5"/>
        <v>0</v>
      </c>
      <c r="L28" s="1174">
        <f>'Avg Bill by RS'!S37</f>
        <v>0</v>
      </c>
      <c r="M28" s="1175"/>
      <c r="N28" s="1175"/>
      <c r="O28" s="273">
        <v>12</v>
      </c>
      <c r="P28" s="76" t="s">
        <v>272</v>
      </c>
      <c r="Q28" s="1088" t="e">
        <f t="shared" si="0"/>
        <v>#REF!</v>
      </c>
      <c r="R28" s="71" t="e">
        <f t="shared" si="1"/>
        <v>#REF!</v>
      </c>
      <c r="S28" s="72" t="e">
        <f>SUM('Rev Req Proof Yr2'!AF37:AH37)</f>
        <v>#REF!</v>
      </c>
      <c r="T28" s="71" t="e">
        <f t="shared" si="6"/>
        <v>#REF!</v>
      </c>
      <c r="U28" s="71" t="e">
        <f t="shared" si="7"/>
        <v>#REF!</v>
      </c>
      <c r="V28" s="73">
        <f t="shared" si="8"/>
        <v>0</v>
      </c>
      <c r="W28" s="74">
        <f t="shared" si="9"/>
        <v>0</v>
      </c>
      <c r="X28" s="576">
        <f>'Avg Bill by RS'!AO37</f>
        <v>0</v>
      </c>
    </row>
    <row r="29" spans="2:24" x14ac:dyDescent="0.2">
      <c r="B29" s="273">
        <v>13</v>
      </c>
      <c r="C29" s="720" t="s">
        <v>273</v>
      </c>
      <c r="D29" s="70">
        <f>'Rate Spread SETTLEMENT'!Q$15</f>
        <v>219574.60083981926</v>
      </c>
      <c r="E29" s="71">
        <f>'Rate Spread SETTLEMENT'!Q$14</f>
        <v>470188.60083981924</v>
      </c>
      <c r="F29" s="72" t="e">
        <f>SUM('Rev Req Proof Yr1'!AF44:AH44)</f>
        <v>#REF!</v>
      </c>
      <c r="G29" s="72" t="e">
        <f>SUM('Rev Req Proof Yr1'!AM44:AO44)</f>
        <v>#REF!</v>
      </c>
      <c r="H29" s="71" t="e">
        <f t="shared" si="2"/>
        <v>#REF!</v>
      </c>
      <c r="I29" s="71" t="e">
        <f t="shared" si="3"/>
        <v>#REF!</v>
      </c>
      <c r="J29" s="73">
        <f t="shared" si="4"/>
        <v>0</v>
      </c>
      <c r="K29" s="74">
        <f t="shared" si="5"/>
        <v>0</v>
      </c>
      <c r="L29" s="1174">
        <f>'Avg Bill by RS'!S44</f>
        <v>6.3E-2</v>
      </c>
      <c r="M29" s="1175"/>
      <c r="N29" s="1175"/>
      <c r="O29" s="273">
        <v>13</v>
      </c>
      <c r="P29" s="76" t="s">
        <v>273</v>
      </c>
      <c r="Q29" s="1088" t="e">
        <f t="shared" si="0"/>
        <v>#REF!</v>
      </c>
      <c r="R29" s="71" t="e">
        <f t="shared" si="1"/>
        <v>#REF!</v>
      </c>
      <c r="S29" s="72" t="e">
        <f>SUM('Rev Req Proof Yr2'!AF44:AH44)</f>
        <v>#REF!</v>
      </c>
      <c r="T29" s="71" t="e">
        <f t="shared" si="6"/>
        <v>#REF!</v>
      </c>
      <c r="U29" s="71" t="e">
        <f t="shared" si="7"/>
        <v>#REF!</v>
      </c>
      <c r="V29" s="73">
        <f t="shared" si="8"/>
        <v>0</v>
      </c>
      <c r="W29" s="74">
        <f t="shared" si="9"/>
        <v>0</v>
      </c>
      <c r="X29" s="576">
        <f>'Avg Bill by RS'!AO44</f>
        <v>3.1E-2</v>
      </c>
    </row>
    <row r="30" spans="2:24" x14ac:dyDescent="0.2">
      <c r="B30" s="273">
        <v>14</v>
      </c>
      <c r="C30" s="720" t="s">
        <v>274</v>
      </c>
      <c r="D30" s="70">
        <f>'Rate Spread SETTLEMENT'!R$15</f>
        <v>511672.37933789124</v>
      </c>
      <c r="E30" s="71">
        <f>'Rate Spread SETTLEMENT'!R$14</f>
        <v>1154958.3793378912</v>
      </c>
      <c r="F30" s="72" t="e">
        <f>SUM('Rev Req Proof Yr1'!AF51:AH51)</f>
        <v>#REF!</v>
      </c>
      <c r="G30" s="72" t="e">
        <f>SUM('Rev Req Proof Yr1'!AM51:AO51)</f>
        <v>#REF!</v>
      </c>
      <c r="H30" s="71" t="e">
        <f t="shared" si="2"/>
        <v>#REF!</v>
      </c>
      <c r="I30" s="71" t="e">
        <f t="shared" si="3"/>
        <v>#REF!</v>
      </c>
      <c r="J30" s="73">
        <f t="shared" si="4"/>
        <v>0</v>
      </c>
      <c r="K30" s="74">
        <f t="shared" si="5"/>
        <v>0</v>
      </c>
      <c r="L30" s="1174">
        <f>'Avg Bill by RS'!S51</f>
        <v>2.5999999999999999E-2</v>
      </c>
      <c r="M30" s="1175"/>
      <c r="N30" s="1175"/>
      <c r="O30" s="273">
        <v>14</v>
      </c>
      <c r="P30" s="76" t="s">
        <v>274</v>
      </c>
      <c r="Q30" s="1088" t="e">
        <f t="shared" si="0"/>
        <v>#REF!</v>
      </c>
      <c r="R30" s="71" t="e">
        <f t="shared" si="1"/>
        <v>#REF!</v>
      </c>
      <c r="S30" s="72" t="e">
        <f>SUM('Rev Req Proof Yr2'!AF51:AH51)</f>
        <v>#REF!</v>
      </c>
      <c r="T30" s="71" t="e">
        <f t="shared" si="6"/>
        <v>#REF!</v>
      </c>
      <c r="U30" s="71" t="e">
        <f t="shared" si="7"/>
        <v>#REF!</v>
      </c>
      <c r="V30" s="73">
        <f t="shared" si="8"/>
        <v>0</v>
      </c>
      <c r="W30" s="74">
        <f t="shared" si="9"/>
        <v>0</v>
      </c>
      <c r="X30" s="576">
        <f>'Avg Bill by RS'!AO51</f>
        <v>0.01</v>
      </c>
    </row>
    <row r="31" spans="2:24" x14ac:dyDescent="0.2">
      <c r="B31" s="273">
        <v>15</v>
      </c>
      <c r="C31" s="720" t="s">
        <v>275</v>
      </c>
      <c r="D31" s="70">
        <f>'Rate Spread SETTLEMENT'!S$15</f>
        <v>360784.67333999998</v>
      </c>
      <c r="E31" s="71">
        <f>'Rate Spread SETTLEMENT'!S$14</f>
        <v>360784.67333999998</v>
      </c>
      <c r="F31" s="72" t="e">
        <f>SUM('Rev Req Proof Yr1'!AF58:AH58)</f>
        <v>#REF!</v>
      </c>
      <c r="G31" s="72" t="e">
        <f>SUM('Rev Req Proof Yr1'!AM58:AO58)</f>
        <v>#REF!</v>
      </c>
      <c r="H31" s="71" t="e">
        <f t="shared" si="2"/>
        <v>#REF!</v>
      </c>
      <c r="I31" s="71" t="e">
        <f t="shared" si="3"/>
        <v>#REF!</v>
      </c>
      <c r="J31" s="73">
        <f t="shared" si="4"/>
        <v>0</v>
      </c>
      <c r="K31" s="74">
        <f t="shared" si="5"/>
        <v>0</v>
      </c>
      <c r="L31" s="1174">
        <f>'Avg Bill by RS'!S58</f>
        <v>6.4000000000000001E-2</v>
      </c>
      <c r="M31" s="1175"/>
      <c r="N31" s="1175"/>
      <c r="O31" s="273">
        <v>15</v>
      </c>
      <c r="P31" s="76" t="s">
        <v>275</v>
      </c>
      <c r="Q31" s="1088" t="e">
        <f t="shared" si="0"/>
        <v>#REF!</v>
      </c>
      <c r="R31" s="71" t="e">
        <f t="shared" si="1"/>
        <v>#REF!</v>
      </c>
      <c r="S31" s="72" t="e">
        <f>SUM('Rev Req Proof Yr2'!AF58:AH58)</f>
        <v>#REF!</v>
      </c>
      <c r="T31" s="71" t="e">
        <f t="shared" si="6"/>
        <v>#REF!</v>
      </c>
      <c r="U31" s="71" t="e">
        <f t="shared" si="7"/>
        <v>#REF!</v>
      </c>
      <c r="V31" s="73">
        <f t="shared" si="8"/>
        <v>0</v>
      </c>
      <c r="W31" s="74">
        <f t="shared" si="9"/>
        <v>0</v>
      </c>
      <c r="X31" s="576">
        <f>'Avg Bill by RS'!AO58</f>
        <v>3.2000000000000001E-2</v>
      </c>
    </row>
    <row r="32" spans="2:24" x14ac:dyDescent="0.2">
      <c r="B32" s="273">
        <v>16</v>
      </c>
      <c r="C32" s="720" t="s">
        <v>276</v>
      </c>
      <c r="D32" s="70">
        <f>'Rate Spread SETTLEMENT'!T$15</f>
        <v>823615.79209999996</v>
      </c>
      <c r="E32" s="71">
        <f>'Rate Spread SETTLEMENT'!T$14</f>
        <v>823615.79209999996</v>
      </c>
      <c r="F32" s="72" t="e">
        <f>SUM('Rev Req Proof Yr1'!AF65:AH65)</f>
        <v>#REF!</v>
      </c>
      <c r="G32" s="72" t="e">
        <f>SUM('Rev Req Proof Yr1'!AM65:AO65)</f>
        <v>#REF!</v>
      </c>
      <c r="H32" s="71" t="e">
        <f t="shared" si="2"/>
        <v>#REF!</v>
      </c>
      <c r="I32" s="71" t="e">
        <f t="shared" si="3"/>
        <v>#REF!</v>
      </c>
      <c r="J32" s="73">
        <f t="shared" si="4"/>
        <v>0</v>
      </c>
      <c r="K32" s="74">
        <f t="shared" si="5"/>
        <v>0</v>
      </c>
      <c r="L32" s="1174">
        <f>'Avg Bill by RS'!S65</f>
        <v>5.0999999999999997E-2</v>
      </c>
      <c r="M32" s="1175"/>
      <c r="N32" s="1175"/>
      <c r="O32" s="273">
        <v>16</v>
      </c>
      <c r="P32" s="76" t="s">
        <v>276</v>
      </c>
      <c r="Q32" s="1088" t="e">
        <f t="shared" si="0"/>
        <v>#REF!</v>
      </c>
      <c r="R32" s="71" t="e">
        <f t="shared" si="1"/>
        <v>#REF!</v>
      </c>
      <c r="S32" s="72" t="e">
        <f>SUM('Rev Req Proof Yr2'!AF65:AH65)</f>
        <v>#REF!</v>
      </c>
      <c r="T32" s="71" t="e">
        <f t="shared" si="6"/>
        <v>#REF!</v>
      </c>
      <c r="U32" s="71" t="e">
        <f t="shared" si="7"/>
        <v>#REF!</v>
      </c>
      <c r="V32" s="73">
        <f t="shared" si="8"/>
        <v>0</v>
      </c>
      <c r="W32" s="74">
        <f t="shared" si="9"/>
        <v>0</v>
      </c>
      <c r="X32" s="576">
        <f>'Avg Bill by RS'!AO65</f>
        <v>2.1999999999999999E-2</v>
      </c>
    </row>
    <row r="33" spans="2:24" x14ac:dyDescent="0.2">
      <c r="B33" s="273">
        <v>17</v>
      </c>
      <c r="C33" s="720" t="s">
        <v>277</v>
      </c>
      <c r="D33" s="70">
        <f>'Rate Spread SETTLEMENT'!U$15</f>
        <v>160512.61187958997</v>
      </c>
      <c r="E33" s="71">
        <f>'Rate Spread SETTLEMENT'!U$14</f>
        <v>430728.61187958985</v>
      </c>
      <c r="F33" s="72" t="e">
        <f>SUM('Rev Req Proof Yr1'!AF72:AH72)</f>
        <v>#REF!</v>
      </c>
      <c r="G33" s="72" t="e">
        <f>SUM('Rev Req Proof Yr1'!AM72:AO72)</f>
        <v>#REF!</v>
      </c>
      <c r="H33" s="71" t="e">
        <f t="shared" si="2"/>
        <v>#REF!</v>
      </c>
      <c r="I33" s="71" t="e">
        <f t="shared" si="3"/>
        <v>#REF!</v>
      </c>
      <c r="J33" s="73">
        <f t="shared" si="4"/>
        <v>0</v>
      </c>
      <c r="K33" s="74">
        <f t="shared" si="5"/>
        <v>0</v>
      </c>
      <c r="L33" s="1174">
        <f>'Avg Bill by RS'!S72</f>
        <v>4.1000000000000002E-2</v>
      </c>
      <c r="M33" s="1175"/>
      <c r="N33" s="1175"/>
      <c r="O33" s="273">
        <v>17</v>
      </c>
      <c r="P33" s="76" t="s">
        <v>277</v>
      </c>
      <c r="Q33" s="1088" t="e">
        <f t="shared" si="0"/>
        <v>#REF!</v>
      </c>
      <c r="R33" s="71" t="e">
        <f t="shared" si="1"/>
        <v>#REF!</v>
      </c>
      <c r="S33" s="72" t="e">
        <f>SUM('Rev Req Proof Yr2'!AF72:AH72)</f>
        <v>#REF!</v>
      </c>
      <c r="T33" s="71" t="e">
        <f t="shared" si="6"/>
        <v>#REF!</v>
      </c>
      <c r="U33" s="71" t="e">
        <f t="shared" si="7"/>
        <v>#REF!</v>
      </c>
      <c r="V33" s="73">
        <f t="shared" si="8"/>
        <v>0</v>
      </c>
      <c r="W33" s="74">
        <f t="shared" si="9"/>
        <v>0</v>
      </c>
      <c r="X33" s="576">
        <f>'Avg Bill by RS'!AO72</f>
        <v>1.9E-2</v>
      </c>
    </row>
    <row r="34" spans="2:24" x14ac:dyDescent="0.2">
      <c r="B34" s="273">
        <v>18</v>
      </c>
      <c r="C34" s="720" t="s">
        <v>278</v>
      </c>
      <c r="D34" s="70">
        <f>'Rate Spread SETTLEMENT'!V$15</f>
        <v>81130.03459599179</v>
      </c>
      <c r="E34" s="71">
        <f>'Rate Spread SETTLEMENT'!V$14</f>
        <v>171731.03459599178</v>
      </c>
      <c r="F34" s="72" t="e">
        <f>SUM('Rev Req Proof Yr1'!AF79:AH79)</f>
        <v>#REF!</v>
      </c>
      <c r="G34" s="72" t="e">
        <f>SUM('Rev Req Proof Yr1'!AM79:AO79)</f>
        <v>#REF!</v>
      </c>
      <c r="H34" s="71" t="e">
        <f t="shared" si="2"/>
        <v>#REF!</v>
      </c>
      <c r="I34" s="71" t="e">
        <f t="shared" si="3"/>
        <v>#REF!</v>
      </c>
      <c r="J34" s="73">
        <f t="shared" si="4"/>
        <v>0</v>
      </c>
      <c r="K34" s="74">
        <f t="shared" si="5"/>
        <v>0</v>
      </c>
      <c r="L34" s="1174">
        <f>'Avg Bill by RS'!S79</f>
        <v>2.4E-2</v>
      </c>
      <c r="M34" s="1175"/>
      <c r="N34" s="1175"/>
      <c r="O34" s="273">
        <v>18</v>
      </c>
      <c r="P34" s="76" t="s">
        <v>278</v>
      </c>
      <c r="Q34" s="1088" t="e">
        <f t="shared" si="0"/>
        <v>#REF!</v>
      </c>
      <c r="R34" s="71" t="e">
        <f t="shared" si="1"/>
        <v>#REF!</v>
      </c>
      <c r="S34" s="72" t="e">
        <f>SUM('Rev Req Proof Yr2'!AF79:AH79)</f>
        <v>#REF!</v>
      </c>
      <c r="T34" s="71" t="e">
        <f t="shared" si="6"/>
        <v>#REF!</v>
      </c>
      <c r="U34" s="71" t="e">
        <f t="shared" si="7"/>
        <v>#REF!</v>
      </c>
      <c r="V34" s="73">
        <f t="shared" si="8"/>
        <v>0</v>
      </c>
      <c r="W34" s="74">
        <f t="shared" si="9"/>
        <v>0</v>
      </c>
      <c r="X34" s="576">
        <f>'Avg Bill by RS'!AO79</f>
        <v>8.9999999999999993E-3</v>
      </c>
    </row>
    <row r="35" spans="2:24" x14ac:dyDescent="0.2">
      <c r="B35" s="273">
        <v>19</v>
      </c>
      <c r="C35" s="720" t="s">
        <v>280</v>
      </c>
      <c r="D35" s="70">
        <f>'Rate Spread SETTLEMENT'!W$15</f>
        <v>0</v>
      </c>
      <c r="E35" s="71">
        <f>'Rate Spread SETTLEMENT'!W$14</f>
        <v>0</v>
      </c>
      <c r="F35" s="72" t="e">
        <f>SUM('Rev Req Proof Yr1'!AF86:AH86)</f>
        <v>#REF!</v>
      </c>
      <c r="G35" s="72" t="e">
        <f>SUM('Rev Req Proof Yr1'!AM86:AO86)</f>
        <v>#REF!</v>
      </c>
      <c r="H35" s="71" t="e">
        <f t="shared" si="2"/>
        <v>#REF!</v>
      </c>
      <c r="I35" s="71" t="e">
        <f t="shared" si="3"/>
        <v>#REF!</v>
      </c>
      <c r="J35" s="73">
        <f t="shared" si="4"/>
        <v>0</v>
      </c>
      <c r="K35" s="74">
        <f t="shared" si="5"/>
        <v>0</v>
      </c>
      <c r="L35" s="1174">
        <f>'Avg Bill by RS'!S86</f>
        <v>0</v>
      </c>
      <c r="M35" s="1175"/>
      <c r="N35" s="1175"/>
      <c r="O35" s="273">
        <v>19</v>
      </c>
      <c r="P35" s="76" t="s">
        <v>280</v>
      </c>
      <c r="Q35" s="1088" t="e">
        <f t="shared" si="0"/>
        <v>#REF!</v>
      </c>
      <c r="R35" s="71" t="e">
        <f t="shared" si="1"/>
        <v>#REF!</v>
      </c>
      <c r="S35" s="72" t="e">
        <f>SUM('Rev Req Proof Yr2'!AF86:AH86)</f>
        <v>#REF!</v>
      </c>
      <c r="T35" s="71" t="e">
        <f t="shared" si="6"/>
        <v>#REF!</v>
      </c>
      <c r="U35" s="71" t="e">
        <f t="shared" si="7"/>
        <v>#REF!</v>
      </c>
      <c r="V35" s="73">
        <f t="shared" si="8"/>
        <v>0</v>
      </c>
      <c r="W35" s="74">
        <f t="shared" si="9"/>
        <v>0</v>
      </c>
      <c r="X35" s="576">
        <f>'Avg Bill by RS'!AO86</f>
        <v>0</v>
      </c>
    </row>
    <row r="36" spans="2:24" x14ac:dyDescent="0.2">
      <c r="B36" s="273">
        <v>20</v>
      </c>
      <c r="C36" s="720" t="s">
        <v>281</v>
      </c>
      <c r="D36" s="70">
        <f>'Rate Spread SETTLEMENT'!X$15</f>
        <v>825480.07319999998</v>
      </c>
      <c r="E36" s="71">
        <f>'Rate Spread SETTLEMENT'!X$14</f>
        <v>825480.07319999998</v>
      </c>
      <c r="F36" s="72" t="e">
        <f>SUM('Rev Req Proof Yr1'!AF93:AH93)</f>
        <v>#REF!</v>
      </c>
      <c r="G36" s="72" t="e">
        <f>SUM('Rev Req Proof Yr1'!AM93:AO93)</f>
        <v>#REF!</v>
      </c>
      <c r="H36" s="71" t="e">
        <f t="shared" si="2"/>
        <v>#REF!</v>
      </c>
      <c r="I36" s="71" t="e">
        <f t="shared" si="3"/>
        <v>#REF!</v>
      </c>
      <c r="J36" s="73">
        <f t="shared" si="4"/>
        <v>0</v>
      </c>
      <c r="K36" s="74">
        <f t="shared" si="5"/>
        <v>0</v>
      </c>
      <c r="L36" s="1174">
        <f>'Avg Bill by RS'!S93</f>
        <v>4.5999999999999999E-2</v>
      </c>
      <c r="M36" s="1175"/>
      <c r="N36" s="1175"/>
      <c r="O36" s="273">
        <v>20</v>
      </c>
      <c r="P36" s="76" t="s">
        <v>281</v>
      </c>
      <c r="Q36" s="1088" t="e">
        <f t="shared" si="0"/>
        <v>#REF!</v>
      </c>
      <c r="R36" s="71" t="e">
        <f t="shared" si="1"/>
        <v>#REF!</v>
      </c>
      <c r="S36" s="72" t="e">
        <f>SUM('Rev Req Proof Yr2'!AF93:AH93)</f>
        <v>#REF!</v>
      </c>
      <c r="T36" s="71" t="e">
        <f t="shared" si="6"/>
        <v>#REF!</v>
      </c>
      <c r="U36" s="71" t="e">
        <f t="shared" si="7"/>
        <v>#REF!</v>
      </c>
      <c r="V36" s="73">
        <f t="shared" si="8"/>
        <v>0</v>
      </c>
      <c r="W36" s="74">
        <f t="shared" si="9"/>
        <v>0</v>
      </c>
      <c r="X36" s="576">
        <f>'Avg Bill by RS'!AO93</f>
        <v>0.02</v>
      </c>
    </row>
    <row r="37" spans="2:24" x14ac:dyDescent="0.2">
      <c r="B37" s="273">
        <v>21</v>
      </c>
      <c r="C37" s="720" t="s">
        <v>44</v>
      </c>
      <c r="D37" s="70">
        <f>'Rate Spread SETTLEMENT'!Y$15</f>
        <v>0</v>
      </c>
      <c r="E37" s="71">
        <f>'Rate Spread SETTLEMENT'!Y$14</f>
        <v>0</v>
      </c>
      <c r="F37" s="72" t="e">
        <f>SUM('Rev Req Proof Yr1'!AF94:AH94)</f>
        <v>#REF!</v>
      </c>
      <c r="G37" s="72" t="e">
        <f>SUM('Rev Req Proof Yr1'!AM94:AO94)</f>
        <v>#REF!</v>
      </c>
      <c r="H37" s="71" t="e">
        <f t="shared" si="2"/>
        <v>#REF!</v>
      </c>
      <c r="I37" s="71" t="e">
        <f t="shared" si="3"/>
        <v>#REF!</v>
      </c>
      <c r="J37" s="73">
        <f t="shared" si="4"/>
        <v>0</v>
      </c>
      <c r="K37" s="74">
        <f t="shared" si="5"/>
        <v>0</v>
      </c>
      <c r="L37" s="1174">
        <f>'Avg Bill by RS'!S94</f>
        <v>0</v>
      </c>
      <c r="M37" s="1175"/>
      <c r="N37" s="1175"/>
      <c r="O37" s="273">
        <v>21</v>
      </c>
      <c r="P37" s="76" t="s">
        <v>44</v>
      </c>
      <c r="Q37" s="1088" t="e">
        <f t="shared" si="0"/>
        <v>#REF!</v>
      </c>
      <c r="R37" s="71" t="e">
        <f t="shared" si="1"/>
        <v>#REF!</v>
      </c>
      <c r="S37" s="72" t="e">
        <f>SUM('Rev Req Proof Yr2'!AF94:AH94)</f>
        <v>#REF!</v>
      </c>
      <c r="T37" s="71" t="e">
        <f t="shared" si="6"/>
        <v>#REF!</v>
      </c>
      <c r="U37" s="71" t="e">
        <f t="shared" si="7"/>
        <v>#REF!</v>
      </c>
      <c r="V37" s="73">
        <f t="shared" si="8"/>
        <v>0</v>
      </c>
      <c r="W37" s="74">
        <f t="shared" si="9"/>
        <v>0</v>
      </c>
      <c r="X37" s="576">
        <f>'Avg Bill by RS'!AO94</f>
        <v>0</v>
      </c>
    </row>
    <row r="38" spans="2:24" x14ac:dyDescent="0.2">
      <c r="B38" s="273">
        <v>22</v>
      </c>
      <c r="C38" s="720" t="s">
        <v>264</v>
      </c>
      <c r="D38" s="70">
        <f>'Rate Spread SETTLEMENT'!Z$15</f>
        <v>0</v>
      </c>
      <c r="E38" s="71">
        <f>'Rate Spread SETTLEMENT'!Z$14</f>
        <v>0</v>
      </c>
      <c r="F38" s="72" t="e">
        <f>SUM('Rev Req Proof Yr1'!AF95:AH95)</f>
        <v>#REF!</v>
      </c>
      <c r="G38" s="72" t="e">
        <f>SUM('Rev Req Proof Yr1'!AM95:AO95)</f>
        <v>#REF!</v>
      </c>
      <c r="H38" s="71" t="e">
        <f t="shared" si="2"/>
        <v>#REF!</v>
      </c>
      <c r="I38" s="71" t="e">
        <f t="shared" si="3"/>
        <v>#REF!</v>
      </c>
      <c r="J38" s="73">
        <f t="shared" si="4"/>
        <v>0</v>
      </c>
      <c r="K38" s="74">
        <f t="shared" si="5"/>
        <v>0</v>
      </c>
      <c r="L38" s="1174">
        <f>'Avg Bill by RS'!S95</f>
        <v>0</v>
      </c>
      <c r="M38" s="1175"/>
      <c r="N38" s="1175"/>
      <c r="O38" s="273">
        <v>22</v>
      </c>
      <c r="P38" s="76" t="s">
        <v>264</v>
      </c>
      <c r="Q38" s="1088" t="e">
        <f t="shared" si="0"/>
        <v>#REF!</v>
      </c>
      <c r="R38" s="71" t="e">
        <f t="shared" si="1"/>
        <v>#REF!</v>
      </c>
      <c r="S38" s="72" t="e">
        <f>SUM('Rev Req Proof Yr2'!AF95:AH95)</f>
        <v>#REF!</v>
      </c>
      <c r="T38" s="71" t="e">
        <f t="shared" si="6"/>
        <v>#REF!</v>
      </c>
      <c r="U38" s="71" t="e">
        <f t="shared" si="7"/>
        <v>#REF!</v>
      </c>
      <c r="V38" s="73">
        <f t="shared" si="8"/>
        <v>0</v>
      </c>
      <c r="W38" s="74">
        <f t="shared" si="9"/>
        <v>0</v>
      </c>
      <c r="X38" s="576">
        <f>'Avg Bill by RS'!AO95</f>
        <v>0</v>
      </c>
    </row>
    <row r="39" spans="2:24" x14ac:dyDescent="0.2">
      <c r="B39" s="273">
        <v>23</v>
      </c>
      <c r="C39" s="720" t="s">
        <v>304</v>
      </c>
      <c r="D39" s="70">
        <f>'Rate Spread SETTLEMENT'!AA$15</f>
        <v>242994.60207180592</v>
      </c>
      <c r="E39" s="71">
        <f>'Rate Spread SETTLEMENT'!AA$14</f>
        <v>242994.60207180592</v>
      </c>
      <c r="F39" s="72" t="e">
        <f>SUM('Rev Req Proof Yr1'!AF96:AH96)</f>
        <v>#REF!</v>
      </c>
      <c r="G39" s="72" t="e">
        <f>SUM('Rev Req Proof Yr1'!AM96:AO96)</f>
        <v>#REF!</v>
      </c>
      <c r="H39" s="71" t="e">
        <f t="shared" si="2"/>
        <v>#REF!</v>
      </c>
      <c r="I39" s="71" t="e">
        <f t="shared" si="3"/>
        <v>#REF!</v>
      </c>
      <c r="J39" s="73">
        <f t="shared" si="4"/>
        <v>0</v>
      </c>
      <c r="K39" s="74">
        <f t="shared" si="5"/>
        <v>0</v>
      </c>
      <c r="L39" s="1174">
        <f>'Avg Bill by RS'!S96</f>
        <v>0</v>
      </c>
      <c r="M39" s="1175"/>
      <c r="N39" s="1175"/>
      <c r="O39" s="273">
        <v>23</v>
      </c>
      <c r="P39" s="76" t="s">
        <v>304</v>
      </c>
      <c r="Q39" s="1088" t="e">
        <f t="shared" si="0"/>
        <v>#REF!</v>
      </c>
      <c r="R39" s="71" t="e">
        <f t="shared" si="1"/>
        <v>#REF!</v>
      </c>
      <c r="S39" s="72" t="e">
        <f>SUM('Rev Req Proof Yr2'!AF96:AH96)</f>
        <v>#REF!</v>
      </c>
      <c r="T39" s="71" t="e">
        <f t="shared" si="6"/>
        <v>#REF!</v>
      </c>
      <c r="U39" s="71" t="e">
        <f t="shared" si="7"/>
        <v>#REF!</v>
      </c>
      <c r="V39" s="73">
        <f>IFERROR((S39)/Q39,0)</f>
        <v>0</v>
      </c>
      <c r="W39" s="74">
        <f>IFERROR((S39)/R39,0)</f>
        <v>0</v>
      </c>
      <c r="X39" s="576">
        <f>'Avg Bill by RS'!AO96</f>
        <v>0</v>
      </c>
    </row>
    <row r="40" spans="2:24" ht="13.5" thickBot="1" x14ac:dyDescent="0.25">
      <c r="B40" s="262"/>
      <c r="C40" s="561"/>
      <c r="D40" s="45"/>
      <c r="E40" s="45"/>
      <c r="F40" s="796"/>
      <c r="G40" s="1086"/>
      <c r="H40" s="45"/>
      <c r="I40" s="45"/>
      <c r="J40" s="411"/>
      <c r="K40" s="76"/>
      <c r="L40" s="720"/>
      <c r="M40" s="76"/>
      <c r="N40" s="76"/>
      <c r="O40" s="262"/>
      <c r="P40" s="45"/>
      <c r="Q40" s="398"/>
      <c r="R40" s="45"/>
      <c r="S40" s="796"/>
      <c r="T40" s="45"/>
      <c r="U40" s="45"/>
      <c r="V40" s="411"/>
      <c r="W40" s="76"/>
      <c r="X40" s="720"/>
    </row>
    <row r="41" spans="2:24" s="50" customFormat="1" x14ac:dyDescent="0.2">
      <c r="B41" s="956"/>
      <c r="C41" s="1303" t="s">
        <v>32</v>
      </c>
      <c r="D41" s="949">
        <f t="shared" ref="D41:I41" si="10">SUM(D17:D39)</f>
        <v>49604902.662138224</v>
      </c>
      <c r="E41" s="950">
        <f t="shared" si="10"/>
        <v>78333454.662138224</v>
      </c>
      <c r="F41" s="951" t="e">
        <f>SUM(F17:F39)</f>
        <v>#REF!</v>
      </c>
      <c r="G41" s="951" t="e">
        <f t="shared" si="10"/>
        <v>#REF!</v>
      </c>
      <c r="H41" s="949" t="e">
        <f t="shared" si="10"/>
        <v>#REF!</v>
      </c>
      <c r="I41" s="950" t="e">
        <f t="shared" si="10"/>
        <v>#REF!</v>
      </c>
      <c r="J41" s="952" t="e">
        <f>(F41+G41)/(D41-D39)</f>
        <v>#REF!</v>
      </c>
      <c r="K41" s="953" t="e">
        <f>(F41+G41)/(E41-E39)</f>
        <v>#REF!</v>
      </c>
      <c r="L41" s="954"/>
      <c r="M41" s="1176"/>
      <c r="N41" s="1176"/>
      <c r="O41" s="956"/>
      <c r="P41" s="1152" t="s">
        <v>32</v>
      </c>
      <c r="Q41" s="955" t="e">
        <f>SUM(Q17:Q39)</f>
        <v>#REF!</v>
      </c>
      <c r="R41" s="950" t="e">
        <f>SUM(R17:R39)</f>
        <v>#REF!</v>
      </c>
      <c r="S41" s="951" t="e">
        <f>SUM(S17:S39)</f>
        <v>#REF!</v>
      </c>
      <c r="T41" s="949" t="e">
        <f>SUM(T17:T39)</f>
        <v>#REF!</v>
      </c>
      <c r="U41" s="950" t="e">
        <f>SUM(U17:U39)</f>
        <v>#REF!</v>
      </c>
      <c r="V41" s="952">
        <f>IFERROR((S41)/(Q41-Q39),0)</f>
        <v>0</v>
      </c>
      <c r="W41" s="953">
        <f>IFERROR((S41)/(R41-R39),0)</f>
        <v>0</v>
      </c>
      <c r="X41" s="954"/>
    </row>
    <row r="42" spans="2:24" ht="13.5" thickBot="1" x14ac:dyDescent="0.25">
      <c r="B42" s="1271"/>
      <c r="C42" s="1306"/>
      <c r="D42" s="265"/>
      <c r="E42" s="265"/>
      <c r="F42" s="1181" t="s">
        <v>381</v>
      </c>
      <c r="G42" s="1181" t="s">
        <v>381</v>
      </c>
      <c r="H42" s="265"/>
      <c r="I42" s="265"/>
      <c r="J42" s="264"/>
      <c r="K42" s="265"/>
      <c r="L42" s="1185" t="s">
        <v>390</v>
      </c>
      <c r="M42" s="1269"/>
      <c r="N42" s="45"/>
      <c r="O42" s="1271"/>
      <c r="P42" s="265"/>
      <c r="Q42" s="264"/>
      <c r="R42" s="265"/>
      <c r="S42" s="1181" t="s">
        <v>177</v>
      </c>
      <c r="T42" s="265"/>
      <c r="U42" s="265"/>
      <c r="V42" s="264"/>
      <c r="W42" s="265"/>
      <c r="X42" s="1185" t="s">
        <v>381</v>
      </c>
    </row>
    <row r="43" spans="2:24" ht="6.95" customHeight="1" x14ac:dyDescent="0.2">
      <c r="D43" s="462"/>
      <c r="E43" s="462"/>
      <c r="F43" s="462"/>
      <c r="G43" s="462"/>
      <c r="H43" s="462"/>
    </row>
    <row r="44" spans="2:24" ht="12" customHeight="1" x14ac:dyDescent="0.2">
      <c r="B44" s="834" t="s">
        <v>527</v>
      </c>
      <c r="C44" s="830"/>
      <c r="D44" s="1179"/>
      <c r="E44" s="827"/>
      <c r="O44" s="834" t="s">
        <v>527</v>
      </c>
      <c r="P44" s="830"/>
    </row>
    <row r="45" spans="2:24" ht="12" customHeight="1" x14ac:dyDescent="0.2">
      <c r="B45" s="834" t="s">
        <v>442</v>
      </c>
      <c r="C45" s="835"/>
      <c r="D45" s="1179"/>
      <c r="E45" s="827"/>
      <c r="F45" s="422"/>
      <c r="G45" s="422"/>
      <c r="O45" s="834" t="s">
        <v>436</v>
      </c>
      <c r="P45" s="830"/>
    </row>
    <row r="46" spans="2:24" ht="12" customHeight="1" x14ac:dyDescent="0.2">
      <c r="B46" s="834" t="s">
        <v>433</v>
      </c>
      <c r="C46" s="830"/>
      <c r="D46" s="1179"/>
      <c r="E46" s="827"/>
      <c r="O46" s="834" t="s">
        <v>528</v>
      </c>
      <c r="P46" s="835"/>
    </row>
    <row r="47" spans="2:24" ht="12" customHeight="1" x14ac:dyDescent="0.2">
      <c r="B47" s="834" t="s">
        <v>528</v>
      </c>
      <c r="C47" s="835"/>
      <c r="D47" s="1179"/>
      <c r="E47" s="827"/>
      <c r="O47" s="834" t="s">
        <v>437</v>
      </c>
      <c r="P47" s="835"/>
    </row>
    <row r="48" spans="2:24" x14ac:dyDescent="0.2">
      <c r="B48" s="834" t="s">
        <v>434</v>
      </c>
      <c r="C48" s="835"/>
      <c r="D48" s="1178"/>
      <c r="O48" s="834" t="s">
        <v>438</v>
      </c>
    </row>
    <row r="49" spans="2:16" ht="12.95" customHeight="1" x14ac:dyDescent="0.2">
      <c r="B49" s="834" t="s">
        <v>435</v>
      </c>
      <c r="D49" s="830"/>
    </row>
    <row r="50" spans="2:16" ht="12" customHeight="1" x14ac:dyDescent="0.2">
      <c r="D50" s="830"/>
      <c r="F50" s="831"/>
      <c r="G50" s="831"/>
    </row>
    <row r="51" spans="2:16" ht="12" customHeight="1" x14ac:dyDescent="0.2">
      <c r="B51" s="834"/>
      <c r="C51" s="835"/>
      <c r="F51" s="831"/>
      <c r="G51" s="831"/>
      <c r="O51" s="834"/>
      <c r="P51" s="835"/>
    </row>
    <row r="52" spans="2:16" x14ac:dyDescent="0.2">
      <c r="F52" s="831"/>
      <c r="G52" s="831"/>
    </row>
    <row r="53" spans="2:16" x14ac:dyDescent="0.2">
      <c r="F53" s="832"/>
      <c r="G53" s="832"/>
    </row>
    <row r="54" spans="2:16" x14ac:dyDescent="0.2">
      <c r="F54" s="833"/>
      <c r="G54" s="833"/>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&amp;RUG 388 - NW Natural/2500
Wyman/WP02</oddHeader>
    <oddFooter xml:space="preserve">&amp;C&amp;F &amp;D &amp;T
&amp;A </oddFooter>
  </headerFooter>
  <ignoredErrors>
    <ignoredError sqref="F14:L42 S14:X4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BA73"/>
  <sheetViews>
    <sheetView zoomScale="80" zoomScaleNormal="80" workbookViewId="0">
      <pane xSplit="3" ySplit="15" topLeftCell="AF16"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6" customWidth="1"/>
    <col min="2" max="2" width="7.6640625" style="42" customWidth="1"/>
    <col min="3" max="3" width="11.33203125" style="42" bestFit="1" customWidth="1"/>
    <col min="4" max="4" width="17.5" style="42" customWidth="1"/>
    <col min="5" max="6" width="16.33203125" style="42" customWidth="1"/>
    <col min="7" max="7" width="12.1640625" style="42" customWidth="1"/>
    <col min="8" max="8" width="16.33203125" style="42" customWidth="1"/>
    <col min="9" max="9" width="12.1640625" style="42" customWidth="1"/>
    <col min="10" max="11" width="14.33203125" style="42" customWidth="1"/>
    <col min="12" max="12" width="14.33203125" style="42" customWidth="1" outlineLevel="1"/>
    <col min="13" max="14" width="14.33203125" style="42" customWidth="1"/>
    <col min="15" max="15" width="14.33203125" style="42" customWidth="1" outlineLevel="1"/>
    <col min="16" max="17" width="14.33203125" style="42" customWidth="1"/>
    <col min="18" max="18" width="14.33203125" style="42" customWidth="1" outlineLevel="1"/>
    <col min="19" max="19" width="17.33203125" style="42" customWidth="1"/>
    <col min="20" max="20" width="12.1640625" style="42" customWidth="1"/>
    <col min="21" max="21" width="15.83203125" style="42" customWidth="1"/>
    <col min="22" max="22" width="12.1640625" style="42" customWidth="1"/>
    <col min="23" max="23" width="17.5" style="42" customWidth="1"/>
    <col min="24" max="24" width="20.5" style="42" customWidth="1"/>
    <col min="25" max="25" width="17.5" style="42" bestFit="1" customWidth="1"/>
    <col min="26" max="26" width="12.6640625" style="42" customWidth="1"/>
    <col min="27" max="27" width="11.1640625" style="42" customWidth="1"/>
    <col min="28" max="29" width="3.1640625" style="42" customWidth="1"/>
    <col min="30" max="30" width="7.6640625" style="42" customWidth="1"/>
    <col min="31" max="31" width="11.33203125" style="42" bestFit="1" customWidth="1"/>
    <col min="32" max="32" width="17.1640625" style="42" customWidth="1"/>
    <col min="33" max="33" width="16.33203125" style="42" customWidth="1"/>
    <col min="34" max="34" width="17.33203125" style="42" customWidth="1"/>
    <col min="35" max="35" width="18.5" style="42" customWidth="1"/>
    <col min="36" max="37" width="14.33203125" style="42" customWidth="1"/>
    <col min="38" max="38" width="14.33203125" style="42" customWidth="1" outlineLevel="1"/>
    <col min="39" max="40" width="14.33203125" style="42" customWidth="1"/>
    <col min="41" max="41" width="14.33203125" style="42" customWidth="1" outlineLevel="1"/>
    <col min="42" max="43" width="14.1640625" style="42" customWidth="1"/>
    <col min="44" max="44" width="14.1640625" style="42" customWidth="1" outlineLevel="1"/>
    <col min="45" max="46" width="14.1640625" style="42" customWidth="1"/>
    <col min="47" max="47" width="14.6640625" style="42" customWidth="1"/>
    <col min="48" max="48" width="13.1640625" style="42" customWidth="1"/>
    <col min="49" max="50" width="17.1640625" style="42" customWidth="1"/>
    <col min="51" max="51" width="12.6640625" style="42" customWidth="1"/>
    <col min="52" max="53" width="11" style="42" customWidth="1"/>
    <col min="54" max="54" width="3.1640625" style="42" customWidth="1"/>
    <col min="55" max="55" width="4.6640625" style="42" customWidth="1"/>
    <col min="56" max="16384" width="9.33203125" style="42"/>
  </cols>
  <sheetData>
    <row r="1" spans="2:53" x14ac:dyDescent="0.2">
      <c r="B1" s="827" t="s">
        <v>0</v>
      </c>
      <c r="C1" s="53"/>
      <c r="D1" s="53"/>
      <c r="E1" s="53"/>
      <c r="F1" s="53"/>
      <c r="G1" s="53"/>
      <c r="H1" s="53"/>
      <c r="I1" s="53"/>
      <c r="J1" s="53"/>
      <c r="K1" s="53"/>
      <c r="L1" s="53"/>
      <c r="M1" s="53"/>
      <c r="N1" s="53"/>
      <c r="O1" s="53"/>
      <c r="P1" s="53"/>
      <c r="Q1" s="53"/>
      <c r="R1" s="53"/>
      <c r="S1" s="53"/>
      <c r="T1" s="53"/>
      <c r="U1" s="53"/>
      <c r="V1" s="53"/>
      <c r="W1" s="1186"/>
      <c r="X1" s="1681"/>
      <c r="Y1" s="1681"/>
      <c r="Z1" s="1681"/>
      <c r="AD1" s="827" t="s">
        <v>0</v>
      </c>
      <c r="AE1" s="53"/>
      <c r="AW1" s="1186"/>
      <c r="AX1" s="1681"/>
      <c r="AY1" s="1681"/>
      <c r="AZ1" s="1681"/>
      <c r="BA1" s="44"/>
    </row>
    <row r="2" spans="2:53" x14ac:dyDescent="0.2">
      <c r="B2" s="827" t="s">
        <v>610</v>
      </c>
      <c r="C2" s="53"/>
      <c r="D2" s="53"/>
      <c r="E2" s="53"/>
      <c r="F2" s="53"/>
      <c r="G2" s="53"/>
      <c r="H2" s="53"/>
      <c r="I2" s="53"/>
      <c r="J2" s="53"/>
      <c r="K2" s="53"/>
      <c r="L2" s="53"/>
      <c r="M2" s="53"/>
      <c r="N2" s="53"/>
      <c r="O2" s="53"/>
      <c r="P2" s="53"/>
      <c r="Q2" s="53"/>
      <c r="R2" s="53"/>
      <c r="S2" s="53"/>
      <c r="T2" s="53"/>
      <c r="U2" s="53"/>
      <c r="V2" s="53"/>
      <c r="W2" s="327"/>
      <c r="X2" s="1682"/>
      <c r="Y2" s="1682"/>
      <c r="Z2" s="1682"/>
      <c r="AA2" s="46"/>
      <c r="AB2" s="46"/>
      <c r="AC2" s="46"/>
      <c r="AD2" s="827" t="s">
        <v>610</v>
      </c>
      <c r="AE2" s="53"/>
      <c r="AF2" s="827"/>
      <c r="AW2" s="327"/>
      <c r="AX2" s="1682"/>
      <c r="AY2" s="1682"/>
      <c r="AZ2" s="1682"/>
      <c r="BA2" s="44"/>
    </row>
    <row r="3" spans="2:53" x14ac:dyDescent="0.2">
      <c r="B3" s="827" t="s">
        <v>243</v>
      </c>
      <c r="C3" s="53"/>
      <c r="D3" s="53"/>
      <c r="E3" s="53"/>
      <c r="F3" s="53"/>
      <c r="G3" s="53"/>
      <c r="H3" s="53"/>
      <c r="I3" s="53"/>
      <c r="J3" s="53"/>
      <c r="K3" s="53"/>
      <c r="L3" s="53"/>
      <c r="M3" s="53"/>
      <c r="N3" s="53"/>
      <c r="O3" s="53"/>
      <c r="P3" s="53"/>
      <c r="Q3" s="53"/>
      <c r="R3" s="53"/>
      <c r="S3" s="53"/>
      <c r="T3" s="53"/>
      <c r="U3" s="53"/>
      <c r="V3" s="53"/>
      <c r="W3" s="45"/>
      <c r="X3" s="1682"/>
      <c r="Y3" s="1682"/>
      <c r="Z3" s="1682"/>
      <c r="AA3" s="46"/>
      <c r="AB3" s="46"/>
      <c r="AC3" s="46"/>
      <c r="AD3" s="827" t="s">
        <v>243</v>
      </c>
      <c r="AE3" s="53"/>
      <c r="AF3" s="827"/>
      <c r="AW3" s="45"/>
      <c r="AX3" s="1682"/>
      <c r="AY3" s="1682"/>
      <c r="AZ3" s="1682"/>
      <c r="BA3" s="44"/>
    </row>
    <row r="4" spans="2:53" x14ac:dyDescent="0.2">
      <c r="B4" s="827" t="s">
        <v>611</v>
      </c>
      <c r="C4" s="53"/>
      <c r="D4" s="53"/>
      <c r="E4" s="53"/>
      <c r="F4" s="53"/>
      <c r="G4" s="53"/>
      <c r="H4" s="53"/>
      <c r="I4" s="53"/>
      <c r="J4" s="53"/>
      <c r="K4" s="53"/>
      <c r="L4" s="53"/>
      <c r="M4" s="53"/>
      <c r="N4" s="53"/>
      <c r="O4" s="53"/>
      <c r="P4" s="53"/>
      <c r="Q4" s="53"/>
      <c r="R4" s="53"/>
      <c r="S4" s="53"/>
      <c r="T4" s="53"/>
      <c r="U4" s="53"/>
      <c r="V4" s="53"/>
      <c r="W4" s="45"/>
      <c r="X4" s="1187"/>
      <c r="Y4" s="1153"/>
      <c r="Z4" s="1187"/>
      <c r="AA4" s="46"/>
      <c r="AB4" s="46"/>
      <c r="AC4" s="46"/>
      <c r="AD4" s="827" t="s">
        <v>583</v>
      </c>
      <c r="AE4" s="53"/>
      <c r="AF4" s="827"/>
      <c r="AW4" s="45"/>
      <c r="AX4" s="1212"/>
      <c r="AY4" s="1153"/>
      <c r="AZ4" s="1212"/>
      <c r="BA4" s="44"/>
    </row>
    <row r="5" spans="2:53" x14ac:dyDescent="0.2">
      <c r="B5" s="827" t="s">
        <v>597</v>
      </c>
      <c r="C5" s="53"/>
      <c r="D5" s="53"/>
      <c r="E5" s="53"/>
      <c r="F5" s="53"/>
      <c r="G5" s="53"/>
      <c r="H5" s="53"/>
      <c r="I5" s="53"/>
      <c r="J5" s="53"/>
      <c r="K5" s="53"/>
      <c r="L5" s="53"/>
      <c r="M5" s="53"/>
      <c r="N5" s="53"/>
      <c r="O5" s="53"/>
      <c r="P5" s="53"/>
      <c r="Q5" s="53"/>
      <c r="R5" s="53"/>
      <c r="S5" s="53"/>
      <c r="T5" s="53"/>
      <c r="U5" s="53"/>
      <c r="V5" s="53"/>
      <c r="W5" s="45"/>
      <c r="X5" s="1187"/>
      <c r="Y5" s="1153"/>
      <c r="Z5" s="1187"/>
      <c r="AA5" s="46"/>
      <c r="AB5" s="46"/>
      <c r="AC5" s="46"/>
      <c r="AD5" s="827" t="s">
        <v>597</v>
      </c>
      <c r="AE5" s="53"/>
      <c r="AF5" s="827"/>
      <c r="AW5" s="45"/>
      <c r="AX5" s="1212"/>
      <c r="AY5" s="1153"/>
      <c r="AZ5" s="1212"/>
      <c r="BA5" s="44"/>
    </row>
    <row r="6" spans="2:53" x14ac:dyDescent="0.2">
      <c r="C6" s="53"/>
      <c r="D6" s="53"/>
      <c r="E6" s="53"/>
      <c r="F6" s="53"/>
      <c r="G6" s="53"/>
      <c r="H6" s="53"/>
      <c r="I6" s="53"/>
      <c r="J6" s="53"/>
      <c r="K6" s="53"/>
      <c r="L6" s="53"/>
      <c r="M6" s="53"/>
      <c r="N6" s="53"/>
      <c r="O6" s="53"/>
      <c r="P6" s="53"/>
      <c r="Q6" s="53"/>
      <c r="R6" s="53"/>
      <c r="S6" s="53"/>
      <c r="T6" s="53"/>
      <c r="U6" s="53"/>
      <c r="V6" s="53"/>
      <c r="W6" s="45"/>
      <c r="X6" s="1187"/>
      <c r="Y6" s="1153"/>
      <c r="Z6" s="1187"/>
      <c r="AA6" s="46"/>
      <c r="AB6" s="46"/>
      <c r="AC6" s="46"/>
      <c r="AE6" s="53"/>
      <c r="AF6" s="827"/>
      <c r="AW6" s="45"/>
      <c r="AX6" s="1212"/>
      <c r="AY6" s="1153"/>
      <c r="AZ6" s="1212"/>
      <c r="BA6" s="44"/>
    </row>
    <row r="7" spans="2:53" x14ac:dyDescent="0.2">
      <c r="B7" s="158" t="s">
        <v>429</v>
      </c>
      <c r="C7" s="53"/>
      <c r="D7" s="53"/>
      <c r="E7" s="53"/>
      <c r="F7" s="53"/>
      <c r="G7" s="53"/>
      <c r="H7" s="53"/>
      <c r="I7" s="53"/>
      <c r="J7" s="53"/>
      <c r="K7" s="53"/>
      <c r="L7" s="53"/>
      <c r="M7" s="53"/>
      <c r="N7" s="53"/>
      <c r="O7" s="53"/>
      <c r="P7" s="53"/>
      <c r="Q7" s="53"/>
      <c r="R7" s="53"/>
      <c r="S7" s="53"/>
      <c r="T7" s="53"/>
      <c r="U7" s="53"/>
      <c r="V7" s="53"/>
      <c r="W7" s="45"/>
      <c r="X7" s="1187"/>
      <c r="Y7" s="1153"/>
      <c r="Z7" s="1187"/>
      <c r="AA7" s="46"/>
      <c r="AB7" s="46"/>
      <c r="AC7" s="46"/>
      <c r="AD7" s="158" t="s">
        <v>430</v>
      </c>
      <c r="AE7" s="53"/>
      <c r="AW7" s="45"/>
      <c r="AX7" s="1213"/>
      <c r="AY7" s="1153"/>
      <c r="AZ7" s="1212"/>
      <c r="BA7" s="44"/>
    </row>
    <row r="8" spans="2:53" x14ac:dyDescent="0.2">
      <c r="B8" s="586" t="s">
        <v>561</v>
      </c>
      <c r="C8" s="53"/>
      <c r="D8" s="53"/>
      <c r="E8" s="53"/>
      <c r="F8" s="53"/>
      <c r="G8" s="53"/>
      <c r="H8" s="53"/>
      <c r="I8" s="53"/>
      <c r="J8" s="53"/>
      <c r="K8" s="53"/>
      <c r="L8" s="53"/>
      <c r="M8" s="53"/>
      <c r="N8" s="53"/>
      <c r="O8" s="53"/>
      <c r="P8" s="53"/>
      <c r="Q8" s="53"/>
      <c r="R8" s="53"/>
      <c r="S8" s="53"/>
      <c r="T8" s="53"/>
      <c r="U8" s="53"/>
      <c r="V8" s="53"/>
      <c r="W8" s="45"/>
      <c r="X8" s="1187"/>
      <c r="Y8" s="1153"/>
      <c r="Z8" s="1187"/>
      <c r="AA8" s="46"/>
      <c r="AB8" s="46"/>
      <c r="AC8" s="46"/>
      <c r="AD8" s="586" t="s">
        <v>529</v>
      </c>
      <c r="AE8" s="53"/>
      <c r="AW8" s="45"/>
      <c r="AX8" s="1213"/>
      <c r="AY8" s="1153"/>
      <c r="AZ8" s="1212"/>
      <c r="BA8" s="44"/>
    </row>
    <row r="9" spans="2:53" x14ac:dyDescent="0.2">
      <c r="B9" s="586" t="s">
        <v>559</v>
      </c>
      <c r="C9" s="53"/>
      <c r="D9" s="53"/>
      <c r="E9" s="53"/>
      <c r="F9" s="53"/>
      <c r="G9" s="53"/>
      <c r="H9" s="53"/>
      <c r="I9" s="53"/>
      <c r="J9" s="53"/>
      <c r="K9" s="53"/>
      <c r="L9" s="53"/>
      <c r="M9" s="53"/>
      <c r="N9" s="53"/>
      <c r="O9" s="53"/>
      <c r="P9" s="53"/>
      <c r="Q9" s="53"/>
      <c r="R9" s="53"/>
      <c r="S9" s="53"/>
      <c r="T9" s="53"/>
      <c r="U9" s="53"/>
      <c r="V9" s="53"/>
      <c r="W9" s="53"/>
      <c r="X9" s="53"/>
      <c r="Y9" s="55"/>
      <c r="AD9" s="586" t="s">
        <v>526</v>
      </c>
      <c r="AE9" s="53"/>
    </row>
    <row r="10" spans="2:53" ht="13.5" thickBot="1" x14ac:dyDescent="0.25">
      <c r="B10" s="586"/>
      <c r="C10" s="53"/>
      <c r="D10" s="53"/>
      <c r="E10" s="53"/>
      <c r="F10" s="53"/>
      <c r="G10" s="53"/>
      <c r="H10" s="53"/>
      <c r="I10" s="53"/>
      <c r="J10" s="53"/>
      <c r="K10" s="53"/>
      <c r="L10" s="53"/>
      <c r="M10" s="53"/>
      <c r="N10" s="53"/>
      <c r="O10" s="53"/>
      <c r="P10" s="53"/>
      <c r="Q10" s="53"/>
      <c r="R10" s="53"/>
      <c r="S10" s="53"/>
      <c r="T10" s="53"/>
      <c r="U10" s="53"/>
      <c r="V10" s="53"/>
      <c r="W10" s="53"/>
      <c r="X10" s="53"/>
      <c r="Y10" s="55"/>
      <c r="AD10" s="54"/>
      <c r="AE10" s="53"/>
    </row>
    <row r="11" spans="2:53" ht="13.5" thickBot="1" x14ac:dyDescent="0.25">
      <c r="B11" s="54"/>
      <c r="C11" s="53"/>
      <c r="D11" s="1688" t="s">
        <v>431</v>
      </c>
      <c r="E11" s="1689"/>
      <c r="F11" s="1689"/>
      <c r="G11" s="1689"/>
      <c r="H11" s="1689"/>
      <c r="I11" s="1689"/>
      <c r="J11" s="1689"/>
      <c r="K11" s="1689"/>
      <c r="L11" s="1689"/>
      <c r="M11" s="1689"/>
      <c r="N11" s="1689"/>
      <c r="O11" s="1689"/>
      <c r="P11" s="1689"/>
      <c r="Q11" s="1689"/>
      <c r="R11" s="1689"/>
      <c r="S11" s="1689"/>
      <c r="T11" s="1689"/>
      <c r="U11" s="1689"/>
      <c r="V11" s="1689"/>
      <c r="W11" s="1689"/>
      <c r="X11" s="1689"/>
      <c r="Y11" s="1689"/>
      <c r="Z11" s="1689"/>
      <c r="AA11" s="1690"/>
      <c r="AB11" s="1218"/>
      <c r="AC11" s="1219"/>
      <c r="AD11" s="54"/>
      <c r="AE11" s="53"/>
      <c r="AF11" s="1714" t="s">
        <v>432</v>
      </c>
      <c r="AG11" s="1715"/>
      <c r="AH11" s="1715"/>
      <c r="AI11" s="1715"/>
      <c r="AJ11" s="1715"/>
      <c r="AK11" s="1715"/>
      <c r="AL11" s="1715"/>
      <c r="AM11" s="1715"/>
      <c r="AN11" s="1715"/>
      <c r="AO11" s="1715"/>
      <c r="AP11" s="1715"/>
      <c r="AQ11" s="1715"/>
      <c r="AR11" s="1715"/>
      <c r="AS11" s="1715"/>
      <c r="AT11" s="1715"/>
      <c r="AU11" s="1715"/>
      <c r="AV11" s="1715"/>
      <c r="AW11" s="1715"/>
      <c r="AX11" s="1715"/>
      <c r="AY11" s="1715"/>
      <c r="AZ11" s="1715"/>
      <c r="BA11" s="1716"/>
    </row>
    <row r="12" spans="2:53" ht="13.5" customHeight="1" thickBot="1" x14ac:dyDescent="0.25">
      <c r="D12" s="1002"/>
      <c r="E12" s="1003"/>
      <c r="F12" s="1686" t="s">
        <v>157</v>
      </c>
      <c r="G12" s="1687"/>
      <c r="H12" s="1717" t="s">
        <v>315</v>
      </c>
      <c r="I12" s="1718"/>
      <c r="J12" s="1717" t="s">
        <v>311</v>
      </c>
      <c r="K12" s="1718"/>
      <c r="L12" s="1721"/>
      <c r="M12" s="1717" t="s">
        <v>441</v>
      </c>
      <c r="N12" s="1718"/>
      <c r="O12" s="1721"/>
      <c r="P12" s="1717" t="s">
        <v>560</v>
      </c>
      <c r="Q12" s="1718"/>
      <c r="R12" s="1721"/>
      <c r="S12" s="1719" t="s">
        <v>439</v>
      </c>
      <c r="T12" s="1719"/>
      <c r="U12" s="1719"/>
      <c r="V12" s="1720"/>
      <c r="W12" s="1004"/>
      <c r="X12" s="1004"/>
      <c r="Y12" s="1685" t="s">
        <v>178</v>
      </c>
      <c r="Z12" s="1686"/>
      <c r="AA12" s="1687"/>
      <c r="AB12" s="1214"/>
      <c r="AC12" s="1214"/>
      <c r="AF12" s="43"/>
      <c r="AG12" s="44"/>
      <c r="AH12" s="1679" t="s">
        <v>157</v>
      </c>
      <c r="AI12" s="1680"/>
      <c r="AJ12" s="1725" t="s">
        <v>311</v>
      </c>
      <c r="AK12" s="1605"/>
      <c r="AL12" s="1726"/>
      <c r="AM12" s="1717" t="s">
        <v>441</v>
      </c>
      <c r="AN12" s="1718"/>
      <c r="AO12" s="1721"/>
      <c r="AP12" s="1717" t="s">
        <v>375</v>
      </c>
      <c r="AQ12" s="1718"/>
      <c r="AR12" s="1721"/>
      <c r="AS12" s="1723" t="s">
        <v>440</v>
      </c>
      <c r="AT12" s="1723"/>
      <c r="AU12" s="1723"/>
      <c r="AV12" s="1724"/>
      <c r="AW12" s="44"/>
      <c r="AX12" s="44"/>
      <c r="AY12" s="1685" t="s">
        <v>178</v>
      </c>
      <c r="AZ12" s="1686"/>
      <c r="BA12" s="1687"/>
    </row>
    <row r="13" spans="2:53" ht="51" x14ac:dyDescent="0.2">
      <c r="B13" s="1188" t="s">
        <v>152</v>
      </c>
      <c r="C13" s="1184" t="s">
        <v>138</v>
      </c>
      <c r="D13" s="59" t="s">
        <v>186</v>
      </c>
      <c r="E13" s="59" t="s">
        <v>187</v>
      </c>
      <c r="F13" s="58" t="s">
        <v>180</v>
      </c>
      <c r="G13" s="60" t="s">
        <v>179</v>
      </c>
      <c r="H13" s="58" t="s">
        <v>336</v>
      </c>
      <c r="I13" s="59" t="s">
        <v>337</v>
      </c>
      <c r="J13" s="58" t="s">
        <v>392</v>
      </c>
      <c r="K13" s="56" t="s">
        <v>393</v>
      </c>
      <c r="L13" s="60" t="s">
        <v>579</v>
      </c>
      <c r="M13" s="58" t="s">
        <v>392</v>
      </c>
      <c r="N13" s="59" t="s">
        <v>393</v>
      </c>
      <c r="O13" s="60" t="s">
        <v>579</v>
      </c>
      <c r="P13" s="58" t="s">
        <v>396</v>
      </c>
      <c r="Q13" s="59" t="s">
        <v>562</v>
      </c>
      <c r="R13" s="60" t="s">
        <v>579</v>
      </c>
      <c r="S13" s="1272" t="s">
        <v>338</v>
      </c>
      <c r="T13" s="1272" t="s">
        <v>338</v>
      </c>
      <c r="U13" s="1272" t="s">
        <v>396</v>
      </c>
      <c r="V13" s="1273" t="s">
        <v>396</v>
      </c>
      <c r="W13" s="59" t="s">
        <v>181</v>
      </c>
      <c r="X13" s="59" t="s">
        <v>182</v>
      </c>
      <c r="Y13" s="58" t="s">
        <v>183</v>
      </c>
      <c r="Z13" s="59" t="s">
        <v>184</v>
      </c>
      <c r="AA13" s="60" t="s">
        <v>185</v>
      </c>
      <c r="AB13" s="59"/>
      <c r="AC13" s="59"/>
      <c r="AD13" s="1188" t="s">
        <v>152</v>
      </c>
      <c r="AE13" s="1189" t="s">
        <v>138</v>
      </c>
      <c r="AF13" s="1015" t="s">
        <v>186</v>
      </c>
      <c r="AG13" s="56" t="s">
        <v>187</v>
      </c>
      <c r="AH13" s="58" t="s">
        <v>180</v>
      </c>
      <c r="AI13" s="60" t="s">
        <v>179</v>
      </c>
      <c r="AJ13" s="1182" t="s">
        <v>392</v>
      </c>
      <c r="AK13" s="1183" t="s">
        <v>393</v>
      </c>
      <c r="AL13" s="1184" t="s">
        <v>337</v>
      </c>
      <c r="AM13" s="59" t="s">
        <v>392</v>
      </c>
      <c r="AN13" s="56" t="s">
        <v>393</v>
      </c>
      <c r="AO13" s="60" t="s">
        <v>337</v>
      </c>
      <c r="AP13" s="58" t="s">
        <v>394</v>
      </c>
      <c r="AQ13" s="59" t="s">
        <v>393</v>
      </c>
      <c r="AR13" s="60" t="s">
        <v>337</v>
      </c>
      <c r="AS13" s="1430" t="s">
        <v>180</v>
      </c>
      <c r="AT13" s="1430" t="s">
        <v>179</v>
      </c>
      <c r="AU13" s="1419" t="s">
        <v>396</v>
      </c>
      <c r="AV13" s="1291" t="s">
        <v>408</v>
      </c>
      <c r="AW13" s="56" t="s">
        <v>181</v>
      </c>
      <c r="AX13" s="56" t="s">
        <v>182</v>
      </c>
      <c r="AY13" s="58" t="s">
        <v>183</v>
      </c>
      <c r="AZ13" s="59" t="s">
        <v>184</v>
      </c>
      <c r="BA13" s="60" t="s">
        <v>185</v>
      </c>
    </row>
    <row r="14" spans="2:53" x14ac:dyDescent="0.2">
      <c r="B14" s="1190"/>
      <c r="C14" s="64"/>
      <c r="D14" s="62"/>
      <c r="E14" s="62"/>
      <c r="F14" s="1221" t="s">
        <v>176</v>
      </c>
      <c r="G14" s="64"/>
      <c r="H14" s="1221" t="s">
        <v>177</v>
      </c>
      <c r="I14" s="62"/>
      <c r="J14" s="1221" t="s">
        <v>381</v>
      </c>
      <c r="K14" s="1100"/>
      <c r="L14" s="1100"/>
      <c r="M14" s="1221" t="s">
        <v>390</v>
      </c>
      <c r="N14" s="1100"/>
      <c r="O14" s="1100"/>
      <c r="P14" s="1221" t="s">
        <v>445</v>
      </c>
      <c r="Q14" s="1100"/>
      <c r="R14" s="1453"/>
      <c r="S14" s="1274" t="s">
        <v>603</v>
      </c>
      <c r="T14" s="1274"/>
      <c r="U14" s="1274" t="s">
        <v>604</v>
      </c>
      <c r="V14" s="1275"/>
      <c r="W14" s="579" t="s">
        <v>605</v>
      </c>
      <c r="X14" s="579" t="s">
        <v>606</v>
      </c>
      <c r="Y14" s="580"/>
      <c r="Z14" s="579"/>
      <c r="AA14" s="64"/>
      <c r="AB14" s="59"/>
      <c r="AC14" s="59"/>
      <c r="AD14" s="1190"/>
      <c r="AE14" s="1191"/>
      <c r="AF14" s="63"/>
      <c r="AG14" s="62"/>
      <c r="AH14" s="1221" t="s">
        <v>176</v>
      </c>
      <c r="AI14" s="64"/>
      <c r="AJ14" s="1221" t="s">
        <v>177</v>
      </c>
      <c r="AK14" s="1100"/>
      <c r="AL14" s="83"/>
      <c r="AM14" s="1406" t="s">
        <v>381</v>
      </c>
      <c r="AN14" s="1100"/>
      <c r="AO14" s="1100"/>
      <c r="AP14" s="1221" t="s">
        <v>390</v>
      </c>
      <c r="AQ14" s="62"/>
      <c r="AR14" s="64"/>
      <c r="AS14" s="1420"/>
      <c r="AT14" s="1420"/>
      <c r="AU14" s="1478" t="s">
        <v>607</v>
      </c>
      <c r="AV14" s="1292"/>
      <c r="AW14" s="1408" t="s">
        <v>608</v>
      </c>
      <c r="AX14" s="1408" t="s">
        <v>609</v>
      </c>
      <c r="AY14" s="580"/>
      <c r="AZ14" s="579"/>
      <c r="BA14" s="64"/>
    </row>
    <row r="15" spans="2:53" ht="13.5" thickBot="1" x14ac:dyDescent="0.25">
      <c r="B15" s="1192"/>
      <c r="C15" s="1301"/>
      <c r="D15" s="99" t="s">
        <v>35</v>
      </c>
      <c r="E15" s="99" t="s">
        <v>36</v>
      </c>
      <c r="F15" s="115" t="s">
        <v>13</v>
      </c>
      <c r="G15" s="116" t="s">
        <v>37</v>
      </c>
      <c r="H15" s="115" t="s">
        <v>38</v>
      </c>
      <c r="I15" s="99" t="s">
        <v>39</v>
      </c>
      <c r="J15" s="117" t="s">
        <v>40</v>
      </c>
      <c r="K15" s="1101" t="s">
        <v>41</v>
      </c>
      <c r="L15" s="1101" t="s">
        <v>42</v>
      </c>
      <c r="M15" s="117" t="s">
        <v>109</v>
      </c>
      <c r="N15" s="1101" t="s">
        <v>110</v>
      </c>
      <c r="O15" s="1101" t="s">
        <v>43</v>
      </c>
      <c r="P15" s="117" t="s">
        <v>111</v>
      </c>
      <c r="Q15" s="1101" t="s">
        <v>112</v>
      </c>
      <c r="R15" s="118" t="s">
        <v>113</v>
      </c>
      <c r="S15" s="1276" t="s">
        <v>114</v>
      </c>
      <c r="T15" s="1276" t="s">
        <v>115</v>
      </c>
      <c r="U15" s="1276" t="s">
        <v>71</v>
      </c>
      <c r="V15" s="1277" t="s">
        <v>74</v>
      </c>
      <c r="W15" s="99" t="s">
        <v>75</v>
      </c>
      <c r="X15" s="99" t="s">
        <v>76</v>
      </c>
      <c r="Y15" s="115" t="s">
        <v>165</v>
      </c>
      <c r="Z15" s="99" t="s">
        <v>208</v>
      </c>
      <c r="AA15" s="116" t="s">
        <v>203</v>
      </c>
      <c r="AB15" s="601"/>
      <c r="AC15" s="601"/>
      <c r="AD15" s="1192"/>
      <c r="AE15" s="1193"/>
      <c r="AF15" s="115" t="s">
        <v>35</v>
      </c>
      <c r="AG15" s="99" t="s">
        <v>36</v>
      </c>
      <c r="AH15" s="115" t="s">
        <v>13</v>
      </c>
      <c r="AI15" s="116" t="s">
        <v>37</v>
      </c>
      <c r="AJ15" s="117" t="s">
        <v>38</v>
      </c>
      <c r="AK15" s="1101" t="s">
        <v>39</v>
      </c>
      <c r="AL15" s="118" t="s">
        <v>40</v>
      </c>
      <c r="AM15" s="1101" t="s">
        <v>41</v>
      </c>
      <c r="AN15" s="1101" t="s">
        <v>42</v>
      </c>
      <c r="AO15" s="99" t="s">
        <v>109</v>
      </c>
      <c r="AP15" s="115" t="s">
        <v>110</v>
      </c>
      <c r="AQ15" s="99" t="s">
        <v>43</v>
      </c>
      <c r="AR15" s="116" t="s">
        <v>111</v>
      </c>
      <c r="AS15" s="1421" t="s">
        <v>112</v>
      </c>
      <c r="AT15" s="1421" t="s">
        <v>113</v>
      </c>
      <c r="AU15" s="1421" t="s">
        <v>114</v>
      </c>
      <c r="AV15" s="1293" t="s">
        <v>115</v>
      </c>
      <c r="AW15" s="99" t="s">
        <v>71</v>
      </c>
      <c r="AX15" s="99" t="s">
        <v>74</v>
      </c>
      <c r="AY15" s="115" t="s">
        <v>75</v>
      </c>
      <c r="AZ15" s="99" t="s">
        <v>76</v>
      </c>
      <c r="BA15" s="116" t="s">
        <v>165</v>
      </c>
    </row>
    <row r="16" spans="2:53" ht="18" customHeight="1" thickTop="1" x14ac:dyDescent="0.2">
      <c r="B16" s="273"/>
      <c r="C16" s="60"/>
      <c r="D16" s="68"/>
      <c r="E16" s="68"/>
      <c r="F16" s="84"/>
      <c r="G16" s="60"/>
      <c r="H16" s="43"/>
      <c r="I16" s="59"/>
      <c r="J16" s="43"/>
      <c r="K16" s="44"/>
      <c r="L16" s="44"/>
      <c r="M16" s="43"/>
      <c r="N16" s="44"/>
      <c r="O16" s="44"/>
      <c r="P16" s="43"/>
      <c r="Q16" s="44"/>
      <c r="R16" s="77"/>
      <c r="S16" s="1278"/>
      <c r="T16" s="1278"/>
      <c r="U16" s="1278"/>
      <c r="V16" s="1279"/>
      <c r="W16" s="68"/>
      <c r="X16" s="68"/>
      <c r="Y16" s="58"/>
      <c r="Z16" s="59"/>
      <c r="AA16" s="60"/>
      <c r="AB16" s="59"/>
      <c r="AC16" s="59"/>
      <c r="AD16" s="273"/>
      <c r="AE16" s="1194"/>
      <c r="AF16" s="84"/>
      <c r="AG16" s="68"/>
      <c r="AH16" s="84"/>
      <c r="AI16" s="60"/>
      <c r="AJ16" s="58"/>
      <c r="AK16" s="59"/>
      <c r="AL16" s="60"/>
      <c r="AM16" s="59"/>
      <c r="AN16" s="59"/>
      <c r="AO16" s="59"/>
      <c r="AP16" s="43"/>
      <c r="AQ16" s="59"/>
      <c r="AR16" s="60"/>
      <c r="AS16" s="1422"/>
      <c r="AT16" s="1422"/>
      <c r="AU16" s="1422"/>
      <c r="AV16" s="1294"/>
      <c r="AW16" s="68"/>
      <c r="AX16" s="68"/>
      <c r="AY16" s="58"/>
      <c r="AZ16" s="59"/>
      <c r="BA16" s="60"/>
    </row>
    <row r="17" spans="2:53" x14ac:dyDescent="0.2">
      <c r="B17" s="273">
        <v>1</v>
      </c>
      <c r="C17" s="1302" t="s">
        <v>246</v>
      </c>
      <c r="D17" s="70">
        <f>'Rate Impacts - Rev Req ONLY'!D17</f>
        <v>208635.1321174161</v>
      </c>
      <c r="E17" s="71">
        <f>'Rate Impacts - Rev Req ONLY'!E17</f>
        <v>283691.13211741613</v>
      </c>
      <c r="F17" s="85" t="e">
        <f>SUM('Rev Req Proof Yr1'!AF14:AH14)</f>
        <v>#REF!</v>
      </c>
      <c r="G17" s="75">
        <f>IFERROR((F17/D17),0)</f>
        <v>0</v>
      </c>
      <c r="H17" s="85" t="e">
        <f>SUM('Rev Req Proof Yr1'!AM14:AO14)</f>
        <v>#REF!</v>
      </c>
      <c r="I17" s="74">
        <f>IFERROR((H17/D17),0)</f>
        <v>0</v>
      </c>
      <c r="J17" s="86" t="e">
        <f>SUM('Temps Proof'!W14:Y14)</f>
        <v>#REF!</v>
      </c>
      <c r="K17" s="74">
        <f>IFERROR((J17/SUM(E17,F17,H17)),0)</f>
        <v>0</v>
      </c>
      <c r="L17" s="74">
        <f>IFERROR((J17/SUM(D17,F17)),0)</f>
        <v>0</v>
      </c>
      <c r="M17" s="86" t="e">
        <f>SUM('Temps Proof'!Y14:AA14)</f>
        <v>#REF!</v>
      </c>
      <c r="N17" s="74">
        <f>IFERROR((M17/SUM(E17,F17,H17)),0)</f>
        <v>0</v>
      </c>
      <c r="O17" s="74">
        <f>IFERROR((M17/SUM(D17,F17)),0)</f>
        <v>0</v>
      </c>
      <c r="P17" s="86" t="e">
        <f>SUM('Temps Proof'!AE14:AG14)</f>
        <v>#REF!</v>
      </c>
      <c r="Q17" s="74">
        <f>IFERROR((P17/SUM(E17,F17,H17)),0)</f>
        <v>0</v>
      </c>
      <c r="R17" s="75">
        <f>IFERROR((P17/SUM(D17,F17)),0)</f>
        <v>0</v>
      </c>
      <c r="S17" s="1452" t="e">
        <f>SUM(F17,H17)</f>
        <v>#REF!</v>
      </c>
      <c r="T17" s="1280">
        <f>IFERROR((S17/D17),0)</f>
        <v>0</v>
      </c>
      <c r="U17" s="1281" t="e">
        <f>SUM(F17,H17,J17,M17,P17)</f>
        <v>#REF!</v>
      </c>
      <c r="V17" s="1282">
        <f>IFERROR((U17/E17),0)</f>
        <v>0</v>
      </c>
      <c r="W17" s="71" t="e">
        <f>D17+S17</f>
        <v>#REF!</v>
      </c>
      <c r="X17" s="71" t="e">
        <f>E17+U17</f>
        <v>#REF!</v>
      </c>
      <c r="Y17" s="73">
        <f t="shared" ref="Y17:Y39" si="0">IFERROR((W17-D17)/D17,0)</f>
        <v>0</v>
      </c>
      <c r="Z17" s="74">
        <f t="shared" ref="Z17:Z39" si="1">IFERROR((X17-E17)/E17,0)</f>
        <v>0</v>
      </c>
      <c r="AA17" s="75">
        <f>'Avg Bill by RS'!AK14</f>
        <v>0.13600000000000001</v>
      </c>
      <c r="AB17" s="74"/>
      <c r="AC17" s="74"/>
      <c r="AD17" s="273">
        <v>1</v>
      </c>
      <c r="AE17" s="1195" t="s">
        <v>246</v>
      </c>
      <c r="AF17" s="1016" t="e">
        <f>'Rate Impacts - Rev Req ONLY'!N17</f>
        <v>#REF!</v>
      </c>
      <c r="AG17" s="71" t="e">
        <f>'Rate Impacts - Rev Req ONLY'!O17</f>
        <v>#REF!</v>
      </c>
      <c r="AH17" s="85" t="e">
        <f>SUM('Rev Req Proof Yr2'!AF14:AH14)</f>
        <v>#REF!</v>
      </c>
      <c r="AI17" s="75">
        <f>IFERROR((AH17/AF17),0)</f>
        <v>0</v>
      </c>
      <c r="AJ17" s="85" t="e">
        <f>SUM('Temps Proof'!AI14:AK14)</f>
        <v>#REF!</v>
      </c>
      <c r="AK17" s="74">
        <f>IFERROR((AJ17/SUM(AG17,AH17)),0)</f>
        <v>0</v>
      </c>
      <c r="AL17" s="75">
        <f>IFERROR((AJ17/SUM(AF17,AH17)),0)</f>
        <v>0</v>
      </c>
      <c r="AM17" s="71" t="e">
        <f>SUM('Temps Proof'!AM14:AO14)</f>
        <v>#REF!</v>
      </c>
      <c r="AN17" s="74">
        <f>IFERROR((AM17/SUM(AG17,AH17)),0)</f>
        <v>0</v>
      </c>
      <c r="AO17" s="74">
        <f>IFERROR((AM17/SUM(AF17,AH17)),0)</f>
        <v>0</v>
      </c>
      <c r="AP17" s="85" t="e">
        <f>SUM('Temps Proof'!AQ14:AS14)</f>
        <v>#REF!</v>
      </c>
      <c r="AQ17" s="74">
        <f>IFERROR((AP17/SUM(AG17,AH17)),0)</f>
        <v>0</v>
      </c>
      <c r="AR17" s="75">
        <f>IFERROR((AP17/SUM(AF17,AH17)),0)</f>
        <v>0</v>
      </c>
      <c r="AS17" s="1423" t="e">
        <f>AH17</f>
        <v>#REF!</v>
      </c>
      <c r="AT17" s="1427">
        <f>AI17</f>
        <v>0</v>
      </c>
      <c r="AU17" s="1423" t="e">
        <f>AH17+AJ17+AM17+AP17-(J17+M17+P17)</f>
        <v>#REF!</v>
      </c>
      <c r="AV17" s="1295">
        <f>IFERROR((AU17/AG17),0)</f>
        <v>0</v>
      </c>
      <c r="AW17" s="71" t="e">
        <f>AF17+AH17</f>
        <v>#REF!</v>
      </c>
      <c r="AX17" s="71" t="e">
        <f t="shared" ref="AX17:AX39" si="2">AG17+AU17</f>
        <v>#REF!</v>
      </c>
      <c r="AY17" s="73">
        <f t="shared" ref="AY17:AY39" si="3">IFERROR((AW17-AF17)/AF17,0)</f>
        <v>0</v>
      </c>
      <c r="AZ17" s="74">
        <f t="shared" ref="AZ17:AZ39" si="4">IFERROR((AX17-AG17)/AG17,0)</f>
        <v>0</v>
      </c>
      <c r="BA17" s="75">
        <f>'Avg Bill by RS'!BD14</f>
        <v>3.5999999999999997E-2</v>
      </c>
    </row>
    <row r="18" spans="2:53" x14ac:dyDescent="0.2">
      <c r="B18" s="273">
        <v>2</v>
      </c>
      <c r="C18" s="720" t="s">
        <v>247</v>
      </c>
      <c r="D18" s="70">
        <f>'Rate Impacts - Rev Req ONLY'!D18</f>
        <v>37604.380821902283</v>
      </c>
      <c r="E18" s="71">
        <f>'Rate Impacts - Rev Req ONLY'!E18</f>
        <v>53871.380821902283</v>
      </c>
      <c r="F18" s="85" t="e">
        <f>SUM('Rev Req Proof Yr1'!AF15:AH15)</f>
        <v>#REF!</v>
      </c>
      <c r="G18" s="75">
        <f>IFERROR((F18/D18),0)</f>
        <v>0</v>
      </c>
      <c r="H18" s="85" t="e">
        <f>SUM('Rev Req Proof Yr1'!AM15:AO15)</f>
        <v>#REF!</v>
      </c>
      <c r="I18" s="74">
        <f t="shared" ref="I18:I39" si="5">IFERROR((H18/D18),0)</f>
        <v>0</v>
      </c>
      <c r="J18" s="86" t="e">
        <f>SUM('Temps Proof'!W15:Y15)</f>
        <v>#REF!</v>
      </c>
      <c r="K18" s="74">
        <f t="shared" ref="K18:K39" si="6">IFERROR((J18/SUM(E18,F18,H18)),0)</f>
        <v>0</v>
      </c>
      <c r="L18" s="74">
        <f t="shared" ref="L18:L39" si="7">IFERROR((J18/SUM(D18,F18)),0)</f>
        <v>0</v>
      </c>
      <c r="M18" s="86" t="e">
        <f>SUM('Temps Proof'!Y15:AA15)</f>
        <v>#REF!</v>
      </c>
      <c r="N18" s="74">
        <f t="shared" ref="N18:N39" si="8">IFERROR((M18/SUM(E18,F18,H18)),0)</f>
        <v>0</v>
      </c>
      <c r="O18" s="74">
        <f t="shared" ref="O18:O39" si="9">IFERROR((M18/SUM(D18,F18)),0)</f>
        <v>0</v>
      </c>
      <c r="P18" s="86" t="e">
        <f>SUM('Temps Proof'!AE15:AG15)</f>
        <v>#REF!</v>
      </c>
      <c r="Q18" s="74">
        <f t="shared" ref="Q18:Q39" si="10">IFERROR((P18/SUM(E18,F18,H18)),0)</f>
        <v>0</v>
      </c>
      <c r="R18" s="75">
        <f t="shared" ref="R18:R39" si="11">IFERROR((P18/SUM(D18,F18)),0)</f>
        <v>0</v>
      </c>
      <c r="S18" s="1452" t="e">
        <f t="shared" ref="S18:S38" si="12">SUM(F18,H18)</f>
        <v>#REF!</v>
      </c>
      <c r="T18" s="1280">
        <f t="shared" ref="T18:T39" si="13">IFERROR((S18/D18),0)</f>
        <v>0</v>
      </c>
      <c r="U18" s="1281" t="e">
        <f t="shared" ref="U18:U39" si="14">SUM(F18,H18,J18,M18,P18)</f>
        <v>#REF!</v>
      </c>
      <c r="V18" s="1282">
        <f t="shared" ref="V18:V39" si="15">IFERROR((U18/E18),0)</f>
        <v>0</v>
      </c>
      <c r="W18" s="71" t="e">
        <f t="shared" ref="W18:W39" si="16">D18+S18</f>
        <v>#REF!</v>
      </c>
      <c r="X18" s="71" t="e">
        <f t="shared" ref="X18:X39" si="17">E18+U18</f>
        <v>#REF!</v>
      </c>
      <c r="Y18" s="73">
        <f t="shared" si="0"/>
        <v>0</v>
      </c>
      <c r="Z18" s="74">
        <f t="shared" si="1"/>
        <v>0</v>
      </c>
      <c r="AA18" s="75">
        <f>'Avg Bill by RS'!AK15</f>
        <v>0.14299999999999999</v>
      </c>
      <c r="AB18" s="74"/>
      <c r="AC18" s="74"/>
      <c r="AD18" s="273">
        <v>2</v>
      </c>
      <c r="AE18" s="1196" t="s">
        <v>247</v>
      </c>
      <c r="AF18" s="1016" t="e">
        <f>'Rate Impacts - Rev Req ONLY'!N18</f>
        <v>#REF!</v>
      </c>
      <c r="AG18" s="71" t="e">
        <f>'Rate Impacts - Rev Req ONLY'!O18</f>
        <v>#REF!</v>
      </c>
      <c r="AH18" s="85" t="e">
        <f>SUM('Rev Req Proof Yr2'!AF15:AH15)</f>
        <v>#REF!</v>
      </c>
      <c r="AI18" s="75">
        <f>IFERROR((AH18/AF18),0)</f>
        <v>0</v>
      </c>
      <c r="AJ18" s="85" t="e">
        <f>SUM('Temps Proof'!AI15:AK15)</f>
        <v>#REF!</v>
      </c>
      <c r="AK18" s="74">
        <f t="shared" ref="AK18:AK39" si="18">IFERROR((AJ18/SUM(AG18,AH18)),0)</f>
        <v>0</v>
      </c>
      <c r="AL18" s="75">
        <f t="shared" ref="AL18:AL39" si="19">IFERROR((AJ18/SUM(AF18,AH18)),0)</f>
        <v>0</v>
      </c>
      <c r="AM18" s="71" t="e">
        <f>SUM('Temps Proof'!AM15:AO15)</f>
        <v>#REF!</v>
      </c>
      <c r="AN18" s="74">
        <f t="shared" ref="AN18:AN39" si="20">IFERROR((AM18/SUM(AG18,AH18)),0)</f>
        <v>0</v>
      </c>
      <c r="AO18" s="74">
        <f t="shared" ref="AO18:AO39" si="21">IFERROR((AM18/SUM(AF18,AH18)),0)</f>
        <v>0</v>
      </c>
      <c r="AP18" s="85" t="e">
        <f>SUM('Temps Proof'!AQ15:AS15)</f>
        <v>#REF!</v>
      </c>
      <c r="AQ18" s="74">
        <f t="shared" ref="AQ18:AQ39" si="22">IFERROR((AP18/SUM(AG18,AH18)),0)</f>
        <v>0</v>
      </c>
      <c r="AR18" s="75">
        <f t="shared" ref="AR18:AR39" si="23">IFERROR((AP18/SUM(AF18,AH18)),0)</f>
        <v>0</v>
      </c>
      <c r="AS18" s="1423" t="e">
        <f t="shared" ref="AS18:AS39" si="24">AH18</f>
        <v>#REF!</v>
      </c>
      <c r="AT18" s="1427">
        <f t="shared" ref="AT18:AT39" si="25">AI18</f>
        <v>0</v>
      </c>
      <c r="AU18" s="1423" t="e">
        <f t="shared" ref="AU18:AU39" si="26">AH18+AJ18+AM18+AP18-(J18+M18+P18)</f>
        <v>#REF!</v>
      </c>
      <c r="AV18" s="1295">
        <f t="shared" ref="AV18:AV39" si="27">IFERROR((AU18/AG18),0)</f>
        <v>0</v>
      </c>
      <c r="AW18" s="71" t="e">
        <f t="shared" ref="AW18:AW39" si="28">AF18+AH18</f>
        <v>#REF!</v>
      </c>
      <c r="AX18" s="71" t="e">
        <f t="shared" si="2"/>
        <v>#REF!</v>
      </c>
      <c r="AY18" s="73">
        <f t="shared" si="3"/>
        <v>0</v>
      </c>
      <c r="AZ18" s="74">
        <f t="shared" si="4"/>
        <v>0</v>
      </c>
      <c r="BA18" s="75">
        <f>'Avg Bill by RS'!BD15</f>
        <v>3.4000000000000002E-2</v>
      </c>
    </row>
    <row r="19" spans="2:53" x14ac:dyDescent="0.2">
      <c r="B19" s="273">
        <v>3</v>
      </c>
      <c r="C19" s="720" t="s">
        <v>12</v>
      </c>
      <c r="D19" s="70">
        <f>'Rate Impacts - Rev Req ONLY'!D19</f>
        <v>33798099.589697547</v>
      </c>
      <c r="E19" s="71">
        <f>'Rate Impacts - Rev Req ONLY'!E19</f>
        <v>53008197.589697547</v>
      </c>
      <c r="F19" s="85" t="e">
        <f>SUM('Rev Req Proof Yr1'!AF16:AH16)</f>
        <v>#REF!</v>
      </c>
      <c r="G19" s="75">
        <f t="shared" ref="G19:G34" si="29">IFERROR((F19/D19),0)</f>
        <v>0</v>
      </c>
      <c r="H19" s="85" t="e">
        <f>SUM('Rev Req Proof Yr1'!AM16:AO16)</f>
        <v>#REF!</v>
      </c>
      <c r="I19" s="74">
        <f t="shared" si="5"/>
        <v>0</v>
      </c>
      <c r="J19" s="86" t="e">
        <f>SUM('Temps Proof'!W16:Y16)</f>
        <v>#REF!</v>
      </c>
      <c r="K19" s="74">
        <f t="shared" si="6"/>
        <v>0</v>
      </c>
      <c r="L19" s="74">
        <f t="shared" si="7"/>
        <v>0</v>
      </c>
      <c r="M19" s="86" t="e">
        <f>SUM('Temps Proof'!Y16:AA16)</f>
        <v>#REF!</v>
      </c>
      <c r="N19" s="74">
        <f t="shared" si="8"/>
        <v>0</v>
      </c>
      <c r="O19" s="74">
        <f t="shared" si="9"/>
        <v>0</v>
      </c>
      <c r="P19" s="86" t="e">
        <f>SUM('Temps Proof'!AE16:AG16)</f>
        <v>#REF!</v>
      </c>
      <c r="Q19" s="74">
        <f t="shared" si="10"/>
        <v>0</v>
      </c>
      <c r="R19" s="75">
        <f t="shared" si="11"/>
        <v>0</v>
      </c>
      <c r="S19" s="1452" t="e">
        <f>SUM(F19,H19)</f>
        <v>#REF!</v>
      </c>
      <c r="T19" s="1280">
        <f t="shared" si="13"/>
        <v>0</v>
      </c>
      <c r="U19" s="1281" t="e">
        <f t="shared" si="14"/>
        <v>#REF!</v>
      </c>
      <c r="V19" s="1282">
        <f t="shared" si="15"/>
        <v>0</v>
      </c>
      <c r="W19" s="71" t="e">
        <f t="shared" si="16"/>
        <v>#REF!</v>
      </c>
      <c r="X19" s="71" t="e">
        <f t="shared" si="17"/>
        <v>#REF!</v>
      </c>
      <c r="Y19" s="73">
        <f t="shared" si="0"/>
        <v>0</v>
      </c>
      <c r="Z19" s="74">
        <f t="shared" si="1"/>
        <v>0</v>
      </c>
      <c r="AA19" s="75">
        <f>'Avg Bill by RS'!AK16</f>
        <v>0.157</v>
      </c>
      <c r="AB19" s="74"/>
      <c r="AC19" s="74"/>
      <c r="AD19" s="273">
        <v>3</v>
      </c>
      <c r="AE19" s="1196" t="s">
        <v>12</v>
      </c>
      <c r="AF19" s="1016" t="e">
        <f>'Rate Impacts - Rev Req ONLY'!N19</f>
        <v>#REF!</v>
      </c>
      <c r="AG19" s="71" t="e">
        <f>'Rate Impacts - Rev Req ONLY'!O19</f>
        <v>#REF!</v>
      </c>
      <c r="AH19" s="85" t="e">
        <f>SUM('Rev Req Proof Yr2'!AF16:AH16)</f>
        <v>#REF!</v>
      </c>
      <c r="AI19" s="75">
        <f t="shared" ref="AI19:AI24" si="30">IFERROR((AH19/AF19),0)</f>
        <v>0</v>
      </c>
      <c r="AJ19" s="85" t="e">
        <f>SUM('Temps Proof'!AI16:AK16)</f>
        <v>#REF!</v>
      </c>
      <c r="AK19" s="74">
        <f t="shared" si="18"/>
        <v>0</v>
      </c>
      <c r="AL19" s="75">
        <f t="shared" si="19"/>
        <v>0</v>
      </c>
      <c r="AM19" s="71" t="e">
        <f>SUM('Temps Proof'!AM16:AO16)</f>
        <v>#REF!</v>
      </c>
      <c r="AN19" s="74">
        <f t="shared" si="20"/>
        <v>0</v>
      </c>
      <c r="AO19" s="74">
        <f t="shared" si="21"/>
        <v>0</v>
      </c>
      <c r="AP19" s="85" t="e">
        <f>SUM('Temps Proof'!AQ16:AS16)</f>
        <v>#REF!</v>
      </c>
      <c r="AQ19" s="74">
        <f t="shared" si="22"/>
        <v>0</v>
      </c>
      <c r="AR19" s="75">
        <f t="shared" si="23"/>
        <v>0</v>
      </c>
      <c r="AS19" s="1423" t="e">
        <f t="shared" si="24"/>
        <v>#REF!</v>
      </c>
      <c r="AT19" s="1427">
        <f t="shared" si="25"/>
        <v>0</v>
      </c>
      <c r="AU19" s="1423" t="e">
        <f t="shared" si="26"/>
        <v>#REF!</v>
      </c>
      <c r="AV19" s="1295">
        <f t="shared" si="27"/>
        <v>0</v>
      </c>
      <c r="AW19" s="71" t="e">
        <f t="shared" si="28"/>
        <v>#REF!</v>
      </c>
      <c r="AX19" s="71" t="e">
        <f t="shared" si="2"/>
        <v>#REF!</v>
      </c>
      <c r="AY19" s="73">
        <f t="shared" si="3"/>
        <v>0</v>
      </c>
      <c r="AZ19" s="74">
        <f t="shared" si="4"/>
        <v>0</v>
      </c>
      <c r="BA19" s="75">
        <f>'Avg Bill by RS'!BD16</f>
        <v>3.1E-2</v>
      </c>
    </row>
    <row r="20" spans="2:53" x14ac:dyDescent="0.2">
      <c r="B20" s="273">
        <v>4</v>
      </c>
      <c r="C20" s="720" t="s">
        <v>10</v>
      </c>
      <c r="D20" s="70">
        <f>'Rate Impacts - Rev Req ONLY'!D20</f>
        <v>9866168.0688334089</v>
      </c>
      <c r="E20" s="71">
        <f>'Rate Impacts - Rev Req ONLY'!E20</f>
        <v>16112007.068833409</v>
      </c>
      <c r="F20" s="85" t="e">
        <f>SUM('Rev Req Proof Yr1'!AF17:AH17)</f>
        <v>#REF!</v>
      </c>
      <c r="G20" s="75">
        <f t="shared" si="29"/>
        <v>0</v>
      </c>
      <c r="H20" s="85" t="e">
        <f>SUM('Rev Req Proof Yr1'!AM17:AO17)</f>
        <v>#REF!</v>
      </c>
      <c r="I20" s="74">
        <f t="shared" si="5"/>
        <v>0</v>
      </c>
      <c r="J20" s="86" t="e">
        <f>SUM('Temps Proof'!W17:Y17)</f>
        <v>#REF!</v>
      </c>
      <c r="K20" s="74">
        <f t="shared" si="6"/>
        <v>0</v>
      </c>
      <c r="L20" s="74">
        <f t="shared" si="7"/>
        <v>0</v>
      </c>
      <c r="M20" s="86" t="e">
        <f>SUM('Temps Proof'!Y17:AA17)</f>
        <v>#REF!</v>
      </c>
      <c r="N20" s="74">
        <f t="shared" si="8"/>
        <v>0</v>
      </c>
      <c r="O20" s="74">
        <f t="shared" si="9"/>
        <v>0</v>
      </c>
      <c r="P20" s="86" t="e">
        <f>SUM('Temps Proof'!AE17:AG17)</f>
        <v>#REF!</v>
      </c>
      <c r="Q20" s="74">
        <f t="shared" si="10"/>
        <v>0</v>
      </c>
      <c r="R20" s="75">
        <f t="shared" si="11"/>
        <v>0</v>
      </c>
      <c r="S20" s="1452" t="e">
        <f t="shared" si="12"/>
        <v>#REF!</v>
      </c>
      <c r="T20" s="1280">
        <f t="shared" si="13"/>
        <v>0</v>
      </c>
      <c r="U20" s="1281" t="e">
        <f t="shared" si="14"/>
        <v>#REF!</v>
      </c>
      <c r="V20" s="1282">
        <f t="shared" si="15"/>
        <v>0</v>
      </c>
      <c r="W20" s="71" t="e">
        <f t="shared" si="16"/>
        <v>#REF!</v>
      </c>
      <c r="X20" s="71" t="e">
        <f t="shared" si="17"/>
        <v>#REF!</v>
      </c>
      <c r="Y20" s="73">
        <f t="shared" si="0"/>
        <v>0</v>
      </c>
      <c r="Z20" s="74">
        <f t="shared" si="1"/>
        <v>0</v>
      </c>
      <c r="AA20" s="75">
        <f>'Avg Bill by RS'!AK17</f>
        <v>0.16200000000000001</v>
      </c>
      <c r="AB20" s="74"/>
      <c r="AC20" s="74"/>
      <c r="AD20" s="273">
        <v>4</v>
      </c>
      <c r="AE20" s="1196" t="s">
        <v>10</v>
      </c>
      <c r="AF20" s="1016" t="e">
        <f>'Rate Impacts - Rev Req ONLY'!N20</f>
        <v>#REF!</v>
      </c>
      <c r="AG20" s="71" t="e">
        <f>'Rate Impacts - Rev Req ONLY'!O20</f>
        <v>#REF!</v>
      </c>
      <c r="AH20" s="85" t="e">
        <f>SUM('Rev Req Proof Yr2'!AF17:AH17)</f>
        <v>#REF!</v>
      </c>
      <c r="AI20" s="75">
        <f t="shared" si="30"/>
        <v>0</v>
      </c>
      <c r="AJ20" s="85" t="e">
        <f>SUM('Temps Proof'!AI17:AK17)</f>
        <v>#REF!</v>
      </c>
      <c r="AK20" s="74">
        <f t="shared" si="18"/>
        <v>0</v>
      </c>
      <c r="AL20" s="75">
        <f t="shared" si="19"/>
        <v>0</v>
      </c>
      <c r="AM20" s="71" t="e">
        <f>SUM('Temps Proof'!AM17:AO17)</f>
        <v>#REF!</v>
      </c>
      <c r="AN20" s="74">
        <f t="shared" si="20"/>
        <v>0</v>
      </c>
      <c r="AO20" s="74">
        <f t="shared" si="21"/>
        <v>0</v>
      </c>
      <c r="AP20" s="85" t="e">
        <f>SUM('Temps Proof'!AQ17:AS17)</f>
        <v>#REF!</v>
      </c>
      <c r="AQ20" s="74">
        <f t="shared" si="22"/>
        <v>0</v>
      </c>
      <c r="AR20" s="75">
        <f t="shared" si="23"/>
        <v>0</v>
      </c>
      <c r="AS20" s="1423" t="e">
        <f t="shared" si="24"/>
        <v>#REF!</v>
      </c>
      <c r="AT20" s="1427">
        <f t="shared" si="25"/>
        <v>0</v>
      </c>
      <c r="AU20" s="1423" t="e">
        <f t="shared" si="26"/>
        <v>#REF!</v>
      </c>
      <c r="AV20" s="1295">
        <f t="shared" si="27"/>
        <v>0</v>
      </c>
      <c r="AW20" s="71" t="e">
        <f t="shared" si="28"/>
        <v>#REF!</v>
      </c>
      <c r="AX20" s="71" t="e">
        <f t="shared" si="2"/>
        <v>#REF!</v>
      </c>
      <c r="AY20" s="73">
        <f t="shared" si="3"/>
        <v>0</v>
      </c>
      <c r="AZ20" s="74">
        <f t="shared" si="4"/>
        <v>0</v>
      </c>
      <c r="BA20" s="75">
        <f>'Avg Bill by RS'!BD17</f>
        <v>2.9000000000000001E-2</v>
      </c>
    </row>
    <row r="21" spans="2:53" x14ac:dyDescent="0.2">
      <c r="B21" s="273">
        <v>5</v>
      </c>
      <c r="C21" s="720" t="s">
        <v>11</v>
      </c>
      <c r="D21" s="70">
        <f>'Rate Impacts - Rev Req ONLY'!D21</f>
        <v>141888.72505190157</v>
      </c>
      <c r="E21" s="71">
        <f>'Rate Impacts - Rev Req ONLY'!E21</f>
        <v>241043.72505190157</v>
      </c>
      <c r="F21" s="85" t="e">
        <f>SUM('Rev Req Proof Yr1'!AF18:AH18)</f>
        <v>#REF!</v>
      </c>
      <c r="G21" s="75">
        <f t="shared" si="29"/>
        <v>0</v>
      </c>
      <c r="H21" s="85" t="e">
        <f>SUM('Rev Req Proof Yr1'!AM18:AO18)</f>
        <v>#REF!</v>
      </c>
      <c r="I21" s="74">
        <f t="shared" si="5"/>
        <v>0</v>
      </c>
      <c r="J21" s="86" t="e">
        <f>SUM('Temps Proof'!W18:Y18)</f>
        <v>#REF!</v>
      </c>
      <c r="K21" s="74">
        <f t="shared" si="6"/>
        <v>0</v>
      </c>
      <c r="L21" s="74">
        <f t="shared" si="7"/>
        <v>0</v>
      </c>
      <c r="M21" s="86" t="e">
        <f>SUM('Temps Proof'!Y18:AA18)</f>
        <v>#REF!</v>
      </c>
      <c r="N21" s="74">
        <f t="shared" si="8"/>
        <v>0</v>
      </c>
      <c r="O21" s="74">
        <f t="shared" si="9"/>
        <v>0</v>
      </c>
      <c r="P21" s="86" t="e">
        <f>SUM('Temps Proof'!AE18:AG18)</f>
        <v>#REF!</v>
      </c>
      <c r="Q21" s="74">
        <f t="shared" si="10"/>
        <v>0</v>
      </c>
      <c r="R21" s="75">
        <f t="shared" si="11"/>
        <v>0</v>
      </c>
      <c r="S21" s="1452" t="e">
        <f t="shared" si="12"/>
        <v>#REF!</v>
      </c>
      <c r="T21" s="1280">
        <f t="shared" si="13"/>
        <v>0</v>
      </c>
      <c r="U21" s="1281" t="e">
        <f t="shared" si="14"/>
        <v>#REF!</v>
      </c>
      <c r="V21" s="1282">
        <f t="shared" si="15"/>
        <v>0</v>
      </c>
      <c r="W21" s="71" t="e">
        <f t="shared" si="16"/>
        <v>#REF!</v>
      </c>
      <c r="X21" s="71" t="e">
        <f t="shared" si="17"/>
        <v>#REF!</v>
      </c>
      <c r="Y21" s="73">
        <f t="shared" si="0"/>
        <v>0</v>
      </c>
      <c r="Z21" s="74">
        <f t="shared" si="1"/>
        <v>0</v>
      </c>
      <c r="AA21" s="75">
        <f>'Avg Bill by RS'!AK18</f>
        <v>0.17799999999999999</v>
      </c>
      <c r="AB21" s="74"/>
      <c r="AC21" s="74"/>
      <c r="AD21" s="273">
        <v>5</v>
      </c>
      <c r="AE21" s="1196" t="s">
        <v>11</v>
      </c>
      <c r="AF21" s="1016" t="e">
        <f>'Rate Impacts - Rev Req ONLY'!N21</f>
        <v>#REF!</v>
      </c>
      <c r="AG21" s="71" t="e">
        <f>'Rate Impacts - Rev Req ONLY'!O21</f>
        <v>#REF!</v>
      </c>
      <c r="AH21" s="85" t="e">
        <f>SUM('Rev Req Proof Yr2'!AF18:AH18)</f>
        <v>#REF!</v>
      </c>
      <c r="AI21" s="75">
        <f t="shared" si="30"/>
        <v>0</v>
      </c>
      <c r="AJ21" s="85" t="e">
        <f>SUM('Temps Proof'!AI18:AK18)</f>
        <v>#REF!</v>
      </c>
      <c r="AK21" s="74">
        <f t="shared" si="18"/>
        <v>0</v>
      </c>
      <c r="AL21" s="75">
        <f t="shared" si="19"/>
        <v>0</v>
      </c>
      <c r="AM21" s="71" t="e">
        <f>SUM('Temps Proof'!AM18:AO18)</f>
        <v>#REF!</v>
      </c>
      <c r="AN21" s="74">
        <f t="shared" si="20"/>
        <v>0</v>
      </c>
      <c r="AO21" s="74">
        <f t="shared" si="21"/>
        <v>0</v>
      </c>
      <c r="AP21" s="85" t="e">
        <f>SUM('Temps Proof'!AQ18:AS18)</f>
        <v>#REF!</v>
      </c>
      <c r="AQ21" s="74">
        <f t="shared" si="22"/>
        <v>0</v>
      </c>
      <c r="AR21" s="75">
        <f t="shared" si="23"/>
        <v>0</v>
      </c>
      <c r="AS21" s="1423" t="e">
        <f t="shared" si="24"/>
        <v>#REF!</v>
      </c>
      <c r="AT21" s="1427">
        <f t="shared" si="25"/>
        <v>0</v>
      </c>
      <c r="AU21" s="1423" t="e">
        <f t="shared" si="26"/>
        <v>#REF!</v>
      </c>
      <c r="AV21" s="1295">
        <f t="shared" si="27"/>
        <v>0</v>
      </c>
      <c r="AW21" s="71" t="e">
        <f t="shared" si="28"/>
        <v>#REF!</v>
      </c>
      <c r="AX21" s="71" t="e">
        <f t="shared" si="2"/>
        <v>#REF!</v>
      </c>
      <c r="AY21" s="73">
        <f t="shared" si="3"/>
        <v>0</v>
      </c>
      <c r="AZ21" s="74">
        <f t="shared" si="4"/>
        <v>0</v>
      </c>
      <c r="BA21" s="75">
        <f>'Avg Bill by RS'!BD18</f>
        <v>0.03</v>
      </c>
    </row>
    <row r="22" spans="2:53" x14ac:dyDescent="0.2">
      <c r="B22" s="1197">
        <v>6</v>
      </c>
      <c r="C22" s="720">
        <v>27</v>
      </c>
      <c r="D22" s="70">
        <f>'Rate Impacts - Rev Req ONLY'!D22</f>
        <v>201938.20437801833</v>
      </c>
      <c r="E22" s="71">
        <f>'Rate Impacts - Rev Req ONLY'!E22</f>
        <v>363218.20437801839</v>
      </c>
      <c r="F22" s="85" t="e">
        <f>SUM('Rev Req Proof Yr1'!AF19:AH19)</f>
        <v>#REF!</v>
      </c>
      <c r="G22" s="75">
        <f t="shared" si="29"/>
        <v>0</v>
      </c>
      <c r="H22" s="85" t="e">
        <f>SUM('Rev Req Proof Yr1'!AM19:AO19)</f>
        <v>#REF!</v>
      </c>
      <c r="I22" s="74">
        <f t="shared" si="5"/>
        <v>0</v>
      </c>
      <c r="J22" s="86" t="e">
        <f>SUM('Temps Proof'!W19:Y19)</f>
        <v>#REF!</v>
      </c>
      <c r="K22" s="74">
        <f t="shared" si="6"/>
        <v>0</v>
      </c>
      <c r="L22" s="74">
        <f t="shared" si="7"/>
        <v>0</v>
      </c>
      <c r="M22" s="86" t="e">
        <f>SUM('Temps Proof'!Y19:AA19)</f>
        <v>#REF!</v>
      </c>
      <c r="N22" s="74">
        <f t="shared" si="8"/>
        <v>0</v>
      </c>
      <c r="O22" s="74">
        <f t="shared" si="9"/>
        <v>0</v>
      </c>
      <c r="P22" s="86" t="e">
        <f>SUM('Temps Proof'!AE19:AG19)</f>
        <v>#REF!</v>
      </c>
      <c r="Q22" s="74">
        <f t="shared" si="10"/>
        <v>0</v>
      </c>
      <c r="R22" s="75">
        <f t="shared" si="11"/>
        <v>0</v>
      </c>
      <c r="S22" s="1452" t="e">
        <f t="shared" si="12"/>
        <v>#REF!</v>
      </c>
      <c r="T22" s="1280">
        <f t="shared" si="13"/>
        <v>0</v>
      </c>
      <c r="U22" s="1281" t="e">
        <f t="shared" si="14"/>
        <v>#REF!</v>
      </c>
      <c r="V22" s="1282">
        <f t="shared" si="15"/>
        <v>0</v>
      </c>
      <c r="W22" s="71" t="e">
        <f t="shared" si="16"/>
        <v>#REF!</v>
      </c>
      <c r="X22" s="71" t="e">
        <f t="shared" si="17"/>
        <v>#REF!</v>
      </c>
      <c r="Y22" s="73">
        <f t="shared" si="0"/>
        <v>0</v>
      </c>
      <c r="Z22" s="74">
        <f t="shared" si="1"/>
        <v>0</v>
      </c>
      <c r="AA22" s="75">
        <f>'Avg Bill by RS'!AK19</f>
        <v>0.17599999999999999</v>
      </c>
      <c r="AB22" s="74"/>
      <c r="AC22" s="74"/>
      <c r="AD22" s="1197">
        <v>6</v>
      </c>
      <c r="AE22" s="1196">
        <v>27</v>
      </c>
      <c r="AF22" s="1016" t="e">
        <f>'Rate Impacts - Rev Req ONLY'!N22</f>
        <v>#REF!</v>
      </c>
      <c r="AG22" s="71" t="e">
        <f>'Rate Impacts - Rev Req ONLY'!O22</f>
        <v>#REF!</v>
      </c>
      <c r="AH22" s="85" t="e">
        <f>SUM('Rev Req Proof Yr2'!AF19:AH19)</f>
        <v>#REF!</v>
      </c>
      <c r="AI22" s="75">
        <f t="shared" si="30"/>
        <v>0</v>
      </c>
      <c r="AJ22" s="85" t="e">
        <f>SUM('Temps Proof'!AI19:AK19)</f>
        <v>#REF!</v>
      </c>
      <c r="AK22" s="74">
        <f t="shared" si="18"/>
        <v>0</v>
      </c>
      <c r="AL22" s="75">
        <f t="shared" si="19"/>
        <v>0</v>
      </c>
      <c r="AM22" s="71" t="e">
        <f>SUM('Temps Proof'!AM19:AO19)</f>
        <v>#REF!</v>
      </c>
      <c r="AN22" s="74">
        <f t="shared" si="20"/>
        <v>0</v>
      </c>
      <c r="AO22" s="74">
        <f t="shared" si="21"/>
        <v>0</v>
      </c>
      <c r="AP22" s="85" t="e">
        <f>SUM('Temps Proof'!AQ19:AS19)</f>
        <v>#REF!</v>
      </c>
      <c r="AQ22" s="74">
        <f t="shared" si="22"/>
        <v>0</v>
      </c>
      <c r="AR22" s="75">
        <f t="shared" si="23"/>
        <v>0</v>
      </c>
      <c r="AS22" s="1423" t="e">
        <f t="shared" si="24"/>
        <v>#REF!</v>
      </c>
      <c r="AT22" s="1427">
        <f t="shared" si="25"/>
        <v>0</v>
      </c>
      <c r="AU22" s="1423" t="e">
        <f t="shared" si="26"/>
        <v>#REF!</v>
      </c>
      <c r="AV22" s="1295">
        <f t="shared" si="27"/>
        <v>0</v>
      </c>
      <c r="AW22" s="71" t="e">
        <f t="shared" si="28"/>
        <v>#REF!</v>
      </c>
      <c r="AX22" s="71" t="e">
        <f t="shared" si="2"/>
        <v>#REF!</v>
      </c>
      <c r="AY22" s="73">
        <f t="shared" si="3"/>
        <v>0</v>
      </c>
      <c r="AZ22" s="74">
        <f t="shared" si="4"/>
        <v>0</v>
      </c>
      <c r="BA22" s="75">
        <f>'Avg Bill by RS'!BD19</f>
        <v>2.7E-2</v>
      </c>
    </row>
    <row r="23" spans="2:53" x14ac:dyDescent="0.2">
      <c r="B23" s="273">
        <v>7</v>
      </c>
      <c r="C23" s="720" t="s">
        <v>266</v>
      </c>
      <c r="D23" s="70">
        <f>'Rate Impacts - Rev Req ONLY'!D23</f>
        <v>1542348.175315036</v>
      </c>
      <c r="E23" s="71">
        <f>'Rate Impacts - Rev Req ONLY'!E23</f>
        <v>2853836.1753150364</v>
      </c>
      <c r="F23" s="85" t="e">
        <f>SUM('Rev Req Proof Yr1'!AF22:AH22)</f>
        <v>#REF!</v>
      </c>
      <c r="G23" s="75">
        <f t="shared" si="29"/>
        <v>0</v>
      </c>
      <c r="H23" s="85" t="e">
        <f>SUM('Rev Req Proof Yr1'!AM22:AO22)</f>
        <v>#REF!</v>
      </c>
      <c r="I23" s="74">
        <f t="shared" si="5"/>
        <v>0</v>
      </c>
      <c r="J23" s="86" t="e">
        <f>SUM('Temps Proof'!W22:Y22)</f>
        <v>#REF!</v>
      </c>
      <c r="K23" s="74">
        <f t="shared" si="6"/>
        <v>0</v>
      </c>
      <c r="L23" s="74">
        <f t="shared" si="7"/>
        <v>0</v>
      </c>
      <c r="M23" s="86" t="e">
        <f>SUM('Temps Proof'!Y22:AA22)</f>
        <v>#REF!</v>
      </c>
      <c r="N23" s="74">
        <f t="shared" si="8"/>
        <v>0</v>
      </c>
      <c r="O23" s="74">
        <f t="shared" si="9"/>
        <v>0</v>
      </c>
      <c r="P23" s="86" t="e">
        <f>SUM('Temps Proof'!AE22:AG22)</f>
        <v>#REF!</v>
      </c>
      <c r="Q23" s="74">
        <f t="shared" si="10"/>
        <v>0</v>
      </c>
      <c r="R23" s="75">
        <f t="shared" si="11"/>
        <v>0</v>
      </c>
      <c r="S23" s="1452" t="e">
        <f t="shared" si="12"/>
        <v>#REF!</v>
      </c>
      <c r="T23" s="1280">
        <f t="shared" si="13"/>
        <v>0</v>
      </c>
      <c r="U23" s="1281" t="e">
        <f t="shared" si="14"/>
        <v>#REF!</v>
      </c>
      <c r="V23" s="1282">
        <f t="shared" si="15"/>
        <v>0</v>
      </c>
      <c r="W23" s="71" t="e">
        <f t="shared" si="16"/>
        <v>#REF!</v>
      </c>
      <c r="X23" s="71" t="e">
        <f t="shared" si="17"/>
        <v>#REF!</v>
      </c>
      <c r="Y23" s="73">
        <f t="shared" si="0"/>
        <v>0</v>
      </c>
      <c r="Z23" s="74">
        <f t="shared" si="1"/>
        <v>0</v>
      </c>
      <c r="AA23" s="75">
        <f>'Avg Bill by RS'!AK22</f>
        <v>0.19400000000000001</v>
      </c>
      <c r="AB23" s="74"/>
      <c r="AC23" s="74"/>
      <c r="AD23" s="273">
        <v>7</v>
      </c>
      <c r="AE23" s="1196" t="s">
        <v>266</v>
      </c>
      <c r="AF23" s="1016" t="e">
        <f>'Rate Impacts - Rev Req ONLY'!N23</f>
        <v>#REF!</v>
      </c>
      <c r="AG23" s="71" t="e">
        <f>'Rate Impacts - Rev Req ONLY'!O23</f>
        <v>#REF!</v>
      </c>
      <c r="AH23" s="85" t="e">
        <f>SUM('Rev Req Proof Yr2'!AF22:AH22)</f>
        <v>#REF!</v>
      </c>
      <c r="AI23" s="75">
        <f t="shared" si="30"/>
        <v>0</v>
      </c>
      <c r="AJ23" s="85" t="e">
        <f>SUM('Temps Proof'!AI22:AK22)</f>
        <v>#REF!</v>
      </c>
      <c r="AK23" s="74">
        <f t="shared" si="18"/>
        <v>0</v>
      </c>
      <c r="AL23" s="75">
        <f t="shared" si="19"/>
        <v>0</v>
      </c>
      <c r="AM23" s="71" t="e">
        <f>SUM('Temps Proof'!AM22:AO22)</f>
        <v>#REF!</v>
      </c>
      <c r="AN23" s="74">
        <f t="shared" si="20"/>
        <v>0</v>
      </c>
      <c r="AO23" s="74">
        <f t="shared" si="21"/>
        <v>0</v>
      </c>
      <c r="AP23" s="85" t="e">
        <f>SUM('Temps Proof'!AQ22:AS22)</f>
        <v>#REF!</v>
      </c>
      <c r="AQ23" s="74">
        <f t="shared" si="22"/>
        <v>0</v>
      </c>
      <c r="AR23" s="75">
        <f t="shared" si="23"/>
        <v>0</v>
      </c>
      <c r="AS23" s="1423" t="e">
        <f t="shared" si="24"/>
        <v>#REF!</v>
      </c>
      <c r="AT23" s="1427">
        <f t="shared" si="25"/>
        <v>0</v>
      </c>
      <c r="AU23" s="1423" t="e">
        <f t="shared" si="26"/>
        <v>#REF!</v>
      </c>
      <c r="AV23" s="1295">
        <f t="shared" si="27"/>
        <v>0</v>
      </c>
      <c r="AW23" s="71" t="e">
        <f t="shared" si="28"/>
        <v>#REF!</v>
      </c>
      <c r="AX23" s="71" t="e">
        <f t="shared" si="2"/>
        <v>#REF!</v>
      </c>
      <c r="AY23" s="73">
        <f t="shared" si="3"/>
        <v>0</v>
      </c>
      <c r="AZ23" s="74">
        <f t="shared" si="4"/>
        <v>0</v>
      </c>
      <c r="BA23" s="75">
        <f>'Avg Bill by RS'!BD22</f>
        <v>2.9000000000000001E-2</v>
      </c>
    </row>
    <row r="24" spans="2:53" x14ac:dyDescent="0.2">
      <c r="B24" s="273">
        <v>8</v>
      </c>
      <c r="C24" s="720" t="s">
        <v>267</v>
      </c>
      <c r="D24" s="70">
        <f>'Rate Impacts - Rev Req ONLY'!D24</f>
        <v>392614.2804678994</v>
      </c>
      <c r="E24" s="71">
        <f>'Rate Impacts - Rev Req ONLY'!E24</f>
        <v>747266.28046789952</v>
      </c>
      <c r="F24" s="85" t="e">
        <f>SUM('Rev Req Proof Yr1'!AF25:AH25)</f>
        <v>#REF!</v>
      </c>
      <c r="G24" s="75">
        <f t="shared" si="29"/>
        <v>0</v>
      </c>
      <c r="H24" s="85" t="e">
        <f>SUM('Rev Req Proof Yr1'!AM25:AO25)</f>
        <v>#REF!</v>
      </c>
      <c r="I24" s="74">
        <f t="shared" si="5"/>
        <v>0</v>
      </c>
      <c r="J24" s="86" t="e">
        <f>SUM('Temps Proof'!W25:Y25)</f>
        <v>#REF!</v>
      </c>
      <c r="K24" s="74">
        <f t="shared" si="6"/>
        <v>0</v>
      </c>
      <c r="L24" s="74">
        <f t="shared" si="7"/>
        <v>0</v>
      </c>
      <c r="M24" s="86" t="e">
        <f>SUM('Temps Proof'!Y25:AA25)</f>
        <v>#REF!</v>
      </c>
      <c r="N24" s="74">
        <f t="shared" si="8"/>
        <v>0</v>
      </c>
      <c r="O24" s="74">
        <f t="shared" si="9"/>
        <v>0</v>
      </c>
      <c r="P24" s="86" t="e">
        <f>SUM('Temps Proof'!AE25:AG25)</f>
        <v>#REF!</v>
      </c>
      <c r="Q24" s="74">
        <f t="shared" si="10"/>
        <v>0</v>
      </c>
      <c r="R24" s="75">
        <f t="shared" si="11"/>
        <v>0</v>
      </c>
      <c r="S24" s="1452" t="e">
        <f t="shared" si="12"/>
        <v>#REF!</v>
      </c>
      <c r="T24" s="1280">
        <f t="shared" si="13"/>
        <v>0</v>
      </c>
      <c r="U24" s="1281" t="e">
        <f t="shared" si="14"/>
        <v>#REF!</v>
      </c>
      <c r="V24" s="1282">
        <f t="shared" si="15"/>
        <v>0</v>
      </c>
      <c r="W24" s="71" t="e">
        <f t="shared" si="16"/>
        <v>#REF!</v>
      </c>
      <c r="X24" s="71" t="e">
        <f t="shared" si="17"/>
        <v>#REF!</v>
      </c>
      <c r="Y24" s="73">
        <f t="shared" si="0"/>
        <v>0</v>
      </c>
      <c r="Z24" s="74">
        <f t="shared" si="1"/>
        <v>0</v>
      </c>
      <c r="AA24" s="75">
        <f>'Avg Bill by RS'!AK25</f>
        <v>0.17599999999999999</v>
      </c>
      <c r="AB24" s="74"/>
      <c r="AC24" s="74"/>
      <c r="AD24" s="273">
        <v>8</v>
      </c>
      <c r="AE24" s="1196" t="s">
        <v>267</v>
      </c>
      <c r="AF24" s="1016" t="e">
        <f>'Rate Impacts - Rev Req ONLY'!N24</f>
        <v>#REF!</v>
      </c>
      <c r="AG24" s="71" t="e">
        <f>'Rate Impacts - Rev Req ONLY'!O24</f>
        <v>#REF!</v>
      </c>
      <c r="AH24" s="85" t="e">
        <f>SUM('Rev Req Proof Yr2'!AF25:AH25)</f>
        <v>#REF!</v>
      </c>
      <c r="AI24" s="75">
        <f t="shared" si="30"/>
        <v>0</v>
      </c>
      <c r="AJ24" s="86" t="e">
        <f>SUM('Temps Proof'!AI25:AK25)</f>
        <v>#REF!</v>
      </c>
      <c r="AK24" s="74">
        <f t="shared" si="18"/>
        <v>0</v>
      </c>
      <c r="AL24" s="75">
        <f t="shared" si="19"/>
        <v>0</v>
      </c>
      <c r="AM24" s="1102" t="e">
        <f>SUM('Temps Proof'!AM25:AO25)</f>
        <v>#REF!</v>
      </c>
      <c r="AN24" s="74">
        <f t="shared" si="20"/>
        <v>0</v>
      </c>
      <c r="AO24" s="74">
        <f t="shared" si="21"/>
        <v>0</v>
      </c>
      <c r="AP24" s="85" t="e">
        <f>SUM('Temps Proof'!AQ25:AS25)</f>
        <v>#REF!</v>
      </c>
      <c r="AQ24" s="74">
        <f t="shared" si="22"/>
        <v>0</v>
      </c>
      <c r="AR24" s="75">
        <f t="shared" si="23"/>
        <v>0</v>
      </c>
      <c r="AS24" s="1423" t="e">
        <f t="shared" si="24"/>
        <v>#REF!</v>
      </c>
      <c r="AT24" s="1427">
        <f t="shared" si="25"/>
        <v>0</v>
      </c>
      <c r="AU24" s="1423" t="e">
        <f t="shared" si="26"/>
        <v>#REF!</v>
      </c>
      <c r="AV24" s="1295">
        <f t="shared" si="27"/>
        <v>0</v>
      </c>
      <c r="AW24" s="71" t="e">
        <f t="shared" si="28"/>
        <v>#REF!</v>
      </c>
      <c r="AX24" s="71" t="e">
        <f t="shared" si="2"/>
        <v>#REF!</v>
      </c>
      <c r="AY24" s="73">
        <f t="shared" si="3"/>
        <v>0</v>
      </c>
      <c r="AZ24" s="74">
        <f t="shared" si="4"/>
        <v>0</v>
      </c>
      <c r="BA24" s="75">
        <f>'Avg Bill by RS'!BD25</f>
        <v>8.9999999999999993E-3</v>
      </c>
    </row>
    <row r="25" spans="2:53" x14ac:dyDescent="0.2">
      <c r="B25" s="273">
        <v>9</v>
      </c>
      <c r="C25" s="720" t="s">
        <v>269</v>
      </c>
      <c r="D25" s="70">
        <f>'Rate Impacts - Rev Req ONLY'!D25</f>
        <v>0</v>
      </c>
      <c r="E25" s="71">
        <f>'Rate Impacts - Rev Req ONLY'!E25</f>
        <v>0</v>
      </c>
      <c r="F25" s="85" t="e">
        <f>SUM('Rev Req Proof Yr1'!AF28:AH28)</f>
        <v>#REF!</v>
      </c>
      <c r="G25" s="75">
        <f>IFERROR((F25/D25),0)</f>
        <v>0</v>
      </c>
      <c r="H25" s="85" t="e">
        <f>SUM('Rev Req Proof Yr1'!AM28:AO28)</f>
        <v>#REF!</v>
      </c>
      <c r="I25" s="74">
        <f t="shared" si="5"/>
        <v>0</v>
      </c>
      <c r="J25" s="86" t="e">
        <f>SUM('Temps Proof'!W28:Y28)</f>
        <v>#REF!</v>
      </c>
      <c r="K25" s="74">
        <f t="shared" si="6"/>
        <v>0</v>
      </c>
      <c r="L25" s="74">
        <f t="shared" si="7"/>
        <v>0</v>
      </c>
      <c r="M25" s="86" t="e">
        <f>SUM('Temps Proof'!Y28:AA28)</f>
        <v>#REF!</v>
      </c>
      <c r="N25" s="74">
        <f t="shared" si="8"/>
        <v>0</v>
      </c>
      <c r="O25" s="74">
        <f t="shared" si="9"/>
        <v>0</v>
      </c>
      <c r="P25" s="86" t="e">
        <f>SUM('Temps Proof'!AE28:AG28)</f>
        <v>#REF!</v>
      </c>
      <c r="Q25" s="74">
        <f t="shared" si="10"/>
        <v>0</v>
      </c>
      <c r="R25" s="75">
        <f t="shared" si="11"/>
        <v>0</v>
      </c>
      <c r="S25" s="1452" t="e">
        <f t="shared" si="12"/>
        <v>#REF!</v>
      </c>
      <c r="T25" s="1280">
        <f t="shared" si="13"/>
        <v>0</v>
      </c>
      <c r="U25" s="1281" t="e">
        <f t="shared" si="14"/>
        <v>#REF!</v>
      </c>
      <c r="V25" s="1282">
        <f t="shared" si="15"/>
        <v>0</v>
      </c>
      <c r="W25" s="71" t="e">
        <f t="shared" si="16"/>
        <v>#REF!</v>
      </c>
      <c r="X25" s="71" t="e">
        <f t="shared" si="17"/>
        <v>#REF!</v>
      </c>
      <c r="Y25" s="73">
        <f t="shared" si="0"/>
        <v>0</v>
      </c>
      <c r="Z25" s="74">
        <f t="shared" si="1"/>
        <v>0</v>
      </c>
      <c r="AA25" s="75">
        <f>'Avg Bill by RS'!AK28</f>
        <v>0</v>
      </c>
      <c r="AB25" s="74"/>
      <c r="AC25" s="74"/>
      <c r="AD25" s="273">
        <v>9</v>
      </c>
      <c r="AE25" s="1196" t="s">
        <v>269</v>
      </c>
      <c r="AF25" s="1016" t="e">
        <f>'Rate Impacts - Rev Req ONLY'!N25</f>
        <v>#REF!</v>
      </c>
      <c r="AG25" s="71" t="e">
        <f>'Rate Impacts - Rev Req ONLY'!O25</f>
        <v>#REF!</v>
      </c>
      <c r="AH25" s="85" t="e">
        <f>SUM('Rev Req Proof Yr2'!AF28:AH28)</f>
        <v>#REF!</v>
      </c>
      <c r="AI25" s="75">
        <f>IFERROR((AH25/AF25),0)</f>
        <v>0</v>
      </c>
      <c r="AJ25" s="86" t="e">
        <f>SUM('Temps Proof'!AI28:AK28)</f>
        <v>#REF!</v>
      </c>
      <c r="AK25" s="74">
        <f t="shared" si="18"/>
        <v>0</v>
      </c>
      <c r="AL25" s="75">
        <f t="shared" si="19"/>
        <v>0</v>
      </c>
      <c r="AM25" s="1102" t="e">
        <f>SUM('Temps Proof'!AM28:AO28)</f>
        <v>#REF!</v>
      </c>
      <c r="AN25" s="74">
        <f t="shared" si="20"/>
        <v>0</v>
      </c>
      <c r="AO25" s="74">
        <f t="shared" si="21"/>
        <v>0</v>
      </c>
      <c r="AP25" s="85" t="e">
        <f>SUM('Temps Proof'!AQ28:AS28)</f>
        <v>#REF!</v>
      </c>
      <c r="AQ25" s="74">
        <f t="shared" si="22"/>
        <v>0</v>
      </c>
      <c r="AR25" s="75">
        <f t="shared" si="23"/>
        <v>0</v>
      </c>
      <c r="AS25" s="1423" t="e">
        <f t="shared" si="24"/>
        <v>#REF!</v>
      </c>
      <c r="AT25" s="1427">
        <f t="shared" si="25"/>
        <v>0</v>
      </c>
      <c r="AU25" s="1423" t="e">
        <f t="shared" si="26"/>
        <v>#REF!</v>
      </c>
      <c r="AV25" s="1295">
        <f t="shared" si="27"/>
        <v>0</v>
      </c>
      <c r="AW25" s="71" t="e">
        <f t="shared" si="28"/>
        <v>#REF!</v>
      </c>
      <c r="AX25" s="71" t="e">
        <f t="shared" si="2"/>
        <v>#REF!</v>
      </c>
      <c r="AY25" s="73">
        <f t="shared" si="3"/>
        <v>0</v>
      </c>
      <c r="AZ25" s="74">
        <f t="shared" si="4"/>
        <v>0</v>
      </c>
      <c r="BA25" s="75">
        <f>'Avg Bill by RS'!BD28</f>
        <v>0</v>
      </c>
    </row>
    <row r="26" spans="2:53" x14ac:dyDescent="0.2">
      <c r="B26" s="273">
        <v>10</v>
      </c>
      <c r="C26" s="720" t="s">
        <v>270</v>
      </c>
      <c r="D26" s="70">
        <f>'Rate Impacts - Rev Req ONLY'!D26</f>
        <v>0</v>
      </c>
      <c r="E26" s="71">
        <f>'Rate Impacts - Rev Req ONLY'!E26</f>
        <v>0</v>
      </c>
      <c r="F26" s="85" t="e">
        <f>SUM('Rev Req Proof Yr1'!AF31:AH31)</f>
        <v>#REF!</v>
      </c>
      <c r="G26" s="75">
        <f t="shared" si="29"/>
        <v>0</v>
      </c>
      <c r="H26" s="85" t="e">
        <f>SUM('Rev Req Proof Yr1'!AM31:AO31)</f>
        <v>#REF!</v>
      </c>
      <c r="I26" s="74">
        <f t="shared" si="5"/>
        <v>0</v>
      </c>
      <c r="J26" s="86" t="e">
        <f>SUM('Temps Proof'!W31:Y31)</f>
        <v>#REF!</v>
      </c>
      <c r="K26" s="74">
        <f t="shared" si="6"/>
        <v>0</v>
      </c>
      <c r="L26" s="74">
        <f t="shared" si="7"/>
        <v>0</v>
      </c>
      <c r="M26" s="86" t="e">
        <f>SUM('Temps Proof'!Y31:AA31)</f>
        <v>#REF!</v>
      </c>
      <c r="N26" s="74">
        <f t="shared" si="8"/>
        <v>0</v>
      </c>
      <c r="O26" s="74">
        <f t="shared" si="9"/>
        <v>0</v>
      </c>
      <c r="P26" s="86" t="e">
        <f>SUM('Temps Proof'!AE31:AG31)</f>
        <v>#REF!</v>
      </c>
      <c r="Q26" s="74">
        <f t="shared" si="10"/>
        <v>0</v>
      </c>
      <c r="R26" s="75">
        <f t="shared" si="11"/>
        <v>0</v>
      </c>
      <c r="S26" s="1452" t="e">
        <f t="shared" si="12"/>
        <v>#REF!</v>
      </c>
      <c r="T26" s="1280">
        <f t="shared" si="13"/>
        <v>0</v>
      </c>
      <c r="U26" s="1281" t="e">
        <f t="shared" si="14"/>
        <v>#REF!</v>
      </c>
      <c r="V26" s="1282">
        <f t="shared" si="15"/>
        <v>0</v>
      </c>
      <c r="W26" s="71" t="e">
        <f t="shared" si="16"/>
        <v>#REF!</v>
      </c>
      <c r="X26" s="71" t="e">
        <f t="shared" si="17"/>
        <v>#REF!</v>
      </c>
      <c r="Y26" s="73">
        <f t="shared" si="0"/>
        <v>0</v>
      </c>
      <c r="Z26" s="74">
        <f t="shared" si="1"/>
        <v>0</v>
      </c>
      <c r="AA26" s="75">
        <f>'Avg Bill by RS'!AK31</f>
        <v>0</v>
      </c>
      <c r="AB26" s="74"/>
      <c r="AC26" s="74"/>
      <c r="AD26" s="273">
        <v>10</v>
      </c>
      <c r="AE26" s="1196" t="s">
        <v>270</v>
      </c>
      <c r="AF26" s="1016" t="e">
        <f>'Rate Impacts - Rev Req ONLY'!N26</f>
        <v>#REF!</v>
      </c>
      <c r="AG26" s="71" t="e">
        <f>'Rate Impacts - Rev Req ONLY'!O26</f>
        <v>#REF!</v>
      </c>
      <c r="AH26" s="85" t="e">
        <f>SUM('Rev Req Proof Yr2'!AF31:AH31)</f>
        <v>#REF!</v>
      </c>
      <c r="AI26" s="75">
        <f t="shared" ref="AI26" si="31">IFERROR((AH26/AF26),0)</f>
        <v>0</v>
      </c>
      <c r="AJ26" s="86" t="e">
        <f>SUM('Temps Proof'!AI31:AK31)</f>
        <v>#REF!</v>
      </c>
      <c r="AK26" s="74">
        <f t="shared" si="18"/>
        <v>0</v>
      </c>
      <c r="AL26" s="75">
        <f t="shared" si="19"/>
        <v>0</v>
      </c>
      <c r="AM26" s="1102" t="e">
        <f>SUM('Temps Proof'!AM31:AO31)</f>
        <v>#REF!</v>
      </c>
      <c r="AN26" s="74">
        <f t="shared" si="20"/>
        <v>0</v>
      </c>
      <c r="AO26" s="74">
        <f t="shared" si="21"/>
        <v>0</v>
      </c>
      <c r="AP26" s="85" t="e">
        <f>SUM('Temps Proof'!AQ31:AS31)</f>
        <v>#REF!</v>
      </c>
      <c r="AQ26" s="74">
        <f t="shared" si="22"/>
        <v>0</v>
      </c>
      <c r="AR26" s="75">
        <f t="shared" si="23"/>
        <v>0</v>
      </c>
      <c r="AS26" s="1423" t="e">
        <f t="shared" si="24"/>
        <v>#REF!</v>
      </c>
      <c r="AT26" s="1427">
        <f t="shared" si="25"/>
        <v>0</v>
      </c>
      <c r="AU26" s="1423" t="e">
        <f t="shared" si="26"/>
        <v>#REF!</v>
      </c>
      <c r="AV26" s="1295">
        <f t="shared" si="27"/>
        <v>0</v>
      </c>
      <c r="AW26" s="71" t="e">
        <f t="shared" si="28"/>
        <v>#REF!</v>
      </c>
      <c r="AX26" s="71" t="e">
        <f t="shared" si="2"/>
        <v>#REF!</v>
      </c>
      <c r="AY26" s="73">
        <f t="shared" si="3"/>
        <v>0</v>
      </c>
      <c r="AZ26" s="74">
        <f t="shared" si="4"/>
        <v>0</v>
      </c>
      <c r="BA26" s="75">
        <f>'Avg Bill by RS'!BD31</f>
        <v>0</v>
      </c>
    </row>
    <row r="27" spans="2:53" x14ac:dyDescent="0.2">
      <c r="B27" s="273">
        <v>11</v>
      </c>
      <c r="C27" s="720" t="s">
        <v>271</v>
      </c>
      <c r="D27" s="70">
        <f>'Rate Impacts - Rev Req ONLY'!D27</f>
        <v>189841.33809000003</v>
      </c>
      <c r="E27" s="71">
        <f>'Rate Impacts - Rev Req ONLY'!E27</f>
        <v>189841.33809000003</v>
      </c>
      <c r="F27" s="85" t="e">
        <f>SUM('Rev Req Proof Yr1'!AF34:AH34)</f>
        <v>#REF!</v>
      </c>
      <c r="G27" s="75">
        <f>IFERROR((F27/D27),0)</f>
        <v>0</v>
      </c>
      <c r="H27" s="85" t="e">
        <f>SUM('Rev Req Proof Yr1'!AM34:AO34)</f>
        <v>#REF!</v>
      </c>
      <c r="I27" s="74">
        <f t="shared" si="5"/>
        <v>0</v>
      </c>
      <c r="J27" s="86" t="e">
        <f>SUM('Temps Proof'!W34:Y34)</f>
        <v>#REF!</v>
      </c>
      <c r="K27" s="74">
        <f t="shared" si="6"/>
        <v>0</v>
      </c>
      <c r="L27" s="74">
        <f t="shared" si="7"/>
        <v>0</v>
      </c>
      <c r="M27" s="86" t="e">
        <f>SUM('Temps Proof'!Y34:AA34)</f>
        <v>#REF!</v>
      </c>
      <c r="N27" s="74">
        <f t="shared" si="8"/>
        <v>0</v>
      </c>
      <c r="O27" s="74">
        <f t="shared" si="9"/>
        <v>0</v>
      </c>
      <c r="P27" s="86" t="e">
        <f>SUM('Temps Proof'!AE34:AG34)</f>
        <v>#REF!</v>
      </c>
      <c r="Q27" s="74">
        <f t="shared" si="10"/>
        <v>0</v>
      </c>
      <c r="R27" s="75">
        <f t="shared" si="11"/>
        <v>0</v>
      </c>
      <c r="S27" s="1452" t="e">
        <f t="shared" si="12"/>
        <v>#REF!</v>
      </c>
      <c r="T27" s="1280">
        <f t="shared" si="13"/>
        <v>0</v>
      </c>
      <c r="U27" s="1281" t="e">
        <f t="shared" si="14"/>
        <v>#REF!</v>
      </c>
      <c r="V27" s="1282">
        <f t="shared" si="15"/>
        <v>0</v>
      </c>
      <c r="W27" s="71" t="e">
        <f t="shared" si="16"/>
        <v>#REF!</v>
      </c>
      <c r="X27" s="71" t="e">
        <f t="shared" si="17"/>
        <v>#REF!</v>
      </c>
      <c r="Y27" s="73">
        <f t="shared" si="0"/>
        <v>0</v>
      </c>
      <c r="Z27" s="74">
        <f t="shared" si="1"/>
        <v>0</v>
      </c>
      <c r="AA27" s="75">
        <f>'Avg Bill by RS'!AK34</f>
        <v>4.5999999999999999E-2</v>
      </c>
      <c r="AB27" s="74"/>
      <c r="AC27" s="74"/>
      <c r="AD27" s="273">
        <v>11</v>
      </c>
      <c r="AE27" s="1196" t="s">
        <v>271</v>
      </c>
      <c r="AF27" s="1016" t="e">
        <f>'Rate Impacts - Rev Req ONLY'!N27</f>
        <v>#REF!</v>
      </c>
      <c r="AG27" s="71" t="e">
        <f>'Rate Impacts - Rev Req ONLY'!O27</f>
        <v>#REF!</v>
      </c>
      <c r="AH27" s="85" t="e">
        <f>SUM('Rev Req Proof Yr2'!AF34:AH34)</f>
        <v>#REF!</v>
      </c>
      <c r="AI27" s="75">
        <f>IFERROR((AH27/AF27),0)</f>
        <v>0</v>
      </c>
      <c r="AJ27" s="86" t="e">
        <f>SUM('Temps Proof'!AI34:AK34)</f>
        <v>#REF!</v>
      </c>
      <c r="AK27" s="74">
        <f t="shared" si="18"/>
        <v>0</v>
      </c>
      <c r="AL27" s="75">
        <f t="shared" si="19"/>
        <v>0</v>
      </c>
      <c r="AM27" s="1102" t="e">
        <f>SUM('Temps Proof'!AM34:AO34)</f>
        <v>#REF!</v>
      </c>
      <c r="AN27" s="74">
        <f t="shared" si="20"/>
        <v>0</v>
      </c>
      <c r="AO27" s="74">
        <f t="shared" si="21"/>
        <v>0</v>
      </c>
      <c r="AP27" s="85" t="e">
        <f>SUM('Temps Proof'!AQ34:AS34)</f>
        <v>#REF!</v>
      </c>
      <c r="AQ27" s="74">
        <f t="shared" si="22"/>
        <v>0</v>
      </c>
      <c r="AR27" s="75">
        <f t="shared" si="23"/>
        <v>0</v>
      </c>
      <c r="AS27" s="1423" t="e">
        <f t="shared" si="24"/>
        <v>#REF!</v>
      </c>
      <c r="AT27" s="1427">
        <f t="shared" si="25"/>
        <v>0</v>
      </c>
      <c r="AU27" s="1423" t="e">
        <f t="shared" si="26"/>
        <v>#REF!</v>
      </c>
      <c r="AV27" s="1295">
        <f t="shared" si="27"/>
        <v>0</v>
      </c>
      <c r="AW27" s="71" t="e">
        <f t="shared" si="28"/>
        <v>#REF!</v>
      </c>
      <c r="AX27" s="71" t="e">
        <f t="shared" si="2"/>
        <v>#REF!</v>
      </c>
      <c r="AY27" s="73">
        <f t="shared" si="3"/>
        <v>0</v>
      </c>
      <c r="AZ27" s="74">
        <f t="shared" si="4"/>
        <v>0</v>
      </c>
      <c r="BA27" s="75">
        <f>'Avg Bill by RS'!BD34</f>
        <v>1.7000000000000001E-2</v>
      </c>
    </row>
    <row r="28" spans="2:53" x14ac:dyDescent="0.2">
      <c r="B28" s="273">
        <v>12</v>
      </c>
      <c r="C28" s="720" t="s">
        <v>272</v>
      </c>
      <c r="D28" s="70">
        <f>'Rate Impacts - Rev Req ONLY'!D28</f>
        <v>0</v>
      </c>
      <c r="E28" s="71">
        <f>'Rate Impacts - Rev Req ONLY'!E28</f>
        <v>0</v>
      </c>
      <c r="F28" s="85" t="e">
        <f>SUM('Rev Req Proof Yr1'!AF37:AH37)</f>
        <v>#REF!</v>
      </c>
      <c r="G28" s="75">
        <f>IFERROR((F28/D28),0)</f>
        <v>0</v>
      </c>
      <c r="H28" s="85" t="e">
        <f>SUM('Rev Req Proof Yr1'!AM37:AO37)</f>
        <v>#REF!</v>
      </c>
      <c r="I28" s="74">
        <f t="shared" si="5"/>
        <v>0</v>
      </c>
      <c r="J28" s="86" t="e">
        <f>SUM('Temps Proof'!W37:Y37)</f>
        <v>#REF!</v>
      </c>
      <c r="K28" s="74">
        <f t="shared" si="6"/>
        <v>0</v>
      </c>
      <c r="L28" s="74">
        <f t="shared" si="7"/>
        <v>0</v>
      </c>
      <c r="M28" s="86" t="e">
        <f>SUM('Temps Proof'!Y37:AA37)</f>
        <v>#REF!</v>
      </c>
      <c r="N28" s="74">
        <f t="shared" si="8"/>
        <v>0</v>
      </c>
      <c r="O28" s="74">
        <f t="shared" si="9"/>
        <v>0</v>
      </c>
      <c r="P28" s="86" t="e">
        <f>SUM('Temps Proof'!AE37:AG37)</f>
        <v>#REF!</v>
      </c>
      <c r="Q28" s="74">
        <f t="shared" si="10"/>
        <v>0</v>
      </c>
      <c r="R28" s="75">
        <f t="shared" si="11"/>
        <v>0</v>
      </c>
      <c r="S28" s="1452" t="e">
        <f t="shared" si="12"/>
        <v>#REF!</v>
      </c>
      <c r="T28" s="1280">
        <f t="shared" si="13"/>
        <v>0</v>
      </c>
      <c r="U28" s="1281" t="e">
        <f t="shared" si="14"/>
        <v>#REF!</v>
      </c>
      <c r="V28" s="1282">
        <f t="shared" si="15"/>
        <v>0</v>
      </c>
      <c r="W28" s="71" t="e">
        <f t="shared" si="16"/>
        <v>#REF!</v>
      </c>
      <c r="X28" s="71" t="e">
        <f t="shared" si="17"/>
        <v>#REF!</v>
      </c>
      <c r="Y28" s="73">
        <f t="shared" si="0"/>
        <v>0</v>
      </c>
      <c r="Z28" s="74">
        <f t="shared" si="1"/>
        <v>0</v>
      </c>
      <c r="AA28" s="75">
        <f>'Avg Bill by RS'!AK37</f>
        <v>0</v>
      </c>
      <c r="AB28" s="74"/>
      <c r="AC28" s="74"/>
      <c r="AD28" s="273">
        <v>12</v>
      </c>
      <c r="AE28" s="1196" t="s">
        <v>272</v>
      </c>
      <c r="AF28" s="1016" t="e">
        <f>'Rate Impacts - Rev Req ONLY'!N28</f>
        <v>#REF!</v>
      </c>
      <c r="AG28" s="71" t="e">
        <f>'Rate Impacts - Rev Req ONLY'!O28</f>
        <v>#REF!</v>
      </c>
      <c r="AH28" s="85" t="e">
        <f>SUM('Rev Req Proof Yr2'!AF37:AH37)</f>
        <v>#REF!</v>
      </c>
      <c r="AI28" s="75">
        <f>IFERROR((AH28/AF28),0)</f>
        <v>0</v>
      </c>
      <c r="AJ28" s="86" t="e">
        <f>SUM('Temps Proof'!AI37:AK37)</f>
        <v>#REF!</v>
      </c>
      <c r="AK28" s="74">
        <f t="shared" si="18"/>
        <v>0</v>
      </c>
      <c r="AL28" s="75">
        <f t="shared" si="19"/>
        <v>0</v>
      </c>
      <c r="AM28" s="1102" t="e">
        <f>SUM('Temps Proof'!AM37:AO37)</f>
        <v>#REF!</v>
      </c>
      <c r="AN28" s="74">
        <f t="shared" si="20"/>
        <v>0</v>
      </c>
      <c r="AO28" s="74">
        <f t="shared" si="21"/>
        <v>0</v>
      </c>
      <c r="AP28" s="85" t="e">
        <f>SUM('Temps Proof'!AQ37:AS37)</f>
        <v>#REF!</v>
      </c>
      <c r="AQ28" s="74">
        <f t="shared" si="22"/>
        <v>0</v>
      </c>
      <c r="AR28" s="75">
        <f t="shared" si="23"/>
        <v>0</v>
      </c>
      <c r="AS28" s="1423" t="e">
        <f t="shared" si="24"/>
        <v>#REF!</v>
      </c>
      <c r="AT28" s="1427">
        <f t="shared" si="25"/>
        <v>0</v>
      </c>
      <c r="AU28" s="1423" t="e">
        <f t="shared" si="26"/>
        <v>#REF!</v>
      </c>
      <c r="AV28" s="1295">
        <f t="shared" si="27"/>
        <v>0</v>
      </c>
      <c r="AW28" s="71" t="e">
        <f t="shared" si="28"/>
        <v>#REF!</v>
      </c>
      <c r="AX28" s="71" t="e">
        <f t="shared" si="2"/>
        <v>#REF!</v>
      </c>
      <c r="AY28" s="73">
        <f t="shared" si="3"/>
        <v>0</v>
      </c>
      <c r="AZ28" s="74">
        <f t="shared" si="4"/>
        <v>0</v>
      </c>
      <c r="BA28" s="75">
        <f>'Avg Bill by RS'!BD37</f>
        <v>0</v>
      </c>
    </row>
    <row r="29" spans="2:53" x14ac:dyDescent="0.2">
      <c r="B29" s="273">
        <v>13</v>
      </c>
      <c r="C29" s="720" t="s">
        <v>273</v>
      </c>
      <c r="D29" s="70">
        <f>'Rate Impacts - Rev Req ONLY'!D29</f>
        <v>219574.60083981926</v>
      </c>
      <c r="E29" s="71">
        <f>'Rate Impacts - Rev Req ONLY'!E29</f>
        <v>470188.60083981924</v>
      </c>
      <c r="F29" s="85" t="e">
        <f>SUM('Rev Req Proof Yr1'!AF44:AH44)</f>
        <v>#REF!</v>
      </c>
      <c r="G29" s="75">
        <f t="shared" si="29"/>
        <v>0</v>
      </c>
      <c r="H29" s="85" t="e">
        <f>SUM('Rev Req Proof Yr1'!AM44:AO44)</f>
        <v>#REF!</v>
      </c>
      <c r="I29" s="74">
        <f t="shared" si="5"/>
        <v>0</v>
      </c>
      <c r="J29" s="86" t="e">
        <f>SUM('Temps Proof'!W44:Y44)</f>
        <v>#REF!</v>
      </c>
      <c r="K29" s="74">
        <f t="shared" si="6"/>
        <v>0</v>
      </c>
      <c r="L29" s="74">
        <f t="shared" si="7"/>
        <v>0</v>
      </c>
      <c r="M29" s="86" t="e">
        <f>SUM('Temps Proof'!Y44:AA44)</f>
        <v>#REF!</v>
      </c>
      <c r="N29" s="74">
        <f t="shared" si="8"/>
        <v>0</v>
      </c>
      <c r="O29" s="74">
        <f t="shared" si="9"/>
        <v>0</v>
      </c>
      <c r="P29" s="86" t="e">
        <f>SUM('Temps Proof'!AE44:AG44)</f>
        <v>#REF!</v>
      </c>
      <c r="Q29" s="74">
        <f t="shared" si="10"/>
        <v>0</v>
      </c>
      <c r="R29" s="75">
        <f t="shared" si="11"/>
        <v>0</v>
      </c>
      <c r="S29" s="1452" t="e">
        <f t="shared" si="12"/>
        <v>#REF!</v>
      </c>
      <c r="T29" s="1280">
        <f t="shared" si="13"/>
        <v>0</v>
      </c>
      <c r="U29" s="1281" t="e">
        <f t="shared" si="14"/>
        <v>#REF!</v>
      </c>
      <c r="V29" s="1282">
        <f t="shared" si="15"/>
        <v>0</v>
      </c>
      <c r="W29" s="71" t="e">
        <f t="shared" si="16"/>
        <v>#REF!</v>
      </c>
      <c r="X29" s="71" t="e">
        <f t="shared" si="17"/>
        <v>#REF!</v>
      </c>
      <c r="Y29" s="73">
        <f t="shared" si="0"/>
        <v>0</v>
      </c>
      <c r="Z29" s="74">
        <f t="shared" si="1"/>
        <v>0</v>
      </c>
      <c r="AA29" s="75">
        <f>'Avg Bill by RS'!AK44</f>
        <v>0.23499999999999999</v>
      </c>
      <c r="AB29" s="74"/>
      <c r="AC29" s="74"/>
      <c r="AD29" s="273">
        <v>13</v>
      </c>
      <c r="AE29" s="1196" t="s">
        <v>273</v>
      </c>
      <c r="AF29" s="1016" t="e">
        <f>'Rate Impacts - Rev Req ONLY'!N29</f>
        <v>#REF!</v>
      </c>
      <c r="AG29" s="71" t="e">
        <f>'Rate Impacts - Rev Req ONLY'!O29</f>
        <v>#REF!</v>
      </c>
      <c r="AH29" s="85" t="e">
        <f>SUM('Rev Req Proof Yr2'!AF44:AH44)</f>
        <v>#REF!</v>
      </c>
      <c r="AI29" s="75">
        <f t="shared" ref="AI29:AI34" si="32">IFERROR((AH29/AF29),0)</f>
        <v>0</v>
      </c>
      <c r="AJ29" s="86" t="e">
        <f>SUM('Temps Proof'!AI44:AK44)</f>
        <v>#REF!</v>
      </c>
      <c r="AK29" s="74">
        <f t="shared" si="18"/>
        <v>0</v>
      </c>
      <c r="AL29" s="75">
        <f t="shared" si="19"/>
        <v>0</v>
      </c>
      <c r="AM29" s="1102" t="e">
        <f>SUM('Temps Proof'!AM44:AO44)</f>
        <v>#REF!</v>
      </c>
      <c r="AN29" s="74">
        <f t="shared" si="20"/>
        <v>0</v>
      </c>
      <c r="AO29" s="74">
        <f t="shared" si="21"/>
        <v>0</v>
      </c>
      <c r="AP29" s="85" t="e">
        <f>SUM('Temps Proof'!AQ44:AS44)</f>
        <v>#REF!</v>
      </c>
      <c r="AQ29" s="74">
        <f t="shared" si="22"/>
        <v>0</v>
      </c>
      <c r="AR29" s="75">
        <f t="shared" si="23"/>
        <v>0</v>
      </c>
      <c r="AS29" s="1423" t="e">
        <f t="shared" si="24"/>
        <v>#REF!</v>
      </c>
      <c r="AT29" s="1427">
        <f t="shared" si="25"/>
        <v>0</v>
      </c>
      <c r="AU29" s="1423" t="e">
        <f t="shared" si="26"/>
        <v>#REF!</v>
      </c>
      <c r="AV29" s="1295">
        <f t="shared" si="27"/>
        <v>0</v>
      </c>
      <c r="AW29" s="71" t="e">
        <f t="shared" si="28"/>
        <v>#REF!</v>
      </c>
      <c r="AX29" s="71" t="e">
        <f t="shared" si="2"/>
        <v>#REF!</v>
      </c>
      <c r="AY29" s="73">
        <f t="shared" si="3"/>
        <v>0</v>
      </c>
      <c r="AZ29" s="74">
        <f t="shared" si="4"/>
        <v>0</v>
      </c>
      <c r="BA29" s="75">
        <f>'Avg Bill by RS'!BD44</f>
        <v>2.9000000000000001E-2</v>
      </c>
    </row>
    <row r="30" spans="2:53" x14ac:dyDescent="0.2">
      <c r="B30" s="273">
        <v>14</v>
      </c>
      <c r="C30" s="720" t="s">
        <v>274</v>
      </c>
      <c r="D30" s="70">
        <f>'Rate Impacts - Rev Req ONLY'!D30</f>
        <v>511672.37933789124</v>
      </c>
      <c r="E30" s="71">
        <f>'Rate Impacts - Rev Req ONLY'!E30</f>
        <v>1154958.3793378912</v>
      </c>
      <c r="F30" s="85" t="e">
        <f>SUM('Rev Req Proof Yr1'!AF51:AH51)</f>
        <v>#REF!</v>
      </c>
      <c r="G30" s="75">
        <f t="shared" si="29"/>
        <v>0</v>
      </c>
      <c r="H30" s="85" t="e">
        <f>SUM('Rev Req Proof Yr1'!AM51:AO51)</f>
        <v>#REF!</v>
      </c>
      <c r="I30" s="74">
        <f t="shared" si="5"/>
        <v>0</v>
      </c>
      <c r="J30" s="86" t="e">
        <f>SUM('Temps Proof'!W51:Y51)</f>
        <v>#REF!</v>
      </c>
      <c r="K30" s="74">
        <f t="shared" si="6"/>
        <v>0</v>
      </c>
      <c r="L30" s="74">
        <f t="shared" si="7"/>
        <v>0</v>
      </c>
      <c r="M30" s="86" t="e">
        <f>SUM('Temps Proof'!Y51:AA51)</f>
        <v>#REF!</v>
      </c>
      <c r="N30" s="74">
        <f t="shared" si="8"/>
        <v>0</v>
      </c>
      <c r="O30" s="74">
        <f t="shared" si="9"/>
        <v>0</v>
      </c>
      <c r="P30" s="86" t="e">
        <f>SUM('Temps Proof'!AE51:AG51)</f>
        <v>#REF!</v>
      </c>
      <c r="Q30" s="74">
        <f t="shared" si="10"/>
        <v>0</v>
      </c>
      <c r="R30" s="75">
        <f t="shared" si="11"/>
        <v>0</v>
      </c>
      <c r="S30" s="1452" t="e">
        <f t="shared" si="12"/>
        <v>#REF!</v>
      </c>
      <c r="T30" s="1280">
        <f t="shared" si="13"/>
        <v>0</v>
      </c>
      <c r="U30" s="1281" t="e">
        <f t="shared" si="14"/>
        <v>#REF!</v>
      </c>
      <c r="V30" s="1282">
        <f t="shared" si="15"/>
        <v>0</v>
      </c>
      <c r="W30" s="71" t="e">
        <f t="shared" si="16"/>
        <v>#REF!</v>
      </c>
      <c r="X30" s="71" t="e">
        <f t="shared" si="17"/>
        <v>#REF!</v>
      </c>
      <c r="Y30" s="73">
        <f t="shared" si="0"/>
        <v>0</v>
      </c>
      <c r="Z30" s="74">
        <f t="shared" si="1"/>
        <v>0</v>
      </c>
      <c r="AA30" s="75">
        <f>'Avg Bill by RS'!AK51</f>
        <v>0.21299999999999999</v>
      </c>
      <c r="AB30" s="74"/>
      <c r="AC30" s="74"/>
      <c r="AD30" s="273">
        <v>14</v>
      </c>
      <c r="AE30" s="1196" t="s">
        <v>274</v>
      </c>
      <c r="AF30" s="1016" t="e">
        <f>'Rate Impacts - Rev Req ONLY'!N30</f>
        <v>#REF!</v>
      </c>
      <c r="AG30" s="71" t="e">
        <f>'Rate Impacts - Rev Req ONLY'!O30</f>
        <v>#REF!</v>
      </c>
      <c r="AH30" s="85" t="e">
        <f>SUM('Rev Req Proof Yr2'!AF51:AH51)</f>
        <v>#REF!</v>
      </c>
      <c r="AI30" s="75">
        <f t="shared" si="32"/>
        <v>0</v>
      </c>
      <c r="AJ30" s="86" t="e">
        <f>SUM('Temps Proof'!AI51:AK51)</f>
        <v>#REF!</v>
      </c>
      <c r="AK30" s="74">
        <f t="shared" si="18"/>
        <v>0</v>
      </c>
      <c r="AL30" s="75">
        <f t="shared" si="19"/>
        <v>0</v>
      </c>
      <c r="AM30" s="1102" t="e">
        <f>SUM('Temps Proof'!AM51:AO51)</f>
        <v>#REF!</v>
      </c>
      <c r="AN30" s="74">
        <f t="shared" si="20"/>
        <v>0</v>
      </c>
      <c r="AO30" s="74">
        <f t="shared" si="21"/>
        <v>0</v>
      </c>
      <c r="AP30" s="85" t="e">
        <f>SUM('Temps Proof'!AQ51:AS51)</f>
        <v>#REF!</v>
      </c>
      <c r="AQ30" s="74">
        <f t="shared" si="22"/>
        <v>0</v>
      </c>
      <c r="AR30" s="75">
        <f t="shared" si="23"/>
        <v>0</v>
      </c>
      <c r="AS30" s="1423" t="e">
        <f t="shared" si="24"/>
        <v>#REF!</v>
      </c>
      <c r="AT30" s="1427">
        <f t="shared" si="25"/>
        <v>0</v>
      </c>
      <c r="AU30" s="1423" t="e">
        <f t="shared" si="26"/>
        <v>#REF!</v>
      </c>
      <c r="AV30" s="1295">
        <f t="shared" si="27"/>
        <v>0</v>
      </c>
      <c r="AW30" s="71" t="e">
        <f t="shared" si="28"/>
        <v>#REF!</v>
      </c>
      <c r="AX30" s="71" t="e">
        <f t="shared" si="2"/>
        <v>#REF!</v>
      </c>
      <c r="AY30" s="73">
        <f t="shared" si="3"/>
        <v>0</v>
      </c>
      <c r="AZ30" s="74">
        <f t="shared" si="4"/>
        <v>0</v>
      </c>
      <c r="BA30" s="75">
        <f>'Avg Bill by RS'!BD51</f>
        <v>8.0000000000000002E-3</v>
      </c>
    </row>
    <row r="31" spans="2:53" x14ac:dyDescent="0.2">
      <c r="B31" s="273">
        <v>15</v>
      </c>
      <c r="C31" s="720" t="s">
        <v>275</v>
      </c>
      <c r="D31" s="70">
        <f>'Rate Impacts - Rev Req ONLY'!D31</f>
        <v>360784.67333999998</v>
      </c>
      <c r="E31" s="71">
        <f>'Rate Impacts - Rev Req ONLY'!E31</f>
        <v>360784.67333999998</v>
      </c>
      <c r="F31" s="85" t="e">
        <f>SUM('Rev Req Proof Yr1'!AF58:AH58)</f>
        <v>#REF!</v>
      </c>
      <c r="G31" s="75">
        <f t="shared" si="29"/>
        <v>0</v>
      </c>
      <c r="H31" s="85" t="e">
        <f>SUM('Rev Req Proof Yr1'!AM58:AO58)</f>
        <v>#REF!</v>
      </c>
      <c r="I31" s="74">
        <f t="shared" si="5"/>
        <v>0</v>
      </c>
      <c r="J31" s="86" t="e">
        <f>SUM('Temps Proof'!W58:Y58)</f>
        <v>#REF!</v>
      </c>
      <c r="K31" s="74">
        <f t="shared" si="6"/>
        <v>0</v>
      </c>
      <c r="L31" s="74">
        <f t="shared" si="7"/>
        <v>0</v>
      </c>
      <c r="M31" s="545" t="e">
        <f>SUM('Temps Proof'!Y58:AA58)</f>
        <v>#REF!</v>
      </c>
      <c r="N31" s="74">
        <f t="shared" si="8"/>
        <v>0</v>
      </c>
      <c r="O31" s="74">
        <f t="shared" si="9"/>
        <v>0</v>
      </c>
      <c r="P31" s="545" t="e">
        <f>SUM('Temps Proof'!AE58:AG58)</f>
        <v>#REF!</v>
      </c>
      <c r="Q31" s="74">
        <f t="shared" si="10"/>
        <v>0</v>
      </c>
      <c r="R31" s="75">
        <f t="shared" si="11"/>
        <v>0</v>
      </c>
      <c r="S31" s="1452" t="e">
        <f t="shared" si="12"/>
        <v>#REF!</v>
      </c>
      <c r="T31" s="1280">
        <f t="shared" si="13"/>
        <v>0</v>
      </c>
      <c r="U31" s="1281" t="e">
        <f t="shared" si="14"/>
        <v>#REF!</v>
      </c>
      <c r="V31" s="1282">
        <f t="shared" si="15"/>
        <v>0</v>
      </c>
      <c r="W31" s="71" t="e">
        <f t="shared" si="16"/>
        <v>#REF!</v>
      </c>
      <c r="X31" s="71" t="e">
        <f t="shared" si="17"/>
        <v>#REF!</v>
      </c>
      <c r="Y31" s="73">
        <f t="shared" si="0"/>
        <v>0</v>
      </c>
      <c r="Z31" s="74">
        <f t="shared" si="1"/>
        <v>0</v>
      </c>
      <c r="AA31" s="75">
        <f>'Avg Bill by RS'!AK58</f>
        <v>6.3E-2</v>
      </c>
      <c r="AB31" s="74"/>
      <c r="AC31" s="74"/>
      <c r="AD31" s="273">
        <v>15</v>
      </c>
      <c r="AE31" s="1196" t="s">
        <v>275</v>
      </c>
      <c r="AF31" s="1016" t="e">
        <f>'Rate Impacts - Rev Req ONLY'!N31</f>
        <v>#REF!</v>
      </c>
      <c r="AG31" s="71" t="e">
        <f>'Rate Impacts - Rev Req ONLY'!O31</f>
        <v>#REF!</v>
      </c>
      <c r="AH31" s="85" t="e">
        <f>SUM('Rev Req Proof Yr2'!AF58:AH58)</f>
        <v>#REF!</v>
      </c>
      <c r="AI31" s="75">
        <f t="shared" si="32"/>
        <v>0</v>
      </c>
      <c r="AJ31" s="86" t="e">
        <f>SUM('Temps Proof'!AI58:AK58)</f>
        <v>#REF!</v>
      </c>
      <c r="AK31" s="74">
        <f t="shared" si="18"/>
        <v>0</v>
      </c>
      <c r="AL31" s="75">
        <f t="shared" si="19"/>
        <v>0</v>
      </c>
      <c r="AM31" s="1102" t="e">
        <f>SUM('Temps Proof'!AM58:AO58)</f>
        <v>#REF!</v>
      </c>
      <c r="AN31" s="74">
        <f t="shared" si="20"/>
        <v>0</v>
      </c>
      <c r="AO31" s="74">
        <f t="shared" si="21"/>
        <v>0</v>
      </c>
      <c r="AP31" s="85" t="e">
        <f>SUM('Temps Proof'!AQ58:AS58)</f>
        <v>#REF!</v>
      </c>
      <c r="AQ31" s="74">
        <f t="shared" si="22"/>
        <v>0</v>
      </c>
      <c r="AR31" s="75">
        <f t="shared" si="23"/>
        <v>0</v>
      </c>
      <c r="AS31" s="1423" t="e">
        <f t="shared" si="24"/>
        <v>#REF!</v>
      </c>
      <c r="AT31" s="1427">
        <f t="shared" si="25"/>
        <v>0</v>
      </c>
      <c r="AU31" s="1423" t="e">
        <f t="shared" si="26"/>
        <v>#REF!</v>
      </c>
      <c r="AV31" s="1295">
        <f t="shared" si="27"/>
        <v>0</v>
      </c>
      <c r="AW31" s="71" t="e">
        <f t="shared" si="28"/>
        <v>#REF!</v>
      </c>
      <c r="AX31" s="71" t="e">
        <f t="shared" si="2"/>
        <v>#REF!</v>
      </c>
      <c r="AY31" s="73">
        <f t="shared" si="3"/>
        <v>0</v>
      </c>
      <c r="AZ31" s="74">
        <f t="shared" si="4"/>
        <v>0</v>
      </c>
      <c r="BA31" s="75">
        <f>'Avg Bill by RS'!BD58</f>
        <v>2.8000000000000001E-2</v>
      </c>
    </row>
    <row r="32" spans="2:53" x14ac:dyDescent="0.2">
      <c r="B32" s="273">
        <v>16</v>
      </c>
      <c r="C32" s="720" t="s">
        <v>276</v>
      </c>
      <c r="D32" s="70">
        <f>'Rate Impacts - Rev Req ONLY'!D32</f>
        <v>823615.79209999996</v>
      </c>
      <c r="E32" s="71">
        <f>'Rate Impacts - Rev Req ONLY'!E32</f>
        <v>823615.79209999996</v>
      </c>
      <c r="F32" s="85" t="e">
        <f>SUM('Rev Req Proof Yr1'!AF65:AH65)</f>
        <v>#REF!</v>
      </c>
      <c r="G32" s="75">
        <f t="shared" si="29"/>
        <v>0</v>
      </c>
      <c r="H32" s="85" t="e">
        <f>SUM('Rev Req Proof Yr1'!AM65:AO65)</f>
        <v>#REF!</v>
      </c>
      <c r="I32" s="74">
        <f t="shared" si="5"/>
        <v>0</v>
      </c>
      <c r="J32" s="86" t="e">
        <f>SUM('Temps Proof'!W65:Y65)</f>
        <v>#REF!</v>
      </c>
      <c r="K32" s="74">
        <f t="shared" si="6"/>
        <v>0</v>
      </c>
      <c r="L32" s="74">
        <f t="shared" si="7"/>
        <v>0</v>
      </c>
      <c r="M32" s="86" t="e">
        <f>SUM('Temps Proof'!Y65:AA65)</f>
        <v>#REF!</v>
      </c>
      <c r="N32" s="74">
        <f t="shared" si="8"/>
        <v>0</v>
      </c>
      <c r="O32" s="74">
        <f t="shared" si="9"/>
        <v>0</v>
      </c>
      <c r="P32" s="86" t="e">
        <f>SUM('Temps Proof'!AE65:AG65)</f>
        <v>#REF!</v>
      </c>
      <c r="Q32" s="74">
        <f t="shared" si="10"/>
        <v>0</v>
      </c>
      <c r="R32" s="75">
        <f t="shared" si="11"/>
        <v>0</v>
      </c>
      <c r="S32" s="1452" t="e">
        <f t="shared" si="12"/>
        <v>#REF!</v>
      </c>
      <c r="T32" s="1280">
        <f t="shared" si="13"/>
        <v>0</v>
      </c>
      <c r="U32" s="1281" t="e">
        <f t="shared" si="14"/>
        <v>#REF!</v>
      </c>
      <c r="V32" s="1282">
        <f t="shared" si="15"/>
        <v>0</v>
      </c>
      <c r="W32" s="71" t="e">
        <f t="shared" si="16"/>
        <v>#REF!</v>
      </c>
      <c r="X32" s="71" t="e">
        <f t="shared" si="17"/>
        <v>#REF!</v>
      </c>
      <c r="Y32" s="73">
        <f t="shared" si="0"/>
        <v>0</v>
      </c>
      <c r="Z32" s="74">
        <f t="shared" si="1"/>
        <v>0</v>
      </c>
      <c r="AA32" s="75">
        <f>'Avg Bill by RS'!AK65</f>
        <v>5.0999999999999997E-2</v>
      </c>
      <c r="AB32" s="74"/>
      <c r="AC32" s="74"/>
      <c r="AD32" s="273">
        <v>16</v>
      </c>
      <c r="AE32" s="1196" t="s">
        <v>276</v>
      </c>
      <c r="AF32" s="1016" t="e">
        <f>'Rate Impacts - Rev Req ONLY'!N32</f>
        <v>#REF!</v>
      </c>
      <c r="AG32" s="71" t="e">
        <f>'Rate Impacts - Rev Req ONLY'!O32</f>
        <v>#REF!</v>
      </c>
      <c r="AH32" s="85" t="e">
        <f>SUM('Rev Req Proof Yr2'!AF65:AH65)</f>
        <v>#REF!</v>
      </c>
      <c r="AI32" s="75">
        <f t="shared" si="32"/>
        <v>0</v>
      </c>
      <c r="AJ32" s="86" t="e">
        <f>SUM('Temps Proof'!AI65:AK65)</f>
        <v>#REF!</v>
      </c>
      <c r="AK32" s="74">
        <f t="shared" si="18"/>
        <v>0</v>
      </c>
      <c r="AL32" s="75">
        <f t="shared" si="19"/>
        <v>0</v>
      </c>
      <c r="AM32" s="1102" t="e">
        <f>SUM('Temps Proof'!AM65:AO65)</f>
        <v>#REF!</v>
      </c>
      <c r="AN32" s="74">
        <f t="shared" si="20"/>
        <v>0</v>
      </c>
      <c r="AO32" s="74">
        <f t="shared" si="21"/>
        <v>0</v>
      </c>
      <c r="AP32" s="85" t="e">
        <f>SUM('Temps Proof'!AQ65:AS65)</f>
        <v>#REF!</v>
      </c>
      <c r="AQ32" s="74">
        <f t="shared" si="22"/>
        <v>0</v>
      </c>
      <c r="AR32" s="75">
        <f t="shared" si="23"/>
        <v>0</v>
      </c>
      <c r="AS32" s="1423" t="e">
        <f t="shared" si="24"/>
        <v>#REF!</v>
      </c>
      <c r="AT32" s="1427">
        <f t="shared" si="25"/>
        <v>0</v>
      </c>
      <c r="AU32" s="1423" t="e">
        <f t="shared" si="26"/>
        <v>#REF!</v>
      </c>
      <c r="AV32" s="1295">
        <f t="shared" si="27"/>
        <v>0</v>
      </c>
      <c r="AW32" s="71" t="e">
        <f t="shared" si="28"/>
        <v>#REF!</v>
      </c>
      <c r="AX32" s="71" t="e">
        <f t="shared" si="2"/>
        <v>#REF!</v>
      </c>
      <c r="AY32" s="73">
        <f t="shared" si="3"/>
        <v>0</v>
      </c>
      <c r="AZ32" s="74">
        <f t="shared" si="4"/>
        <v>0</v>
      </c>
      <c r="BA32" s="75">
        <f>'Avg Bill by RS'!BD65</f>
        <v>1.7999999999999999E-2</v>
      </c>
    </row>
    <row r="33" spans="1:53" x14ac:dyDescent="0.2">
      <c r="B33" s="273">
        <v>17</v>
      </c>
      <c r="C33" s="720" t="s">
        <v>277</v>
      </c>
      <c r="D33" s="70">
        <f>'Rate Impacts - Rev Req ONLY'!D33</f>
        <v>160512.61187958997</v>
      </c>
      <c r="E33" s="71">
        <f>'Rate Impacts - Rev Req ONLY'!E33</f>
        <v>430728.61187958985</v>
      </c>
      <c r="F33" s="85" t="e">
        <f>SUM('Rev Req Proof Yr1'!AF72:AH72)</f>
        <v>#REF!</v>
      </c>
      <c r="G33" s="75">
        <f t="shared" si="29"/>
        <v>0</v>
      </c>
      <c r="H33" s="85" t="e">
        <f>SUM('Rev Req Proof Yr1'!AM72:AO72)</f>
        <v>#REF!</v>
      </c>
      <c r="I33" s="74">
        <f t="shared" si="5"/>
        <v>0</v>
      </c>
      <c r="J33" s="86" t="e">
        <f>SUM('Temps Proof'!W72:Y72)</f>
        <v>#REF!</v>
      </c>
      <c r="K33" s="74">
        <f t="shared" si="6"/>
        <v>0</v>
      </c>
      <c r="L33" s="74">
        <f t="shared" si="7"/>
        <v>0</v>
      </c>
      <c r="M33" s="86" t="e">
        <f>SUM('Temps Proof'!Y72:AA72)</f>
        <v>#REF!</v>
      </c>
      <c r="N33" s="74">
        <f t="shared" si="8"/>
        <v>0</v>
      </c>
      <c r="O33" s="74">
        <f t="shared" si="9"/>
        <v>0</v>
      </c>
      <c r="P33" s="86" t="e">
        <f>SUM('Temps Proof'!AE72:AG72)</f>
        <v>#REF!</v>
      </c>
      <c r="Q33" s="74">
        <f t="shared" si="10"/>
        <v>0</v>
      </c>
      <c r="R33" s="75">
        <f t="shared" si="11"/>
        <v>0</v>
      </c>
      <c r="S33" s="1452" t="e">
        <f t="shared" si="12"/>
        <v>#REF!</v>
      </c>
      <c r="T33" s="1280">
        <f t="shared" si="13"/>
        <v>0</v>
      </c>
      <c r="U33" s="1281" t="e">
        <f t="shared" si="14"/>
        <v>#REF!</v>
      </c>
      <c r="V33" s="1282">
        <f t="shared" si="15"/>
        <v>0</v>
      </c>
      <c r="W33" s="71" t="e">
        <f t="shared" si="16"/>
        <v>#REF!</v>
      </c>
      <c r="X33" s="71" t="e">
        <f t="shared" si="17"/>
        <v>#REF!</v>
      </c>
      <c r="Y33" s="73">
        <f t="shared" si="0"/>
        <v>0</v>
      </c>
      <c r="Z33" s="74">
        <f t="shared" si="1"/>
        <v>0</v>
      </c>
      <c r="AA33" s="75">
        <f>'Avg Bill by RS'!AK72</f>
        <v>0.316</v>
      </c>
      <c r="AB33" s="74"/>
      <c r="AC33" s="74"/>
      <c r="AD33" s="273">
        <v>17</v>
      </c>
      <c r="AE33" s="1196" t="s">
        <v>277</v>
      </c>
      <c r="AF33" s="1016" t="e">
        <f>'Rate Impacts - Rev Req ONLY'!N33</f>
        <v>#REF!</v>
      </c>
      <c r="AG33" s="71" t="e">
        <f>'Rate Impacts - Rev Req ONLY'!O33</f>
        <v>#REF!</v>
      </c>
      <c r="AH33" s="85" t="e">
        <f>SUM('Rev Req Proof Yr2'!AF72:AH72)</f>
        <v>#REF!</v>
      </c>
      <c r="AI33" s="75">
        <f t="shared" si="32"/>
        <v>0</v>
      </c>
      <c r="AJ33" s="86" t="e">
        <f>SUM('Temps Proof'!AI72:AK72)</f>
        <v>#REF!</v>
      </c>
      <c r="AK33" s="74">
        <f t="shared" si="18"/>
        <v>0</v>
      </c>
      <c r="AL33" s="75">
        <f t="shared" si="19"/>
        <v>0</v>
      </c>
      <c r="AM33" s="1102" t="e">
        <f>SUM('Temps Proof'!AM72:AO72)</f>
        <v>#REF!</v>
      </c>
      <c r="AN33" s="74">
        <f t="shared" si="20"/>
        <v>0</v>
      </c>
      <c r="AO33" s="74">
        <f t="shared" si="21"/>
        <v>0</v>
      </c>
      <c r="AP33" s="85" t="e">
        <f>SUM('Temps Proof'!AQ72:AS72)</f>
        <v>#REF!</v>
      </c>
      <c r="AQ33" s="74">
        <f t="shared" si="22"/>
        <v>0</v>
      </c>
      <c r="AR33" s="75">
        <f t="shared" si="23"/>
        <v>0</v>
      </c>
      <c r="AS33" s="1423" t="e">
        <f t="shared" si="24"/>
        <v>#REF!</v>
      </c>
      <c r="AT33" s="1427">
        <f t="shared" si="25"/>
        <v>0</v>
      </c>
      <c r="AU33" s="1423" t="e">
        <f t="shared" si="26"/>
        <v>#REF!</v>
      </c>
      <c r="AV33" s="1295">
        <f t="shared" si="27"/>
        <v>0</v>
      </c>
      <c r="AW33" s="71" t="e">
        <f t="shared" si="28"/>
        <v>#REF!</v>
      </c>
      <c r="AX33" s="71" t="e">
        <f t="shared" si="2"/>
        <v>#REF!</v>
      </c>
      <c r="AY33" s="73">
        <f t="shared" si="3"/>
        <v>0</v>
      </c>
      <c r="AZ33" s="74">
        <f t="shared" si="4"/>
        <v>0</v>
      </c>
      <c r="BA33" s="75">
        <f>'Avg Bill by RS'!BD72</f>
        <v>1.7999999999999999E-2</v>
      </c>
    </row>
    <row r="34" spans="1:53" x14ac:dyDescent="0.2">
      <c r="B34" s="273">
        <v>18</v>
      </c>
      <c r="C34" s="720" t="s">
        <v>278</v>
      </c>
      <c r="D34" s="70">
        <f>'Rate Impacts - Rev Req ONLY'!D34</f>
        <v>81130.03459599179</v>
      </c>
      <c r="E34" s="71">
        <f>'Rate Impacts - Rev Req ONLY'!E34</f>
        <v>171731.03459599178</v>
      </c>
      <c r="F34" s="85" t="e">
        <f>SUM('Rev Req Proof Yr1'!AF79:AH79)</f>
        <v>#REF!</v>
      </c>
      <c r="G34" s="75">
        <f t="shared" si="29"/>
        <v>0</v>
      </c>
      <c r="H34" s="85" t="e">
        <f>SUM('Rev Req Proof Yr1'!AM79:AO79)</f>
        <v>#REF!</v>
      </c>
      <c r="I34" s="74">
        <f t="shared" si="5"/>
        <v>0</v>
      </c>
      <c r="J34" s="86" t="e">
        <f>SUM('Temps Proof'!W79:Y79)</f>
        <v>#REF!</v>
      </c>
      <c r="K34" s="74">
        <f t="shared" si="6"/>
        <v>0</v>
      </c>
      <c r="L34" s="74">
        <f t="shared" si="7"/>
        <v>0</v>
      </c>
      <c r="M34" s="86" t="e">
        <f>SUM('Temps Proof'!Y79:AA79)</f>
        <v>#REF!</v>
      </c>
      <c r="N34" s="74">
        <f t="shared" si="8"/>
        <v>0</v>
      </c>
      <c r="O34" s="74">
        <f t="shared" si="9"/>
        <v>0</v>
      </c>
      <c r="P34" s="86" t="e">
        <f>SUM('Temps Proof'!AE79:AG79)</f>
        <v>#REF!</v>
      </c>
      <c r="Q34" s="74">
        <f t="shared" si="10"/>
        <v>0</v>
      </c>
      <c r="R34" s="75">
        <f t="shared" si="11"/>
        <v>0</v>
      </c>
      <c r="S34" s="1452" t="e">
        <f t="shared" si="12"/>
        <v>#REF!</v>
      </c>
      <c r="T34" s="1280">
        <f t="shared" si="13"/>
        <v>0</v>
      </c>
      <c r="U34" s="1281" t="e">
        <f t="shared" si="14"/>
        <v>#REF!</v>
      </c>
      <c r="V34" s="1282">
        <f t="shared" si="15"/>
        <v>0</v>
      </c>
      <c r="W34" s="71" t="e">
        <f t="shared" si="16"/>
        <v>#REF!</v>
      </c>
      <c r="X34" s="71" t="e">
        <f t="shared" si="17"/>
        <v>#REF!</v>
      </c>
      <c r="Y34" s="73">
        <f t="shared" si="0"/>
        <v>0</v>
      </c>
      <c r="Z34" s="74">
        <f t="shared" si="1"/>
        <v>0</v>
      </c>
      <c r="AA34" s="75">
        <f>'Avg Bill by RS'!AK79</f>
        <v>0.26100000000000001</v>
      </c>
      <c r="AB34" s="74"/>
      <c r="AC34" s="74"/>
      <c r="AD34" s="273">
        <v>18</v>
      </c>
      <c r="AE34" s="1196" t="s">
        <v>278</v>
      </c>
      <c r="AF34" s="1016" t="e">
        <f>'Rate Impacts - Rev Req ONLY'!N34</f>
        <v>#REF!</v>
      </c>
      <c r="AG34" s="71" t="e">
        <f>'Rate Impacts - Rev Req ONLY'!O34</f>
        <v>#REF!</v>
      </c>
      <c r="AH34" s="85" t="e">
        <f>SUM('Rev Req Proof Yr2'!AF79:AH79)</f>
        <v>#REF!</v>
      </c>
      <c r="AI34" s="75">
        <f t="shared" si="32"/>
        <v>0</v>
      </c>
      <c r="AJ34" s="86" t="e">
        <f>SUM('Temps Proof'!AI79:AK79)</f>
        <v>#REF!</v>
      </c>
      <c r="AK34" s="74">
        <f t="shared" si="18"/>
        <v>0</v>
      </c>
      <c r="AL34" s="75">
        <f t="shared" si="19"/>
        <v>0</v>
      </c>
      <c r="AM34" s="1102" t="e">
        <f>SUM('Temps Proof'!AM79:AO79)</f>
        <v>#REF!</v>
      </c>
      <c r="AN34" s="74">
        <f t="shared" si="20"/>
        <v>0</v>
      </c>
      <c r="AO34" s="74">
        <f t="shared" si="21"/>
        <v>0</v>
      </c>
      <c r="AP34" s="85" t="e">
        <f>SUM('Temps Proof'!AQ79:AS79)</f>
        <v>#REF!</v>
      </c>
      <c r="AQ34" s="74">
        <f t="shared" si="22"/>
        <v>0</v>
      </c>
      <c r="AR34" s="75">
        <f t="shared" si="23"/>
        <v>0</v>
      </c>
      <c r="AS34" s="1423" t="e">
        <f t="shared" si="24"/>
        <v>#REF!</v>
      </c>
      <c r="AT34" s="1427">
        <f t="shared" si="25"/>
        <v>0</v>
      </c>
      <c r="AU34" s="1423" t="e">
        <f t="shared" si="26"/>
        <v>#REF!</v>
      </c>
      <c r="AV34" s="1295">
        <f t="shared" si="27"/>
        <v>0</v>
      </c>
      <c r="AW34" s="71" t="e">
        <f t="shared" si="28"/>
        <v>#REF!</v>
      </c>
      <c r="AX34" s="71" t="e">
        <f t="shared" si="2"/>
        <v>#REF!</v>
      </c>
      <c r="AY34" s="73">
        <f t="shared" si="3"/>
        <v>0</v>
      </c>
      <c r="AZ34" s="74">
        <f t="shared" si="4"/>
        <v>0</v>
      </c>
      <c r="BA34" s="75">
        <f>'Avg Bill by RS'!BD79</f>
        <v>7.0000000000000001E-3</v>
      </c>
    </row>
    <row r="35" spans="1:53" x14ac:dyDescent="0.2">
      <c r="B35" s="273">
        <v>19</v>
      </c>
      <c r="C35" s="720" t="s">
        <v>280</v>
      </c>
      <c r="D35" s="70">
        <f>'Rate Impacts - Rev Req ONLY'!D35</f>
        <v>0</v>
      </c>
      <c r="E35" s="71">
        <f>'Rate Impacts - Rev Req ONLY'!E35</f>
        <v>0</v>
      </c>
      <c r="F35" s="85" t="e">
        <f>SUM('Rev Req Proof Yr1'!AF86:AH86)</f>
        <v>#REF!</v>
      </c>
      <c r="G35" s="75">
        <f>IFERROR((F35/D35),0)</f>
        <v>0</v>
      </c>
      <c r="H35" s="85" t="e">
        <f>SUM('Rev Req Proof Yr1'!AM86:AO86)</f>
        <v>#REF!</v>
      </c>
      <c r="I35" s="74">
        <f t="shared" si="5"/>
        <v>0</v>
      </c>
      <c r="J35" s="86" t="e">
        <f>SUM('Temps Proof'!W86:Y86)</f>
        <v>#REF!</v>
      </c>
      <c r="K35" s="74">
        <f t="shared" si="6"/>
        <v>0</v>
      </c>
      <c r="L35" s="74">
        <f t="shared" si="7"/>
        <v>0</v>
      </c>
      <c r="M35" s="86" t="e">
        <f>SUM('Temps Proof'!Y86:AA86)</f>
        <v>#REF!</v>
      </c>
      <c r="N35" s="74">
        <f t="shared" si="8"/>
        <v>0</v>
      </c>
      <c r="O35" s="74">
        <f t="shared" si="9"/>
        <v>0</v>
      </c>
      <c r="P35" s="86" t="e">
        <f>SUM('Temps Proof'!AE86:AG86)</f>
        <v>#REF!</v>
      </c>
      <c r="Q35" s="74">
        <f t="shared" si="10"/>
        <v>0</v>
      </c>
      <c r="R35" s="75">
        <f t="shared" si="11"/>
        <v>0</v>
      </c>
      <c r="S35" s="1452" t="e">
        <f t="shared" si="12"/>
        <v>#REF!</v>
      </c>
      <c r="T35" s="1280">
        <f t="shared" si="13"/>
        <v>0</v>
      </c>
      <c r="U35" s="1281" t="e">
        <f t="shared" si="14"/>
        <v>#REF!</v>
      </c>
      <c r="V35" s="1282">
        <f t="shared" si="15"/>
        <v>0</v>
      </c>
      <c r="W35" s="71" t="e">
        <f t="shared" si="16"/>
        <v>#REF!</v>
      </c>
      <c r="X35" s="71" t="e">
        <f t="shared" si="17"/>
        <v>#REF!</v>
      </c>
      <c r="Y35" s="73">
        <f t="shared" si="0"/>
        <v>0</v>
      </c>
      <c r="Z35" s="74">
        <f t="shared" si="1"/>
        <v>0</v>
      </c>
      <c r="AA35" s="75">
        <f>'Avg Bill by RS'!AK86</f>
        <v>0</v>
      </c>
      <c r="AB35" s="74"/>
      <c r="AC35" s="74"/>
      <c r="AD35" s="273">
        <v>19</v>
      </c>
      <c r="AE35" s="1196" t="s">
        <v>280</v>
      </c>
      <c r="AF35" s="1016" t="e">
        <f>'Rate Impacts - Rev Req ONLY'!N35</f>
        <v>#REF!</v>
      </c>
      <c r="AG35" s="71" t="e">
        <f>'Rate Impacts - Rev Req ONLY'!O35</f>
        <v>#REF!</v>
      </c>
      <c r="AH35" s="85" t="e">
        <f>SUM('Rev Req Proof Yr2'!AF86:AH86)</f>
        <v>#REF!</v>
      </c>
      <c r="AI35" s="75">
        <f>IFERROR((AH35/AF35),0)</f>
        <v>0</v>
      </c>
      <c r="AJ35" s="86" t="e">
        <f>SUM('Temps Proof'!AI86:AK86)</f>
        <v>#REF!</v>
      </c>
      <c r="AK35" s="74">
        <f t="shared" si="18"/>
        <v>0</v>
      </c>
      <c r="AL35" s="75">
        <f t="shared" si="19"/>
        <v>0</v>
      </c>
      <c r="AM35" s="1102" t="e">
        <f>SUM('Temps Proof'!AM86:AO86)</f>
        <v>#REF!</v>
      </c>
      <c r="AN35" s="74">
        <f t="shared" si="20"/>
        <v>0</v>
      </c>
      <c r="AO35" s="74">
        <f t="shared" si="21"/>
        <v>0</v>
      </c>
      <c r="AP35" s="85" t="e">
        <f>SUM('Temps Proof'!AQ86:AS86)</f>
        <v>#REF!</v>
      </c>
      <c r="AQ35" s="74">
        <f t="shared" si="22"/>
        <v>0</v>
      </c>
      <c r="AR35" s="75">
        <f t="shared" si="23"/>
        <v>0</v>
      </c>
      <c r="AS35" s="1423" t="e">
        <f t="shared" si="24"/>
        <v>#REF!</v>
      </c>
      <c r="AT35" s="1427">
        <f t="shared" si="25"/>
        <v>0</v>
      </c>
      <c r="AU35" s="1423" t="e">
        <f t="shared" si="26"/>
        <v>#REF!</v>
      </c>
      <c r="AV35" s="1295">
        <f t="shared" si="27"/>
        <v>0</v>
      </c>
      <c r="AW35" s="71" t="e">
        <f t="shared" si="28"/>
        <v>#REF!</v>
      </c>
      <c r="AX35" s="71" t="e">
        <f t="shared" si="2"/>
        <v>#REF!</v>
      </c>
      <c r="AY35" s="73">
        <f t="shared" si="3"/>
        <v>0</v>
      </c>
      <c r="AZ35" s="74">
        <f t="shared" si="4"/>
        <v>0</v>
      </c>
      <c r="BA35" s="75">
        <f>'Avg Bill by RS'!BD86</f>
        <v>0</v>
      </c>
    </row>
    <row r="36" spans="1:53" x14ac:dyDescent="0.2">
      <c r="B36" s="273">
        <v>20</v>
      </c>
      <c r="C36" s="720" t="s">
        <v>281</v>
      </c>
      <c r="D36" s="70">
        <f>'Rate Impacts - Rev Req ONLY'!D36</f>
        <v>825480.07319999998</v>
      </c>
      <c r="E36" s="71">
        <f>'Rate Impacts - Rev Req ONLY'!E36</f>
        <v>825480.07319999998</v>
      </c>
      <c r="F36" s="85" t="e">
        <f>SUM('Rev Req Proof Yr1'!AF93:AH93)</f>
        <v>#REF!</v>
      </c>
      <c r="G36" s="75">
        <f>IFERROR((F36/D36),0)</f>
        <v>0</v>
      </c>
      <c r="H36" s="85" t="e">
        <f>SUM('Rev Req Proof Yr1'!AM93:AO93)</f>
        <v>#REF!</v>
      </c>
      <c r="I36" s="74">
        <f t="shared" si="5"/>
        <v>0</v>
      </c>
      <c r="J36" s="86" t="e">
        <f>SUM('Temps Proof'!W93:Y93)</f>
        <v>#REF!</v>
      </c>
      <c r="K36" s="74">
        <f t="shared" si="6"/>
        <v>0</v>
      </c>
      <c r="L36" s="74">
        <f t="shared" si="7"/>
        <v>0</v>
      </c>
      <c r="M36" s="86" t="e">
        <f>SUM('Temps Proof'!Y93:AA93)</f>
        <v>#REF!</v>
      </c>
      <c r="N36" s="74">
        <f t="shared" si="8"/>
        <v>0</v>
      </c>
      <c r="O36" s="74">
        <f t="shared" si="9"/>
        <v>0</v>
      </c>
      <c r="P36" s="86" t="e">
        <f>SUM('Temps Proof'!AE93:AG93)</f>
        <v>#REF!</v>
      </c>
      <c r="Q36" s="74">
        <f t="shared" si="10"/>
        <v>0</v>
      </c>
      <c r="R36" s="75">
        <f t="shared" si="11"/>
        <v>0</v>
      </c>
      <c r="S36" s="1452" t="e">
        <f>SUM(F36,H36)</f>
        <v>#REF!</v>
      </c>
      <c r="T36" s="1280">
        <f t="shared" si="13"/>
        <v>0</v>
      </c>
      <c r="U36" s="1281" t="e">
        <f t="shared" si="14"/>
        <v>#REF!</v>
      </c>
      <c r="V36" s="1282">
        <f t="shared" si="15"/>
        <v>0</v>
      </c>
      <c r="W36" s="71" t="e">
        <f t="shared" si="16"/>
        <v>#REF!</v>
      </c>
      <c r="X36" s="71" t="e">
        <f>E36+U36</f>
        <v>#REF!</v>
      </c>
      <c r="Y36" s="73">
        <f t="shared" si="0"/>
        <v>0</v>
      </c>
      <c r="Z36" s="74">
        <f t="shared" si="1"/>
        <v>0</v>
      </c>
      <c r="AA36" s="75">
        <f>'Avg Bill by RS'!AK93</f>
        <v>4.7E-2</v>
      </c>
      <c r="AB36" s="74"/>
      <c r="AC36" s="74"/>
      <c r="AD36" s="273">
        <v>20</v>
      </c>
      <c r="AE36" s="1196" t="s">
        <v>281</v>
      </c>
      <c r="AF36" s="1016" t="e">
        <f>'Rate Impacts - Rev Req ONLY'!N36</f>
        <v>#REF!</v>
      </c>
      <c r="AG36" s="71" t="e">
        <f>'Rate Impacts - Rev Req ONLY'!O36</f>
        <v>#REF!</v>
      </c>
      <c r="AH36" s="85" t="e">
        <f>SUM('Rev Req Proof Yr2'!AF93:AH93)</f>
        <v>#REF!</v>
      </c>
      <c r="AI36" s="75">
        <f>IFERROR((AH36/AF36),0)</f>
        <v>0</v>
      </c>
      <c r="AJ36" s="86" t="e">
        <f>SUM('Temps Proof'!AI93:AK93)</f>
        <v>#REF!</v>
      </c>
      <c r="AK36" s="74">
        <f t="shared" si="18"/>
        <v>0</v>
      </c>
      <c r="AL36" s="75">
        <f t="shared" si="19"/>
        <v>0</v>
      </c>
      <c r="AM36" s="1102" t="e">
        <f>SUM('Temps Proof'!AM93:AO93)</f>
        <v>#REF!</v>
      </c>
      <c r="AN36" s="74">
        <f t="shared" si="20"/>
        <v>0</v>
      </c>
      <c r="AO36" s="74">
        <f t="shared" si="21"/>
        <v>0</v>
      </c>
      <c r="AP36" s="85" t="e">
        <f>SUM('Temps Proof'!AQ93:AS93)</f>
        <v>#REF!</v>
      </c>
      <c r="AQ36" s="74">
        <f t="shared" si="22"/>
        <v>0</v>
      </c>
      <c r="AR36" s="75">
        <f t="shared" si="23"/>
        <v>0</v>
      </c>
      <c r="AS36" s="1423" t="e">
        <f t="shared" si="24"/>
        <v>#REF!</v>
      </c>
      <c r="AT36" s="1427">
        <f t="shared" si="25"/>
        <v>0</v>
      </c>
      <c r="AU36" s="1423" t="e">
        <f t="shared" si="26"/>
        <v>#REF!</v>
      </c>
      <c r="AV36" s="1295">
        <f t="shared" si="27"/>
        <v>0</v>
      </c>
      <c r="AW36" s="71" t="e">
        <f t="shared" si="28"/>
        <v>#REF!</v>
      </c>
      <c r="AX36" s="71" t="e">
        <f t="shared" si="2"/>
        <v>#REF!</v>
      </c>
      <c r="AY36" s="73">
        <f t="shared" si="3"/>
        <v>0</v>
      </c>
      <c r="AZ36" s="74">
        <f t="shared" si="4"/>
        <v>0</v>
      </c>
      <c r="BA36" s="75">
        <f>'Avg Bill by RS'!BD93</f>
        <v>1.7000000000000001E-2</v>
      </c>
    </row>
    <row r="37" spans="1:53" x14ac:dyDescent="0.2">
      <c r="B37" s="273">
        <v>21</v>
      </c>
      <c r="C37" s="720" t="s">
        <v>44</v>
      </c>
      <c r="D37" s="70">
        <f>'Rate Impacts - Rev Req ONLY'!D37</f>
        <v>0</v>
      </c>
      <c r="E37" s="71">
        <f>'Rate Impacts - Rev Req ONLY'!E37</f>
        <v>0</v>
      </c>
      <c r="F37" s="85" t="e">
        <f>SUM('Rev Req Proof Yr1'!AF94:AH94)</f>
        <v>#REF!</v>
      </c>
      <c r="G37" s="75">
        <f>IFERROR((F37/D37),0)</f>
        <v>0</v>
      </c>
      <c r="H37" s="85" t="e">
        <f>SUM('Rev Req Proof Yr1'!AM94:AO94)</f>
        <v>#REF!</v>
      </c>
      <c r="I37" s="74">
        <f t="shared" si="5"/>
        <v>0</v>
      </c>
      <c r="J37" s="86" t="e">
        <f>SUM('Temps Proof'!W94:Y94)</f>
        <v>#REF!</v>
      </c>
      <c r="K37" s="74">
        <f t="shared" si="6"/>
        <v>0</v>
      </c>
      <c r="L37" s="74">
        <f t="shared" si="7"/>
        <v>0</v>
      </c>
      <c r="M37" s="86" t="e">
        <f>SUM('Temps Proof'!Y94:AA94)</f>
        <v>#REF!</v>
      </c>
      <c r="N37" s="74">
        <f t="shared" si="8"/>
        <v>0</v>
      </c>
      <c r="O37" s="74">
        <f t="shared" si="9"/>
        <v>0</v>
      </c>
      <c r="P37" s="86" t="e">
        <f>SUM('Temps Proof'!AE94:AG94)</f>
        <v>#REF!</v>
      </c>
      <c r="Q37" s="74">
        <f t="shared" si="10"/>
        <v>0</v>
      </c>
      <c r="R37" s="75">
        <f t="shared" si="11"/>
        <v>0</v>
      </c>
      <c r="S37" s="1452" t="e">
        <f t="shared" si="12"/>
        <v>#REF!</v>
      </c>
      <c r="T37" s="1280">
        <f t="shared" si="13"/>
        <v>0</v>
      </c>
      <c r="U37" s="1281" t="e">
        <f t="shared" si="14"/>
        <v>#REF!</v>
      </c>
      <c r="V37" s="1282">
        <f t="shared" si="15"/>
        <v>0</v>
      </c>
      <c r="W37" s="71" t="e">
        <f t="shared" si="16"/>
        <v>#REF!</v>
      </c>
      <c r="X37" s="71" t="e">
        <f t="shared" si="17"/>
        <v>#REF!</v>
      </c>
      <c r="Y37" s="73">
        <f t="shared" si="0"/>
        <v>0</v>
      </c>
      <c r="Z37" s="74">
        <f t="shared" si="1"/>
        <v>0</v>
      </c>
      <c r="AA37" s="75">
        <f>'Avg Bill by RS'!AK94</f>
        <v>0</v>
      </c>
      <c r="AB37" s="74"/>
      <c r="AC37" s="74"/>
      <c r="AD37" s="273">
        <v>21</v>
      </c>
      <c r="AE37" s="1196" t="s">
        <v>44</v>
      </c>
      <c r="AF37" s="1016" t="e">
        <f>'Rate Impacts - Rev Req ONLY'!N37</f>
        <v>#REF!</v>
      </c>
      <c r="AG37" s="71" t="e">
        <f>'Rate Impacts - Rev Req ONLY'!O37</f>
        <v>#REF!</v>
      </c>
      <c r="AH37" s="85" t="e">
        <f>SUM('Rev Req Proof Yr2'!AF94:AH94)</f>
        <v>#REF!</v>
      </c>
      <c r="AI37" s="75">
        <f>IFERROR((AH37/AF37),0)</f>
        <v>0</v>
      </c>
      <c r="AJ37" s="86" t="e">
        <f>SUM('Temps Proof'!AI94:AK94)</f>
        <v>#REF!</v>
      </c>
      <c r="AK37" s="74">
        <f t="shared" si="18"/>
        <v>0</v>
      </c>
      <c r="AL37" s="75">
        <f t="shared" si="19"/>
        <v>0</v>
      </c>
      <c r="AM37" s="1102" t="e">
        <f>SUM('Temps Proof'!AM94:AO94)</f>
        <v>#REF!</v>
      </c>
      <c r="AN37" s="74">
        <f t="shared" si="20"/>
        <v>0</v>
      </c>
      <c r="AO37" s="74">
        <f t="shared" si="21"/>
        <v>0</v>
      </c>
      <c r="AP37" s="85" t="e">
        <f>SUM('Temps Proof'!AQ94:AS94)</f>
        <v>#REF!</v>
      </c>
      <c r="AQ37" s="74">
        <f t="shared" si="22"/>
        <v>0</v>
      </c>
      <c r="AR37" s="75">
        <f t="shared" si="23"/>
        <v>0</v>
      </c>
      <c r="AS37" s="1423" t="e">
        <f t="shared" si="24"/>
        <v>#REF!</v>
      </c>
      <c r="AT37" s="1427">
        <f t="shared" si="25"/>
        <v>0</v>
      </c>
      <c r="AU37" s="1423" t="e">
        <f t="shared" si="26"/>
        <v>#REF!</v>
      </c>
      <c r="AV37" s="1295">
        <f t="shared" si="27"/>
        <v>0</v>
      </c>
      <c r="AW37" s="71" t="e">
        <f t="shared" si="28"/>
        <v>#REF!</v>
      </c>
      <c r="AX37" s="71" t="e">
        <f t="shared" si="2"/>
        <v>#REF!</v>
      </c>
      <c r="AY37" s="73">
        <f t="shared" si="3"/>
        <v>0</v>
      </c>
      <c r="AZ37" s="74">
        <f t="shared" si="4"/>
        <v>0</v>
      </c>
      <c r="BA37" s="75">
        <f>'Avg Bill by RS'!BD94</f>
        <v>0</v>
      </c>
    </row>
    <row r="38" spans="1:53" x14ac:dyDescent="0.2">
      <c r="B38" s="273">
        <v>22</v>
      </c>
      <c r="C38" s="720" t="s">
        <v>264</v>
      </c>
      <c r="D38" s="70">
        <f>'Rate Impacts - Rev Req ONLY'!D38</f>
        <v>0</v>
      </c>
      <c r="E38" s="71">
        <f>'Rate Impacts - Rev Req ONLY'!E38</f>
        <v>0</v>
      </c>
      <c r="F38" s="85" t="e">
        <f>SUM('Rev Req Proof Yr1'!AF95:AH95)</f>
        <v>#REF!</v>
      </c>
      <c r="G38" s="75">
        <f>IFERROR((F38/D38),0)</f>
        <v>0</v>
      </c>
      <c r="H38" s="85" t="e">
        <f>SUM('Rev Req Proof Yr1'!AM95:AO95)</f>
        <v>#REF!</v>
      </c>
      <c r="I38" s="74">
        <f t="shared" si="5"/>
        <v>0</v>
      </c>
      <c r="J38" s="86" t="e">
        <f>SUM('Temps Proof'!W95:Y95)</f>
        <v>#REF!</v>
      </c>
      <c r="K38" s="74">
        <f t="shared" si="6"/>
        <v>0</v>
      </c>
      <c r="L38" s="74">
        <f t="shared" si="7"/>
        <v>0</v>
      </c>
      <c r="M38" s="86" t="e">
        <f>SUM('Temps Proof'!Y95:AA95)</f>
        <v>#REF!</v>
      </c>
      <c r="N38" s="74">
        <f t="shared" si="8"/>
        <v>0</v>
      </c>
      <c r="O38" s="74">
        <f t="shared" si="9"/>
        <v>0</v>
      </c>
      <c r="P38" s="86" t="e">
        <f>SUM('Temps Proof'!AE95:AG95)</f>
        <v>#REF!</v>
      </c>
      <c r="Q38" s="74">
        <f t="shared" si="10"/>
        <v>0</v>
      </c>
      <c r="R38" s="75">
        <f t="shared" si="11"/>
        <v>0</v>
      </c>
      <c r="S38" s="1452" t="e">
        <f t="shared" si="12"/>
        <v>#REF!</v>
      </c>
      <c r="T38" s="1280">
        <f t="shared" si="13"/>
        <v>0</v>
      </c>
      <c r="U38" s="1281" t="e">
        <f t="shared" si="14"/>
        <v>#REF!</v>
      </c>
      <c r="V38" s="1282">
        <f t="shared" si="15"/>
        <v>0</v>
      </c>
      <c r="W38" s="71" t="e">
        <f t="shared" si="16"/>
        <v>#REF!</v>
      </c>
      <c r="X38" s="71" t="e">
        <f t="shared" si="17"/>
        <v>#REF!</v>
      </c>
      <c r="Y38" s="73">
        <f t="shared" si="0"/>
        <v>0</v>
      </c>
      <c r="Z38" s="74">
        <f t="shared" si="1"/>
        <v>0</v>
      </c>
      <c r="AA38" s="75">
        <f>'Avg Bill by RS'!AK95</f>
        <v>0</v>
      </c>
      <c r="AB38" s="74"/>
      <c r="AC38" s="74"/>
      <c r="AD38" s="273">
        <v>22</v>
      </c>
      <c r="AE38" s="1196" t="s">
        <v>264</v>
      </c>
      <c r="AF38" s="1016" t="e">
        <f>'Rate Impacts - Rev Req ONLY'!N38</f>
        <v>#REF!</v>
      </c>
      <c r="AG38" s="71" t="e">
        <f>'Rate Impacts - Rev Req ONLY'!O38</f>
        <v>#REF!</v>
      </c>
      <c r="AH38" s="85" t="e">
        <f>SUM('Rev Req Proof Yr2'!AF95:AH95)</f>
        <v>#REF!</v>
      </c>
      <c r="AI38" s="75">
        <f>IFERROR((AH38/AF38),0)</f>
        <v>0</v>
      </c>
      <c r="AJ38" s="86" t="e">
        <f>SUM('Temps Proof'!AI95:AK95)</f>
        <v>#REF!</v>
      </c>
      <c r="AK38" s="74">
        <f t="shared" si="18"/>
        <v>0</v>
      </c>
      <c r="AL38" s="75">
        <f t="shared" si="19"/>
        <v>0</v>
      </c>
      <c r="AM38" s="1102" t="e">
        <f>SUM('Temps Proof'!AM95:AO95)</f>
        <v>#REF!</v>
      </c>
      <c r="AN38" s="74">
        <f t="shared" si="20"/>
        <v>0</v>
      </c>
      <c r="AO38" s="74">
        <f t="shared" si="21"/>
        <v>0</v>
      </c>
      <c r="AP38" s="85" t="e">
        <f>SUM('Temps Proof'!AQ95:AS95)</f>
        <v>#REF!</v>
      </c>
      <c r="AQ38" s="74">
        <f t="shared" si="22"/>
        <v>0</v>
      </c>
      <c r="AR38" s="75">
        <f t="shared" si="23"/>
        <v>0</v>
      </c>
      <c r="AS38" s="1423" t="e">
        <f t="shared" si="24"/>
        <v>#REF!</v>
      </c>
      <c r="AT38" s="1427">
        <f t="shared" si="25"/>
        <v>0</v>
      </c>
      <c r="AU38" s="1423" t="e">
        <f t="shared" si="26"/>
        <v>#REF!</v>
      </c>
      <c r="AV38" s="1295">
        <f t="shared" si="27"/>
        <v>0</v>
      </c>
      <c r="AW38" s="71" t="e">
        <f t="shared" si="28"/>
        <v>#REF!</v>
      </c>
      <c r="AX38" s="71" t="e">
        <f t="shared" si="2"/>
        <v>#REF!</v>
      </c>
      <c r="AY38" s="73">
        <f t="shared" si="3"/>
        <v>0</v>
      </c>
      <c r="AZ38" s="74">
        <f t="shared" si="4"/>
        <v>0</v>
      </c>
      <c r="BA38" s="75">
        <f>'Avg Bill by RS'!BD95</f>
        <v>0</v>
      </c>
    </row>
    <row r="39" spans="1:53" x14ac:dyDescent="0.2">
      <c r="B39" s="273">
        <v>23</v>
      </c>
      <c r="C39" s="720" t="s">
        <v>304</v>
      </c>
      <c r="D39" s="70">
        <f>'Rate Impacts - Rev Req ONLY'!D39</f>
        <v>242994.60207180592</v>
      </c>
      <c r="E39" s="71">
        <f>'Rate Impacts - Rev Req ONLY'!E39</f>
        <v>242994.60207180592</v>
      </c>
      <c r="F39" s="85" t="e">
        <f>SUM('Rev Req Proof Yr1'!AF96:AH96)</f>
        <v>#REF!</v>
      </c>
      <c r="G39" s="75">
        <f>IFERROR((F39/D39),0)</f>
        <v>0</v>
      </c>
      <c r="H39" s="85" t="e">
        <f>SUM('Rev Req Proof Yr1'!AM96:AO96)</f>
        <v>#REF!</v>
      </c>
      <c r="I39" s="74">
        <f t="shared" si="5"/>
        <v>0</v>
      </c>
      <c r="J39" s="86" t="e">
        <f>SUM('Temps Proof'!W96:Y96)</f>
        <v>#REF!</v>
      </c>
      <c r="K39" s="74">
        <f t="shared" si="6"/>
        <v>0</v>
      </c>
      <c r="L39" s="74">
        <f t="shared" si="7"/>
        <v>0</v>
      </c>
      <c r="M39" s="86" t="e">
        <f>SUM('Temps Proof'!Y96:AA96)</f>
        <v>#REF!</v>
      </c>
      <c r="N39" s="74">
        <f t="shared" si="8"/>
        <v>0</v>
      </c>
      <c r="O39" s="74">
        <f t="shared" si="9"/>
        <v>0</v>
      </c>
      <c r="P39" s="86" t="e">
        <f>SUM('Temps Proof'!AE96:AG96)</f>
        <v>#REF!</v>
      </c>
      <c r="Q39" s="74">
        <f t="shared" si="10"/>
        <v>0</v>
      </c>
      <c r="R39" s="75">
        <f t="shared" si="11"/>
        <v>0</v>
      </c>
      <c r="S39" s="1452" t="e">
        <f>SUM(F39,H39)</f>
        <v>#REF!</v>
      </c>
      <c r="T39" s="1280">
        <f t="shared" si="13"/>
        <v>0</v>
      </c>
      <c r="U39" s="1281" t="e">
        <f t="shared" si="14"/>
        <v>#REF!</v>
      </c>
      <c r="V39" s="1282">
        <f t="shared" si="15"/>
        <v>0</v>
      </c>
      <c r="W39" s="71" t="e">
        <f t="shared" si="16"/>
        <v>#REF!</v>
      </c>
      <c r="X39" s="71" t="e">
        <f t="shared" si="17"/>
        <v>#REF!</v>
      </c>
      <c r="Y39" s="73">
        <f t="shared" si="0"/>
        <v>0</v>
      </c>
      <c r="Z39" s="74">
        <f t="shared" si="1"/>
        <v>0</v>
      </c>
      <c r="AA39" s="75">
        <f>'Avg Bill by RS'!AK96</f>
        <v>0</v>
      </c>
      <c r="AB39" s="74"/>
      <c r="AC39" s="74"/>
      <c r="AD39" s="273">
        <v>23</v>
      </c>
      <c r="AE39" s="1196" t="s">
        <v>304</v>
      </c>
      <c r="AF39" s="1016" t="e">
        <f>'Rate Impacts - Rev Req ONLY'!N39</f>
        <v>#REF!</v>
      </c>
      <c r="AG39" s="71" t="e">
        <f>'Rate Impacts - Rev Req ONLY'!O39</f>
        <v>#REF!</v>
      </c>
      <c r="AH39" s="85" t="e">
        <f>SUM('Rev Req Proof Yr2'!AF96:AH96)</f>
        <v>#REF!</v>
      </c>
      <c r="AI39" s="75">
        <f>IFERROR((AH39/AF39),0)</f>
        <v>0</v>
      </c>
      <c r="AJ39" s="86" t="e">
        <f>SUM('Temps Proof'!AI96:AK96)</f>
        <v>#REF!</v>
      </c>
      <c r="AK39" s="74">
        <f t="shared" si="18"/>
        <v>0</v>
      </c>
      <c r="AL39" s="75">
        <f t="shared" si="19"/>
        <v>0</v>
      </c>
      <c r="AM39" s="1102" t="e">
        <f>SUM('Temps Proof'!AM96:AO96)</f>
        <v>#REF!</v>
      </c>
      <c r="AN39" s="74">
        <f t="shared" si="20"/>
        <v>0</v>
      </c>
      <c r="AO39" s="74">
        <f t="shared" si="21"/>
        <v>0</v>
      </c>
      <c r="AP39" s="85" t="e">
        <f>SUM('Temps Proof'!AQ96:AS96)</f>
        <v>#REF!</v>
      </c>
      <c r="AQ39" s="74">
        <f t="shared" si="22"/>
        <v>0</v>
      </c>
      <c r="AR39" s="75">
        <f t="shared" si="23"/>
        <v>0</v>
      </c>
      <c r="AS39" s="1423" t="e">
        <f t="shared" si="24"/>
        <v>#REF!</v>
      </c>
      <c r="AT39" s="1427">
        <f t="shared" si="25"/>
        <v>0</v>
      </c>
      <c r="AU39" s="1423" t="e">
        <f t="shared" si="26"/>
        <v>#REF!</v>
      </c>
      <c r="AV39" s="1295">
        <f t="shared" si="27"/>
        <v>0</v>
      </c>
      <c r="AW39" s="71" t="e">
        <f t="shared" si="28"/>
        <v>#REF!</v>
      </c>
      <c r="AX39" s="71" t="e">
        <f t="shared" si="2"/>
        <v>#REF!</v>
      </c>
      <c r="AY39" s="73">
        <f t="shared" si="3"/>
        <v>0</v>
      </c>
      <c r="AZ39" s="74">
        <f t="shared" si="4"/>
        <v>0</v>
      </c>
      <c r="BA39" s="75">
        <f>'Avg Bill by RS'!BD96</f>
        <v>0</v>
      </c>
    </row>
    <row r="40" spans="1:53" ht="13.5" thickBot="1" x14ac:dyDescent="0.25">
      <c r="B40" s="43"/>
      <c r="C40" s="77"/>
      <c r="D40" s="44"/>
      <c r="E40" s="44"/>
      <c r="F40" s="43"/>
      <c r="G40" s="961"/>
      <c r="H40" s="43"/>
      <c r="I40" s="962"/>
      <c r="J40" s="963"/>
      <c r="K40" s="1469"/>
      <c r="L40" s="1469"/>
      <c r="M40" s="1470"/>
      <c r="N40" s="1469"/>
      <c r="O40" s="1469"/>
      <c r="P40" s="1470"/>
      <c r="Q40" s="1469"/>
      <c r="R40" s="1471"/>
      <c r="S40" s="1283"/>
      <c r="T40" s="1283"/>
      <c r="U40" s="1283"/>
      <c r="V40" s="1284"/>
      <c r="W40" s="44"/>
      <c r="X40" s="44"/>
      <c r="Y40" s="975"/>
      <c r="Z40" s="976"/>
      <c r="AA40" s="977"/>
      <c r="AB40" s="1215"/>
      <c r="AC40" s="1215"/>
      <c r="AD40" s="43"/>
      <c r="AE40" s="1198"/>
      <c r="AF40" s="43"/>
      <c r="AG40" s="44"/>
      <c r="AH40" s="43"/>
      <c r="AI40" s="961"/>
      <c r="AJ40" s="1407"/>
      <c r="AK40" s="1475"/>
      <c r="AL40" s="1476"/>
      <c r="AM40" s="1475"/>
      <c r="AN40" s="1475"/>
      <c r="AO40" s="1475"/>
      <c r="AP40" s="1477"/>
      <c r="AQ40" s="1475"/>
      <c r="AR40" s="1476"/>
      <c r="AS40" s="1424"/>
      <c r="AT40" s="1424"/>
      <c r="AU40" s="1424"/>
      <c r="AV40" s="1296"/>
      <c r="AW40" s="44"/>
      <c r="AX40" s="44"/>
      <c r="AY40" s="975"/>
      <c r="AZ40" s="976"/>
      <c r="BA40" s="977"/>
    </row>
    <row r="41" spans="1:53" s="82" customFormat="1" x14ac:dyDescent="0.2">
      <c r="A41" s="46"/>
      <c r="B41" s="956"/>
      <c r="C41" s="1303" t="s">
        <v>32</v>
      </c>
      <c r="D41" s="949">
        <f>SUM(D17:D39)</f>
        <v>49604902.662138224</v>
      </c>
      <c r="E41" s="950">
        <f>SUM(E17:E39)</f>
        <v>78333454.662138224</v>
      </c>
      <c r="F41" s="1089" t="e">
        <f>SUM(F17:F39)</f>
        <v>#REF!</v>
      </c>
      <c r="G41" s="954">
        <f>IFERROR((F41/(D41-D39)),0)</f>
        <v>0</v>
      </c>
      <c r="H41" s="950" t="e">
        <f>SUM(H17:H39)</f>
        <v>#REF!</v>
      </c>
      <c r="I41" s="1330">
        <f>IFERROR((H41/(D41-D39)),0)</f>
        <v>0</v>
      </c>
      <c r="J41" s="968" t="e">
        <f>SUM(J17:J39)</f>
        <v>#REF!</v>
      </c>
      <c r="K41" s="1176">
        <f>IFERROR((J41/(E41-E39+F41+H41)),0)</f>
        <v>0</v>
      </c>
      <c r="L41" s="1176">
        <f>IFERROR((J41/(SUM(D41-D21-D24-D27-D30-D31-D32-D34-D36-D39,F41-F21-F24-F27-F30-F31-F32-F34-F36-F39))),0)</f>
        <v>0</v>
      </c>
      <c r="M41" s="1468" t="e">
        <f>SUM(M17:M39)</f>
        <v>#REF!</v>
      </c>
      <c r="N41" s="1176">
        <f>IFERROR((M41/(E41-E39+F41+H41)),0)</f>
        <v>0</v>
      </c>
      <c r="O41" s="1176">
        <f>IFERROR((M41/SUM(D41-D39,F41-F39)),0)</f>
        <v>0</v>
      </c>
      <c r="P41" s="1468" t="e">
        <f>SUM(P17:P39)</f>
        <v>#REF!</v>
      </c>
      <c r="Q41" s="1176">
        <f>IFERROR((P41/(E41-E39+F41+H41)),0)</f>
        <v>0</v>
      </c>
      <c r="R41" s="1472">
        <f>IFERROR((P41/SUM(D41-D39,F41-F39)),0)</f>
        <v>0</v>
      </c>
      <c r="S41" s="1285" t="e">
        <f>SUM(S17:S39)</f>
        <v>#REF!</v>
      </c>
      <c r="T41" s="1286">
        <f>IFERROR((S41)/(D41-D39),0)</f>
        <v>0</v>
      </c>
      <c r="U41" s="1287" t="e">
        <f>SUM(U17:U39)</f>
        <v>#REF!</v>
      </c>
      <c r="V41" s="1288">
        <f>IFERROR((U41)/(E41-E39),0)</f>
        <v>0</v>
      </c>
      <c r="W41" s="955" t="e">
        <f>SUM(W17:W39)</f>
        <v>#REF!</v>
      </c>
      <c r="X41" s="1013" t="e">
        <f>SUM(X17:X39)</f>
        <v>#REF!</v>
      </c>
      <c r="Y41" s="952">
        <f>IFERROR(SUM((W41-W39)-SUM(D41-D39))/SUM(D41-D39),0)</f>
        <v>0</v>
      </c>
      <c r="Z41" s="953">
        <f>IFERROR(SUM((X41-X39)-SUM(E41-E39))/SUM(E41-E39),0)</f>
        <v>0</v>
      </c>
      <c r="AA41" s="954"/>
      <c r="AB41" s="1176"/>
      <c r="AC41" s="1176"/>
      <c r="AD41" s="956"/>
      <c r="AE41" s="1152" t="s">
        <v>32</v>
      </c>
      <c r="AF41" s="955" t="e">
        <f>SUM(AF17:AF39)</f>
        <v>#REF!</v>
      </c>
      <c r="AG41" s="950" t="e">
        <f>SUM(AG17:AG39)</f>
        <v>#REF!</v>
      </c>
      <c r="AH41" s="1089" t="e">
        <f>SUM(AH17:AH39)</f>
        <v>#REF!</v>
      </c>
      <c r="AI41" s="954">
        <f>IFERROR((AH41/(AF41-AF39)),0)</f>
        <v>0</v>
      </c>
      <c r="AJ41" s="1089" t="e">
        <f>SUM(AJ17:AJ39)</f>
        <v>#REF!</v>
      </c>
      <c r="AK41" s="1176">
        <f>IFERROR((AJ41/(AG41-AG39+AH41)),0)</f>
        <v>0</v>
      </c>
      <c r="AL41" s="1472">
        <f>IFERROR((AJ41/(SUM(AF41-AF21-AF24-AF27-AF30-AF31-AF32-AF34-AF36-AF39,AH41-AH21-AH24-AH27-AH30-AH31-AH32-AH34-AH36-AH39))),0)</f>
        <v>0</v>
      </c>
      <c r="AM41" s="1473" t="e">
        <f>SUM(AM17:AM39)</f>
        <v>#REF!</v>
      </c>
      <c r="AN41" s="1176">
        <f>IFERROR((AM41/(AG41-AG39+AH41)),0)</f>
        <v>0</v>
      </c>
      <c r="AO41" s="1176">
        <f>IFERROR((AM41/SUM(AF41-AF39,AH41-AH39)),0)</f>
        <v>0</v>
      </c>
      <c r="AP41" s="1474" t="e">
        <f>SUM(AP17:AP39)</f>
        <v>#REF!</v>
      </c>
      <c r="AQ41" s="1176">
        <f>IFERROR((AP41/(AG41-AG39+AH41)),0)</f>
        <v>0</v>
      </c>
      <c r="AR41" s="1472">
        <f>IFERROR((AP41/SUM(AF41-AF39,AH41-AH39)),0)</f>
        <v>0</v>
      </c>
      <c r="AS41" s="1463" t="e">
        <f t="shared" ref="AS41" si="33">AH41</f>
        <v>#REF!</v>
      </c>
      <c r="AT41" s="1464">
        <f t="shared" ref="AT41" si="34">AI41</f>
        <v>0</v>
      </c>
      <c r="AU41" s="1465" t="e">
        <f>SUM(AU17:AU39)</f>
        <v>#REF!</v>
      </c>
      <c r="AV41" s="1466">
        <f>IFERROR((AU41/(AG41-AG39)),0)</f>
        <v>0</v>
      </c>
      <c r="AW41" s="949" t="e">
        <f>SUM(AW17:AW39)</f>
        <v>#REF!</v>
      </c>
      <c r="AX41" s="950" t="e">
        <f>SUM(AX17:AX39)</f>
        <v>#REF!</v>
      </c>
      <c r="AY41" s="952">
        <f>IFERROR(SUM((AW41-AW39)-SUM(AF41-AF39))/SUM(AF41-AF39),0)</f>
        <v>0</v>
      </c>
      <c r="AZ41" s="953">
        <f>IFERROR(SUM((AX41-AX39)-SUM(AG41-AG39))/SUM(AG41-AG39),0)</f>
        <v>0</v>
      </c>
      <c r="BA41" s="954"/>
    </row>
    <row r="42" spans="1:53" ht="15.75" thickBot="1" x14ac:dyDescent="0.3">
      <c r="A42" s="50"/>
      <c r="B42" s="1304"/>
      <c r="C42" s="1106"/>
      <c r="D42" s="1160"/>
      <c r="E42" s="1222"/>
      <c r="F42" s="1223" t="s">
        <v>446</v>
      </c>
      <c r="G42" s="1106"/>
      <c r="H42" s="1223" t="s">
        <v>446</v>
      </c>
      <c r="I42" s="1222"/>
      <c r="J42" s="1223" t="s">
        <v>446</v>
      </c>
      <c r="K42" s="79"/>
      <c r="L42" s="79"/>
      <c r="M42" s="1223" t="s">
        <v>446</v>
      </c>
      <c r="N42" s="79"/>
      <c r="O42" s="79"/>
      <c r="P42" s="1418" t="s">
        <v>446</v>
      </c>
      <c r="Q42" s="79"/>
      <c r="R42" s="80"/>
      <c r="S42" s="1414" t="s">
        <v>446</v>
      </c>
      <c r="T42" s="1289"/>
      <c r="U42" s="1414" t="s">
        <v>446</v>
      </c>
      <c r="V42" s="1290"/>
      <c r="W42" s="1159"/>
      <c r="X42" s="1014"/>
      <c r="Y42" s="1224"/>
      <c r="Z42" s="1105"/>
      <c r="AA42" s="1185" t="s">
        <v>574</v>
      </c>
      <c r="AB42" s="1269"/>
      <c r="AC42" s="1216"/>
      <c r="AD42" s="1199"/>
      <c r="AE42" s="1200"/>
      <c r="AF42" s="1462"/>
      <c r="AG42" s="969"/>
      <c r="AH42" s="1223" t="s">
        <v>445</v>
      </c>
      <c r="AI42" s="971"/>
      <c r="AJ42" s="1418" t="s">
        <v>445</v>
      </c>
      <c r="AK42" s="969"/>
      <c r="AL42" s="971"/>
      <c r="AM42" s="1457" t="s">
        <v>445</v>
      </c>
      <c r="AN42" s="969"/>
      <c r="AO42" s="969"/>
      <c r="AP42" s="1418" t="s">
        <v>445</v>
      </c>
      <c r="AQ42" s="969"/>
      <c r="AR42" s="971"/>
      <c r="AS42" s="1426"/>
      <c r="AT42" s="1428"/>
      <c r="AU42" s="1426"/>
      <c r="AV42" s="1298"/>
      <c r="AW42" s="969"/>
      <c r="AX42" s="1012"/>
      <c r="AY42" s="1224"/>
      <c r="AZ42" s="79"/>
      <c r="BA42" s="1467" t="s">
        <v>446</v>
      </c>
    </row>
    <row r="43" spans="1:53" ht="6.95" customHeight="1" x14ac:dyDescent="0.2">
      <c r="D43" s="78"/>
      <c r="E43" s="78"/>
      <c r="F43" s="78"/>
      <c r="G43" s="78"/>
      <c r="H43" s="78"/>
      <c r="I43" s="78"/>
      <c r="J43" s="78"/>
      <c r="K43" s="78"/>
      <c r="L43" s="78"/>
      <c r="M43" s="78"/>
      <c r="N43" s="78"/>
      <c r="O43" s="78"/>
      <c r="P43" s="78"/>
      <c r="Q43" s="78"/>
      <c r="R43" s="78"/>
      <c r="S43" s="78"/>
      <c r="T43" s="1162" t="s">
        <v>425</v>
      </c>
      <c r="U43" s="78"/>
      <c r="V43" s="78"/>
      <c r="W43" s="78"/>
    </row>
    <row r="44" spans="1:53" ht="12" customHeight="1" x14ac:dyDescent="0.2">
      <c r="B44" s="834" t="s">
        <v>598</v>
      </c>
      <c r="C44" s="830"/>
      <c r="D44" s="88"/>
      <c r="E44" s="89"/>
      <c r="F44" s="52"/>
      <c r="G44" s="52"/>
      <c r="H44" s="89"/>
      <c r="I44" s="52"/>
      <c r="J44" s="89"/>
      <c r="K44" s="89"/>
      <c r="L44" s="89"/>
      <c r="M44" s="89"/>
      <c r="N44" s="89"/>
      <c r="O44" s="89"/>
      <c r="P44" s="89"/>
      <c r="Q44" s="89"/>
      <c r="R44" s="89"/>
      <c r="S44" s="89"/>
      <c r="T44" s="89"/>
      <c r="U44" s="89"/>
      <c r="V44" s="89"/>
      <c r="W44" s="52"/>
      <c r="X44" s="90"/>
      <c r="Y44" s="567"/>
      <c r="Z44" s="52"/>
      <c r="AA44" s="52"/>
      <c r="AB44" s="52"/>
      <c r="AC44" s="52"/>
      <c r="AD44" s="834" t="s">
        <v>598</v>
      </c>
      <c r="AE44" s="830"/>
      <c r="AG44" s="893"/>
    </row>
    <row r="45" spans="1:53" ht="12" customHeight="1" x14ac:dyDescent="0.2">
      <c r="B45" s="834" t="s">
        <v>442</v>
      </c>
      <c r="C45" s="835"/>
      <c r="D45" s="88"/>
      <c r="E45" s="89"/>
      <c r="F45" s="90"/>
      <c r="G45" s="90"/>
      <c r="H45" s="89"/>
      <c r="I45" s="90"/>
      <c r="J45" s="89"/>
      <c r="K45" s="89"/>
      <c r="L45" s="89"/>
      <c r="M45" s="89"/>
      <c r="N45" s="89"/>
      <c r="O45" s="89"/>
      <c r="P45" s="89"/>
      <c r="Q45" s="89"/>
      <c r="R45" s="89"/>
      <c r="S45" s="89"/>
      <c r="T45" s="89"/>
      <c r="U45" s="89"/>
      <c r="V45" s="89"/>
      <c r="W45" s="52"/>
      <c r="X45" s="1158"/>
      <c r="Y45" s="567"/>
      <c r="Z45" s="52"/>
      <c r="AA45" s="52"/>
      <c r="AB45" s="52"/>
      <c r="AC45" s="52"/>
      <c r="AD45" s="834" t="s">
        <v>530</v>
      </c>
    </row>
    <row r="46" spans="1:53" ht="12" customHeight="1" x14ac:dyDescent="0.2">
      <c r="B46" s="834" t="s">
        <v>443</v>
      </c>
      <c r="D46" s="88"/>
      <c r="E46" s="89"/>
      <c r="F46" s="90"/>
      <c r="G46" s="90"/>
      <c r="H46" s="89"/>
      <c r="I46" s="90"/>
      <c r="J46" s="89"/>
      <c r="K46" s="89"/>
      <c r="L46" s="89"/>
      <c r="M46" s="89"/>
      <c r="N46" s="89"/>
      <c r="O46" s="89"/>
      <c r="P46" s="89"/>
      <c r="Q46" s="89"/>
      <c r="R46" s="89"/>
      <c r="S46" s="89"/>
      <c r="T46" s="89"/>
      <c r="U46" s="89"/>
      <c r="V46" s="89"/>
      <c r="W46" s="52"/>
      <c r="X46" s="52"/>
      <c r="Y46" s="52"/>
      <c r="Z46" s="52"/>
      <c r="AA46" s="52"/>
      <c r="AB46" s="52"/>
      <c r="AC46" s="52"/>
      <c r="AD46" s="834" t="s">
        <v>531</v>
      </c>
    </row>
    <row r="47" spans="1:53" ht="12" customHeight="1" x14ac:dyDescent="0.2">
      <c r="B47" s="834" t="s">
        <v>444</v>
      </c>
      <c r="D47" s="88"/>
      <c r="E47" s="89"/>
      <c r="F47" s="52"/>
      <c r="G47" s="52"/>
      <c r="H47" s="89"/>
      <c r="I47" s="52"/>
      <c r="J47" s="89"/>
      <c r="K47" s="89"/>
      <c r="L47" s="89"/>
      <c r="M47" s="89"/>
      <c r="N47" s="89"/>
      <c r="O47" s="89"/>
      <c r="P47" s="89"/>
      <c r="Q47" s="89"/>
      <c r="R47" s="89"/>
      <c r="S47" s="89"/>
      <c r="T47" s="89"/>
      <c r="U47" s="89"/>
      <c r="V47" s="89"/>
      <c r="W47" s="52"/>
      <c r="X47" s="52"/>
      <c r="Y47" s="52"/>
      <c r="Z47" s="52"/>
      <c r="AA47" s="52"/>
      <c r="AB47" s="52"/>
      <c r="AC47" s="52"/>
      <c r="AD47" s="834" t="s">
        <v>532</v>
      </c>
    </row>
    <row r="48" spans="1:53" ht="12" customHeight="1" x14ac:dyDescent="0.2">
      <c r="B48" s="834" t="s">
        <v>575</v>
      </c>
      <c r="D48" s="88"/>
      <c r="E48" s="89"/>
      <c r="F48" s="52"/>
      <c r="G48" s="52"/>
      <c r="H48" s="89"/>
      <c r="I48" s="52"/>
      <c r="J48" s="89"/>
      <c r="K48" s="89"/>
      <c r="L48" s="89"/>
      <c r="M48" s="89"/>
      <c r="N48" s="89"/>
      <c r="O48" s="89"/>
      <c r="P48" s="89"/>
      <c r="Q48" s="89"/>
      <c r="R48" s="89"/>
      <c r="S48" s="89"/>
      <c r="T48" s="89"/>
      <c r="U48" s="89"/>
      <c r="V48" s="89"/>
      <c r="W48" s="52"/>
      <c r="X48" s="52"/>
      <c r="Y48" s="52"/>
      <c r="Z48" s="52"/>
      <c r="AA48" s="52"/>
      <c r="AB48" s="52"/>
      <c r="AC48" s="52"/>
      <c r="AD48" s="834" t="s">
        <v>600</v>
      </c>
      <c r="AE48" s="830"/>
    </row>
    <row r="49" spans="2:50" x14ac:dyDescent="0.2">
      <c r="B49" s="834" t="s">
        <v>599</v>
      </c>
      <c r="C49" s="830"/>
      <c r="D49" s="87"/>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834" t="s">
        <v>447</v>
      </c>
    </row>
    <row r="50" spans="2:50" ht="12.95" customHeight="1" x14ac:dyDescent="0.2">
      <c r="B50" s="834" t="s">
        <v>577</v>
      </c>
      <c r="C50" s="835"/>
      <c r="D50" s="87"/>
      <c r="E50" s="52"/>
      <c r="F50" s="52"/>
      <c r="G50" s="52"/>
      <c r="H50" s="52"/>
      <c r="I50" s="52"/>
      <c r="J50" s="52"/>
      <c r="K50" s="52"/>
      <c r="L50" s="52"/>
      <c r="M50" s="52"/>
      <c r="N50" s="52"/>
      <c r="O50" s="52"/>
      <c r="P50" s="52"/>
      <c r="Q50" s="52"/>
      <c r="R50" s="52"/>
      <c r="S50" s="52"/>
      <c r="T50" s="52"/>
      <c r="U50" s="52"/>
      <c r="V50" s="52"/>
      <c r="W50" s="1201"/>
      <c r="X50" s="1201"/>
      <c r="Y50" s="1201"/>
      <c r="Z50" s="1201"/>
      <c r="AA50" s="1201"/>
      <c r="AB50" s="1201"/>
      <c r="AC50" s="1201"/>
      <c r="AD50" s="1220"/>
      <c r="AE50" s="87"/>
      <c r="AF50" s="44"/>
      <c r="AG50" s="44"/>
      <c r="AH50" s="44"/>
      <c r="AI50" s="44"/>
      <c r="AJ50" s="44"/>
      <c r="AK50" s="44"/>
      <c r="AL50" s="44"/>
      <c r="AM50" s="44"/>
      <c r="AN50" s="44"/>
      <c r="AO50" s="44"/>
      <c r="AP50" s="44"/>
      <c r="AQ50" s="44"/>
      <c r="AR50" s="44"/>
      <c r="AS50" s="44"/>
      <c r="AT50" s="44"/>
      <c r="AU50" s="44"/>
      <c r="AV50" s="44"/>
      <c r="AW50" s="44"/>
      <c r="AX50" s="44"/>
    </row>
    <row r="51" spans="2:50" ht="12" customHeight="1" x14ac:dyDescent="0.2">
      <c r="D51" s="87"/>
      <c r="E51" s="52"/>
      <c r="F51" s="52"/>
      <c r="G51" s="52"/>
      <c r="H51" s="52"/>
      <c r="I51" s="52"/>
      <c r="J51" s="52"/>
      <c r="K51" s="52"/>
      <c r="L51" s="52"/>
      <c r="M51" s="52"/>
      <c r="N51" s="52"/>
      <c r="O51" s="52"/>
      <c r="P51" s="52"/>
      <c r="Q51" s="52"/>
      <c r="R51" s="52"/>
      <c r="S51" s="52"/>
      <c r="T51" s="52"/>
      <c r="U51" s="52"/>
      <c r="V51" s="52"/>
      <c r="W51" s="1201"/>
      <c r="X51" s="1201"/>
      <c r="Y51" s="1201"/>
      <c r="Z51" s="1201"/>
      <c r="AA51" s="1201"/>
      <c r="AB51" s="1201"/>
      <c r="AC51" s="1201"/>
      <c r="AD51" s="1220"/>
      <c r="AE51" s="88"/>
      <c r="AF51" s="44"/>
      <c r="AG51" s="44"/>
      <c r="AH51" s="44"/>
      <c r="AI51" s="44"/>
      <c r="AJ51" s="44"/>
      <c r="AK51" s="44"/>
      <c r="AL51" s="44"/>
      <c r="AM51" s="44"/>
      <c r="AN51" s="44"/>
      <c r="AO51" s="44"/>
      <c r="AP51" s="44"/>
      <c r="AQ51" s="44"/>
      <c r="AR51" s="44"/>
      <c r="AS51" s="44"/>
      <c r="AT51" s="44"/>
      <c r="AU51" s="44"/>
      <c r="AV51" s="44"/>
      <c r="AW51" s="44"/>
      <c r="AX51" s="44"/>
    </row>
    <row r="52" spans="2:50" ht="12" customHeight="1" x14ac:dyDescent="0.2">
      <c r="B52" s="1220"/>
      <c r="C52" s="88"/>
      <c r="D52" s="52"/>
      <c r="E52" s="52"/>
      <c r="F52" s="52"/>
      <c r="G52" s="52"/>
      <c r="H52" s="52"/>
      <c r="I52" s="52"/>
      <c r="J52" s="52"/>
      <c r="K52" s="52"/>
      <c r="L52" s="52"/>
      <c r="M52" s="52"/>
      <c r="N52" s="52"/>
      <c r="O52" s="52"/>
      <c r="P52" s="52"/>
      <c r="Q52" s="52"/>
      <c r="R52" s="52"/>
      <c r="S52" s="52"/>
      <c r="T52" s="52"/>
      <c r="U52" s="52"/>
      <c r="V52" s="52"/>
      <c r="W52" s="1202"/>
      <c r="X52" s="1722"/>
      <c r="Y52" s="1722"/>
      <c r="Z52" s="1722"/>
      <c r="AA52" s="1722"/>
      <c r="AB52" s="1217"/>
      <c r="AC52" s="1217"/>
      <c r="AD52" s="1220"/>
      <c r="AE52" s="88"/>
      <c r="AF52" s="1722"/>
      <c r="AG52" s="1722"/>
      <c r="AH52" s="1722"/>
      <c r="AI52" s="1722"/>
      <c r="AJ52" s="1404"/>
      <c r="AK52" s="1404"/>
      <c r="AL52" s="1410"/>
      <c r="AM52" s="1404"/>
      <c r="AN52" s="1404"/>
      <c r="AO52" s="1410"/>
      <c r="AP52" s="44"/>
      <c r="AQ52" s="1722"/>
      <c r="AR52" s="1722"/>
      <c r="AS52" s="1722"/>
      <c r="AT52" s="1722"/>
      <c r="AU52" s="1722"/>
      <c r="AV52" s="44"/>
      <c r="AW52" s="1169"/>
      <c r="AX52" s="1169"/>
    </row>
    <row r="53" spans="2:50" x14ac:dyDescent="0.2">
      <c r="W53" s="44"/>
      <c r="X53" s="1169"/>
      <c r="Y53" s="1169"/>
      <c r="Z53" s="1169"/>
      <c r="AA53" s="1169"/>
      <c r="AB53" s="1169"/>
      <c r="AC53" s="1169"/>
      <c r="AF53" s="1169"/>
      <c r="AG53" s="1169"/>
      <c r="AH53" s="1169"/>
      <c r="AI53" s="1169"/>
      <c r="AJ53" s="1169"/>
      <c r="AK53" s="1169"/>
      <c r="AL53" s="1169"/>
      <c r="AM53" s="1169"/>
      <c r="AN53" s="1169"/>
      <c r="AO53" s="1169"/>
      <c r="AP53" s="44"/>
      <c r="AQ53" s="1169"/>
      <c r="AR53" s="1169"/>
      <c r="AS53" s="1169"/>
      <c r="AT53" s="1169"/>
      <c r="AU53" s="1169"/>
      <c r="AV53" s="44"/>
      <c r="AW53" s="1169"/>
      <c r="AX53" s="1169"/>
    </row>
    <row r="54" spans="2:50" x14ac:dyDescent="0.2">
      <c r="W54" s="44"/>
      <c r="X54" s="1203"/>
      <c r="Y54" s="1203"/>
      <c r="Z54" s="1203"/>
      <c r="AA54" s="1204"/>
      <c r="AB54" s="1204"/>
      <c r="AC54" s="1204"/>
      <c r="AF54" s="1203"/>
      <c r="AG54" s="1203"/>
      <c r="AH54" s="1203"/>
      <c r="AI54" s="1204"/>
      <c r="AJ54" s="1204"/>
      <c r="AK54" s="1204"/>
      <c r="AL54" s="1204"/>
      <c r="AM54" s="1204"/>
      <c r="AN54" s="1204"/>
      <c r="AO54" s="1204"/>
      <c r="AP54" s="44"/>
      <c r="AQ54" s="1203"/>
      <c r="AR54" s="1203"/>
      <c r="AS54" s="1203"/>
      <c r="AT54" s="1203"/>
      <c r="AU54" s="1204"/>
      <c r="AV54" s="44"/>
      <c r="AW54" s="1205"/>
      <c r="AX54" s="1206"/>
    </row>
    <row r="55" spans="2:50" x14ac:dyDescent="0.2">
      <c r="F55" s="893"/>
      <c r="W55" s="44"/>
      <c r="X55" s="1203"/>
      <c r="Y55" s="1203"/>
      <c r="Z55" s="1203"/>
      <c r="AA55" s="1204"/>
      <c r="AB55" s="1204"/>
      <c r="AC55" s="1204"/>
      <c r="AF55" s="1203"/>
      <c r="AG55" s="1203"/>
      <c r="AH55" s="1203"/>
      <c r="AI55" s="1204"/>
      <c r="AJ55" s="1204"/>
      <c r="AK55" s="1204"/>
      <c r="AL55" s="1204"/>
      <c r="AM55" s="1204"/>
      <c r="AN55" s="1204"/>
      <c r="AO55" s="1204"/>
      <c r="AP55" s="44"/>
      <c r="AQ55" s="1203"/>
      <c r="AR55" s="1203"/>
      <c r="AS55" s="1203"/>
      <c r="AT55" s="1203"/>
      <c r="AU55" s="1204"/>
      <c r="AV55" s="44"/>
      <c r="AW55" s="1205"/>
      <c r="AX55" s="1206"/>
    </row>
    <row r="56" spans="2:50" x14ac:dyDescent="0.2">
      <c r="W56" s="44"/>
      <c r="X56" s="1203"/>
      <c r="Y56" s="1203"/>
      <c r="Z56" s="1203"/>
      <c r="AA56" s="1204"/>
      <c r="AB56" s="1204"/>
      <c r="AC56" s="1204"/>
      <c r="AF56" s="1203"/>
      <c r="AG56" s="1203"/>
      <c r="AH56" s="1203"/>
      <c r="AI56" s="1204"/>
      <c r="AJ56" s="1204"/>
      <c r="AK56" s="1204"/>
      <c r="AL56" s="1204"/>
      <c r="AM56" s="1204"/>
      <c r="AN56" s="1204"/>
      <c r="AO56" s="1204"/>
      <c r="AP56" s="44"/>
      <c r="AQ56" s="1203"/>
      <c r="AR56" s="1203"/>
      <c r="AS56" s="1203"/>
      <c r="AT56" s="1203"/>
      <c r="AU56" s="1204"/>
      <c r="AV56" s="44"/>
      <c r="AW56" s="1205"/>
      <c r="AX56" s="1206"/>
    </row>
    <row r="57" spans="2:50" x14ac:dyDescent="0.2">
      <c r="W57" s="44"/>
      <c r="X57" s="1203"/>
      <c r="Y57" s="1203"/>
      <c r="Z57" s="1203"/>
      <c r="AA57" s="1204"/>
      <c r="AB57" s="1204"/>
      <c r="AC57" s="1204"/>
      <c r="AF57" s="1203"/>
      <c r="AG57" s="1203"/>
      <c r="AH57" s="1203"/>
      <c r="AI57" s="1204"/>
      <c r="AJ57" s="1204"/>
      <c r="AK57" s="1204"/>
      <c r="AL57" s="1204"/>
      <c r="AM57" s="1204"/>
      <c r="AN57" s="1204"/>
      <c r="AO57" s="1204"/>
      <c r="AP57" s="44"/>
      <c r="AQ57" s="1203"/>
      <c r="AR57" s="1203"/>
      <c r="AS57" s="1203"/>
      <c r="AT57" s="1203"/>
      <c r="AU57" s="1204"/>
      <c r="AV57" s="44"/>
      <c r="AW57" s="1205"/>
      <c r="AX57" s="1206"/>
    </row>
    <row r="58" spans="2:50" x14ac:dyDescent="0.2">
      <c r="W58" s="1207"/>
      <c r="X58" s="1203"/>
      <c r="Y58" s="1203"/>
      <c r="Z58" s="1203"/>
      <c r="AA58" s="1204"/>
      <c r="AB58" s="1204"/>
      <c r="AC58" s="1204"/>
      <c r="AF58" s="1203"/>
      <c r="AG58" s="1203"/>
      <c r="AH58" s="1203"/>
      <c r="AI58" s="1204"/>
      <c r="AJ58" s="1204"/>
      <c r="AK58" s="1204"/>
      <c r="AL58" s="1204"/>
      <c r="AM58" s="1204"/>
      <c r="AN58" s="1204"/>
      <c r="AO58" s="1204"/>
      <c r="AP58" s="44"/>
      <c r="AQ58" s="1203"/>
      <c r="AR58" s="1203"/>
      <c r="AS58" s="1203"/>
      <c r="AT58" s="1203"/>
      <c r="AU58" s="1204"/>
      <c r="AV58" s="44"/>
      <c r="AW58" s="1205"/>
      <c r="AX58" s="1206"/>
    </row>
    <row r="59" spans="2:50" x14ac:dyDescent="0.2">
      <c r="W59" s="44"/>
      <c r="X59" s="1203"/>
      <c r="Y59" s="1203"/>
      <c r="Z59" s="1203"/>
      <c r="AA59" s="1204"/>
      <c r="AB59" s="1204"/>
      <c r="AC59" s="1204"/>
      <c r="AF59" s="1203"/>
      <c r="AG59" s="1203"/>
      <c r="AH59" s="1203"/>
      <c r="AI59" s="1204"/>
      <c r="AJ59" s="1204"/>
      <c r="AK59" s="1204"/>
      <c r="AL59" s="1204"/>
      <c r="AM59" s="1204"/>
      <c r="AN59" s="1204"/>
      <c r="AO59" s="1204"/>
      <c r="AP59" s="44"/>
      <c r="AQ59" s="1203"/>
      <c r="AR59" s="1203"/>
      <c r="AS59" s="1203"/>
      <c r="AT59" s="1203"/>
      <c r="AU59" s="1204"/>
      <c r="AV59" s="44"/>
      <c r="AW59" s="1208"/>
      <c r="AX59" s="1209"/>
    </row>
    <row r="60" spans="2:50" x14ac:dyDescent="0.2">
      <c r="W60" s="44"/>
      <c r="X60" s="44"/>
      <c r="Y60" s="44"/>
      <c r="Z60" s="44"/>
      <c r="AA60" s="44"/>
      <c r="AB60" s="44"/>
      <c r="AC60" s="44"/>
      <c r="AF60" s="44"/>
      <c r="AG60" s="44"/>
      <c r="AH60" s="44"/>
      <c r="AI60" s="44"/>
      <c r="AJ60" s="44"/>
      <c r="AK60" s="44"/>
      <c r="AL60" s="44"/>
      <c r="AM60" s="44"/>
      <c r="AN60" s="44"/>
      <c r="AO60" s="44"/>
      <c r="AP60" s="44"/>
      <c r="AQ60" s="44"/>
      <c r="AR60" s="44"/>
      <c r="AS60" s="44"/>
      <c r="AT60" s="44"/>
      <c r="AU60" s="44"/>
      <c r="AV60" s="44"/>
      <c r="AW60" s="44"/>
      <c r="AX60" s="44"/>
    </row>
    <row r="61" spans="2:50" x14ac:dyDescent="0.2">
      <c r="W61" s="1207"/>
      <c r="X61" s="44"/>
      <c r="Y61" s="44"/>
      <c r="Z61" s="1210"/>
      <c r="AA61" s="44"/>
      <c r="AB61" s="44"/>
      <c r="AC61" s="44"/>
      <c r="AF61" s="44"/>
      <c r="AG61" s="44"/>
      <c r="AH61" s="44"/>
      <c r="AI61" s="44"/>
      <c r="AJ61" s="44"/>
      <c r="AK61" s="44"/>
      <c r="AL61" s="44"/>
      <c r="AM61" s="44"/>
      <c r="AN61" s="44"/>
      <c r="AO61" s="44"/>
      <c r="AP61" s="44"/>
      <c r="AQ61" s="44"/>
      <c r="AR61" s="44"/>
      <c r="AS61" s="44"/>
      <c r="AT61" s="44"/>
      <c r="AU61" s="44"/>
      <c r="AV61" s="44"/>
      <c r="AW61" s="44"/>
      <c r="AX61" s="44"/>
    </row>
    <row r="62" spans="2:50" x14ac:dyDescent="0.2">
      <c r="W62" s="44"/>
      <c r="X62" s="44"/>
      <c r="Y62" s="44"/>
      <c r="Z62" s="1210"/>
      <c r="AA62" s="44"/>
      <c r="AB62" s="44"/>
      <c r="AC62" s="44"/>
      <c r="AF62" s="44"/>
      <c r="AG62" s="44"/>
      <c r="AH62" s="44"/>
      <c r="AI62" s="44"/>
      <c r="AJ62" s="44"/>
      <c r="AK62" s="44"/>
      <c r="AL62" s="44"/>
      <c r="AM62" s="44"/>
      <c r="AN62" s="44"/>
      <c r="AO62" s="44"/>
      <c r="AP62" s="44"/>
      <c r="AQ62" s="44"/>
      <c r="AR62" s="44"/>
      <c r="AS62" s="44"/>
      <c r="AT62" s="44"/>
      <c r="AU62" s="44"/>
      <c r="AV62" s="44"/>
      <c r="AW62" s="44"/>
      <c r="AX62" s="44"/>
    </row>
    <row r="63" spans="2:50" x14ac:dyDescent="0.2">
      <c r="W63" s="1202"/>
      <c r="X63" s="1722"/>
      <c r="Y63" s="1722"/>
      <c r="Z63" s="1722"/>
      <c r="AA63" s="1722"/>
      <c r="AB63" s="1217"/>
      <c r="AC63" s="1217"/>
      <c r="AF63" s="1722"/>
      <c r="AG63" s="1722"/>
      <c r="AH63" s="1722"/>
      <c r="AI63" s="1722"/>
      <c r="AJ63" s="1404"/>
      <c r="AK63" s="1404"/>
      <c r="AL63" s="1410"/>
      <c r="AM63" s="1404"/>
      <c r="AN63" s="1404"/>
      <c r="AO63" s="1410"/>
      <c r="AP63" s="44"/>
      <c r="AQ63" s="1722"/>
      <c r="AR63" s="1722"/>
      <c r="AS63" s="1722"/>
      <c r="AT63" s="1722"/>
      <c r="AU63" s="1722"/>
      <c r="AV63" s="44"/>
      <c r="AW63" s="1169"/>
      <c r="AX63" s="1169"/>
    </row>
    <row r="64" spans="2:50" x14ac:dyDescent="0.2">
      <c r="W64" s="44"/>
      <c r="X64" s="1169"/>
      <c r="Y64" s="1169"/>
      <c r="Z64" s="1169"/>
      <c r="AA64" s="1169"/>
      <c r="AB64" s="1169"/>
      <c r="AC64" s="1169"/>
      <c r="AF64" s="1169"/>
      <c r="AG64" s="1169"/>
      <c r="AH64" s="1169"/>
      <c r="AI64" s="1169"/>
      <c r="AJ64" s="1169"/>
      <c r="AK64" s="1169"/>
      <c r="AL64" s="1169"/>
      <c r="AM64" s="1169"/>
      <c r="AN64" s="1169"/>
      <c r="AO64" s="1169"/>
      <c r="AP64" s="44"/>
      <c r="AQ64" s="1169"/>
      <c r="AR64" s="1169"/>
      <c r="AS64" s="1169"/>
      <c r="AT64" s="1169"/>
      <c r="AU64" s="1169"/>
      <c r="AV64" s="44"/>
      <c r="AW64" s="1169"/>
      <c r="AX64" s="1169"/>
    </row>
    <row r="65" spans="23:50" x14ac:dyDescent="0.2">
      <c r="W65" s="44"/>
      <c r="X65" s="1203"/>
      <c r="Y65" s="1203"/>
      <c r="Z65" s="1203"/>
      <c r="AA65" s="1204"/>
      <c r="AB65" s="1204"/>
      <c r="AC65" s="1204"/>
      <c r="AF65" s="1203"/>
      <c r="AG65" s="1203"/>
      <c r="AH65" s="1203"/>
      <c r="AI65" s="1204"/>
      <c r="AJ65" s="1204"/>
      <c r="AK65" s="1204"/>
      <c r="AL65" s="1204"/>
      <c r="AM65" s="1204"/>
      <c r="AN65" s="1204"/>
      <c r="AO65" s="1204"/>
      <c r="AP65" s="44"/>
      <c r="AQ65" s="1203"/>
      <c r="AR65" s="1203"/>
      <c r="AS65" s="1203"/>
      <c r="AT65" s="1203"/>
      <c r="AU65" s="1204"/>
      <c r="AV65" s="44"/>
      <c r="AW65" s="1211"/>
      <c r="AX65" s="1206"/>
    </row>
    <row r="66" spans="23:50" x14ac:dyDescent="0.2">
      <c r="W66" s="44"/>
      <c r="X66" s="1203"/>
      <c r="Y66" s="1203"/>
      <c r="Z66" s="1203"/>
      <c r="AA66" s="1204"/>
      <c r="AB66" s="1204"/>
      <c r="AC66" s="1204"/>
      <c r="AF66" s="1203"/>
      <c r="AG66" s="1203"/>
      <c r="AH66" s="1203"/>
      <c r="AI66" s="1204"/>
      <c r="AJ66" s="1204"/>
      <c r="AK66" s="1204"/>
      <c r="AL66" s="1204"/>
      <c r="AM66" s="1204"/>
      <c r="AN66" s="1204"/>
      <c r="AO66" s="1204"/>
      <c r="AP66" s="44"/>
      <c r="AQ66" s="1203"/>
      <c r="AR66" s="1203"/>
      <c r="AS66" s="1203"/>
      <c r="AT66" s="1203"/>
      <c r="AU66" s="1204"/>
      <c r="AV66" s="44"/>
      <c r="AW66" s="1211"/>
      <c r="AX66" s="1206"/>
    </row>
    <row r="67" spans="23:50" x14ac:dyDescent="0.2">
      <c r="W67" s="44"/>
      <c r="X67" s="1203"/>
      <c r="Y67" s="1203"/>
      <c r="Z67" s="1203"/>
      <c r="AA67" s="1204"/>
      <c r="AB67" s="1204"/>
      <c r="AC67" s="1204"/>
      <c r="AF67" s="1203"/>
      <c r="AG67" s="1203"/>
      <c r="AH67" s="1203"/>
      <c r="AI67" s="1204"/>
      <c r="AJ67" s="1204"/>
      <c r="AK67" s="1204"/>
      <c r="AL67" s="1204"/>
      <c r="AM67" s="1204"/>
      <c r="AN67" s="1204"/>
      <c r="AO67" s="1204"/>
      <c r="AP67" s="44"/>
      <c r="AQ67" s="1203"/>
      <c r="AR67" s="1203"/>
      <c r="AS67" s="1203"/>
      <c r="AT67" s="1203"/>
      <c r="AU67" s="1204"/>
      <c r="AV67" s="44"/>
      <c r="AW67" s="1211"/>
      <c r="AX67" s="1206"/>
    </row>
    <row r="68" spans="23:50" x14ac:dyDescent="0.2">
      <c r="W68" s="44"/>
      <c r="X68" s="1203"/>
      <c r="Y68" s="1203"/>
      <c r="Z68" s="1203"/>
      <c r="AA68" s="1204"/>
      <c r="AB68" s="1204"/>
      <c r="AC68" s="1204"/>
      <c r="AF68" s="1203"/>
      <c r="AG68" s="1203"/>
      <c r="AH68" s="1203"/>
      <c r="AI68" s="1204"/>
      <c r="AJ68" s="1204"/>
      <c r="AK68" s="1204"/>
      <c r="AL68" s="1204"/>
      <c r="AM68" s="1204"/>
      <c r="AN68" s="1204"/>
      <c r="AO68" s="1204"/>
      <c r="AP68" s="44"/>
      <c r="AQ68" s="1203"/>
      <c r="AR68" s="1203"/>
      <c r="AS68" s="1203"/>
      <c r="AT68" s="1203"/>
      <c r="AU68" s="1204"/>
      <c r="AV68" s="44"/>
      <c r="AW68" s="1211"/>
      <c r="AX68" s="1206"/>
    </row>
    <row r="69" spans="23:50" x14ac:dyDescent="0.2">
      <c r="W69" s="1207"/>
      <c r="X69" s="1203"/>
      <c r="Y69" s="1203"/>
      <c r="Z69" s="1203"/>
      <c r="AA69" s="1204"/>
      <c r="AB69" s="1204"/>
      <c r="AC69" s="1204"/>
      <c r="AF69" s="1203"/>
      <c r="AG69" s="1203"/>
      <c r="AH69" s="1203"/>
      <c r="AI69" s="1204"/>
      <c r="AJ69" s="1204"/>
      <c r="AK69" s="1204"/>
      <c r="AL69" s="1204"/>
      <c r="AM69" s="1204"/>
      <c r="AN69" s="1204"/>
      <c r="AO69" s="1204"/>
      <c r="AP69" s="44"/>
      <c r="AQ69" s="1203"/>
      <c r="AR69" s="1203"/>
      <c r="AS69" s="1203"/>
      <c r="AT69" s="1203"/>
      <c r="AU69" s="1204"/>
      <c r="AV69" s="44"/>
      <c r="AW69" s="1211"/>
      <c r="AX69" s="1206"/>
    </row>
    <row r="70" spans="23:50" x14ac:dyDescent="0.2">
      <c r="W70" s="44"/>
      <c r="X70" s="1203"/>
      <c r="Y70" s="1203"/>
      <c r="Z70" s="1203"/>
      <c r="AA70" s="1204"/>
      <c r="AB70" s="1204"/>
      <c r="AC70" s="1204"/>
      <c r="AF70" s="1203"/>
      <c r="AG70" s="1203"/>
      <c r="AH70" s="1203"/>
      <c r="AI70" s="1204"/>
      <c r="AJ70" s="1204"/>
      <c r="AK70" s="1204"/>
      <c r="AL70" s="1204"/>
      <c r="AM70" s="1204"/>
      <c r="AN70" s="1204"/>
      <c r="AO70" s="1204"/>
      <c r="AP70" s="44"/>
      <c r="AQ70" s="1203"/>
      <c r="AR70" s="1203"/>
      <c r="AS70" s="1203"/>
      <c r="AT70" s="1203"/>
      <c r="AU70" s="1204"/>
      <c r="AV70" s="44"/>
      <c r="AW70" s="1211"/>
      <c r="AX70" s="1209"/>
    </row>
    <row r="71" spans="23:50" x14ac:dyDescent="0.2">
      <c r="W71" s="44"/>
      <c r="X71" s="44"/>
      <c r="Y71" s="44"/>
      <c r="Z71" s="1210"/>
      <c r="AA71" s="44"/>
      <c r="AB71" s="44"/>
      <c r="AC71" s="44"/>
      <c r="AF71" s="44"/>
      <c r="AG71" s="1210"/>
      <c r="AH71" s="1210"/>
      <c r="AI71" s="44"/>
      <c r="AJ71" s="44"/>
      <c r="AK71" s="44"/>
      <c r="AL71" s="44"/>
      <c r="AM71" s="44"/>
      <c r="AN71" s="44"/>
      <c r="AO71" s="44"/>
      <c r="AP71" s="44"/>
      <c r="AQ71" s="44"/>
      <c r="AR71" s="44"/>
      <c r="AS71" s="44"/>
      <c r="AT71" s="44"/>
      <c r="AU71" s="44"/>
      <c r="AV71" s="44"/>
      <c r="AW71" s="44"/>
      <c r="AX71" s="44"/>
    </row>
    <row r="72" spans="23:50" x14ac:dyDescent="0.2">
      <c r="W72" s="1207"/>
      <c r="X72" s="44"/>
      <c r="Y72" s="44"/>
      <c r="Z72" s="1210"/>
      <c r="AA72" s="44"/>
      <c r="AB72" s="44"/>
      <c r="AC72" s="44"/>
      <c r="AF72" s="44"/>
      <c r="AG72" s="44"/>
      <c r="AH72" s="1210"/>
      <c r="AI72" s="44"/>
      <c r="AJ72" s="44"/>
      <c r="AK72" s="44"/>
      <c r="AL72" s="44"/>
      <c r="AM72" s="44"/>
      <c r="AN72" s="44"/>
      <c r="AO72" s="44"/>
      <c r="AP72" s="44"/>
      <c r="AQ72" s="44"/>
      <c r="AR72" s="44"/>
      <c r="AS72" s="44"/>
      <c r="AT72" s="44"/>
      <c r="AU72" s="44"/>
      <c r="AV72" s="44"/>
      <c r="AW72" s="44"/>
      <c r="AX72" s="44"/>
    </row>
    <row r="73" spans="23:50" x14ac:dyDescent="0.2">
      <c r="W73" s="44"/>
      <c r="X73" s="44"/>
      <c r="Y73" s="44"/>
      <c r="Z73" s="44"/>
      <c r="AA73" s="44"/>
      <c r="AB73" s="44"/>
      <c r="AC73" s="44"/>
      <c r="AF73" s="44"/>
      <c r="AG73" s="44"/>
      <c r="AH73" s="44"/>
      <c r="AI73" s="44"/>
      <c r="AJ73" s="44"/>
      <c r="AK73" s="44"/>
      <c r="AL73" s="44"/>
      <c r="AM73" s="44"/>
      <c r="AN73" s="44"/>
      <c r="AO73" s="44"/>
      <c r="AP73" s="44"/>
      <c r="AQ73" s="44"/>
      <c r="AR73" s="44"/>
      <c r="AS73" s="44"/>
      <c r="AT73" s="44"/>
      <c r="AU73" s="44"/>
      <c r="AV73" s="44"/>
      <c r="AW73" s="44"/>
      <c r="AX73" s="44"/>
    </row>
  </sheetData>
  <mergeCells count="29">
    <mergeCell ref="X63:AA63"/>
    <mergeCell ref="AF63:AI63"/>
    <mergeCell ref="AQ63:AU63"/>
    <mergeCell ref="AS12:AV12"/>
    <mergeCell ref="AY12:BA12"/>
    <mergeCell ref="X52:AA52"/>
    <mergeCell ref="AF52:AI52"/>
    <mergeCell ref="AQ52:AU52"/>
    <mergeCell ref="AM12:AO12"/>
    <mergeCell ref="AP12:AR12"/>
    <mergeCell ref="AJ12:AL12"/>
    <mergeCell ref="F12:G12"/>
    <mergeCell ref="H12:I12"/>
    <mergeCell ref="S12:V12"/>
    <mergeCell ref="Y12:AA12"/>
    <mergeCell ref="AH12:AI12"/>
    <mergeCell ref="J12:L12"/>
    <mergeCell ref="M12:O12"/>
    <mergeCell ref="P12:R12"/>
    <mergeCell ref="D11:AA11"/>
    <mergeCell ref="AF11:BA11"/>
    <mergeCell ref="X1:Z1"/>
    <mergeCell ref="AX1:AZ1"/>
    <mergeCell ref="X2:X3"/>
    <mergeCell ref="Y2:Y3"/>
    <mergeCell ref="Z2:Z3"/>
    <mergeCell ref="AX2:AX3"/>
    <mergeCell ref="AY2:AY3"/>
    <mergeCell ref="AZ2:AZ3"/>
  </mergeCells>
  <printOptions verticalCentered="1"/>
  <pageMargins left="0.25" right="0.25" top="0.5" bottom="0.5" header="0.25" footer="0.25"/>
  <pageSetup scale="38" orientation="landscape" r:id="rId1"/>
  <headerFooter alignWithMargins="0">
    <oddHeader>&amp;RUG 388 - NW Natural/2500
Wyman/WP02</oddHeader>
    <oddFooter xml:space="preserve">&amp;C&amp;F &amp;D &amp;T
&amp;A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CF7B-50F3-4A02-9E18-3C0848606ECB}">
  <sheetPr>
    <tabColor rgb="FFFFFFCC"/>
    <pageSetUpPr fitToPage="1"/>
  </sheetPr>
  <dimension ref="A1:BE73"/>
  <sheetViews>
    <sheetView zoomScale="80" zoomScaleNormal="80" workbookViewId="0">
      <pane xSplit="3" ySplit="15" topLeftCell="J27"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6" customWidth="1"/>
    <col min="2" max="2" width="7.6640625" style="42" customWidth="1"/>
    <col min="3" max="3" width="11.33203125" style="42" bestFit="1" customWidth="1"/>
    <col min="4" max="4" width="17.5" style="42" hidden="1" customWidth="1"/>
    <col min="5" max="6" width="16.33203125" style="42" hidden="1" customWidth="1"/>
    <col min="7" max="7" width="12.1640625" style="42" hidden="1" customWidth="1"/>
    <col min="8" max="8" width="16.33203125" style="42" hidden="1" customWidth="1"/>
    <col min="9" max="9" width="12.1640625" style="42" hidden="1" customWidth="1"/>
    <col min="10" max="11" width="14.33203125" style="42" customWidth="1"/>
    <col min="12" max="12" width="14.33203125" style="42" customWidth="1" outlineLevel="1"/>
    <col min="13" max="14" width="14.33203125" style="42" customWidth="1"/>
    <col min="15" max="15" width="14.33203125" style="42" customWidth="1" outlineLevel="1"/>
    <col min="16" max="17" width="14.33203125" style="42" hidden="1" customWidth="1"/>
    <col min="18" max="18" width="14.33203125" style="42" hidden="1" customWidth="1" outlineLevel="1"/>
    <col min="19" max="19" width="17.33203125" style="42" hidden="1" customWidth="1" collapsed="1"/>
    <col min="20" max="20" width="12.1640625" style="42" hidden="1" customWidth="1"/>
    <col min="21" max="21" width="15.83203125" style="42" hidden="1" customWidth="1"/>
    <col min="22" max="22" width="12.1640625" style="42" hidden="1" customWidth="1"/>
    <col min="23" max="23" width="17.5" style="42" hidden="1" customWidth="1"/>
    <col min="24" max="24" width="20.5" style="42" hidden="1" customWidth="1"/>
    <col min="25" max="25" width="17.5" style="42" hidden="1" customWidth="1"/>
    <col min="26" max="26" width="12.6640625" style="42" hidden="1" customWidth="1"/>
    <col min="27" max="27" width="11.1640625" style="42" hidden="1" customWidth="1"/>
    <col min="28" max="31" width="11.1640625" style="42" customWidth="1"/>
    <col min="32" max="33" width="3.1640625" style="42" customWidth="1"/>
    <col min="34" max="34" width="7.6640625" style="42" customWidth="1"/>
    <col min="35" max="35" width="11.33203125" style="42" bestFit="1" customWidth="1"/>
    <col min="36" max="36" width="17.1640625" style="42" hidden="1" customWidth="1"/>
    <col min="37" max="37" width="16.33203125" style="42" hidden="1" customWidth="1"/>
    <col min="38" max="38" width="17.33203125" style="42" hidden="1" customWidth="1"/>
    <col min="39" max="39" width="18.5" style="42" hidden="1" customWidth="1"/>
    <col min="40" max="41" width="14.33203125" style="42" customWidth="1"/>
    <col min="42" max="42" width="14.33203125" style="42" customWidth="1" outlineLevel="1"/>
    <col min="43" max="44" width="14.33203125" style="42" customWidth="1"/>
    <col min="45" max="45" width="14.33203125" style="42" customWidth="1" outlineLevel="1"/>
    <col min="46" max="47" width="14.1640625" style="42" customWidth="1"/>
    <col min="48" max="48" width="14.1640625" style="42" customWidth="1" outlineLevel="1"/>
    <col min="49" max="50" width="14.1640625" style="42" hidden="1" customWidth="1"/>
    <col min="51" max="51" width="14.6640625" style="42" hidden="1" customWidth="1"/>
    <col min="52" max="52" width="13.1640625" style="42" hidden="1" customWidth="1"/>
    <col min="53" max="54" width="17.1640625" style="42" hidden="1" customWidth="1"/>
    <col min="55" max="55" width="12.6640625" style="42" hidden="1" customWidth="1"/>
    <col min="56" max="57" width="11" style="42" hidden="1" customWidth="1"/>
    <col min="58" max="58" width="3.1640625" style="42" customWidth="1"/>
    <col min="59" max="59" width="4.6640625" style="42" customWidth="1"/>
    <col min="60" max="16384" width="9.33203125" style="42"/>
  </cols>
  <sheetData>
    <row r="1" spans="2:57" x14ac:dyDescent="0.2">
      <c r="B1" s="827" t="s">
        <v>0</v>
      </c>
      <c r="C1" s="53"/>
      <c r="D1" s="53"/>
      <c r="E1" s="53"/>
      <c r="F1" s="53"/>
      <c r="G1" s="53"/>
      <c r="H1" s="53"/>
      <c r="I1" s="53"/>
      <c r="J1" s="53"/>
      <c r="K1" s="53"/>
      <c r="L1" s="53"/>
      <c r="M1" s="53"/>
      <c r="N1" s="53"/>
      <c r="O1" s="53"/>
      <c r="P1" s="53"/>
      <c r="Q1" s="53"/>
      <c r="R1" s="53"/>
      <c r="S1" s="53"/>
      <c r="T1" s="53"/>
      <c r="U1" s="53"/>
      <c r="V1" s="53"/>
      <c r="W1" s="1186"/>
      <c r="X1" s="1681"/>
      <c r="Y1" s="1681"/>
      <c r="Z1" s="1681"/>
      <c r="AH1" s="827" t="s">
        <v>0</v>
      </c>
      <c r="AI1" s="53"/>
      <c r="BA1" s="1186"/>
      <c r="BB1" s="1681"/>
      <c r="BC1" s="1681"/>
      <c r="BD1" s="1681"/>
      <c r="BE1" s="44"/>
    </row>
    <row r="2" spans="2:57" x14ac:dyDescent="0.2">
      <c r="B2" s="827" t="s">
        <v>552</v>
      </c>
      <c r="C2" s="53"/>
      <c r="D2" s="53"/>
      <c r="E2" s="53"/>
      <c r="F2" s="53"/>
      <c r="G2" s="53"/>
      <c r="H2" s="53"/>
      <c r="I2" s="53"/>
      <c r="J2" s="53"/>
      <c r="K2" s="53"/>
      <c r="L2" s="53"/>
      <c r="M2" s="53"/>
      <c r="N2" s="53"/>
      <c r="O2" s="53"/>
      <c r="P2" s="53"/>
      <c r="Q2" s="53"/>
      <c r="R2" s="53"/>
      <c r="S2" s="53"/>
      <c r="T2" s="53"/>
      <c r="U2" s="53"/>
      <c r="V2" s="53"/>
      <c r="W2" s="327"/>
      <c r="X2" s="1682"/>
      <c r="Y2" s="1682"/>
      <c r="Z2" s="1682"/>
      <c r="AA2" s="46"/>
      <c r="AB2" s="46"/>
      <c r="AC2" s="46"/>
      <c r="AD2" s="46"/>
      <c r="AE2" s="46"/>
      <c r="AF2" s="46"/>
      <c r="AG2" s="46"/>
      <c r="AH2" s="827" t="s">
        <v>553</v>
      </c>
      <c r="AI2" s="53"/>
      <c r="AJ2" s="827"/>
      <c r="BA2" s="327"/>
      <c r="BB2" s="1682"/>
      <c r="BC2" s="1682"/>
      <c r="BD2" s="1682"/>
      <c r="BE2" s="44"/>
    </row>
    <row r="3" spans="2:57" x14ac:dyDescent="0.2">
      <c r="B3" s="827" t="s">
        <v>243</v>
      </c>
      <c r="C3" s="53"/>
      <c r="D3" s="53"/>
      <c r="E3" s="53"/>
      <c r="F3" s="53"/>
      <c r="G3" s="53"/>
      <c r="H3" s="53"/>
      <c r="I3" s="53"/>
      <c r="J3" s="53"/>
      <c r="K3" s="53"/>
      <c r="L3" s="53"/>
      <c r="M3" s="53"/>
      <c r="N3" s="53"/>
      <c r="O3" s="53"/>
      <c r="P3" s="53"/>
      <c r="Q3" s="53"/>
      <c r="R3" s="53"/>
      <c r="S3" s="53"/>
      <c r="T3" s="53"/>
      <c r="U3" s="53"/>
      <c r="V3" s="53"/>
      <c r="W3" s="45"/>
      <c r="X3" s="1682"/>
      <c r="Y3" s="1682"/>
      <c r="Z3" s="1682"/>
      <c r="AA3" s="46"/>
      <c r="AB3" s="46"/>
      <c r="AC3" s="46"/>
      <c r="AD3" s="46"/>
      <c r="AE3" s="46"/>
      <c r="AF3" s="46"/>
      <c r="AG3" s="46"/>
      <c r="AH3" s="827" t="s">
        <v>243</v>
      </c>
      <c r="AI3" s="53"/>
      <c r="AJ3" s="827"/>
      <c r="BA3" s="45"/>
      <c r="BB3" s="1682"/>
      <c r="BC3" s="1682"/>
      <c r="BD3" s="1682"/>
      <c r="BE3" s="44"/>
    </row>
    <row r="4" spans="2:57" x14ac:dyDescent="0.2">
      <c r="B4" s="827" t="s">
        <v>584</v>
      </c>
      <c r="C4" s="53"/>
      <c r="D4" s="53"/>
      <c r="E4" s="53"/>
      <c r="F4" s="53"/>
      <c r="G4" s="53"/>
      <c r="H4" s="53"/>
      <c r="I4" s="53"/>
      <c r="J4" s="53"/>
      <c r="K4" s="53"/>
      <c r="L4" s="53"/>
      <c r="M4" s="53"/>
      <c r="N4" s="53"/>
      <c r="O4" s="53"/>
      <c r="P4" s="53"/>
      <c r="Q4" s="53"/>
      <c r="R4" s="53"/>
      <c r="S4" s="53"/>
      <c r="T4" s="53"/>
      <c r="U4" s="53"/>
      <c r="V4" s="53"/>
      <c r="W4" s="45"/>
      <c r="X4" s="1187"/>
      <c r="Y4" s="1416"/>
      <c r="Z4" s="1187"/>
      <c r="AA4" s="46"/>
      <c r="AB4" s="46"/>
      <c r="AC4" s="46"/>
      <c r="AD4" s="46"/>
      <c r="AE4" s="46"/>
      <c r="AF4" s="46"/>
      <c r="AG4" s="46"/>
      <c r="AH4" s="827" t="s">
        <v>585</v>
      </c>
      <c r="AI4" s="53"/>
      <c r="AJ4" s="827"/>
      <c r="BA4" s="45"/>
      <c r="BB4" s="1212"/>
      <c r="BC4" s="1416"/>
      <c r="BD4" s="1212"/>
      <c r="BE4" s="44"/>
    </row>
    <row r="5" spans="2:57" x14ac:dyDescent="0.2">
      <c r="B5" s="827" t="s">
        <v>601</v>
      </c>
      <c r="C5" s="53"/>
      <c r="D5" s="53"/>
      <c r="E5" s="53"/>
      <c r="F5" s="53"/>
      <c r="G5" s="53"/>
      <c r="H5" s="53"/>
      <c r="I5" s="53"/>
      <c r="J5" s="53"/>
      <c r="K5" s="53"/>
      <c r="L5" s="53"/>
      <c r="M5" s="53"/>
      <c r="N5" s="53"/>
      <c r="O5" s="53"/>
      <c r="P5" s="53"/>
      <c r="Q5" s="53"/>
      <c r="R5" s="53"/>
      <c r="S5" s="53"/>
      <c r="T5" s="53"/>
      <c r="U5" s="53"/>
      <c r="V5" s="53"/>
      <c r="W5" s="45"/>
      <c r="X5" s="1187"/>
      <c r="Y5" s="1416"/>
      <c r="Z5" s="1187"/>
      <c r="AA5" s="46"/>
      <c r="AB5" s="46"/>
      <c r="AC5" s="46"/>
      <c r="AD5" s="46"/>
      <c r="AE5" s="46"/>
      <c r="AF5" s="46"/>
      <c r="AG5" s="46"/>
      <c r="AH5" s="827" t="s">
        <v>601</v>
      </c>
      <c r="AI5" s="53"/>
      <c r="AJ5" s="827"/>
      <c r="BA5" s="45"/>
      <c r="BB5" s="1212"/>
      <c r="BC5" s="1416"/>
      <c r="BD5" s="1212"/>
      <c r="BE5" s="44"/>
    </row>
    <row r="6" spans="2:57" x14ac:dyDescent="0.2">
      <c r="C6" s="53"/>
      <c r="D6" s="53"/>
      <c r="E6" s="53"/>
      <c r="F6" s="53"/>
      <c r="G6" s="53"/>
      <c r="H6" s="53"/>
      <c r="I6" s="53"/>
      <c r="J6" s="53"/>
      <c r="K6" s="53"/>
      <c r="L6" s="53"/>
      <c r="M6" s="53"/>
      <c r="N6" s="53"/>
      <c r="O6" s="53"/>
      <c r="P6" s="53"/>
      <c r="Q6" s="53"/>
      <c r="R6" s="53"/>
      <c r="S6" s="53"/>
      <c r="T6" s="53"/>
      <c r="U6" s="53"/>
      <c r="V6" s="53"/>
      <c r="W6" s="45"/>
      <c r="X6" s="1187"/>
      <c r="Y6" s="1416"/>
      <c r="Z6" s="1187"/>
      <c r="AA6" s="46"/>
      <c r="AB6" s="46"/>
      <c r="AC6" s="46"/>
      <c r="AD6" s="46"/>
      <c r="AE6" s="46"/>
      <c r="AF6" s="46"/>
      <c r="AG6" s="46"/>
      <c r="AI6" s="53"/>
      <c r="AJ6" s="827"/>
      <c r="BA6" s="45"/>
      <c r="BB6" s="1212"/>
      <c r="BC6" s="1416"/>
      <c r="BD6" s="1212"/>
      <c r="BE6" s="44"/>
    </row>
    <row r="7" spans="2:57" x14ac:dyDescent="0.2">
      <c r="B7" s="158" t="s">
        <v>429</v>
      </c>
      <c r="C7" s="53"/>
      <c r="D7" s="53"/>
      <c r="E7" s="53"/>
      <c r="F7" s="53"/>
      <c r="G7" s="53"/>
      <c r="H7" s="53"/>
      <c r="I7" s="53"/>
      <c r="J7" s="53"/>
      <c r="K7" s="53"/>
      <c r="L7" s="53"/>
      <c r="M7" s="53"/>
      <c r="N7" s="53"/>
      <c r="O7" s="53"/>
      <c r="P7" s="53"/>
      <c r="Q7" s="53"/>
      <c r="R7" s="53"/>
      <c r="S7" s="53"/>
      <c r="T7" s="53"/>
      <c r="U7" s="53"/>
      <c r="V7" s="53"/>
      <c r="W7" s="45"/>
      <c r="X7" s="1187"/>
      <c r="Y7" s="1416"/>
      <c r="Z7" s="1187"/>
      <c r="AA7" s="46"/>
      <c r="AB7" s="46"/>
      <c r="AC7" s="46"/>
      <c r="AD7" s="46"/>
      <c r="AE7" s="46"/>
      <c r="AF7" s="46"/>
      <c r="AG7" s="46"/>
      <c r="AH7" s="158" t="s">
        <v>430</v>
      </c>
      <c r="AI7" s="53"/>
      <c r="BA7" s="45"/>
      <c r="BB7" s="1213"/>
      <c r="BC7" s="1416"/>
      <c r="BD7" s="1212"/>
      <c r="BE7" s="44"/>
    </row>
    <row r="8" spans="2:57" x14ac:dyDescent="0.2">
      <c r="B8" s="586" t="s">
        <v>590</v>
      </c>
      <c r="C8" s="53"/>
      <c r="D8" s="53"/>
      <c r="E8" s="53"/>
      <c r="F8" s="53"/>
      <c r="G8" s="53"/>
      <c r="H8" s="53"/>
      <c r="I8" s="53"/>
      <c r="J8" s="53"/>
      <c r="K8" s="53"/>
      <c r="L8" s="53"/>
      <c r="M8" s="53"/>
      <c r="N8" s="53"/>
      <c r="O8" s="53"/>
      <c r="P8" s="53"/>
      <c r="Q8" s="53"/>
      <c r="R8" s="53"/>
      <c r="S8" s="53"/>
      <c r="T8" s="53"/>
      <c r="U8" s="53"/>
      <c r="V8" s="53"/>
      <c r="W8" s="45"/>
      <c r="X8" s="1187"/>
      <c r="Y8" s="1416"/>
      <c r="Z8" s="1187"/>
      <c r="AA8" s="46"/>
      <c r="AB8" s="46"/>
      <c r="AC8" s="46"/>
      <c r="AD8" s="46"/>
      <c r="AE8" s="46"/>
      <c r="AF8" s="46"/>
      <c r="AG8" s="46"/>
      <c r="AH8" s="586" t="s">
        <v>592</v>
      </c>
      <c r="AI8" s="53"/>
      <c r="BA8" s="45"/>
      <c r="BB8" s="1213"/>
      <c r="BC8" s="1416"/>
      <c r="BD8" s="1212"/>
      <c r="BE8" s="44"/>
    </row>
    <row r="9" spans="2:57" x14ac:dyDescent="0.2">
      <c r="B9" s="586" t="s">
        <v>591</v>
      </c>
      <c r="C9" s="53"/>
      <c r="D9" s="53"/>
      <c r="E9" s="53"/>
      <c r="F9" s="53"/>
      <c r="G9" s="53"/>
      <c r="H9" s="53"/>
      <c r="I9" s="53"/>
      <c r="J9" s="53"/>
      <c r="K9" s="53"/>
      <c r="L9" s="53"/>
      <c r="M9" s="53"/>
      <c r="N9" s="53"/>
      <c r="O9" s="53"/>
      <c r="P9" s="53"/>
      <c r="Q9" s="53"/>
      <c r="R9" s="53"/>
      <c r="S9" s="53"/>
      <c r="T9" s="53"/>
      <c r="U9" s="53"/>
      <c r="V9" s="53"/>
      <c r="W9" s="53"/>
      <c r="X9" s="53"/>
      <c r="Y9" s="55"/>
      <c r="AH9" s="586" t="s">
        <v>593</v>
      </c>
      <c r="AI9" s="53"/>
    </row>
    <row r="10" spans="2:57" ht="13.5" thickBot="1" x14ac:dyDescent="0.25">
      <c r="B10" s="586"/>
      <c r="C10" s="53"/>
      <c r="D10" s="53"/>
      <c r="E10" s="53"/>
      <c r="F10" s="53"/>
      <c r="G10" s="53"/>
      <c r="H10" s="53"/>
      <c r="I10" s="53"/>
      <c r="J10" s="53"/>
      <c r="K10" s="53"/>
      <c r="L10" s="53"/>
      <c r="M10" s="53"/>
      <c r="N10" s="53"/>
      <c r="O10" s="53"/>
      <c r="P10" s="53"/>
      <c r="Q10" s="53"/>
      <c r="R10" s="53"/>
      <c r="S10" s="53"/>
      <c r="T10" s="53"/>
      <c r="U10" s="53"/>
      <c r="V10" s="53"/>
      <c r="W10" s="53"/>
      <c r="X10" s="53"/>
      <c r="Y10" s="55"/>
      <c r="AH10" s="54"/>
      <c r="AI10" s="53"/>
    </row>
    <row r="11" spans="2:57" ht="13.5" thickBot="1" x14ac:dyDescent="0.25">
      <c r="B11" s="54"/>
      <c r="C11" s="53"/>
      <c r="E11" s="1454"/>
      <c r="F11" s="1454"/>
      <c r="G11" s="1454"/>
      <c r="H11" s="1454"/>
      <c r="I11" s="1454"/>
      <c r="J11" s="1688" t="s">
        <v>431</v>
      </c>
      <c r="K11" s="1689"/>
      <c r="L11" s="1689"/>
      <c r="M11" s="1689"/>
      <c r="N11" s="1689"/>
      <c r="O11" s="1690"/>
      <c r="P11" s="1454"/>
      <c r="Q11" s="1454"/>
      <c r="R11" s="1454"/>
      <c r="S11" s="1454"/>
      <c r="T11" s="1454"/>
      <c r="U11" s="1454"/>
      <c r="V11" s="1454"/>
      <c r="W11" s="1454"/>
      <c r="X11" s="1454"/>
      <c r="Y11" s="1454"/>
      <c r="Z11" s="1454"/>
      <c r="AA11" s="1455"/>
      <c r="AB11" s="1458"/>
      <c r="AC11" s="1458"/>
      <c r="AD11" s="1458"/>
      <c r="AE11" s="1458"/>
      <c r="AF11" s="1218"/>
      <c r="AG11" s="1219"/>
      <c r="AH11" s="54"/>
      <c r="AI11" s="53"/>
      <c r="AK11" s="1460"/>
      <c r="AL11" s="1460"/>
      <c r="AM11" s="1460"/>
      <c r="AN11" s="1714" t="s">
        <v>432</v>
      </c>
      <c r="AO11" s="1715"/>
      <c r="AP11" s="1715"/>
      <c r="AQ11" s="1715"/>
      <c r="AR11" s="1715"/>
      <c r="AS11" s="1715"/>
      <c r="AT11" s="1715"/>
      <c r="AU11" s="1715"/>
      <c r="AV11" s="1716"/>
      <c r="AW11" s="1460"/>
      <c r="AX11" s="1460"/>
      <c r="AY11" s="1460"/>
      <c r="AZ11" s="1460"/>
      <c r="BA11" s="1460"/>
      <c r="BB11" s="1460"/>
      <c r="BC11" s="1460"/>
      <c r="BD11" s="1460"/>
      <c r="BE11" s="1461"/>
    </row>
    <row r="12" spans="2:57" ht="13.5" customHeight="1" thickBot="1" x14ac:dyDescent="0.25">
      <c r="D12" s="1002"/>
      <c r="E12" s="1003"/>
      <c r="F12" s="1686" t="s">
        <v>157</v>
      </c>
      <c r="G12" s="1687"/>
      <c r="H12" s="1717" t="s">
        <v>315</v>
      </c>
      <c r="I12" s="1718"/>
      <c r="J12" s="1717" t="s">
        <v>588</v>
      </c>
      <c r="K12" s="1718"/>
      <c r="L12" s="1721"/>
      <c r="M12" s="1717" t="s">
        <v>589</v>
      </c>
      <c r="N12" s="1718"/>
      <c r="O12" s="1721"/>
      <c r="P12" s="1718" t="s">
        <v>560</v>
      </c>
      <c r="Q12" s="1718"/>
      <c r="R12" s="1721"/>
      <c r="S12" s="1719" t="s">
        <v>439</v>
      </c>
      <c r="T12" s="1719"/>
      <c r="U12" s="1719"/>
      <c r="V12" s="1720"/>
      <c r="W12" s="1004"/>
      <c r="X12" s="1004"/>
      <c r="Y12" s="1685" t="s">
        <v>178</v>
      </c>
      <c r="Z12" s="1686"/>
      <c r="AA12" s="1687"/>
      <c r="AB12" s="1214"/>
      <c r="AC12" s="1214"/>
      <c r="AD12" s="1214"/>
      <c r="AE12" s="1214"/>
      <c r="AF12" s="1214"/>
      <c r="AG12" s="1214"/>
      <c r="AJ12" s="43"/>
      <c r="AK12" s="44"/>
      <c r="AL12" s="1679" t="s">
        <v>157</v>
      </c>
      <c r="AM12" s="1727"/>
      <c r="AN12" s="1717" t="s">
        <v>588</v>
      </c>
      <c r="AO12" s="1718"/>
      <c r="AP12" s="1721"/>
      <c r="AQ12" s="1717" t="s">
        <v>589</v>
      </c>
      <c r="AR12" s="1718"/>
      <c r="AS12" s="1721"/>
      <c r="AT12" s="1717" t="s">
        <v>594</v>
      </c>
      <c r="AU12" s="1718"/>
      <c r="AV12" s="1721"/>
      <c r="AW12" s="1723" t="s">
        <v>440</v>
      </c>
      <c r="AX12" s="1723"/>
      <c r="AY12" s="1723"/>
      <c r="AZ12" s="1724"/>
      <c r="BA12" s="44"/>
      <c r="BB12" s="44"/>
      <c r="BC12" s="1685" t="s">
        <v>178</v>
      </c>
      <c r="BD12" s="1686"/>
      <c r="BE12" s="1687"/>
    </row>
    <row r="13" spans="2:57" ht="51" x14ac:dyDescent="0.2">
      <c r="B13" s="1188" t="s">
        <v>152</v>
      </c>
      <c r="C13" s="1184" t="s">
        <v>138</v>
      </c>
      <c r="D13" s="59" t="s">
        <v>186</v>
      </c>
      <c r="E13" s="59" t="s">
        <v>187</v>
      </c>
      <c r="F13" s="58" t="s">
        <v>180</v>
      </c>
      <c r="G13" s="60" t="s">
        <v>179</v>
      </c>
      <c r="H13" s="58" t="s">
        <v>336</v>
      </c>
      <c r="I13" s="59" t="s">
        <v>337</v>
      </c>
      <c r="J13" s="58" t="s">
        <v>392</v>
      </c>
      <c r="K13" s="56" t="s">
        <v>393</v>
      </c>
      <c r="L13" s="60" t="s">
        <v>579</v>
      </c>
      <c r="M13" s="58" t="s">
        <v>392</v>
      </c>
      <c r="N13" s="59" t="s">
        <v>393</v>
      </c>
      <c r="O13" s="60" t="s">
        <v>579</v>
      </c>
      <c r="P13" s="59" t="s">
        <v>396</v>
      </c>
      <c r="Q13" s="59" t="s">
        <v>562</v>
      </c>
      <c r="R13" s="60" t="s">
        <v>579</v>
      </c>
      <c r="S13" s="1272" t="s">
        <v>338</v>
      </c>
      <c r="T13" s="1272" t="s">
        <v>338</v>
      </c>
      <c r="U13" s="1272" t="s">
        <v>396</v>
      </c>
      <c r="V13" s="1273" t="s">
        <v>396</v>
      </c>
      <c r="W13" s="59" t="s">
        <v>181</v>
      </c>
      <c r="X13" s="59" t="s">
        <v>182</v>
      </c>
      <c r="Y13" s="58" t="s">
        <v>183</v>
      </c>
      <c r="Z13" s="59" t="s">
        <v>184</v>
      </c>
      <c r="AA13" s="60" t="s">
        <v>185</v>
      </c>
      <c r="AB13" s="59"/>
      <c r="AC13" s="59"/>
      <c r="AD13" s="59"/>
      <c r="AE13" s="59"/>
      <c r="AF13" s="59"/>
      <c r="AG13" s="59"/>
      <c r="AH13" s="1188" t="s">
        <v>152</v>
      </c>
      <c r="AI13" s="1189" t="s">
        <v>138</v>
      </c>
      <c r="AJ13" s="1015" t="s">
        <v>186</v>
      </c>
      <c r="AK13" s="56" t="s">
        <v>187</v>
      </c>
      <c r="AL13" s="58" t="s">
        <v>180</v>
      </c>
      <c r="AM13" s="59" t="s">
        <v>179</v>
      </c>
      <c r="AN13" s="58" t="s">
        <v>392</v>
      </c>
      <c r="AO13" s="59" t="s">
        <v>393</v>
      </c>
      <c r="AP13" s="60" t="s">
        <v>337</v>
      </c>
      <c r="AQ13" s="58" t="s">
        <v>392</v>
      </c>
      <c r="AR13" s="56" t="s">
        <v>393</v>
      </c>
      <c r="AS13" s="60" t="s">
        <v>337</v>
      </c>
      <c r="AT13" s="58" t="s">
        <v>394</v>
      </c>
      <c r="AU13" s="59" t="s">
        <v>393</v>
      </c>
      <c r="AV13" s="60" t="s">
        <v>337</v>
      </c>
      <c r="AW13" s="1430" t="s">
        <v>180</v>
      </c>
      <c r="AX13" s="1430" t="s">
        <v>179</v>
      </c>
      <c r="AY13" s="1419" t="s">
        <v>396</v>
      </c>
      <c r="AZ13" s="1291" t="s">
        <v>408</v>
      </c>
      <c r="BA13" s="56" t="s">
        <v>181</v>
      </c>
      <c r="BB13" s="56" t="s">
        <v>182</v>
      </c>
      <c r="BC13" s="58" t="s">
        <v>183</v>
      </c>
      <c r="BD13" s="59" t="s">
        <v>184</v>
      </c>
      <c r="BE13" s="60" t="s">
        <v>185</v>
      </c>
    </row>
    <row r="14" spans="2:57" x14ac:dyDescent="0.2">
      <c r="B14" s="1190"/>
      <c r="C14" s="64"/>
      <c r="D14" s="62"/>
      <c r="E14" s="62"/>
      <c r="F14" s="1221"/>
      <c r="G14" s="64"/>
      <c r="H14" s="1221"/>
      <c r="I14" s="62"/>
      <c r="J14" s="1221" t="s">
        <v>176</v>
      </c>
      <c r="K14" s="1100"/>
      <c r="L14" s="1100"/>
      <c r="M14" s="1221" t="s">
        <v>177</v>
      </c>
      <c r="N14" s="1100"/>
      <c r="O14" s="83"/>
      <c r="P14" s="1406"/>
      <c r="Q14" s="1100"/>
      <c r="R14" s="1453"/>
      <c r="S14" s="1274" t="s">
        <v>568</v>
      </c>
      <c r="T14" s="1274"/>
      <c r="U14" s="1274" t="s">
        <v>578</v>
      </c>
      <c r="V14" s="1275"/>
      <c r="W14" s="579" t="s">
        <v>570</v>
      </c>
      <c r="X14" s="579" t="s">
        <v>571</v>
      </c>
      <c r="Y14" s="580"/>
      <c r="Z14" s="579"/>
      <c r="AA14" s="64"/>
      <c r="AB14" s="59"/>
      <c r="AC14" s="59"/>
      <c r="AD14" s="59"/>
      <c r="AE14" s="59"/>
      <c r="AF14" s="59"/>
      <c r="AG14" s="59"/>
      <c r="AH14" s="1190"/>
      <c r="AI14" s="1191"/>
      <c r="AJ14" s="63"/>
      <c r="AK14" s="62"/>
      <c r="AL14" s="1221"/>
      <c r="AM14" s="62"/>
      <c r="AN14" s="1221" t="s">
        <v>176</v>
      </c>
      <c r="AO14" s="1100"/>
      <c r="AP14" s="83"/>
      <c r="AQ14" s="1221" t="s">
        <v>177</v>
      </c>
      <c r="AR14" s="1100"/>
      <c r="AS14" s="83"/>
      <c r="AT14" s="1221" t="s">
        <v>381</v>
      </c>
      <c r="AU14" s="62"/>
      <c r="AV14" s="64"/>
      <c r="AW14" s="1420"/>
      <c r="AX14" s="1420"/>
      <c r="AY14" s="1420"/>
      <c r="AZ14" s="1292"/>
      <c r="BA14" s="1408" t="s">
        <v>533</v>
      </c>
      <c r="BB14" s="1408" t="s">
        <v>534</v>
      </c>
      <c r="BC14" s="580"/>
      <c r="BD14" s="579"/>
      <c r="BE14" s="64"/>
    </row>
    <row r="15" spans="2:57" ht="13.5" thickBot="1" x14ac:dyDescent="0.25">
      <c r="B15" s="1192"/>
      <c r="C15" s="1301"/>
      <c r="D15" s="99" t="s">
        <v>35</v>
      </c>
      <c r="E15" s="99" t="s">
        <v>36</v>
      </c>
      <c r="F15" s="115" t="s">
        <v>13</v>
      </c>
      <c r="G15" s="116" t="s">
        <v>37</v>
      </c>
      <c r="H15" s="115" t="s">
        <v>38</v>
      </c>
      <c r="I15" s="99" t="s">
        <v>39</v>
      </c>
      <c r="J15" s="117" t="s">
        <v>35</v>
      </c>
      <c r="K15" s="1101" t="s">
        <v>36</v>
      </c>
      <c r="L15" s="1101" t="s">
        <v>13</v>
      </c>
      <c r="M15" s="117" t="s">
        <v>37</v>
      </c>
      <c r="N15" s="1101" t="s">
        <v>38</v>
      </c>
      <c r="O15" s="118" t="s">
        <v>39</v>
      </c>
      <c r="P15" s="1101" t="s">
        <v>110</v>
      </c>
      <c r="Q15" s="1101" t="s">
        <v>43</v>
      </c>
      <c r="R15" s="118"/>
      <c r="S15" s="1276" t="s">
        <v>111</v>
      </c>
      <c r="T15" s="1276" t="s">
        <v>112</v>
      </c>
      <c r="U15" s="1276" t="s">
        <v>113</v>
      </c>
      <c r="V15" s="1277" t="s">
        <v>114</v>
      </c>
      <c r="W15" s="99" t="s">
        <v>115</v>
      </c>
      <c r="X15" s="99" t="s">
        <v>71</v>
      </c>
      <c r="Y15" s="115" t="s">
        <v>74</v>
      </c>
      <c r="Z15" s="99" t="s">
        <v>75</v>
      </c>
      <c r="AA15" s="116" t="s">
        <v>76</v>
      </c>
      <c r="AB15" s="601"/>
      <c r="AC15" s="601"/>
      <c r="AD15" s="601"/>
      <c r="AE15" s="601"/>
      <c r="AF15" s="601"/>
      <c r="AG15" s="601"/>
      <c r="AH15" s="1192"/>
      <c r="AI15" s="1193"/>
      <c r="AJ15" s="115" t="s">
        <v>35</v>
      </c>
      <c r="AK15" s="99" t="s">
        <v>36</v>
      </c>
      <c r="AL15" s="115" t="s">
        <v>13</v>
      </c>
      <c r="AM15" s="99" t="s">
        <v>37</v>
      </c>
      <c r="AN15" s="117" t="s">
        <v>35</v>
      </c>
      <c r="AO15" s="1101" t="s">
        <v>36</v>
      </c>
      <c r="AP15" s="118" t="s">
        <v>13</v>
      </c>
      <c r="AQ15" s="117" t="s">
        <v>37</v>
      </c>
      <c r="AR15" s="1101" t="s">
        <v>38</v>
      </c>
      <c r="AS15" s="116" t="s">
        <v>39</v>
      </c>
      <c r="AT15" s="115" t="s">
        <v>40</v>
      </c>
      <c r="AU15" s="99" t="s">
        <v>41</v>
      </c>
      <c r="AV15" s="116" t="s">
        <v>42</v>
      </c>
      <c r="AW15" s="1421"/>
      <c r="AX15" s="1421"/>
      <c r="AY15" s="1421" t="s">
        <v>110</v>
      </c>
      <c r="AZ15" s="1293" t="s">
        <v>43</v>
      </c>
      <c r="BA15" s="99" t="s">
        <v>111</v>
      </c>
      <c r="BB15" s="99" t="s">
        <v>112</v>
      </c>
      <c r="BC15" s="115" t="s">
        <v>113</v>
      </c>
      <c r="BD15" s="99" t="s">
        <v>114</v>
      </c>
      <c r="BE15" s="116" t="s">
        <v>115</v>
      </c>
    </row>
    <row r="16" spans="2:57" ht="18" customHeight="1" thickTop="1" x14ac:dyDescent="0.2">
      <c r="B16" s="273"/>
      <c r="C16" s="60"/>
      <c r="D16" s="68"/>
      <c r="E16" s="68"/>
      <c r="F16" s="84"/>
      <c r="G16" s="60"/>
      <c r="H16" s="43"/>
      <c r="I16" s="59"/>
      <c r="J16" s="43"/>
      <c r="K16" s="44"/>
      <c r="L16" s="44"/>
      <c r="M16" s="43"/>
      <c r="N16" s="44"/>
      <c r="O16" s="77"/>
      <c r="P16" s="44"/>
      <c r="Q16" s="44"/>
      <c r="R16" s="77"/>
      <c r="S16" s="1278"/>
      <c r="T16" s="1278"/>
      <c r="U16" s="1278"/>
      <c r="V16" s="1279"/>
      <c r="W16" s="68"/>
      <c r="X16" s="68"/>
      <c r="Y16" s="58"/>
      <c r="Z16" s="59"/>
      <c r="AA16" s="60"/>
      <c r="AB16" s="59"/>
      <c r="AC16" s="59"/>
      <c r="AD16" s="59"/>
      <c r="AE16" s="59"/>
      <c r="AF16" s="59"/>
      <c r="AG16" s="59"/>
      <c r="AH16" s="273"/>
      <c r="AI16" s="1194"/>
      <c r="AJ16" s="84"/>
      <c r="AK16" s="68"/>
      <c r="AL16" s="84"/>
      <c r="AM16" s="59"/>
      <c r="AN16" s="58"/>
      <c r="AO16" s="59"/>
      <c r="AP16" s="60"/>
      <c r="AQ16" s="58"/>
      <c r="AR16" s="59"/>
      <c r="AS16" s="60"/>
      <c r="AT16" s="43"/>
      <c r="AU16" s="59"/>
      <c r="AV16" s="60"/>
      <c r="AW16" s="1422"/>
      <c r="AX16" s="1422"/>
      <c r="AY16" s="1422"/>
      <c r="AZ16" s="1294"/>
      <c r="BA16" s="68"/>
      <c r="BB16" s="68"/>
      <c r="BC16" s="58"/>
      <c r="BD16" s="59"/>
      <c r="BE16" s="60"/>
    </row>
    <row r="17" spans="2:57" x14ac:dyDescent="0.2">
      <c r="B17" s="273">
        <v>1</v>
      </c>
      <c r="C17" s="1302" t="s">
        <v>246</v>
      </c>
      <c r="D17" s="70">
        <f>'Rate Impacts - Rev Req ONLY'!D17</f>
        <v>208635.1321174161</v>
      </c>
      <c r="E17" s="71">
        <f>'Rate Impacts - Rev Req ONLY'!E17</f>
        <v>283691.13211741613</v>
      </c>
      <c r="F17" s="85" t="e">
        <f>SUM('Rev Req Proof Yr1'!AF14:AH14)</f>
        <v>#REF!</v>
      </c>
      <c r="G17" s="75">
        <f>IFERROR((F17/D17),0)</f>
        <v>0</v>
      </c>
      <c r="H17" s="85" t="e">
        <f>SUM('Rev Req Proof Yr1'!AM14:AO14)</f>
        <v>#REF!</v>
      </c>
      <c r="I17" s="74">
        <f>IFERROR((H17/D17),0)</f>
        <v>0</v>
      </c>
      <c r="J17" s="86" t="e">
        <f>SUM('Temps Proof'!W14:Y14)</f>
        <v>#REF!</v>
      </c>
      <c r="K17" s="74">
        <f>IFERROR((J17/SUM(E17,F17,H17)),0)</f>
        <v>0</v>
      </c>
      <c r="L17" s="74">
        <f>IFERROR((J17/SUM(D17,F17)),0)</f>
        <v>0</v>
      </c>
      <c r="M17" s="86" t="e">
        <f>SUM('Temps Proof'!Y14:AA14)</f>
        <v>#REF!</v>
      </c>
      <c r="N17" s="74">
        <f>IFERROR((M17/SUM(E17,F17,H17)),0)</f>
        <v>0</v>
      </c>
      <c r="O17" s="75">
        <f>IFERROR((M17/SUM(D17,F17)),0)</f>
        <v>0</v>
      </c>
      <c r="P17" s="1102" t="e">
        <f>SUM('Temps Proof'!AE14:AG14)</f>
        <v>#REF!</v>
      </c>
      <c r="Q17" s="74">
        <f>IFERROR((P17/SUM(E17,F17,H17)),0)</f>
        <v>0</v>
      </c>
      <c r="R17" s="75">
        <f>IFERROR((P17/SUM(D17,F17)),0)</f>
        <v>0</v>
      </c>
      <c r="S17" s="1452" t="e">
        <f>SUM(F17,H17)</f>
        <v>#REF!</v>
      </c>
      <c r="T17" s="1280">
        <f>IFERROR((S17/D17),0)</f>
        <v>0</v>
      </c>
      <c r="U17" s="1281" t="e">
        <f>SUM(F17,H17,J17,M17,P17)</f>
        <v>#REF!</v>
      </c>
      <c r="V17" s="1282">
        <f>IFERROR((U17/E17),0)</f>
        <v>0</v>
      </c>
      <c r="W17" s="71" t="e">
        <f>D17+S17</f>
        <v>#REF!</v>
      </c>
      <c r="X17" s="71" t="e">
        <f>E17+U17</f>
        <v>#REF!</v>
      </c>
      <c r="Y17" s="73">
        <f t="shared" ref="Y17:Z39" si="0">IFERROR((W17-D17)/D17,0)</f>
        <v>0</v>
      </c>
      <c r="Z17" s="74">
        <f t="shared" si="0"/>
        <v>0</v>
      </c>
      <c r="AA17" s="75">
        <f>'Avg Bill by RS'!AK14</f>
        <v>0.13600000000000001</v>
      </c>
      <c r="AB17" s="74"/>
      <c r="AC17" s="74"/>
      <c r="AD17" s="74"/>
      <c r="AE17" s="74"/>
      <c r="AF17" s="74"/>
      <c r="AG17" s="74"/>
      <c r="AH17" s="273">
        <v>1</v>
      </c>
      <c r="AI17" s="1195" t="s">
        <v>246</v>
      </c>
      <c r="AJ17" s="1016" t="e">
        <f>'Rate Impacts - Rev Req ONLY'!N17</f>
        <v>#REF!</v>
      </c>
      <c r="AK17" s="71" t="e">
        <f>'Rate Impacts - Rev Req ONLY'!O17</f>
        <v>#REF!</v>
      </c>
      <c r="AL17" s="85" t="e">
        <f>SUM('Rev Req Proof Yr2'!AF14:AH14)</f>
        <v>#REF!</v>
      </c>
      <c r="AM17" s="74">
        <f>IFERROR((AL17/AJ17),0)</f>
        <v>0</v>
      </c>
      <c r="AN17" s="85" t="e">
        <f>SUM('Temps Proof'!AI14:AK14)</f>
        <v>#REF!</v>
      </c>
      <c r="AO17" s="74">
        <f>IFERROR((AN17/SUM(AK17,AL17)),0)</f>
        <v>0</v>
      </c>
      <c r="AP17" s="75">
        <f>IFERROR((AN17/SUM(AJ17,AL17)),0)</f>
        <v>0</v>
      </c>
      <c r="AQ17" s="85" t="e">
        <f>SUM('Temps Proof'!AM14:AO14)</f>
        <v>#REF!</v>
      </c>
      <c r="AR17" s="74">
        <f>IFERROR((AQ17/SUM(AK17,AL17)),0)</f>
        <v>0</v>
      </c>
      <c r="AS17" s="75">
        <f>IFERROR((AQ17/SUM(AJ17,AL17)),0)</f>
        <v>0</v>
      </c>
      <c r="AT17" s="85" t="e">
        <f>SUM('Temps Proof'!AQ14:AS14)</f>
        <v>#REF!</v>
      </c>
      <c r="AU17" s="74">
        <f>IFERROR((AT17/SUM(AK17,AL17)),0)</f>
        <v>0</v>
      </c>
      <c r="AV17" s="75">
        <f>IFERROR((AT17/SUM(AJ17,AL17)),0)</f>
        <v>0</v>
      </c>
      <c r="AW17" s="1423" t="e">
        <f>AL17</f>
        <v>#REF!</v>
      </c>
      <c r="AX17" s="1427">
        <f>AM17</f>
        <v>0</v>
      </c>
      <c r="AY17" s="1423" t="e">
        <f>AL17+AN17+AQ17+AT17-(J17+M17+P17)</f>
        <v>#REF!</v>
      </c>
      <c r="AZ17" s="1295">
        <f>IFERROR((AY17/AK17),0)</f>
        <v>0</v>
      </c>
      <c r="BA17" s="71" t="e">
        <f>AJ17+AL17</f>
        <v>#REF!</v>
      </c>
      <c r="BB17" s="71" t="e">
        <f t="shared" ref="BB17:BB39" si="1">AK17+AY17</f>
        <v>#REF!</v>
      </c>
      <c r="BC17" s="73">
        <f t="shared" ref="BC17:BD39" si="2">IFERROR((BA17-AJ17)/AJ17,0)</f>
        <v>0</v>
      </c>
      <c r="BD17" s="74">
        <f t="shared" si="2"/>
        <v>0</v>
      </c>
      <c r="BE17" s="75">
        <f>'Avg Bill by RS'!BD14</f>
        <v>3.5999999999999997E-2</v>
      </c>
    </row>
    <row r="18" spans="2:57" x14ac:dyDescent="0.2">
      <c r="B18" s="273">
        <v>2</v>
      </c>
      <c r="C18" s="720" t="s">
        <v>247</v>
      </c>
      <c r="D18" s="70">
        <f>'Rate Impacts - Rev Req ONLY'!D18</f>
        <v>37604.380821902283</v>
      </c>
      <c r="E18" s="71">
        <f>'Rate Impacts - Rev Req ONLY'!E18</f>
        <v>53871.380821902283</v>
      </c>
      <c r="F18" s="85" t="e">
        <f>SUM('Rev Req Proof Yr1'!AF15:AH15)</f>
        <v>#REF!</v>
      </c>
      <c r="G18" s="75">
        <f>IFERROR((F18/D18),0)</f>
        <v>0</v>
      </c>
      <c r="H18" s="85" t="e">
        <f>SUM('Rev Req Proof Yr1'!AM15:AO15)</f>
        <v>#REF!</v>
      </c>
      <c r="I18" s="74">
        <f t="shared" ref="I18:I39" si="3">IFERROR((H18/D18),0)</f>
        <v>0</v>
      </c>
      <c r="J18" s="86" t="e">
        <f>SUM('Temps Proof'!W15:Y15)</f>
        <v>#REF!</v>
      </c>
      <c r="K18" s="74">
        <f t="shared" ref="K18:K39" si="4">IFERROR((J18/SUM(E18,F18,H18)),0)</f>
        <v>0</v>
      </c>
      <c r="L18" s="74">
        <f t="shared" ref="L18:L39" si="5">IFERROR((J18/SUM(D18,F18)),0)</f>
        <v>0</v>
      </c>
      <c r="M18" s="86" t="e">
        <f>SUM('Temps Proof'!Y15:AA15)</f>
        <v>#REF!</v>
      </c>
      <c r="N18" s="74">
        <f t="shared" ref="N18:N39" si="6">IFERROR((M18/SUM(E18,F18,H18)),0)</f>
        <v>0</v>
      </c>
      <c r="O18" s="75">
        <f t="shared" ref="O18:O39" si="7">IFERROR((M18/SUM(D18,F18)),0)</f>
        <v>0</v>
      </c>
      <c r="P18" s="1102" t="e">
        <f>SUM('Temps Proof'!AE15:AG15)</f>
        <v>#REF!</v>
      </c>
      <c r="Q18" s="74">
        <f t="shared" ref="Q18:Q39" si="8">IFERROR((P18/SUM(E18,F18,H18)),0)</f>
        <v>0</v>
      </c>
      <c r="R18" s="75">
        <f t="shared" ref="R18:R39" si="9">IFERROR((P18/SUM(D18,F18)),0)</f>
        <v>0</v>
      </c>
      <c r="S18" s="1452" t="e">
        <f t="shared" ref="S18:S38" si="10">SUM(F18,H18)</f>
        <v>#REF!</v>
      </c>
      <c r="T18" s="1280">
        <f t="shared" ref="T18:T39" si="11">IFERROR((S18/D18),0)</f>
        <v>0</v>
      </c>
      <c r="U18" s="1281" t="e">
        <f t="shared" ref="U18:U39" si="12">SUM(F18,H18,J18,M18,P18)</f>
        <v>#REF!</v>
      </c>
      <c r="V18" s="1282">
        <f t="shared" ref="V18:V39" si="13">IFERROR((U18/E18),0)</f>
        <v>0</v>
      </c>
      <c r="W18" s="71" t="e">
        <f t="shared" ref="W18:W39" si="14">D18+S18</f>
        <v>#REF!</v>
      </c>
      <c r="X18" s="71" t="e">
        <f t="shared" ref="X18:X39" si="15">E18+U18</f>
        <v>#REF!</v>
      </c>
      <c r="Y18" s="73">
        <f t="shared" si="0"/>
        <v>0</v>
      </c>
      <c r="Z18" s="74">
        <f t="shared" si="0"/>
        <v>0</v>
      </c>
      <c r="AA18" s="75">
        <f>'Avg Bill by RS'!AK15</f>
        <v>0.14299999999999999</v>
      </c>
      <c r="AB18" s="74"/>
      <c r="AC18" s="74"/>
      <c r="AD18" s="74"/>
      <c r="AE18" s="74"/>
      <c r="AF18" s="74"/>
      <c r="AG18" s="74"/>
      <c r="AH18" s="273">
        <v>2</v>
      </c>
      <c r="AI18" s="1196" t="s">
        <v>247</v>
      </c>
      <c r="AJ18" s="1016" t="e">
        <f>'Rate Impacts - Rev Req ONLY'!N18</f>
        <v>#REF!</v>
      </c>
      <c r="AK18" s="71" t="e">
        <f>'Rate Impacts - Rev Req ONLY'!O18</f>
        <v>#REF!</v>
      </c>
      <c r="AL18" s="85" t="e">
        <f>SUM('Rev Req Proof Yr2'!AF15:AH15)</f>
        <v>#REF!</v>
      </c>
      <c r="AM18" s="74">
        <f>IFERROR((AL18/AJ18),0)</f>
        <v>0</v>
      </c>
      <c r="AN18" s="85" t="e">
        <f>SUM('Temps Proof'!AI15:AK15)</f>
        <v>#REF!</v>
      </c>
      <c r="AO18" s="74">
        <f t="shared" ref="AO18:AO39" si="16">IFERROR((AN18/SUM(AK18,AL18)),0)</f>
        <v>0</v>
      </c>
      <c r="AP18" s="75">
        <f t="shared" ref="AP18:AP39" si="17">IFERROR((AN18/SUM(AJ18,AL18)),0)</f>
        <v>0</v>
      </c>
      <c r="AQ18" s="85" t="e">
        <f>SUM('Temps Proof'!AM15:AO15)</f>
        <v>#REF!</v>
      </c>
      <c r="AR18" s="74">
        <f t="shared" ref="AR18:AR39" si="18">IFERROR((AQ18/SUM(AK18,AL18)),0)</f>
        <v>0</v>
      </c>
      <c r="AS18" s="75">
        <f t="shared" ref="AS18:AS39" si="19">IFERROR((AQ18/SUM(AJ18,AL18)),0)</f>
        <v>0</v>
      </c>
      <c r="AT18" s="85" t="e">
        <f>SUM('Temps Proof'!AQ15:AS15)</f>
        <v>#REF!</v>
      </c>
      <c r="AU18" s="74">
        <f t="shared" ref="AU18:AU39" si="20">IFERROR((AT18/SUM(AK18,AL18)),0)</f>
        <v>0</v>
      </c>
      <c r="AV18" s="75">
        <f t="shared" ref="AV18:AV39" si="21">IFERROR((AT18/SUM(AJ18,AL18)),0)</f>
        <v>0</v>
      </c>
      <c r="AW18" s="1423" t="e">
        <f t="shared" ref="AW18:AX39" si="22">AL18</f>
        <v>#REF!</v>
      </c>
      <c r="AX18" s="1427">
        <f t="shared" si="22"/>
        <v>0</v>
      </c>
      <c r="AY18" s="1423" t="e">
        <f t="shared" ref="AY18:AY39" si="23">AL18+AN18+AQ18+AT18-(J18+M18+P18)</f>
        <v>#REF!</v>
      </c>
      <c r="AZ18" s="1295">
        <f t="shared" ref="AZ18:AZ39" si="24">IFERROR((AY18/AK18),0)</f>
        <v>0</v>
      </c>
      <c r="BA18" s="71" t="e">
        <f t="shared" ref="BA18:BA39" si="25">AJ18+AL18</f>
        <v>#REF!</v>
      </c>
      <c r="BB18" s="71" t="e">
        <f t="shared" si="1"/>
        <v>#REF!</v>
      </c>
      <c r="BC18" s="73">
        <f t="shared" si="2"/>
        <v>0</v>
      </c>
      <c r="BD18" s="74">
        <f t="shared" si="2"/>
        <v>0</v>
      </c>
      <c r="BE18" s="75">
        <f>'Avg Bill by RS'!BD15</f>
        <v>3.4000000000000002E-2</v>
      </c>
    </row>
    <row r="19" spans="2:57" x14ac:dyDescent="0.2">
      <c r="B19" s="273">
        <v>3</v>
      </c>
      <c r="C19" s="720" t="s">
        <v>12</v>
      </c>
      <c r="D19" s="70">
        <f>'Rate Impacts - Rev Req ONLY'!D19</f>
        <v>33798099.589697547</v>
      </c>
      <c r="E19" s="71">
        <f>'Rate Impacts - Rev Req ONLY'!E19</f>
        <v>53008197.589697547</v>
      </c>
      <c r="F19" s="85" t="e">
        <f>SUM('Rev Req Proof Yr1'!AF16:AH16)</f>
        <v>#REF!</v>
      </c>
      <c r="G19" s="75">
        <f t="shared" ref="G19:G34" si="26">IFERROR((F19/D19),0)</f>
        <v>0</v>
      </c>
      <c r="H19" s="85" t="e">
        <f>SUM('Rev Req Proof Yr1'!AM16:AO16)</f>
        <v>#REF!</v>
      </c>
      <c r="I19" s="74">
        <f t="shared" si="3"/>
        <v>0</v>
      </c>
      <c r="J19" s="86" t="e">
        <f>SUM('Temps Proof'!W16:Y16)</f>
        <v>#REF!</v>
      </c>
      <c r="K19" s="74">
        <f t="shared" si="4"/>
        <v>0</v>
      </c>
      <c r="L19" s="74">
        <f t="shared" si="5"/>
        <v>0</v>
      </c>
      <c r="M19" s="86" t="e">
        <f>SUM('Temps Proof'!Y16:AA16)</f>
        <v>#REF!</v>
      </c>
      <c r="N19" s="74">
        <f t="shared" si="6"/>
        <v>0</v>
      </c>
      <c r="O19" s="75">
        <f t="shared" si="7"/>
        <v>0</v>
      </c>
      <c r="P19" s="1102" t="e">
        <f>SUM('Temps Proof'!AE16:AG16)</f>
        <v>#REF!</v>
      </c>
      <c r="Q19" s="74">
        <f t="shared" si="8"/>
        <v>0</v>
      </c>
      <c r="R19" s="75">
        <f t="shared" si="9"/>
        <v>0</v>
      </c>
      <c r="S19" s="1452" t="e">
        <f>SUM(F19,H19)</f>
        <v>#REF!</v>
      </c>
      <c r="T19" s="1280">
        <f t="shared" si="11"/>
        <v>0</v>
      </c>
      <c r="U19" s="1281" t="e">
        <f t="shared" si="12"/>
        <v>#REF!</v>
      </c>
      <c r="V19" s="1282">
        <f t="shared" si="13"/>
        <v>0</v>
      </c>
      <c r="W19" s="71" t="e">
        <f t="shared" si="14"/>
        <v>#REF!</v>
      </c>
      <c r="X19" s="71" t="e">
        <f t="shared" si="15"/>
        <v>#REF!</v>
      </c>
      <c r="Y19" s="73">
        <f t="shared" si="0"/>
        <v>0</v>
      </c>
      <c r="Z19" s="74">
        <f t="shared" si="0"/>
        <v>0</v>
      </c>
      <c r="AA19" s="75">
        <f>'Avg Bill by RS'!AK16</f>
        <v>0.157</v>
      </c>
      <c r="AB19" s="74"/>
      <c r="AC19" s="74"/>
      <c r="AD19" s="74"/>
      <c r="AE19" s="74"/>
      <c r="AF19" s="74"/>
      <c r="AG19" s="74"/>
      <c r="AH19" s="273">
        <v>3</v>
      </c>
      <c r="AI19" s="1196" t="s">
        <v>12</v>
      </c>
      <c r="AJ19" s="1016" t="e">
        <f>'Rate Impacts - Rev Req ONLY'!N19</f>
        <v>#REF!</v>
      </c>
      <c r="AK19" s="71" t="e">
        <f>'Rate Impacts - Rev Req ONLY'!O19</f>
        <v>#REF!</v>
      </c>
      <c r="AL19" s="85" t="e">
        <f>SUM('Rev Req Proof Yr2'!AF16:AH16)</f>
        <v>#REF!</v>
      </c>
      <c r="AM19" s="74">
        <f t="shared" ref="AM19:AM24" si="27">IFERROR((AL19/AJ19),0)</f>
        <v>0</v>
      </c>
      <c r="AN19" s="85" t="e">
        <f>SUM('Temps Proof'!AI16:AK16)</f>
        <v>#REF!</v>
      </c>
      <c r="AO19" s="74">
        <f t="shared" si="16"/>
        <v>0</v>
      </c>
      <c r="AP19" s="75">
        <f t="shared" si="17"/>
        <v>0</v>
      </c>
      <c r="AQ19" s="85" t="e">
        <f>SUM('Temps Proof'!AM16:AO16)</f>
        <v>#REF!</v>
      </c>
      <c r="AR19" s="74">
        <f t="shared" si="18"/>
        <v>0</v>
      </c>
      <c r="AS19" s="75">
        <f t="shared" si="19"/>
        <v>0</v>
      </c>
      <c r="AT19" s="85" t="e">
        <f>SUM('Temps Proof'!AQ16:AS16)</f>
        <v>#REF!</v>
      </c>
      <c r="AU19" s="74">
        <f t="shared" si="20"/>
        <v>0</v>
      </c>
      <c r="AV19" s="75">
        <f t="shared" si="21"/>
        <v>0</v>
      </c>
      <c r="AW19" s="1423" t="e">
        <f t="shared" si="22"/>
        <v>#REF!</v>
      </c>
      <c r="AX19" s="1427">
        <f t="shared" si="22"/>
        <v>0</v>
      </c>
      <c r="AY19" s="1423" t="e">
        <f t="shared" si="23"/>
        <v>#REF!</v>
      </c>
      <c r="AZ19" s="1295">
        <f t="shared" si="24"/>
        <v>0</v>
      </c>
      <c r="BA19" s="71" t="e">
        <f t="shared" si="25"/>
        <v>#REF!</v>
      </c>
      <c r="BB19" s="71" t="e">
        <f t="shared" si="1"/>
        <v>#REF!</v>
      </c>
      <c r="BC19" s="73">
        <f t="shared" si="2"/>
        <v>0</v>
      </c>
      <c r="BD19" s="74">
        <f t="shared" si="2"/>
        <v>0</v>
      </c>
      <c r="BE19" s="75">
        <f>'Avg Bill by RS'!BD16</f>
        <v>3.1E-2</v>
      </c>
    </row>
    <row r="20" spans="2:57" x14ac:dyDescent="0.2">
      <c r="B20" s="273">
        <v>4</v>
      </c>
      <c r="C20" s="720" t="s">
        <v>10</v>
      </c>
      <c r="D20" s="70">
        <f>'Rate Impacts - Rev Req ONLY'!D20</f>
        <v>9866168.0688334089</v>
      </c>
      <c r="E20" s="71">
        <f>'Rate Impacts - Rev Req ONLY'!E20</f>
        <v>16112007.068833409</v>
      </c>
      <c r="F20" s="85" t="e">
        <f>SUM('Rev Req Proof Yr1'!AF17:AH17)</f>
        <v>#REF!</v>
      </c>
      <c r="G20" s="75">
        <f t="shared" si="26"/>
        <v>0</v>
      </c>
      <c r="H20" s="85" t="e">
        <f>SUM('Rev Req Proof Yr1'!AM17:AO17)</f>
        <v>#REF!</v>
      </c>
      <c r="I20" s="74">
        <f t="shared" si="3"/>
        <v>0</v>
      </c>
      <c r="J20" s="86" t="e">
        <f>SUM('Temps Proof'!W17:Y17)</f>
        <v>#REF!</v>
      </c>
      <c r="K20" s="74">
        <f t="shared" si="4"/>
        <v>0</v>
      </c>
      <c r="L20" s="74">
        <f t="shared" si="5"/>
        <v>0</v>
      </c>
      <c r="M20" s="86" t="e">
        <f>SUM('Temps Proof'!Y17:AA17)</f>
        <v>#REF!</v>
      </c>
      <c r="N20" s="74">
        <f t="shared" si="6"/>
        <v>0</v>
      </c>
      <c r="O20" s="75">
        <f t="shared" si="7"/>
        <v>0</v>
      </c>
      <c r="P20" s="1102" t="e">
        <f>SUM('Temps Proof'!AE17:AG17)</f>
        <v>#REF!</v>
      </c>
      <c r="Q20" s="74">
        <f t="shared" si="8"/>
        <v>0</v>
      </c>
      <c r="R20" s="75">
        <f t="shared" si="9"/>
        <v>0</v>
      </c>
      <c r="S20" s="1452" t="e">
        <f t="shared" si="10"/>
        <v>#REF!</v>
      </c>
      <c r="T20" s="1280">
        <f t="shared" si="11"/>
        <v>0</v>
      </c>
      <c r="U20" s="1281" t="e">
        <f t="shared" si="12"/>
        <v>#REF!</v>
      </c>
      <c r="V20" s="1282">
        <f t="shared" si="13"/>
        <v>0</v>
      </c>
      <c r="W20" s="71" t="e">
        <f t="shared" si="14"/>
        <v>#REF!</v>
      </c>
      <c r="X20" s="71" t="e">
        <f t="shared" si="15"/>
        <v>#REF!</v>
      </c>
      <c r="Y20" s="73">
        <f t="shared" si="0"/>
        <v>0</v>
      </c>
      <c r="Z20" s="74">
        <f t="shared" si="0"/>
        <v>0</v>
      </c>
      <c r="AA20" s="75">
        <f>'Avg Bill by RS'!AK17</f>
        <v>0.16200000000000001</v>
      </c>
      <c r="AB20" s="74"/>
      <c r="AC20" s="74"/>
      <c r="AD20" s="74"/>
      <c r="AE20" s="74"/>
      <c r="AF20" s="74"/>
      <c r="AG20" s="74"/>
      <c r="AH20" s="273">
        <v>4</v>
      </c>
      <c r="AI20" s="1196" t="s">
        <v>10</v>
      </c>
      <c r="AJ20" s="1016" t="e">
        <f>'Rate Impacts - Rev Req ONLY'!N20</f>
        <v>#REF!</v>
      </c>
      <c r="AK20" s="71" t="e">
        <f>'Rate Impacts - Rev Req ONLY'!O20</f>
        <v>#REF!</v>
      </c>
      <c r="AL20" s="85" t="e">
        <f>SUM('Rev Req Proof Yr2'!AF17:AH17)</f>
        <v>#REF!</v>
      </c>
      <c r="AM20" s="74">
        <f t="shared" si="27"/>
        <v>0</v>
      </c>
      <c r="AN20" s="85" t="e">
        <f>SUM('Temps Proof'!AI17:AK17)</f>
        <v>#REF!</v>
      </c>
      <c r="AO20" s="74">
        <f t="shared" si="16"/>
        <v>0</v>
      </c>
      <c r="AP20" s="75">
        <f t="shared" si="17"/>
        <v>0</v>
      </c>
      <c r="AQ20" s="85" t="e">
        <f>SUM('Temps Proof'!AM17:AO17)</f>
        <v>#REF!</v>
      </c>
      <c r="AR20" s="74">
        <f t="shared" si="18"/>
        <v>0</v>
      </c>
      <c r="AS20" s="75">
        <f t="shared" si="19"/>
        <v>0</v>
      </c>
      <c r="AT20" s="85" t="e">
        <f>SUM('Temps Proof'!AQ17:AS17)</f>
        <v>#REF!</v>
      </c>
      <c r="AU20" s="74">
        <f t="shared" si="20"/>
        <v>0</v>
      </c>
      <c r="AV20" s="75">
        <f t="shared" si="21"/>
        <v>0</v>
      </c>
      <c r="AW20" s="1423" t="e">
        <f t="shared" si="22"/>
        <v>#REF!</v>
      </c>
      <c r="AX20" s="1427">
        <f t="shared" si="22"/>
        <v>0</v>
      </c>
      <c r="AY20" s="1423" t="e">
        <f t="shared" si="23"/>
        <v>#REF!</v>
      </c>
      <c r="AZ20" s="1295">
        <f t="shared" si="24"/>
        <v>0</v>
      </c>
      <c r="BA20" s="71" t="e">
        <f t="shared" si="25"/>
        <v>#REF!</v>
      </c>
      <c r="BB20" s="71" t="e">
        <f t="shared" si="1"/>
        <v>#REF!</v>
      </c>
      <c r="BC20" s="73">
        <f t="shared" si="2"/>
        <v>0</v>
      </c>
      <c r="BD20" s="74">
        <f t="shared" si="2"/>
        <v>0</v>
      </c>
      <c r="BE20" s="75">
        <f>'Avg Bill by RS'!BD17</f>
        <v>2.9000000000000001E-2</v>
      </c>
    </row>
    <row r="21" spans="2:57" x14ac:dyDescent="0.2">
      <c r="B21" s="273">
        <v>5</v>
      </c>
      <c r="C21" s="720" t="s">
        <v>11</v>
      </c>
      <c r="D21" s="70">
        <f>'Rate Impacts - Rev Req ONLY'!D21</f>
        <v>141888.72505190157</v>
      </c>
      <c r="E21" s="71">
        <f>'Rate Impacts - Rev Req ONLY'!E21</f>
        <v>241043.72505190157</v>
      </c>
      <c r="F21" s="85" t="e">
        <f>SUM('Rev Req Proof Yr1'!AF18:AH18)</f>
        <v>#REF!</v>
      </c>
      <c r="G21" s="75">
        <f t="shared" si="26"/>
        <v>0</v>
      </c>
      <c r="H21" s="85" t="e">
        <f>SUM('Rev Req Proof Yr1'!AM18:AO18)</f>
        <v>#REF!</v>
      </c>
      <c r="I21" s="74">
        <f t="shared" si="3"/>
        <v>0</v>
      </c>
      <c r="J21" s="86" t="e">
        <f>SUM('Temps Proof'!W18:Y18)</f>
        <v>#REF!</v>
      </c>
      <c r="K21" s="74">
        <f t="shared" si="4"/>
        <v>0</v>
      </c>
      <c r="L21" s="74">
        <f t="shared" si="5"/>
        <v>0</v>
      </c>
      <c r="M21" s="86" t="e">
        <f>SUM('Temps Proof'!Y18:AA18)</f>
        <v>#REF!</v>
      </c>
      <c r="N21" s="74">
        <f t="shared" si="6"/>
        <v>0</v>
      </c>
      <c r="O21" s="75">
        <f t="shared" si="7"/>
        <v>0</v>
      </c>
      <c r="P21" s="1102" t="e">
        <f>SUM('Temps Proof'!AE18:AG18)</f>
        <v>#REF!</v>
      </c>
      <c r="Q21" s="74">
        <f t="shared" si="8"/>
        <v>0</v>
      </c>
      <c r="R21" s="75">
        <f t="shared" si="9"/>
        <v>0</v>
      </c>
      <c r="S21" s="1452" t="e">
        <f t="shared" si="10"/>
        <v>#REF!</v>
      </c>
      <c r="T21" s="1280">
        <f t="shared" si="11"/>
        <v>0</v>
      </c>
      <c r="U21" s="1281" t="e">
        <f t="shared" si="12"/>
        <v>#REF!</v>
      </c>
      <c r="V21" s="1282">
        <f t="shared" si="13"/>
        <v>0</v>
      </c>
      <c r="W21" s="71" t="e">
        <f t="shared" si="14"/>
        <v>#REF!</v>
      </c>
      <c r="X21" s="71" t="e">
        <f t="shared" si="15"/>
        <v>#REF!</v>
      </c>
      <c r="Y21" s="73">
        <f t="shared" si="0"/>
        <v>0</v>
      </c>
      <c r="Z21" s="74">
        <f t="shared" si="0"/>
        <v>0</v>
      </c>
      <c r="AA21" s="75">
        <f>'Avg Bill by RS'!AK18</f>
        <v>0.17799999999999999</v>
      </c>
      <c r="AB21" s="74"/>
      <c r="AC21" s="74"/>
      <c r="AD21" s="74"/>
      <c r="AE21" s="74"/>
      <c r="AF21" s="74"/>
      <c r="AG21" s="74"/>
      <c r="AH21" s="273">
        <v>5</v>
      </c>
      <c r="AI21" s="1196" t="s">
        <v>11</v>
      </c>
      <c r="AJ21" s="1016" t="e">
        <f>'Rate Impacts - Rev Req ONLY'!N21</f>
        <v>#REF!</v>
      </c>
      <c r="AK21" s="71" t="e">
        <f>'Rate Impacts - Rev Req ONLY'!O21</f>
        <v>#REF!</v>
      </c>
      <c r="AL21" s="85" t="e">
        <f>SUM('Rev Req Proof Yr2'!AF18:AH18)</f>
        <v>#REF!</v>
      </c>
      <c r="AM21" s="74">
        <f t="shared" si="27"/>
        <v>0</v>
      </c>
      <c r="AN21" s="85" t="e">
        <f>SUM('Temps Proof'!AI18:AK18)</f>
        <v>#REF!</v>
      </c>
      <c r="AO21" s="74">
        <f t="shared" si="16"/>
        <v>0</v>
      </c>
      <c r="AP21" s="75">
        <f t="shared" si="17"/>
        <v>0</v>
      </c>
      <c r="AQ21" s="85" t="e">
        <f>SUM('Temps Proof'!AM18:AO18)</f>
        <v>#REF!</v>
      </c>
      <c r="AR21" s="74">
        <f t="shared" si="18"/>
        <v>0</v>
      </c>
      <c r="AS21" s="75">
        <f t="shared" si="19"/>
        <v>0</v>
      </c>
      <c r="AT21" s="85" t="e">
        <f>SUM('Temps Proof'!AQ18:AS18)</f>
        <v>#REF!</v>
      </c>
      <c r="AU21" s="74">
        <f t="shared" si="20"/>
        <v>0</v>
      </c>
      <c r="AV21" s="75">
        <f t="shared" si="21"/>
        <v>0</v>
      </c>
      <c r="AW21" s="1423" t="e">
        <f t="shared" si="22"/>
        <v>#REF!</v>
      </c>
      <c r="AX21" s="1427">
        <f t="shared" si="22"/>
        <v>0</v>
      </c>
      <c r="AY21" s="1423" t="e">
        <f t="shared" si="23"/>
        <v>#REF!</v>
      </c>
      <c r="AZ21" s="1295">
        <f t="shared" si="24"/>
        <v>0</v>
      </c>
      <c r="BA21" s="71" t="e">
        <f t="shared" si="25"/>
        <v>#REF!</v>
      </c>
      <c r="BB21" s="71" t="e">
        <f t="shared" si="1"/>
        <v>#REF!</v>
      </c>
      <c r="BC21" s="73">
        <f t="shared" si="2"/>
        <v>0</v>
      </c>
      <c r="BD21" s="74">
        <f t="shared" si="2"/>
        <v>0</v>
      </c>
      <c r="BE21" s="75">
        <f>'Avg Bill by RS'!BD18</f>
        <v>0.03</v>
      </c>
    </row>
    <row r="22" spans="2:57" x14ac:dyDescent="0.2">
      <c r="B22" s="1197">
        <v>6</v>
      </c>
      <c r="C22" s="720">
        <v>27</v>
      </c>
      <c r="D22" s="70">
        <f>'Rate Impacts - Rev Req ONLY'!D22</f>
        <v>201938.20437801833</v>
      </c>
      <c r="E22" s="71">
        <f>'Rate Impacts - Rev Req ONLY'!E22</f>
        <v>363218.20437801839</v>
      </c>
      <c r="F22" s="85" t="e">
        <f>SUM('Rev Req Proof Yr1'!AF19:AH19)</f>
        <v>#REF!</v>
      </c>
      <c r="G22" s="75">
        <f t="shared" si="26"/>
        <v>0</v>
      </c>
      <c r="H22" s="85" t="e">
        <f>SUM('Rev Req Proof Yr1'!AM19:AO19)</f>
        <v>#REF!</v>
      </c>
      <c r="I22" s="74">
        <f t="shared" si="3"/>
        <v>0</v>
      </c>
      <c r="J22" s="86" t="e">
        <f>SUM('Temps Proof'!W19:Y19)</f>
        <v>#REF!</v>
      </c>
      <c r="K22" s="74">
        <f t="shared" si="4"/>
        <v>0</v>
      </c>
      <c r="L22" s="74">
        <f t="shared" si="5"/>
        <v>0</v>
      </c>
      <c r="M22" s="86" t="e">
        <f>SUM('Temps Proof'!Y19:AA19)</f>
        <v>#REF!</v>
      </c>
      <c r="N22" s="74">
        <f t="shared" si="6"/>
        <v>0</v>
      </c>
      <c r="O22" s="75">
        <f t="shared" si="7"/>
        <v>0</v>
      </c>
      <c r="P22" s="1102" t="e">
        <f>SUM('Temps Proof'!AE19:AG19)</f>
        <v>#REF!</v>
      </c>
      <c r="Q22" s="74">
        <f t="shared" si="8"/>
        <v>0</v>
      </c>
      <c r="R22" s="75">
        <f t="shared" si="9"/>
        <v>0</v>
      </c>
      <c r="S22" s="1452" t="e">
        <f t="shared" si="10"/>
        <v>#REF!</v>
      </c>
      <c r="T22" s="1280">
        <f t="shared" si="11"/>
        <v>0</v>
      </c>
      <c r="U22" s="1281" t="e">
        <f t="shared" si="12"/>
        <v>#REF!</v>
      </c>
      <c r="V22" s="1282">
        <f t="shared" si="13"/>
        <v>0</v>
      </c>
      <c r="W22" s="71" t="e">
        <f t="shared" si="14"/>
        <v>#REF!</v>
      </c>
      <c r="X22" s="71" t="e">
        <f t="shared" si="15"/>
        <v>#REF!</v>
      </c>
      <c r="Y22" s="73">
        <f t="shared" si="0"/>
        <v>0</v>
      </c>
      <c r="Z22" s="74">
        <f t="shared" si="0"/>
        <v>0</v>
      </c>
      <c r="AA22" s="75">
        <f>'Avg Bill by RS'!AK19</f>
        <v>0.17599999999999999</v>
      </c>
      <c r="AB22" s="74"/>
      <c r="AC22" s="74"/>
      <c r="AD22" s="74"/>
      <c r="AE22" s="74"/>
      <c r="AF22" s="74"/>
      <c r="AG22" s="74"/>
      <c r="AH22" s="1197">
        <v>6</v>
      </c>
      <c r="AI22" s="1196">
        <v>27</v>
      </c>
      <c r="AJ22" s="1016" t="e">
        <f>'Rate Impacts - Rev Req ONLY'!N22</f>
        <v>#REF!</v>
      </c>
      <c r="AK22" s="71" t="e">
        <f>'Rate Impacts - Rev Req ONLY'!O22</f>
        <v>#REF!</v>
      </c>
      <c r="AL22" s="85" t="e">
        <f>SUM('Rev Req Proof Yr2'!AF19:AH19)</f>
        <v>#REF!</v>
      </c>
      <c r="AM22" s="74">
        <f t="shared" si="27"/>
        <v>0</v>
      </c>
      <c r="AN22" s="85" t="e">
        <f>SUM('Temps Proof'!AI19:AK19)</f>
        <v>#REF!</v>
      </c>
      <c r="AO22" s="74">
        <f t="shared" si="16"/>
        <v>0</v>
      </c>
      <c r="AP22" s="75">
        <f t="shared" si="17"/>
        <v>0</v>
      </c>
      <c r="AQ22" s="85" t="e">
        <f>SUM('Temps Proof'!AM19:AO19)</f>
        <v>#REF!</v>
      </c>
      <c r="AR22" s="74">
        <f t="shared" si="18"/>
        <v>0</v>
      </c>
      <c r="AS22" s="75">
        <f t="shared" si="19"/>
        <v>0</v>
      </c>
      <c r="AT22" s="85" t="e">
        <f>SUM('Temps Proof'!AQ19:AS19)</f>
        <v>#REF!</v>
      </c>
      <c r="AU22" s="74">
        <f t="shared" si="20"/>
        <v>0</v>
      </c>
      <c r="AV22" s="75">
        <f t="shared" si="21"/>
        <v>0</v>
      </c>
      <c r="AW22" s="1423" t="e">
        <f t="shared" si="22"/>
        <v>#REF!</v>
      </c>
      <c r="AX22" s="1427">
        <f t="shared" si="22"/>
        <v>0</v>
      </c>
      <c r="AY22" s="1423" t="e">
        <f t="shared" si="23"/>
        <v>#REF!</v>
      </c>
      <c r="AZ22" s="1295">
        <f t="shared" si="24"/>
        <v>0</v>
      </c>
      <c r="BA22" s="71" t="e">
        <f t="shared" si="25"/>
        <v>#REF!</v>
      </c>
      <c r="BB22" s="71" t="e">
        <f t="shared" si="1"/>
        <v>#REF!</v>
      </c>
      <c r="BC22" s="73">
        <f t="shared" si="2"/>
        <v>0</v>
      </c>
      <c r="BD22" s="74">
        <f t="shared" si="2"/>
        <v>0</v>
      </c>
      <c r="BE22" s="75">
        <f>'Avg Bill by RS'!BD19</f>
        <v>2.7E-2</v>
      </c>
    </row>
    <row r="23" spans="2:57" x14ac:dyDescent="0.2">
      <c r="B23" s="273">
        <v>7</v>
      </c>
      <c r="C23" s="720" t="s">
        <v>266</v>
      </c>
      <c r="D23" s="70">
        <f>'Rate Impacts - Rev Req ONLY'!D23</f>
        <v>1542348.175315036</v>
      </c>
      <c r="E23" s="71">
        <f>'Rate Impacts - Rev Req ONLY'!E23</f>
        <v>2853836.1753150364</v>
      </c>
      <c r="F23" s="85" t="e">
        <f>SUM('Rev Req Proof Yr1'!AF22:AH22)</f>
        <v>#REF!</v>
      </c>
      <c r="G23" s="75">
        <f t="shared" si="26"/>
        <v>0</v>
      </c>
      <c r="H23" s="85" t="e">
        <f>SUM('Rev Req Proof Yr1'!AM22:AO22)</f>
        <v>#REF!</v>
      </c>
      <c r="I23" s="74">
        <f t="shared" si="3"/>
        <v>0</v>
      </c>
      <c r="J23" s="86" t="e">
        <f>SUM('Temps Proof'!W22:Y22)</f>
        <v>#REF!</v>
      </c>
      <c r="K23" s="74">
        <f t="shared" si="4"/>
        <v>0</v>
      </c>
      <c r="L23" s="74">
        <f t="shared" si="5"/>
        <v>0</v>
      </c>
      <c r="M23" s="86" t="e">
        <f>SUM('Temps Proof'!Y22:AA22)</f>
        <v>#REF!</v>
      </c>
      <c r="N23" s="74">
        <f t="shared" si="6"/>
        <v>0</v>
      </c>
      <c r="O23" s="75">
        <f t="shared" si="7"/>
        <v>0</v>
      </c>
      <c r="P23" s="1102" t="e">
        <f>SUM('Temps Proof'!AE22:AG22)</f>
        <v>#REF!</v>
      </c>
      <c r="Q23" s="74">
        <f t="shared" si="8"/>
        <v>0</v>
      </c>
      <c r="R23" s="75">
        <f t="shared" si="9"/>
        <v>0</v>
      </c>
      <c r="S23" s="1452" t="e">
        <f t="shared" si="10"/>
        <v>#REF!</v>
      </c>
      <c r="T23" s="1280">
        <f t="shared" si="11"/>
        <v>0</v>
      </c>
      <c r="U23" s="1281" t="e">
        <f t="shared" si="12"/>
        <v>#REF!</v>
      </c>
      <c r="V23" s="1282">
        <f t="shared" si="13"/>
        <v>0</v>
      </c>
      <c r="W23" s="71" t="e">
        <f t="shared" si="14"/>
        <v>#REF!</v>
      </c>
      <c r="X23" s="71" t="e">
        <f t="shared" si="15"/>
        <v>#REF!</v>
      </c>
      <c r="Y23" s="73">
        <f t="shared" si="0"/>
        <v>0</v>
      </c>
      <c r="Z23" s="74">
        <f t="shared" si="0"/>
        <v>0</v>
      </c>
      <c r="AA23" s="75">
        <f>'Avg Bill by RS'!AK22</f>
        <v>0.19400000000000001</v>
      </c>
      <c r="AB23" s="74"/>
      <c r="AC23" s="74"/>
      <c r="AD23" s="74"/>
      <c r="AE23" s="74"/>
      <c r="AF23" s="74"/>
      <c r="AG23" s="74"/>
      <c r="AH23" s="273">
        <v>7</v>
      </c>
      <c r="AI23" s="1196" t="s">
        <v>266</v>
      </c>
      <c r="AJ23" s="1016" t="e">
        <f>'Rate Impacts - Rev Req ONLY'!N23</f>
        <v>#REF!</v>
      </c>
      <c r="AK23" s="71" t="e">
        <f>'Rate Impacts - Rev Req ONLY'!O23</f>
        <v>#REF!</v>
      </c>
      <c r="AL23" s="85" t="e">
        <f>SUM('Rev Req Proof Yr2'!AF22:AH22)</f>
        <v>#REF!</v>
      </c>
      <c r="AM23" s="74">
        <f t="shared" si="27"/>
        <v>0</v>
      </c>
      <c r="AN23" s="85" t="e">
        <f>SUM('Temps Proof'!AI22:AK22)</f>
        <v>#REF!</v>
      </c>
      <c r="AO23" s="74">
        <f t="shared" si="16"/>
        <v>0</v>
      </c>
      <c r="AP23" s="75">
        <f t="shared" si="17"/>
        <v>0</v>
      </c>
      <c r="AQ23" s="85" t="e">
        <f>SUM('Temps Proof'!AM22:AO22)</f>
        <v>#REF!</v>
      </c>
      <c r="AR23" s="74">
        <f t="shared" si="18"/>
        <v>0</v>
      </c>
      <c r="AS23" s="75">
        <f t="shared" si="19"/>
        <v>0</v>
      </c>
      <c r="AT23" s="85" t="e">
        <f>SUM('Temps Proof'!AQ22:AS22)</f>
        <v>#REF!</v>
      </c>
      <c r="AU23" s="74">
        <f t="shared" si="20"/>
        <v>0</v>
      </c>
      <c r="AV23" s="75">
        <f t="shared" si="21"/>
        <v>0</v>
      </c>
      <c r="AW23" s="1423" t="e">
        <f t="shared" si="22"/>
        <v>#REF!</v>
      </c>
      <c r="AX23" s="1427">
        <f t="shared" si="22"/>
        <v>0</v>
      </c>
      <c r="AY23" s="1423" t="e">
        <f t="shared" si="23"/>
        <v>#REF!</v>
      </c>
      <c r="AZ23" s="1295">
        <f t="shared" si="24"/>
        <v>0</v>
      </c>
      <c r="BA23" s="71" t="e">
        <f t="shared" si="25"/>
        <v>#REF!</v>
      </c>
      <c r="BB23" s="71" t="e">
        <f t="shared" si="1"/>
        <v>#REF!</v>
      </c>
      <c r="BC23" s="73">
        <f t="shared" si="2"/>
        <v>0</v>
      </c>
      <c r="BD23" s="74">
        <f t="shared" si="2"/>
        <v>0</v>
      </c>
      <c r="BE23" s="75">
        <f>'Avg Bill by RS'!BD22</f>
        <v>2.9000000000000001E-2</v>
      </c>
    </row>
    <row r="24" spans="2:57" x14ac:dyDescent="0.2">
      <c r="B24" s="273">
        <v>8</v>
      </c>
      <c r="C24" s="720" t="s">
        <v>267</v>
      </c>
      <c r="D24" s="70">
        <f>'Rate Impacts - Rev Req ONLY'!D24</f>
        <v>392614.2804678994</v>
      </c>
      <c r="E24" s="71">
        <f>'Rate Impacts - Rev Req ONLY'!E24</f>
        <v>747266.28046789952</v>
      </c>
      <c r="F24" s="85" t="e">
        <f>SUM('Rev Req Proof Yr1'!AF25:AH25)</f>
        <v>#REF!</v>
      </c>
      <c r="G24" s="75">
        <f t="shared" si="26"/>
        <v>0</v>
      </c>
      <c r="H24" s="85" t="e">
        <f>SUM('Rev Req Proof Yr1'!AM25:AO25)</f>
        <v>#REF!</v>
      </c>
      <c r="I24" s="74">
        <f t="shared" si="3"/>
        <v>0</v>
      </c>
      <c r="J24" s="86" t="e">
        <f>SUM('Temps Proof'!W25:Y25)</f>
        <v>#REF!</v>
      </c>
      <c r="K24" s="74">
        <f t="shared" si="4"/>
        <v>0</v>
      </c>
      <c r="L24" s="74">
        <f t="shared" si="5"/>
        <v>0</v>
      </c>
      <c r="M24" s="86" t="e">
        <f>SUM('Temps Proof'!Y25:AA25)</f>
        <v>#REF!</v>
      </c>
      <c r="N24" s="74">
        <f t="shared" si="6"/>
        <v>0</v>
      </c>
      <c r="O24" s="75">
        <f t="shared" si="7"/>
        <v>0</v>
      </c>
      <c r="P24" s="1102" t="e">
        <f>SUM('Temps Proof'!AE25:AG25)</f>
        <v>#REF!</v>
      </c>
      <c r="Q24" s="74">
        <f t="shared" si="8"/>
        <v>0</v>
      </c>
      <c r="R24" s="75">
        <f t="shared" si="9"/>
        <v>0</v>
      </c>
      <c r="S24" s="1452" t="e">
        <f t="shared" si="10"/>
        <v>#REF!</v>
      </c>
      <c r="T24" s="1280">
        <f t="shared" si="11"/>
        <v>0</v>
      </c>
      <c r="U24" s="1281" t="e">
        <f t="shared" si="12"/>
        <v>#REF!</v>
      </c>
      <c r="V24" s="1282">
        <f t="shared" si="13"/>
        <v>0</v>
      </c>
      <c r="W24" s="71" t="e">
        <f t="shared" si="14"/>
        <v>#REF!</v>
      </c>
      <c r="X24" s="71" t="e">
        <f t="shared" si="15"/>
        <v>#REF!</v>
      </c>
      <c r="Y24" s="73">
        <f t="shared" si="0"/>
        <v>0</v>
      </c>
      <c r="Z24" s="74">
        <f t="shared" si="0"/>
        <v>0</v>
      </c>
      <c r="AA24" s="75">
        <f>'Avg Bill by RS'!AK25</f>
        <v>0.17599999999999999</v>
      </c>
      <c r="AB24" s="74"/>
      <c r="AC24" s="74"/>
      <c r="AD24" s="74"/>
      <c r="AE24" s="74"/>
      <c r="AF24" s="74"/>
      <c r="AG24" s="74"/>
      <c r="AH24" s="273">
        <v>8</v>
      </c>
      <c r="AI24" s="1196" t="s">
        <v>267</v>
      </c>
      <c r="AJ24" s="1016" t="e">
        <f>'Rate Impacts - Rev Req ONLY'!N24</f>
        <v>#REF!</v>
      </c>
      <c r="AK24" s="71" t="e">
        <f>'Rate Impacts - Rev Req ONLY'!O24</f>
        <v>#REF!</v>
      </c>
      <c r="AL24" s="85" t="e">
        <f>SUM('Rev Req Proof Yr2'!AF25:AH25)</f>
        <v>#REF!</v>
      </c>
      <c r="AM24" s="74">
        <f t="shared" si="27"/>
        <v>0</v>
      </c>
      <c r="AN24" s="86" t="e">
        <f>SUM('Temps Proof'!AI25:AK25)</f>
        <v>#REF!</v>
      </c>
      <c r="AO24" s="74">
        <f t="shared" si="16"/>
        <v>0</v>
      </c>
      <c r="AP24" s="75">
        <f t="shared" si="17"/>
        <v>0</v>
      </c>
      <c r="AQ24" s="86" t="e">
        <f>SUM('Temps Proof'!AM25:AO25)</f>
        <v>#REF!</v>
      </c>
      <c r="AR24" s="74">
        <f t="shared" si="18"/>
        <v>0</v>
      </c>
      <c r="AS24" s="75">
        <f t="shared" si="19"/>
        <v>0</v>
      </c>
      <c r="AT24" s="85" t="e">
        <f>SUM('Temps Proof'!AQ25:AS25)</f>
        <v>#REF!</v>
      </c>
      <c r="AU24" s="74">
        <f t="shared" si="20"/>
        <v>0</v>
      </c>
      <c r="AV24" s="75">
        <f t="shared" si="21"/>
        <v>0</v>
      </c>
      <c r="AW24" s="1423" t="e">
        <f t="shared" si="22"/>
        <v>#REF!</v>
      </c>
      <c r="AX24" s="1427">
        <f t="shared" si="22"/>
        <v>0</v>
      </c>
      <c r="AY24" s="1423" t="e">
        <f t="shared" si="23"/>
        <v>#REF!</v>
      </c>
      <c r="AZ24" s="1295">
        <f t="shared" si="24"/>
        <v>0</v>
      </c>
      <c r="BA24" s="71" t="e">
        <f t="shared" si="25"/>
        <v>#REF!</v>
      </c>
      <c r="BB24" s="71" t="e">
        <f t="shared" si="1"/>
        <v>#REF!</v>
      </c>
      <c r="BC24" s="73">
        <f t="shared" si="2"/>
        <v>0</v>
      </c>
      <c r="BD24" s="74">
        <f t="shared" si="2"/>
        <v>0</v>
      </c>
      <c r="BE24" s="75">
        <f>'Avg Bill by RS'!BD25</f>
        <v>8.9999999999999993E-3</v>
      </c>
    </row>
    <row r="25" spans="2:57" x14ac:dyDescent="0.2">
      <c r="B25" s="273">
        <v>9</v>
      </c>
      <c r="C25" s="720" t="s">
        <v>269</v>
      </c>
      <c r="D25" s="70">
        <f>'Rate Impacts - Rev Req ONLY'!D25</f>
        <v>0</v>
      </c>
      <c r="E25" s="71">
        <f>'Rate Impacts - Rev Req ONLY'!E25</f>
        <v>0</v>
      </c>
      <c r="F25" s="85" t="e">
        <f>SUM('Rev Req Proof Yr1'!AF28:AH28)</f>
        <v>#REF!</v>
      </c>
      <c r="G25" s="75">
        <f>IFERROR((F25/D25),0)</f>
        <v>0</v>
      </c>
      <c r="H25" s="85" t="e">
        <f>SUM('Rev Req Proof Yr1'!AM28:AO28)</f>
        <v>#REF!</v>
      </c>
      <c r="I25" s="74">
        <f t="shared" si="3"/>
        <v>0</v>
      </c>
      <c r="J25" s="86" t="e">
        <f>SUM('Temps Proof'!W28:Y28)</f>
        <v>#REF!</v>
      </c>
      <c r="K25" s="74">
        <f t="shared" si="4"/>
        <v>0</v>
      </c>
      <c r="L25" s="74">
        <f t="shared" si="5"/>
        <v>0</v>
      </c>
      <c r="M25" s="86" t="e">
        <f>SUM('Temps Proof'!Y28:AA28)</f>
        <v>#REF!</v>
      </c>
      <c r="N25" s="74">
        <f t="shared" si="6"/>
        <v>0</v>
      </c>
      <c r="O25" s="75">
        <f t="shared" si="7"/>
        <v>0</v>
      </c>
      <c r="P25" s="1102" t="e">
        <f>SUM('Temps Proof'!AE28:AG28)</f>
        <v>#REF!</v>
      </c>
      <c r="Q25" s="74">
        <f t="shared" si="8"/>
        <v>0</v>
      </c>
      <c r="R25" s="75">
        <f t="shared" si="9"/>
        <v>0</v>
      </c>
      <c r="S25" s="1452" t="e">
        <f t="shared" si="10"/>
        <v>#REF!</v>
      </c>
      <c r="T25" s="1280">
        <f t="shared" si="11"/>
        <v>0</v>
      </c>
      <c r="U25" s="1281" t="e">
        <f t="shared" si="12"/>
        <v>#REF!</v>
      </c>
      <c r="V25" s="1282">
        <f t="shared" si="13"/>
        <v>0</v>
      </c>
      <c r="W25" s="71" t="e">
        <f t="shared" si="14"/>
        <v>#REF!</v>
      </c>
      <c r="X25" s="71" t="e">
        <f t="shared" si="15"/>
        <v>#REF!</v>
      </c>
      <c r="Y25" s="73">
        <f t="shared" si="0"/>
        <v>0</v>
      </c>
      <c r="Z25" s="74">
        <f t="shared" si="0"/>
        <v>0</v>
      </c>
      <c r="AA25" s="75">
        <f>'Avg Bill by RS'!AK28</f>
        <v>0</v>
      </c>
      <c r="AB25" s="74"/>
      <c r="AC25" s="74"/>
      <c r="AD25" s="74"/>
      <c r="AE25" s="74"/>
      <c r="AF25" s="74"/>
      <c r="AG25" s="74"/>
      <c r="AH25" s="273">
        <v>9</v>
      </c>
      <c r="AI25" s="1196" t="s">
        <v>269</v>
      </c>
      <c r="AJ25" s="1016" t="e">
        <f>'Rate Impacts - Rev Req ONLY'!N25</f>
        <v>#REF!</v>
      </c>
      <c r="AK25" s="71" t="e">
        <f>'Rate Impacts - Rev Req ONLY'!O25</f>
        <v>#REF!</v>
      </c>
      <c r="AL25" s="85" t="e">
        <f>SUM('Rev Req Proof Yr2'!AF28:AH28)</f>
        <v>#REF!</v>
      </c>
      <c r="AM25" s="74">
        <f>IFERROR((AL25/AJ25),0)</f>
        <v>0</v>
      </c>
      <c r="AN25" s="86" t="e">
        <f>SUM('Temps Proof'!AI28:AK28)</f>
        <v>#REF!</v>
      </c>
      <c r="AO25" s="74">
        <f t="shared" si="16"/>
        <v>0</v>
      </c>
      <c r="AP25" s="75">
        <f t="shared" si="17"/>
        <v>0</v>
      </c>
      <c r="AQ25" s="86" t="e">
        <f>SUM('Temps Proof'!AM28:AO28)</f>
        <v>#REF!</v>
      </c>
      <c r="AR25" s="74">
        <f t="shared" si="18"/>
        <v>0</v>
      </c>
      <c r="AS25" s="75">
        <f t="shared" si="19"/>
        <v>0</v>
      </c>
      <c r="AT25" s="85" t="e">
        <f>SUM('Temps Proof'!AQ28:AS28)</f>
        <v>#REF!</v>
      </c>
      <c r="AU25" s="74">
        <f t="shared" si="20"/>
        <v>0</v>
      </c>
      <c r="AV25" s="75">
        <f t="shared" si="21"/>
        <v>0</v>
      </c>
      <c r="AW25" s="1423" t="e">
        <f t="shared" si="22"/>
        <v>#REF!</v>
      </c>
      <c r="AX25" s="1427">
        <f t="shared" si="22"/>
        <v>0</v>
      </c>
      <c r="AY25" s="1423" t="e">
        <f t="shared" si="23"/>
        <v>#REF!</v>
      </c>
      <c r="AZ25" s="1295">
        <f t="shared" si="24"/>
        <v>0</v>
      </c>
      <c r="BA25" s="71" t="e">
        <f t="shared" si="25"/>
        <v>#REF!</v>
      </c>
      <c r="BB25" s="71" t="e">
        <f t="shared" si="1"/>
        <v>#REF!</v>
      </c>
      <c r="BC25" s="73">
        <f t="shared" si="2"/>
        <v>0</v>
      </c>
      <c r="BD25" s="74">
        <f t="shared" si="2"/>
        <v>0</v>
      </c>
      <c r="BE25" s="75">
        <f>'Avg Bill by RS'!BD28</f>
        <v>0</v>
      </c>
    </row>
    <row r="26" spans="2:57" x14ac:dyDescent="0.2">
      <c r="B26" s="273">
        <v>10</v>
      </c>
      <c r="C26" s="720" t="s">
        <v>270</v>
      </c>
      <c r="D26" s="70">
        <f>'Rate Impacts - Rev Req ONLY'!D26</f>
        <v>0</v>
      </c>
      <c r="E26" s="71">
        <f>'Rate Impacts - Rev Req ONLY'!E26</f>
        <v>0</v>
      </c>
      <c r="F26" s="85" t="e">
        <f>SUM('Rev Req Proof Yr1'!AF31:AH31)</f>
        <v>#REF!</v>
      </c>
      <c r="G26" s="75">
        <f t="shared" si="26"/>
        <v>0</v>
      </c>
      <c r="H26" s="85" t="e">
        <f>SUM('Rev Req Proof Yr1'!AM31:AO31)</f>
        <v>#REF!</v>
      </c>
      <c r="I26" s="74">
        <f t="shared" si="3"/>
        <v>0</v>
      </c>
      <c r="J26" s="86" t="e">
        <f>SUM('Temps Proof'!W31:Y31)</f>
        <v>#REF!</v>
      </c>
      <c r="K26" s="74">
        <f t="shared" si="4"/>
        <v>0</v>
      </c>
      <c r="L26" s="74">
        <f t="shared" si="5"/>
        <v>0</v>
      </c>
      <c r="M26" s="86" t="e">
        <f>SUM('Temps Proof'!Y31:AA31)</f>
        <v>#REF!</v>
      </c>
      <c r="N26" s="74">
        <f t="shared" si="6"/>
        <v>0</v>
      </c>
      <c r="O26" s="75">
        <f t="shared" si="7"/>
        <v>0</v>
      </c>
      <c r="P26" s="1102" t="e">
        <f>SUM('Temps Proof'!AE31:AG31)</f>
        <v>#REF!</v>
      </c>
      <c r="Q26" s="74">
        <f t="shared" si="8"/>
        <v>0</v>
      </c>
      <c r="R26" s="75">
        <f t="shared" si="9"/>
        <v>0</v>
      </c>
      <c r="S26" s="1452" t="e">
        <f t="shared" si="10"/>
        <v>#REF!</v>
      </c>
      <c r="T26" s="1280">
        <f t="shared" si="11"/>
        <v>0</v>
      </c>
      <c r="U26" s="1281" t="e">
        <f t="shared" si="12"/>
        <v>#REF!</v>
      </c>
      <c r="V26" s="1282">
        <f t="shared" si="13"/>
        <v>0</v>
      </c>
      <c r="W26" s="71" t="e">
        <f t="shared" si="14"/>
        <v>#REF!</v>
      </c>
      <c r="X26" s="71" t="e">
        <f t="shared" si="15"/>
        <v>#REF!</v>
      </c>
      <c r="Y26" s="73">
        <f t="shared" si="0"/>
        <v>0</v>
      </c>
      <c r="Z26" s="74">
        <f t="shared" si="0"/>
        <v>0</v>
      </c>
      <c r="AA26" s="75">
        <f>'Avg Bill by RS'!AK31</f>
        <v>0</v>
      </c>
      <c r="AB26" s="74"/>
      <c r="AC26" s="74"/>
      <c r="AD26" s="74"/>
      <c r="AE26" s="74"/>
      <c r="AF26" s="74"/>
      <c r="AG26" s="74"/>
      <c r="AH26" s="273">
        <v>10</v>
      </c>
      <c r="AI26" s="1196" t="s">
        <v>270</v>
      </c>
      <c r="AJ26" s="1016" t="e">
        <f>'Rate Impacts - Rev Req ONLY'!N26</f>
        <v>#REF!</v>
      </c>
      <c r="AK26" s="71" t="e">
        <f>'Rate Impacts - Rev Req ONLY'!O26</f>
        <v>#REF!</v>
      </c>
      <c r="AL26" s="85" t="e">
        <f>SUM('Rev Req Proof Yr2'!AF31:AH31)</f>
        <v>#REF!</v>
      </c>
      <c r="AM26" s="74">
        <f t="shared" ref="AM26" si="28">IFERROR((AL26/AJ26),0)</f>
        <v>0</v>
      </c>
      <c r="AN26" s="86" t="e">
        <f>SUM('Temps Proof'!AI31:AK31)</f>
        <v>#REF!</v>
      </c>
      <c r="AO26" s="74">
        <f t="shared" si="16"/>
        <v>0</v>
      </c>
      <c r="AP26" s="75">
        <f t="shared" si="17"/>
        <v>0</v>
      </c>
      <c r="AQ26" s="86" t="e">
        <f>SUM('Temps Proof'!AM31:AO31)</f>
        <v>#REF!</v>
      </c>
      <c r="AR26" s="74">
        <f t="shared" si="18"/>
        <v>0</v>
      </c>
      <c r="AS26" s="75">
        <f t="shared" si="19"/>
        <v>0</v>
      </c>
      <c r="AT26" s="85" t="e">
        <f>SUM('Temps Proof'!AQ31:AS31)</f>
        <v>#REF!</v>
      </c>
      <c r="AU26" s="74">
        <f t="shared" si="20"/>
        <v>0</v>
      </c>
      <c r="AV26" s="75">
        <f t="shared" si="21"/>
        <v>0</v>
      </c>
      <c r="AW26" s="1423" t="e">
        <f t="shared" si="22"/>
        <v>#REF!</v>
      </c>
      <c r="AX26" s="1427">
        <f t="shared" si="22"/>
        <v>0</v>
      </c>
      <c r="AY26" s="1423" t="e">
        <f t="shared" si="23"/>
        <v>#REF!</v>
      </c>
      <c r="AZ26" s="1295">
        <f t="shared" si="24"/>
        <v>0</v>
      </c>
      <c r="BA26" s="71" t="e">
        <f t="shared" si="25"/>
        <v>#REF!</v>
      </c>
      <c r="BB26" s="71" t="e">
        <f t="shared" si="1"/>
        <v>#REF!</v>
      </c>
      <c r="BC26" s="73">
        <f t="shared" si="2"/>
        <v>0</v>
      </c>
      <c r="BD26" s="74">
        <f t="shared" si="2"/>
        <v>0</v>
      </c>
      <c r="BE26" s="75">
        <f>'Avg Bill by RS'!BD31</f>
        <v>0</v>
      </c>
    </row>
    <row r="27" spans="2:57" x14ac:dyDescent="0.2">
      <c r="B27" s="273">
        <v>11</v>
      </c>
      <c r="C27" s="720" t="s">
        <v>271</v>
      </c>
      <c r="D27" s="70">
        <f>'Rate Impacts - Rev Req ONLY'!D27</f>
        <v>189841.33809000003</v>
      </c>
      <c r="E27" s="71">
        <f>'Rate Impacts - Rev Req ONLY'!E27</f>
        <v>189841.33809000003</v>
      </c>
      <c r="F27" s="85" t="e">
        <f>SUM('Rev Req Proof Yr1'!AF34:AH34)</f>
        <v>#REF!</v>
      </c>
      <c r="G27" s="75">
        <f>IFERROR((F27/D27),0)</f>
        <v>0</v>
      </c>
      <c r="H27" s="85" t="e">
        <f>SUM('Rev Req Proof Yr1'!AM34:AO34)</f>
        <v>#REF!</v>
      </c>
      <c r="I27" s="74">
        <f t="shared" si="3"/>
        <v>0</v>
      </c>
      <c r="J27" s="86" t="e">
        <f>SUM('Temps Proof'!W34:Y34)</f>
        <v>#REF!</v>
      </c>
      <c r="K27" s="74">
        <f t="shared" si="4"/>
        <v>0</v>
      </c>
      <c r="L27" s="74">
        <f t="shared" si="5"/>
        <v>0</v>
      </c>
      <c r="M27" s="86" t="e">
        <f>SUM('Temps Proof'!Y34:AA34)</f>
        <v>#REF!</v>
      </c>
      <c r="N27" s="74">
        <f t="shared" si="6"/>
        <v>0</v>
      </c>
      <c r="O27" s="75">
        <f t="shared" si="7"/>
        <v>0</v>
      </c>
      <c r="P27" s="1102" t="e">
        <f>SUM('Temps Proof'!AE34:AG34)</f>
        <v>#REF!</v>
      </c>
      <c r="Q27" s="74">
        <f t="shared" si="8"/>
        <v>0</v>
      </c>
      <c r="R27" s="75">
        <f t="shared" si="9"/>
        <v>0</v>
      </c>
      <c r="S27" s="1452" t="e">
        <f t="shared" si="10"/>
        <v>#REF!</v>
      </c>
      <c r="T27" s="1280">
        <f t="shared" si="11"/>
        <v>0</v>
      </c>
      <c r="U27" s="1281" t="e">
        <f t="shared" si="12"/>
        <v>#REF!</v>
      </c>
      <c r="V27" s="1282">
        <f t="shared" si="13"/>
        <v>0</v>
      </c>
      <c r="W27" s="71" t="e">
        <f t="shared" si="14"/>
        <v>#REF!</v>
      </c>
      <c r="X27" s="71" t="e">
        <f t="shared" si="15"/>
        <v>#REF!</v>
      </c>
      <c r="Y27" s="73">
        <f t="shared" si="0"/>
        <v>0</v>
      </c>
      <c r="Z27" s="74">
        <f t="shared" si="0"/>
        <v>0</v>
      </c>
      <c r="AA27" s="75">
        <f>'Avg Bill by RS'!AK34</f>
        <v>4.5999999999999999E-2</v>
      </c>
      <c r="AB27" s="74"/>
      <c r="AC27" s="74"/>
      <c r="AD27" s="74"/>
      <c r="AE27" s="74"/>
      <c r="AF27" s="74"/>
      <c r="AG27" s="74"/>
      <c r="AH27" s="273">
        <v>11</v>
      </c>
      <c r="AI27" s="1196" t="s">
        <v>271</v>
      </c>
      <c r="AJ27" s="1016" t="e">
        <f>'Rate Impacts - Rev Req ONLY'!N27</f>
        <v>#REF!</v>
      </c>
      <c r="AK27" s="71" t="e">
        <f>'Rate Impacts - Rev Req ONLY'!O27</f>
        <v>#REF!</v>
      </c>
      <c r="AL27" s="85" t="e">
        <f>SUM('Rev Req Proof Yr2'!AF34:AH34)</f>
        <v>#REF!</v>
      </c>
      <c r="AM27" s="74">
        <f>IFERROR((AL27/AJ27),0)</f>
        <v>0</v>
      </c>
      <c r="AN27" s="86" t="e">
        <f>SUM('Temps Proof'!AI34:AK34)</f>
        <v>#REF!</v>
      </c>
      <c r="AO27" s="74">
        <f t="shared" si="16"/>
        <v>0</v>
      </c>
      <c r="AP27" s="75">
        <f t="shared" si="17"/>
        <v>0</v>
      </c>
      <c r="AQ27" s="86" t="e">
        <f>SUM('Temps Proof'!AM34:AO34)</f>
        <v>#REF!</v>
      </c>
      <c r="AR27" s="74">
        <f t="shared" si="18"/>
        <v>0</v>
      </c>
      <c r="AS27" s="75">
        <f t="shared" si="19"/>
        <v>0</v>
      </c>
      <c r="AT27" s="85" t="e">
        <f>SUM('Temps Proof'!AQ34:AS34)</f>
        <v>#REF!</v>
      </c>
      <c r="AU27" s="74">
        <f t="shared" si="20"/>
        <v>0</v>
      </c>
      <c r="AV27" s="75">
        <f t="shared" si="21"/>
        <v>0</v>
      </c>
      <c r="AW27" s="1423" t="e">
        <f t="shared" si="22"/>
        <v>#REF!</v>
      </c>
      <c r="AX27" s="1427">
        <f t="shared" si="22"/>
        <v>0</v>
      </c>
      <c r="AY27" s="1423" t="e">
        <f t="shared" si="23"/>
        <v>#REF!</v>
      </c>
      <c r="AZ27" s="1295">
        <f t="shared" si="24"/>
        <v>0</v>
      </c>
      <c r="BA27" s="71" t="e">
        <f t="shared" si="25"/>
        <v>#REF!</v>
      </c>
      <c r="BB27" s="71" t="e">
        <f t="shared" si="1"/>
        <v>#REF!</v>
      </c>
      <c r="BC27" s="73">
        <f t="shared" si="2"/>
        <v>0</v>
      </c>
      <c r="BD27" s="74">
        <f t="shared" si="2"/>
        <v>0</v>
      </c>
      <c r="BE27" s="75">
        <f>'Avg Bill by RS'!BD34</f>
        <v>1.7000000000000001E-2</v>
      </c>
    </row>
    <row r="28" spans="2:57" x14ac:dyDescent="0.2">
      <c r="B28" s="273">
        <v>12</v>
      </c>
      <c r="C28" s="720" t="s">
        <v>272</v>
      </c>
      <c r="D28" s="70">
        <f>'Rate Impacts - Rev Req ONLY'!D28</f>
        <v>0</v>
      </c>
      <c r="E28" s="71">
        <f>'Rate Impacts - Rev Req ONLY'!E28</f>
        <v>0</v>
      </c>
      <c r="F28" s="85" t="e">
        <f>SUM('Rev Req Proof Yr1'!AF37:AH37)</f>
        <v>#REF!</v>
      </c>
      <c r="G28" s="75">
        <f>IFERROR((F28/D28),0)</f>
        <v>0</v>
      </c>
      <c r="H28" s="85" t="e">
        <f>SUM('Rev Req Proof Yr1'!AM37:AO37)</f>
        <v>#REF!</v>
      </c>
      <c r="I28" s="74">
        <f t="shared" si="3"/>
        <v>0</v>
      </c>
      <c r="J28" s="86" t="e">
        <f>SUM('Temps Proof'!W37:Y37)</f>
        <v>#REF!</v>
      </c>
      <c r="K28" s="74">
        <f t="shared" si="4"/>
        <v>0</v>
      </c>
      <c r="L28" s="74">
        <f t="shared" si="5"/>
        <v>0</v>
      </c>
      <c r="M28" s="86" t="e">
        <f>SUM('Temps Proof'!Y37:AA37)</f>
        <v>#REF!</v>
      </c>
      <c r="N28" s="74">
        <f t="shared" si="6"/>
        <v>0</v>
      </c>
      <c r="O28" s="75">
        <f t="shared" si="7"/>
        <v>0</v>
      </c>
      <c r="P28" s="1102" t="e">
        <f>SUM('Temps Proof'!AE37:AG37)</f>
        <v>#REF!</v>
      </c>
      <c r="Q28" s="74">
        <f t="shared" si="8"/>
        <v>0</v>
      </c>
      <c r="R28" s="75">
        <f t="shared" si="9"/>
        <v>0</v>
      </c>
      <c r="S28" s="1452" t="e">
        <f t="shared" si="10"/>
        <v>#REF!</v>
      </c>
      <c r="T28" s="1280">
        <f t="shared" si="11"/>
        <v>0</v>
      </c>
      <c r="U28" s="1281" t="e">
        <f t="shared" si="12"/>
        <v>#REF!</v>
      </c>
      <c r="V28" s="1282">
        <f t="shared" si="13"/>
        <v>0</v>
      </c>
      <c r="W28" s="71" t="e">
        <f t="shared" si="14"/>
        <v>#REF!</v>
      </c>
      <c r="X28" s="71" t="e">
        <f t="shared" si="15"/>
        <v>#REF!</v>
      </c>
      <c r="Y28" s="73">
        <f t="shared" si="0"/>
        <v>0</v>
      </c>
      <c r="Z28" s="74">
        <f t="shared" si="0"/>
        <v>0</v>
      </c>
      <c r="AA28" s="75">
        <f>'Avg Bill by RS'!AK37</f>
        <v>0</v>
      </c>
      <c r="AB28" s="74"/>
      <c r="AC28" s="74"/>
      <c r="AD28" s="74"/>
      <c r="AE28" s="74"/>
      <c r="AF28" s="74"/>
      <c r="AG28" s="74"/>
      <c r="AH28" s="273">
        <v>12</v>
      </c>
      <c r="AI28" s="1196" t="s">
        <v>272</v>
      </c>
      <c r="AJ28" s="1016" t="e">
        <f>'Rate Impacts - Rev Req ONLY'!N28</f>
        <v>#REF!</v>
      </c>
      <c r="AK28" s="71" t="e">
        <f>'Rate Impacts - Rev Req ONLY'!O28</f>
        <v>#REF!</v>
      </c>
      <c r="AL28" s="85" t="e">
        <f>SUM('Rev Req Proof Yr2'!AF37:AH37)</f>
        <v>#REF!</v>
      </c>
      <c r="AM28" s="74">
        <f>IFERROR((AL28/AJ28),0)</f>
        <v>0</v>
      </c>
      <c r="AN28" s="86" t="e">
        <f>SUM('Temps Proof'!AI37:AK37)</f>
        <v>#REF!</v>
      </c>
      <c r="AO28" s="74">
        <f t="shared" si="16"/>
        <v>0</v>
      </c>
      <c r="AP28" s="75">
        <f t="shared" si="17"/>
        <v>0</v>
      </c>
      <c r="AQ28" s="86" t="e">
        <f>SUM('Temps Proof'!AM37:AO37)</f>
        <v>#REF!</v>
      </c>
      <c r="AR28" s="74">
        <f t="shared" si="18"/>
        <v>0</v>
      </c>
      <c r="AS28" s="75">
        <f t="shared" si="19"/>
        <v>0</v>
      </c>
      <c r="AT28" s="85" t="e">
        <f>SUM('Temps Proof'!AQ37:AS37)</f>
        <v>#REF!</v>
      </c>
      <c r="AU28" s="74">
        <f t="shared" si="20"/>
        <v>0</v>
      </c>
      <c r="AV28" s="75">
        <f t="shared" si="21"/>
        <v>0</v>
      </c>
      <c r="AW28" s="1423" t="e">
        <f t="shared" si="22"/>
        <v>#REF!</v>
      </c>
      <c r="AX28" s="1427">
        <f t="shared" si="22"/>
        <v>0</v>
      </c>
      <c r="AY28" s="1423" t="e">
        <f t="shared" si="23"/>
        <v>#REF!</v>
      </c>
      <c r="AZ28" s="1295">
        <f t="shared" si="24"/>
        <v>0</v>
      </c>
      <c r="BA28" s="71" t="e">
        <f t="shared" si="25"/>
        <v>#REF!</v>
      </c>
      <c r="BB28" s="71" t="e">
        <f t="shared" si="1"/>
        <v>#REF!</v>
      </c>
      <c r="BC28" s="73">
        <f t="shared" si="2"/>
        <v>0</v>
      </c>
      <c r="BD28" s="74">
        <f t="shared" si="2"/>
        <v>0</v>
      </c>
      <c r="BE28" s="75">
        <f>'Avg Bill by RS'!BD37</f>
        <v>0</v>
      </c>
    </row>
    <row r="29" spans="2:57" x14ac:dyDescent="0.2">
      <c r="B29" s="273">
        <v>13</v>
      </c>
      <c r="C29" s="720" t="s">
        <v>273</v>
      </c>
      <c r="D29" s="70">
        <f>'Rate Impacts - Rev Req ONLY'!D29</f>
        <v>219574.60083981926</v>
      </c>
      <c r="E29" s="71">
        <f>'Rate Impacts - Rev Req ONLY'!E29</f>
        <v>470188.60083981924</v>
      </c>
      <c r="F29" s="85" t="e">
        <f>SUM('Rev Req Proof Yr1'!AF44:AH44)</f>
        <v>#REF!</v>
      </c>
      <c r="G29" s="75">
        <f t="shared" si="26"/>
        <v>0</v>
      </c>
      <c r="H29" s="85" t="e">
        <f>SUM('Rev Req Proof Yr1'!AM44:AO44)</f>
        <v>#REF!</v>
      </c>
      <c r="I29" s="74">
        <f t="shared" si="3"/>
        <v>0</v>
      </c>
      <c r="J29" s="86" t="e">
        <f>SUM('Temps Proof'!W44:Y44)</f>
        <v>#REF!</v>
      </c>
      <c r="K29" s="74">
        <f t="shared" si="4"/>
        <v>0</v>
      </c>
      <c r="L29" s="74">
        <f t="shared" si="5"/>
        <v>0</v>
      </c>
      <c r="M29" s="86" t="e">
        <f>SUM('Temps Proof'!Y44:AA44)</f>
        <v>#REF!</v>
      </c>
      <c r="N29" s="74">
        <f t="shared" si="6"/>
        <v>0</v>
      </c>
      <c r="O29" s="75">
        <f t="shared" si="7"/>
        <v>0</v>
      </c>
      <c r="P29" s="1102" t="e">
        <f>SUM('Temps Proof'!AE44:AG44)</f>
        <v>#REF!</v>
      </c>
      <c r="Q29" s="74">
        <f t="shared" si="8"/>
        <v>0</v>
      </c>
      <c r="R29" s="75">
        <f t="shared" si="9"/>
        <v>0</v>
      </c>
      <c r="S29" s="1452" t="e">
        <f t="shared" si="10"/>
        <v>#REF!</v>
      </c>
      <c r="T29" s="1280">
        <f t="shared" si="11"/>
        <v>0</v>
      </c>
      <c r="U29" s="1281" t="e">
        <f t="shared" si="12"/>
        <v>#REF!</v>
      </c>
      <c r="V29" s="1282">
        <f t="shared" si="13"/>
        <v>0</v>
      </c>
      <c r="W29" s="71" t="e">
        <f t="shared" si="14"/>
        <v>#REF!</v>
      </c>
      <c r="X29" s="71" t="e">
        <f t="shared" si="15"/>
        <v>#REF!</v>
      </c>
      <c r="Y29" s="73">
        <f t="shared" si="0"/>
        <v>0</v>
      </c>
      <c r="Z29" s="74">
        <f t="shared" si="0"/>
        <v>0</v>
      </c>
      <c r="AA29" s="75">
        <f>'Avg Bill by RS'!AK44</f>
        <v>0.23499999999999999</v>
      </c>
      <c r="AB29" s="74"/>
      <c r="AC29" s="74"/>
      <c r="AD29" s="74"/>
      <c r="AE29" s="74"/>
      <c r="AF29" s="74"/>
      <c r="AG29" s="74"/>
      <c r="AH29" s="273">
        <v>13</v>
      </c>
      <c r="AI29" s="1196" t="s">
        <v>273</v>
      </c>
      <c r="AJ29" s="1016" t="e">
        <f>'Rate Impacts - Rev Req ONLY'!N29</f>
        <v>#REF!</v>
      </c>
      <c r="AK29" s="71" t="e">
        <f>'Rate Impacts - Rev Req ONLY'!O29</f>
        <v>#REF!</v>
      </c>
      <c r="AL29" s="85" t="e">
        <f>SUM('Rev Req Proof Yr2'!AF44:AH44)</f>
        <v>#REF!</v>
      </c>
      <c r="AM29" s="74">
        <f t="shared" ref="AM29:AM34" si="29">IFERROR((AL29/AJ29),0)</f>
        <v>0</v>
      </c>
      <c r="AN29" s="86" t="e">
        <f>SUM('Temps Proof'!AI44:AK44)</f>
        <v>#REF!</v>
      </c>
      <c r="AO29" s="74">
        <f t="shared" si="16"/>
        <v>0</v>
      </c>
      <c r="AP29" s="75">
        <f t="shared" si="17"/>
        <v>0</v>
      </c>
      <c r="AQ29" s="86" t="e">
        <f>SUM('Temps Proof'!AM44:AO44)</f>
        <v>#REF!</v>
      </c>
      <c r="AR29" s="74">
        <f t="shared" si="18"/>
        <v>0</v>
      </c>
      <c r="AS29" s="75">
        <f t="shared" si="19"/>
        <v>0</v>
      </c>
      <c r="AT29" s="85" t="e">
        <f>SUM('Temps Proof'!AQ44:AS44)</f>
        <v>#REF!</v>
      </c>
      <c r="AU29" s="74">
        <f t="shared" si="20"/>
        <v>0</v>
      </c>
      <c r="AV29" s="75">
        <f t="shared" si="21"/>
        <v>0</v>
      </c>
      <c r="AW29" s="1423" t="e">
        <f t="shared" si="22"/>
        <v>#REF!</v>
      </c>
      <c r="AX29" s="1427">
        <f t="shared" si="22"/>
        <v>0</v>
      </c>
      <c r="AY29" s="1423" t="e">
        <f t="shared" si="23"/>
        <v>#REF!</v>
      </c>
      <c r="AZ29" s="1295">
        <f t="shared" si="24"/>
        <v>0</v>
      </c>
      <c r="BA29" s="71" t="e">
        <f t="shared" si="25"/>
        <v>#REF!</v>
      </c>
      <c r="BB29" s="71" t="e">
        <f t="shared" si="1"/>
        <v>#REF!</v>
      </c>
      <c r="BC29" s="73">
        <f t="shared" si="2"/>
        <v>0</v>
      </c>
      <c r="BD29" s="74">
        <f t="shared" si="2"/>
        <v>0</v>
      </c>
      <c r="BE29" s="75">
        <f>'Avg Bill by RS'!BD44</f>
        <v>2.9000000000000001E-2</v>
      </c>
    </row>
    <row r="30" spans="2:57" x14ac:dyDescent="0.2">
      <c r="B30" s="273">
        <v>14</v>
      </c>
      <c r="C30" s="720" t="s">
        <v>274</v>
      </c>
      <c r="D30" s="70">
        <f>'Rate Impacts - Rev Req ONLY'!D30</f>
        <v>511672.37933789124</v>
      </c>
      <c r="E30" s="71">
        <f>'Rate Impacts - Rev Req ONLY'!E30</f>
        <v>1154958.3793378912</v>
      </c>
      <c r="F30" s="85" t="e">
        <f>SUM('Rev Req Proof Yr1'!AF51:AH51)</f>
        <v>#REF!</v>
      </c>
      <c r="G30" s="75">
        <f t="shared" si="26"/>
        <v>0</v>
      </c>
      <c r="H30" s="85" t="e">
        <f>SUM('Rev Req Proof Yr1'!AM51:AO51)</f>
        <v>#REF!</v>
      </c>
      <c r="I30" s="74">
        <f t="shared" si="3"/>
        <v>0</v>
      </c>
      <c r="J30" s="86" t="e">
        <f>SUM('Temps Proof'!W51:Y51)</f>
        <v>#REF!</v>
      </c>
      <c r="K30" s="74">
        <f t="shared" si="4"/>
        <v>0</v>
      </c>
      <c r="L30" s="74">
        <f t="shared" si="5"/>
        <v>0</v>
      </c>
      <c r="M30" s="86" t="e">
        <f>SUM('Temps Proof'!Y51:AA51)</f>
        <v>#REF!</v>
      </c>
      <c r="N30" s="74">
        <f t="shared" si="6"/>
        <v>0</v>
      </c>
      <c r="O30" s="75">
        <f t="shared" si="7"/>
        <v>0</v>
      </c>
      <c r="P30" s="1102" t="e">
        <f>SUM('Temps Proof'!AE51:AG51)</f>
        <v>#REF!</v>
      </c>
      <c r="Q30" s="74">
        <f t="shared" si="8"/>
        <v>0</v>
      </c>
      <c r="R30" s="75">
        <f t="shared" si="9"/>
        <v>0</v>
      </c>
      <c r="S30" s="1452" t="e">
        <f t="shared" si="10"/>
        <v>#REF!</v>
      </c>
      <c r="T30" s="1280">
        <f t="shared" si="11"/>
        <v>0</v>
      </c>
      <c r="U30" s="1281" t="e">
        <f t="shared" si="12"/>
        <v>#REF!</v>
      </c>
      <c r="V30" s="1282">
        <f t="shared" si="13"/>
        <v>0</v>
      </c>
      <c r="W30" s="71" t="e">
        <f t="shared" si="14"/>
        <v>#REF!</v>
      </c>
      <c r="X30" s="71" t="e">
        <f t="shared" si="15"/>
        <v>#REF!</v>
      </c>
      <c r="Y30" s="73">
        <f t="shared" si="0"/>
        <v>0</v>
      </c>
      <c r="Z30" s="74">
        <f t="shared" si="0"/>
        <v>0</v>
      </c>
      <c r="AA30" s="75">
        <f>'Avg Bill by RS'!AK51</f>
        <v>0.21299999999999999</v>
      </c>
      <c r="AB30" s="74"/>
      <c r="AC30" s="74"/>
      <c r="AD30" s="74"/>
      <c r="AE30" s="74"/>
      <c r="AF30" s="74"/>
      <c r="AG30" s="74"/>
      <c r="AH30" s="273">
        <v>14</v>
      </c>
      <c r="AI30" s="1196" t="s">
        <v>274</v>
      </c>
      <c r="AJ30" s="1016" t="e">
        <f>'Rate Impacts - Rev Req ONLY'!N30</f>
        <v>#REF!</v>
      </c>
      <c r="AK30" s="71" t="e">
        <f>'Rate Impacts - Rev Req ONLY'!O30</f>
        <v>#REF!</v>
      </c>
      <c r="AL30" s="85" t="e">
        <f>SUM('Rev Req Proof Yr2'!AF51:AH51)</f>
        <v>#REF!</v>
      </c>
      <c r="AM30" s="74">
        <f t="shared" si="29"/>
        <v>0</v>
      </c>
      <c r="AN30" s="86" t="e">
        <f>SUM('Temps Proof'!AI51:AK51)</f>
        <v>#REF!</v>
      </c>
      <c r="AO30" s="74">
        <f t="shared" si="16"/>
        <v>0</v>
      </c>
      <c r="AP30" s="75">
        <f t="shared" si="17"/>
        <v>0</v>
      </c>
      <c r="AQ30" s="86" t="e">
        <f>SUM('Temps Proof'!AM51:AO51)</f>
        <v>#REF!</v>
      </c>
      <c r="AR30" s="74">
        <f t="shared" si="18"/>
        <v>0</v>
      </c>
      <c r="AS30" s="75">
        <f t="shared" si="19"/>
        <v>0</v>
      </c>
      <c r="AT30" s="85" t="e">
        <f>SUM('Temps Proof'!AQ51:AS51)</f>
        <v>#REF!</v>
      </c>
      <c r="AU30" s="74">
        <f t="shared" si="20"/>
        <v>0</v>
      </c>
      <c r="AV30" s="75">
        <f t="shared" si="21"/>
        <v>0</v>
      </c>
      <c r="AW30" s="1423" t="e">
        <f t="shared" si="22"/>
        <v>#REF!</v>
      </c>
      <c r="AX30" s="1427">
        <f t="shared" si="22"/>
        <v>0</v>
      </c>
      <c r="AY30" s="1423" t="e">
        <f t="shared" si="23"/>
        <v>#REF!</v>
      </c>
      <c r="AZ30" s="1295">
        <f t="shared" si="24"/>
        <v>0</v>
      </c>
      <c r="BA30" s="71" t="e">
        <f t="shared" si="25"/>
        <v>#REF!</v>
      </c>
      <c r="BB30" s="71" t="e">
        <f t="shared" si="1"/>
        <v>#REF!</v>
      </c>
      <c r="BC30" s="73">
        <f t="shared" si="2"/>
        <v>0</v>
      </c>
      <c r="BD30" s="74">
        <f t="shared" si="2"/>
        <v>0</v>
      </c>
      <c r="BE30" s="75">
        <f>'Avg Bill by RS'!BD51</f>
        <v>8.0000000000000002E-3</v>
      </c>
    </row>
    <row r="31" spans="2:57" x14ac:dyDescent="0.2">
      <c r="B31" s="273">
        <v>15</v>
      </c>
      <c r="C31" s="720" t="s">
        <v>275</v>
      </c>
      <c r="D31" s="70">
        <f>'Rate Impacts - Rev Req ONLY'!D31</f>
        <v>360784.67333999998</v>
      </c>
      <c r="E31" s="71">
        <f>'Rate Impacts - Rev Req ONLY'!E31</f>
        <v>360784.67333999998</v>
      </c>
      <c r="F31" s="85" t="e">
        <f>SUM('Rev Req Proof Yr1'!AF58:AH58)</f>
        <v>#REF!</v>
      </c>
      <c r="G31" s="75">
        <f t="shared" si="26"/>
        <v>0</v>
      </c>
      <c r="H31" s="85" t="e">
        <f>SUM('Rev Req Proof Yr1'!AM58:AO58)</f>
        <v>#REF!</v>
      </c>
      <c r="I31" s="74">
        <f t="shared" si="3"/>
        <v>0</v>
      </c>
      <c r="J31" s="86" t="e">
        <f>SUM('Temps Proof'!W58:Y58)</f>
        <v>#REF!</v>
      </c>
      <c r="K31" s="74">
        <f t="shared" si="4"/>
        <v>0</v>
      </c>
      <c r="L31" s="74">
        <f t="shared" si="5"/>
        <v>0</v>
      </c>
      <c r="M31" s="545" t="e">
        <f>SUM('Temps Proof'!Y58:AA58)</f>
        <v>#REF!</v>
      </c>
      <c r="N31" s="74">
        <f t="shared" si="6"/>
        <v>0</v>
      </c>
      <c r="O31" s="75">
        <f t="shared" si="7"/>
        <v>0</v>
      </c>
      <c r="P31" s="1456" t="e">
        <f>SUM('Temps Proof'!AE58:AG58)</f>
        <v>#REF!</v>
      </c>
      <c r="Q31" s="74">
        <f t="shared" si="8"/>
        <v>0</v>
      </c>
      <c r="R31" s="75">
        <f t="shared" si="9"/>
        <v>0</v>
      </c>
      <c r="S31" s="1452" t="e">
        <f t="shared" si="10"/>
        <v>#REF!</v>
      </c>
      <c r="T31" s="1280">
        <f t="shared" si="11"/>
        <v>0</v>
      </c>
      <c r="U31" s="1281" t="e">
        <f t="shared" si="12"/>
        <v>#REF!</v>
      </c>
      <c r="V31" s="1282">
        <f t="shared" si="13"/>
        <v>0</v>
      </c>
      <c r="W31" s="71" t="e">
        <f t="shared" si="14"/>
        <v>#REF!</v>
      </c>
      <c r="X31" s="71" t="e">
        <f t="shared" si="15"/>
        <v>#REF!</v>
      </c>
      <c r="Y31" s="73">
        <f t="shared" si="0"/>
        <v>0</v>
      </c>
      <c r="Z31" s="74">
        <f t="shared" si="0"/>
        <v>0</v>
      </c>
      <c r="AA31" s="75">
        <f>'Avg Bill by RS'!AK58</f>
        <v>6.3E-2</v>
      </c>
      <c r="AB31" s="74"/>
      <c r="AC31" s="74"/>
      <c r="AD31" s="74"/>
      <c r="AE31" s="74"/>
      <c r="AF31" s="74"/>
      <c r="AG31" s="74"/>
      <c r="AH31" s="273">
        <v>15</v>
      </c>
      <c r="AI31" s="1196" t="s">
        <v>275</v>
      </c>
      <c r="AJ31" s="1016" t="e">
        <f>'Rate Impacts - Rev Req ONLY'!N31</f>
        <v>#REF!</v>
      </c>
      <c r="AK31" s="71" t="e">
        <f>'Rate Impacts - Rev Req ONLY'!O31</f>
        <v>#REF!</v>
      </c>
      <c r="AL31" s="85" t="e">
        <f>SUM('Rev Req Proof Yr2'!AF58:AH58)</f>
        <v>#REF!</v>
      </c>
      <c r="AM31" s="74">
        <f t="shared" si="29"/>
        <v>0</v>
      </c>
      <c r="AN31" s="86" t="e">
        <f>SUM('Temps Proof'!AI58:AK58)</f>
        <v>#REF!</v>
      </c>
      <c r="AO31" s="74">
        <f t="shared" si="16"/>
        <v>0</v>
      </c>
      <c r="AP31" s="75">
        <f t="shared" si="17"/>
        <v>0</v>
      </c>
      <c r="AQ31" s="86" t="e">
        <f>SUM('Temps Proof'!AM58:AO58)</f>
        <v>#REF!</v>
      </c>
      <c r="AR31" s="74">
        <f t="shared" si="18"/>
        <v>0</v>
      </c>
      <c r="AS31" s="75">
        <f t="shared" si="19"/>
        <v>0</v>
      </c>
      <c r="AT31" s="85" t="e">
        <f>SUM('Temps Proof'!AQ58:AS58)</f>
        <v>#REF!</v>
      </c>
      <c r="AU31" s="74">
        <f t="shared" si="20"/>
        <v>0</v>
      </c>
      <c r="AV31" s="75">
        <f t="shared" si="21"/>
        <v>0</v>
      </c>
      <c r="AW31" s="1423" t="e">
        <f t="shared" si="22"/>
        <v>#REF!</v>
      </c>
      <c r="AX31" s="1427">
        <f t="shared" si="22"/>
        <v>0</v>
      </c>
      <c r="AY31" s="1423" t="e">
        <f t="shared" si="23"/>
        <v>#REF!</v>
      </c>
      <c r="AZ31" s="1295">
        <f t="shared" si="24"/>
        <v>0</v>
      </c>
      <c r="BA31" s="71" t="e">
        <f t="shared" si="25"/>
        <v>#REF!</v>
      </c>
      <c r="BB31" s="71" t="e">
        <f t="shared" si="1"/>
        <v>#REF!</v>
      </c>
      <c r="BC31" s="73">
        <f t="shared" si="2"/>
        <v>0</v>
      </c>
      <c r="BD31" s="74">
        <f t="shared" si="2"/>
        <v>0</v>
      </c>
      <c r="BE31" s="75">
        <f>'Avg Bill by RS'!BD58</f>
        <v>2.8000000000000001E-2</v>
      </c>
    </row>
    <row r="32" spans="2:57" x14ac:dyDescent="0.2">
      <c r="B32" s="273">
        <v>16</v>
      </c>
      <c r="C32" s="720" t="s">
        <v>276</v>
      </c>
      <c r="D32" s="70">
        <f>'Rate Impacts - Rev Req ONLY'!D32</f>
        <v>823615.79209999996</v>
      </c>
      <c r="E32" s="71">
        <f>'Rate Impacts - Rev Req ONLY'!E32</f>
        <v>823615.79209999996</v>
      </c>
      <c r="F32" s="85" t="e">
        <f>SUM('Rev Req Proof Yr1'!AF65:AH65)</f>
        <v>#REF!</v>
      </c>
      <c r="G32" s="75">
        <f t="shared" si="26"/>
        <v>0</v>
      </c>
      <c r="H32" s="85" t="e">
        <f>SUM('Rev Req Proof Yr1'!AM65:AO65)</f>
        <v>#REF!</v>
      </c>
      <c r="I32" s="74">
        <f t="shared" si="3"/>
        <v>0</v>
      </c>
      <c r="J32" s="86" t="e">
        <f>SUM('Temps Proof'!W65:Y65)</f>
        <v>#REF!</v>
      </c>
      <c r="K32" s="74">
        <f t="shared" si="4"/>
        <v>0</v>
      </c>
      <c r="L32" s="74">
        <f t="shared" si="5"/>
        <v>0</v>
      </c>
      <c r="M32" s="86" t="e">
        <f>SUM('Temps Proof'!Y65:AA65)</f>
        <v>#REF!</v>
      </c>
      <c r="N32" s="74">
        <f t="shared" si="6"/>
        <v>0</v>
      </c>
      <c r="O32" s="75">
        <f t="shared" si="7"/>
        <v>0</v>
      </c>
      <c r="P32" s="1102" t="e">
        <f>SUM('Temps Proof'!AE65:AG65)</f>
        <v>#REF!</v>
      </c>
      <c r="Q32" s="74">
        <f t="shared" si="8"/>
        <v>0</v>
      </c>
      <c r="R32" s="75">
        <f t="shared" si="9"/>
        <v>0</v>
      </c>
      <c r="S32" s="1452" t="e">
        <f t="shared" si="10"/>
        <v>#REF!</v>
      </c>
      <c r="T32" s="1280">
        <f t="shared" si="11"/>
        <v>0</v>
      </c>
      <c r="U32" s="1281" t="e">
        <f t="shared" si="12"/>
        <v>#REF!</v>
      </c>
      <c r="V32" s="1282">
        <f t="shared" si="13"/>
        <v>0</v>
      </c>
      <c r="W32" s="71" t="e">
        <f t="shared" si="14"/>
        <v>#REF!</v>
      </c>
      <c r="X32" s="71" t="e">
        <f t="shared" si="15"/>
        <v>#REF!</v>
      </c>
      <c r="Y32" s="73">
        <f t="shared" si="0"/>
        <v>0</v>
      </c>
      <c r="Z32" s="74">
        <f t="shared" si="0"/>
        <v>0</v>
      </c>
      <c r="AA32" s="75">
        <f>'Avg Bill by RS'!AK65</f>
        <v>5.0999999999999997E-2</v>
      </c>
      <c r="AB32" s="74"/>
      <c r="AC32" s="74"/>
      <c r="AD32" s="74"/>
      <c r="AE32" s="74"/>
      <c r="AF32" s="74"/>
      <c r="AG32" s="74"/>
      <c r="AH32" s="273">
        <v>16</v>
      </c>
      <c r="AI32" s="1196" t="s">
        <v>276</v>
      </c>
      <c r="AJ32" s="1016" t="e">
        <f>'Rate Impacts - Rev Req ONLY'!N32</f>
        <v>#REF!</v>
      </c>
      <c r="AK32" s="71" t="e">
        <f>'Rate Impacts - Rev Req ONLY'!O32</f>
        <v>#REF!</v>
      </c>
      <c r="AL32" s="85" t="e">
        <f>SUM('Rev Req Proof Yr2'!AF65:AH65)</f>
        <v>#REF!</v>
      </c>
      <c r="AM32" s="74">
        <f t="shared" si="29"/>
        <v>0</v>
      </c>
      <c r="AN32" s="86" t="e">
        <f>SUM('Temps Proof'!AI65:AK65)</f>
        <v>#REF!</v>
      </c>
      <c r="AO32" s="74">
        <f t="shared" si="16"/>
        <v>0</v>
      </c>
      <c r="AP32" s="75">
        <f t="shared" si="17"/>
        <v>0</v>
      </c>
      <c r="AQ32" s="86" t="e">
        <f>SUM('Temps Proof'!AM65:AO65)</f>
        <v>#REF!</v>
      </c>
      <c r="AR32" s="74">
        <f t="shared" si="18"/>
        <v>0</v>
      </c>
      <c r="AS32" s="75">
        <f t="shared" si="19"/>
        <v>0</v>
      </c>
      <c r="AT32" s="85" t="e">
        <f>SUM('Temps Proof'!AQ65:AS65)</f>
        <v>#REF!</v>
      </c>
      <c r="AU32" s="74">
        <f t="shared" si="20"/>
        <v>0</v>
      </c>
      <c r="AV32" s="75">
        <f t="shared" si="21"/>
        <v>0</v>
      </c>
      <c r="AW32" s="1423" t="e">
        <f t="shared" si="22"/>
        <v>#REF!</v>
      </c>
      <c r="AX32" s="1427">
        <f t="shared" si="22"/>
        <v>0</v>
      </c>
      <c r="AY32" s="1423" t="e">
        <f t="shared" si="23"/>
        <v>#REF!</v>
      </c>
      <c r="AZ32" s="1295">
        <f t="shared" si="24"/>
        <v>0</v>
      </c>
      <c r="BA32" s="71" t="e">
        <f t="shared" si="25"/>
        <v>#REF!</v>
      </c>
      <c r="BB32" s="71" t="e">
        <f t="shared" si="1"/>
        <v>#REF!</v>
      </c>
      <c r="BC32" s="73">
        <f t="shared" si="2"/>
        <v>0</v>
      </c>
      <c r="BD32" s="74">
        <f t="shared" si="2"/>
        <v>0</v>
      </c>
      <c r="BE32" s="75">
        <f>'Avg Bill by RS'!BD65</f>
        <v>1.7999999999999999E-2</v>
      </c>
    </row>
    <row r="33" spans="1:57" x14ac:dyDescent="0.2">
      <c r="B33" s="273">
        <v>17</v>
      </c>
      <c r="C33" s="720" t="s">
        <v>277</v>
      </c>
      <c r="D33" s="70">
        <f>'Rate Impacts - Rev Req ONLY'!D33</f>
        <v>160512.61187958997</v>
      </c>
      <c r="E33" s="71">
        <f>'Rate Impacts - Rev Req ONLY'!E33</f>
        <v>430728.61187958985</v>
      </c>
      <c r="F33" s="85" t="e">
        <f>SUM('Rev Req Proof Yr1'!AF72:AH72)</f>
        <v>#REF!</v>
      </c>
      <c r="G33" s="75">
        <f t="shared" si="26"/>
        <v>0</v>
      </c>
      <c r="H33" s="85" t="e">
        <f>SUM('Rev Req Proof Yr1'!AM72:AO72)</f>
        <v>#REF!</v>
      </c>
      <c r="I33" s="74">
        <f t="shared" si="3"/>
        <v>0</v>
      </c>
      <c r="J33" s="86" t="e">
        <f>SUM('Temps Proof'!W72:Y72)</f>
        <v>#REF!</v>
      </c>
      <c r="K33" s="74">
        <f t="shared" si="4"/>
        <v>0</v>
      </c>
      <c r="L33" s="74">
        <f t="shared" si="5"/>
        <v>0</v>
      </c>
      <c r="M33" s="86" t="e">
        <f>SUM('Temps Proof'!Y72:AA72)</f>
        <v>#REF!</v>
      </c>
      <c r="N33" s="74">
        <f t="shared" si="6"/>
        <v>0</v>
      </c>
      <c r="O33" s="75">
        <f t="shared" si="7"/>
        <v>0</v>
      </c>
      <c r="P33" s="1102" t="e">
        <f>SUM('Temps Proof'!AE72:AG72)</f>
        <v>#REF!</v>
      </c>
      <c r="Q33" s="74">
        <f t="shared" si="8"/>
        <v>0</v>
      </c>
      <c r="R33" s="75">
        <f t="shared" si="9"/>
        <v>0</v>
      </c>
      <c r="S33" s="1452" t="e">
        <f t="shared" si="10"/>
        <v>#REF!</v>
      </c>
      <c r="T33" s="1280">
        <f t="shared" si="11"/>
        <v>0</v>
      </c>
      <c r="U33" s="1281" t="e">
        <f t="shared" si="12"/>
        <v>#REF!</v>
      </c>
      <c r="V33" s="1282">
        <f t="shared" si="13"/>
        <v>0</v>
      </c>
      <c r="W33" s="71" t="e">
        <f t="shared" si="14"/>
        <v>#REF!</v>
      </c>
      <c r="X33" s="71" t="e">
        <f t="shared" si="15"/>
        <v>#REF!</v>
      </c>
      <c r="Y33" s="73">
        <f t="shared" si="0"/>
        <v>0</v>
      </c>
      <c r="Z33" s="74">
        <f t="shared" si="0"/>
        <v>0</v>
      </c>
      <c r="AA33" s="75">
        <f>'Avg Bill by RS'!AK72</f>
        <v>0.316</v>
      </c>
      <c r="AB33" s="74"/>
      <c r="AC33" s="74"/>
      <c r="AD33" s="74"/>
      <c r="AE33" s="74"/>
      <c r="AF33" s="74"/>
      <c r="AG33" s="74"/>
      <c r="AH33" s="273">
        <v>17</v>
      </c>
      <c r="AI33" s="1196" t="s">
        <v>277</v>
      </c>
      <c r="AJ33" s="1016" t="e">
        <f>'Rate Impacts - Rev Req ONLY'!N33</f>
        <v>#REF!</v>
      </c>
      <c r="AK33" s="71" t="e">
        <f>'Rate Impacts - Rev Req ONLY'!O33</f>
        <v>#REF!</v>
      </c>
      <c r="AL33" s="85" t="e">
        <f>SUM('Rev Req Proof Yr2'!AF72:AH72)</f>
        <v>#REF!</v>
      </c>
      <c r="AM33" s="74">
        <f t="shared" si="29"/>
        <v>0</v>
      </c>
      <c r="AN33" s="86" t="e">
        <f>SUM('Temps Proof'!AI72:AK72)</f>
        <v>#REF!</v>
      </c>
      <c r="AO33" s="74">
        <f t="shared" si="16"/>
        <v>0</v>
      </c>
      <c r="AP33" s="75">
        <f t="shared" si="17"/>
        <v>0</v>
      </c>
      <c r="AQ33" s="86" t="e">
        <f>SUM('Temps Proof'!AM72:AO72)</f>
        <v>#REF!</v>
      </c>
      <c r="AR33" s="74">
        <f t="shared" si="18"/>
        <v>0</v>
      </c>
      <c r="AS33" s="75">
        <f t="shared" si="19"/>
        <v>0</v>
      </c>
      <c r="AT33" s="85" t="e">
        <f>SUM('Temps Proof'!AQ72:AS72)</f>
        <v>#REF!</v>
      </c>
      <c r="AU33" s="74">
        <f t="shared" si="20"/>
        <v>0</v>
      </c>
      <c r="AV33" s="75">
        <f t="shared" si="21"/>
        <v>0</v>
      </c>
      <c r="AW33" s="1423" t="e">
        <f t="shared" si="22"/>
        <v>#REF!</v>
      </c>
      <c r="AX33" s="1427">
        <f t="shared" si="22"/>
        <v>0</v>
      </c>
      <c r="AY33" s="1423" t="e">
        <f t="shared" si="23"/>
        <v>#REF!</v>
      </c>
      <c r="AZ33" s="1295">
        <f t="shared" si="24"/>
        <v>0</v>
      </c>
      <c r="BA33" s="71" t="e">
        <f t="shared" si="25"/>
        <v>#REF!</v>
      </c>
      <c r="BB33" s="71" t="e">
        <f t="shared" si="1"/>
        <v>#REF!</v>
      </c>
      <c r="BC33" s="73">
        <f t="shared" si="2"/>
        <v>0</v>
      </c>
      <c r="BD33" s="74">
        <f t="shared" si="2"/>
        <v>0</v>
      </c>
      <c r="BE33" s="75">
        <f>'Avg Bill by RS'!BD72</f>
        <v>1.7999999999999999E-2</v>
      </c>
    </row>
    <row r="34" spans="1:57" x14ac:dyDescent="0.2">
      <c r="B34" s="273">
        <v>18</v>
      </c>
      <c r="C34" s="720" t="s">
        <v>278</v>
      </c>
      <c r="D34" s="70">
        <f>'Rate Impacts - Rev Req ONLY'!D34</f>
        <v>81130.03459599179</v>
      </c>
      <c r="E34" s="71">
        <f>'Rate Impacts - Rev Req ONLY'!E34</f>
        <v>171731.03459599178</v>
      </c>
      <c r="F34" s="85" t="e">
        <f>SUM('Rev Req Proof Yr1'!AF79:AH79)</f>
        <v>#REF!</v>
      </c>
      <c r="G34" s="75">
        <f t="shared" si="26"/>
        <v>0</v>
      </c>
      <c r="H34" s="85" t="e">
        <f>SUM('Rev Req Proof Yr1'!AM79:AO79)</f>
        <v>#REF!</v>
      </c>
      <c r="I34" s="74">
        <f t="shared" si="3"/>
        <v>0</v>
      </c>
      <c r="J34" s="86" t="e">
        <f>SUM('Temps Proof'!W79:Y79)</f>
        <v>#REF!</v>
      </c>
      <c r="K34" s="74">
        <f t="shared" si="4"/>
        <v>0</v>
      </c>
      <c r="L34" s="74">
        <f t="shared" si="5"/>
        <v>0</v>
      </c>
      <c r="M34" s="86" t="e">
        <f>SUM('Temps Proof'!Y79:AA79)</f>
        <v>#REF!</v>
      </c>
      <c r="N34" s="74">
        <f t="shared" si="6"/>
        <v>0</v>
      </c>
      <c r="O34" s="75">
        <f t="shared" si="7"/>
        <v>0</v>
      </c>
      <c r="P34" s="1102" t="e">
        <f>SUM('Temps Proof'!AE79:AG79)</f>
        <v>#REF!</v>
      </c>
      <c r="Q34" s="74">
        <f t="shared" si="8"/>
        <v>0</v>
      </c>
      <c r="R34" s="75">
        <f t="shared" si="9"/>
        <v>0</v>
      </c>
      <c r="S34" s="1452" t="e">
        <f t="shared" si="10"/>
        <v>#REF!</v>
      </c>
      <c r="T34" s="1280">
        <f t="shared" si="11"/>
        <v>0</v>
      </c>
      <c r="U34" s="1281" t="e">
        <f t="shared" si="12"/>
        <v>#REF!</v>
      </c>
      <c r="V34" s="1282">
        <f t="shared" si="13"/>
        <v>0</v>
      </c>
      <c r="W34" s="71" t="e">
        <f t="shared" si="14"/>
        <v>#REF!</v>
      </c>
      <c r="X34" s="71" t="e">
        <f t="shared" si="15"/>
        <v>#REF!</v>
      </c>
      <c r="Y34" s="73">
        <f t="shared" si="0"/>
        <v>0</v>
      </c>
      <c r="Z34" s="74">
        <f t="shared" si="0"/>
        <v>0</v>
      </c>
      <c r="AA34" s="75">
        <f>'Avg Bill by RS'!AK79</f>
        <v>0.26100000000000001</v>
      </c>
      <c r="AB34" s="74"/>
      <c r="AC34" s="74"/>
      <c r="AD34" s="74"/>
      <c r="AE34" s="74"/>
      <c r="AF34" s="74"/>
      <c r="AG34" s="74"/>
      <c r="AH34" s="273">
        <v>18</v>
      </c>
      <c r="AI34" s="1196" t="s">
        <v>278</v>
      </c>
      <c r="AJ34" s="1016" t="e">
        <f>'Rate Impacts - Rev Req ONLY'!N34</f>
        <v>#REF!</v>
      </c>
      <c r="AK34" s="71" t="e">
        <f>'Rate Impacts - Rev Req ONLY'!O34</f>
        <v>#REF!</v>
      </c>
      <c r="AL34" s="85" t="e">
        <f>SUM('Rev Req Proof Yr2'!AF79:AH79)</f>
        <v>#REF!</v>
      </c>
      <c r="AM34" s="74">
        <f t="shared" si="29"/>
        <v>0</v>
      </c>
      <c r="AN34" s="86" t="e">
        <f>SUM('Temps Proof'!AI79:AK79)</f>
        <v>#REF!</v>
      </c>
      <c r="AO34" s="74">
        <f t="shared" si="16"/>
        <v>0</v>
      </c>
      <c r="AP34" s="75">
        <f t="shared" si="17"/>
        <v>0</v>
      </c>
      <c r="AQ34" s="86" t="e">
        <f>SUM('Temps Proof'!AM79:AO79)</f>
        <v>#REF!</v>
      </c>
      <c r="AR34" s="74">
        <f t="shared" si="18"/>
        <v>0</v>
      </c>
      <c r="AS34" s="75">
        <f t="shared" si="19"/>
        <v>0</v>
      </c>
      <c r="AT34" s="85" t="e">
        <f>SUM('Temps Proof'!AQ79:AS79)</f>
        <v>#REF!</v>
      </c>
      <c r="AU34" s="74">
        <f t="shared" si="20"/>
        <v>0</v>
      </c>
      <c r="AV34" s="75">
        <f t="shared" si="21"/>
        <v>0</v>
      </c>
      <c r="AW34" s="1423" t="e">
        <f t="shared" si="22"/>
        <v>#REF!</v>
      </c>
      <c r="AX34" s="1427">
        <f t="shared" si="22"/>
        <v>0</v>
      </c>
      <c r="AY34" s="1423" t="e">
        <f t="shared" si="23"/>
        <v>#REF!</v>
      </c>
      <c r="AZ34" s="1295">
        <f t="shared" si="24"/>
        <v>0</v>
      </c>
      <c r="BA34" s="71" t="e">
        <f t="shared" si="25"/>
        <v>#REF!</v>
      </c>
      <c r="BB34" s="71" t="e">
        <f t="shared" si="1"/>
        <v>#REF!</v>
      </c>
      <c r="BC34" s="73">
        <f t="shared" si="2"/>
        <v>0</v>
      </c>
      <c r="BD34" s="74">
        <f t="shared" si="2"/>
        <v>0</v>
      </c>
      <c r="BE34" s="75">
        <f>'Avg Bill by RS'!BD79</f>
        <v>7.0000000000000001E-3</v>
      </c>
    </row>
    <row r="35" spans="1:57" x14ac:dyDescent="0.2">
      <c r="B35" s="273">
        <v>19</v>
      </c>
      <c r="C35" s="720" t="s">
        <v>280</v>
      </c>
      <c r="D35" s="70">
        <f>'Rate Impacts - Rev Req ONLY'!D35</f>
        <v>0</v>
      </c>
      <c r="E35" s="71">
        <f>'Rate Impacts - Rev Req ONLY'!E35</f>
        <v>0</v>
      </c>
      <c r="F35" s="85" t="e">
        <f>SUM('Rev Req Proof Yr1'!AF86:AH86)</f>
        <v>#REF!</v>
      </c>
      <c r="G35" s="75">
        <f>IFERROR((F35/D35),0)</f>
        <v>0</v>
      </c>
      <c r="H35" s="85" t="e">
        <f>SUM('Rev Req Proof Yr1'!AM86:AO86)</f>
        <v>#REF!</v>
      </c>
      <c r="I35" s="74">
        <f t="shared" si="3"/>
        <v>0</v>
      </c>
      <c r="J35" s="86" t="e">
        <f>SUM('Temps Proof'!W86:Y86)</f>
        <v>#REF!</v>
      </c>
      <c r="K35" s="74">
        <f t="shared" si="4"/>
        <v>0</v>
      </c>
      <c r="L35" s="74">
        <f t="shared" si="5"/>
        <v>0</v>
      </c>
      <c r="M35" s="86" t="e">
        <f>SUM('Temps Proof'!Y86:AA86)</f>
        <v>#REF!</v>
      </c>
      <c r="N35" s="74">
        <f t="shared" si="6"/>
        <v>0</v>
      </c>
      <c r="O35" s="75">
        <f t="shared" si="7"/>
        <v>0</v>
      </c>
      <c r="P35" s="1102" t="e">
        <f>SUM('Temps Proof'!AE86:AG86)</f>
        <v>#REF!</v>
      </c>
      <c r="Q35" s="74">
        <f t="shared" si="8"/>
        <v>0</v>
      </c>
      <c r="R35" s="75">
        <f t="shared" si="9"/>
        <v>0</v>
      </c>
      <c r="S35" s="1452" t="e">
        <f t="shared" si="10"/>
        <v>#REF!</v>
      </c>
      <c r="T35" s="1280">
        <f t="shared" si="11"/>
        <v>0</v>
      </c>
      <c r="U35" s="1281" t="e">
        <f t="shared" si="12"/>
        <v>#REF!</v>
      </c>
      <c r="V35" s="1282">
        <f t="shared" si="13"/>
        <v>0</v>
      </c>
      <c r="W35" s="71" t="e">
        <f t="shared" si="14"/>
        <v>#REF!</v>
      </c>
      <c r="X35" s="71" t="e">
        <f t="shared" si="15"/>
        <v>#REF!</v>
      </c>
      <c r="Y35" s="73">
        <f t="shared" si="0"/>
        <v>0</v>
      </c>
      <c r="Z35" s="74">
        <f t="shared" si="0"/>
        <v>0</v>
      </c>
      <c r="AA35" s="75">
        <f>'Avg Bill by RS'!AK86</f>
        <v>0</v>
      </c>
      <c r="AB35" s="74"/>
      <c r="AC35" s="74"/>
      <c r="AD35" s="74"/>
      <c r="AE35" s="74"/>
      <c r="AF35" s="74"/>
      <c r="AG35" s="74"/>
      <c r="AH35" s="273">
        <v>19</v>
      </c>
      <c r="AI35" s="1196" t="s">
        <v>280</v>
      </c>
      <c r="AJ35" s="1016" t="e">
        <f>'Rate Impacts - Rev Req ONLY'!N35</f>
        <v>#REF!</v>
      </c>
      <c r="AK35" s="71" t="e">
        <f>'Rate Impacts - Rev Req ONLY'!O35</f>
        <v>#REF!</v>
      </c>
      <c r="AL35" s="85" t="e">
        <f>SUM('Rev Req Proof Yr2'!AF86:AH86)</f>
        <v>#REF!</v>
      </c>
      <c r="AM35" s="74">
        <f>IFERROR((AL35/AJ35),0)</f>
        <v>0</v>
      </c>
      <c r="AN35" s="86" t="e">
        <f>SUM('Temps Proof'!AI86:AK86)</f>
        <v>#REF!</v>
      </c>
      <c r="AO35" s="74">
        <f t="shared" si="16"/>
        <v>0</v>
      </c>
      <c r="AP35" s="75">
        <f t="shared" si="17"/>
        <v>0</v>
      </c>
      <c r="AQ35" s="86" t="e">
        <f>SUM('Temps Proof'!AM86:AO86)</f>
        <v>#REF!</v>
      </c>
      <c r="AR35" s="74">
        <f t="shared" si="18"/>
        <v>0</v>
      </c>
      <c r="AS35" s="75">
        <f t="shared" si="19"/>
        <v>0</v>
      </c>
      <c r="AT35" s="85" t="e">
        <f>SUM('Temps Proof'!AQ86:AS86)</f>
        <v>#REF!</v>
      </c>
      <c r="AU35" s="74">
        <f t="shared" si="20"/>
        <v>0</v>
      </c>
      <c r="AV35" s="75">
        <f t="shared" si="21"/>
        <v>0</v>
      </c>
      <c r="AW35" s="1423" t="e">
        <f t="shared" si="22"/>
        <v>#REF!</v>
      </c>
      <c r="AX35" s="1427">
        <f t="shared" si="22"/>
        <v>0</v>
      </c>
      <c r="AY35" s="1423" t="e">
        <f t="shared" si="23"/>
        <v>#REF!</v>
      </c>
      <c r="AZ35" s="1295">
        <f t="shared" si="24"/>
        <v>0</v>
      </c>
      <c r="BA35" s="71" t="e">
        <f t="shared" si="25"/>
        <v>#REF!</v>
      </c>
      <c r="BB35" s="71" t="e">
        <f t="shared" si="1"/>
        <v>#REF!</v>
      </c>
      <c r="BC35" s="73">
        <f t="shared" si="2"/>
        <v>0</v>
      </c>
      <c r="BD35" s="74">
        <f t="shared" si="2"/>
        <v>0</v>
      </c>
      <c r="BE35" s="75">
        <f>'Avg Bill by RS'!BD86</f>
        <v>0</v>
      </c>
    </row>
    <row r="36" spans="1:57" x14ac:dyDescent="0.2">
      <c r="B36" s="273">
        <v>20</v>
      </c>
      <c r="C36" s="720" t="s">
        <v>281</v>
      </c>
      <c r="D36" s="70">
        <f>'Rate Impacts - Rev Req ONLY'!D36</f>
        <v>825480.07319999998</v>
      </c>
      <c r="E36" s="71">
        <f>'Rate Impacts - Rev Req ONLY'!E36</f>
        <v>825480.07319999998</v>
      </c>
      <c r="F36" s="85" t="e">
        <f>SUM('Rev Req Proof Yr1'!AF93:AH93)</f>
        <v>#REF!</v>
      </c>
      <c r="G36" s="75">
        <f>IFERROR((F36/D36),0)</f>
        <v>0</v>
      </c>
      <c r="H36" s="85" t="e">
        <f>SUM('Rev Req Proof Yr1'!AM93:AO93)</f>
        <v>#REF!</v>
      </c>
      <c r="I36" s="74">
        <f t="shared" si="3"/>
        <v>0</v>
      </c>
      <c r="J36" s="86" t="e">
        <f>SUM('Temps Proof'!W93:Y93)</f>
        <v>#REF!</v>
      </c>
      <c r="K36" s="74">
        <f t="shared" si="4"/>
        <v>0</v>
      </c>
      <c r="L36" s="74">
        <f t="shared" si="5"/>
        <v>0</v>
      </c>
      <c r="M36" s="86" t="e">
        <f>SUM('Temps Proof'!Y93:AA93)</f>
        <v>#REF!</v>
      </c>
      <c r="N36" s="74">
        <f t="shared" si="6"/>
        <v>0</v>
      </c>
      <c r="O36" s="75">
        <f t="shared" si="7"/>
        <v>0</v>
      </c>
      <c r="P36" s="1102" t="e">
        <f>SUM('Temps Proof'!AE93:AG93)</f>
        <v>#REF!</v>
      </c>
      <c r="Q36" s="74">
        <f t="shared" si="8"/>
        <v>0</v>
      </c>
      <c r="R36" s="75">
        <f t="shared" si="9"/>
        <v>0</v>
      </c>
      <c r="S36" s="1452" t="e">
        <f>SUM(F36,H36)</f>
        <v>#REF!</v>
      </c>
      <c r="T36" s="1280">
        <f t="shared" si="11"/>
        <v>0</v>
      </c>
      <c r="U36" s="1281" t="e">
        <f t="shared" si="12"/>
        <v>#REF!</v>
      </c>
      <c r="V36" s="1282">
        <f t="shared" si="13"/>
        <v>0</v>
      </c>
      <c r="W36" s="71" t="e">
        <f t="shared" si="14"/>
        <v>#REF!</v>
      </c>
      <c r="X36" s="71" t="e">
        <f>E36+U36</f>
        <v>#REF!</v>
      </c>
      <c r="Y36" s="73">
        <f t="shared" si="0"/>
        <v>0</v>
      </c>
      <c r="Z36" s="74">
        <f t="shared" si="0"/>
        <v>0</v>
      </c>
      <c r="AA36" s="75">
        <f>'Avg Bill by RS'!AK93</f>
        <v>4.7E-2</v>
      </c>
      <c r="AB36" s="74"/>
      <c r="AC36" s="74"/>
      <c r="AD36" s="74"/>
      <c r="AE36" s="74"/>
      <c r="AF36" s="74"/>
      <c r="AG36" s="74"/>
      <c r="AH36" s="273">
        <v>20</v>
      </c>
      <c r="AI36" s="1196" t="s">
        <v>281</v>
      </c>
      <c r="AJ36" s="1016" t="e">
        <f>'Rate Impacts - Rev Req ONLY'!N36</f>
        <v>#REF!</v>
      </c>
      <c r="AK36" s="71" t="e">
        <f>'Rate Impacts - Rev Req ONLY'!O36</f>
        <v>#REF!</v>
      </c>
      <c r="AL36" s="85" t="e">
        <f>SUM('Rev Req Proof Yr2'!AF93:AH93)</f>
        <v>#REF!</v>
      </c>
      <c r="AM36" s="74">
        <f>IFERROR((AL36/AJ36),0)</f>
        <v>0</v>
      </c>
      <c r="AN36" s="86" t="e">
        <f>SUM('Temps Proof'!AI93:AK93)</f>
        <v>#REF!</v>
      </c>
      <c r="AO36" s="74">
        <f t="shared" si="16"/>
        <v>0</v>
      </c>
      <c r="AP36" s="75">
        <f t="shared" si="17"/>
        <v>0</v>
      </c>
      <c r="AQ36" s="86" t="e">
        <f>SUM('Temps Proof'!AM93:AO93)</f>
        <v>#REF!</v>
      </c>
      <c r="AR36" s="74">
        <f t="shared" si="18"/>
        <v>0</v>
      </c>
      <c r="AS36" s="75">
        <f t="shared" si="19"/>
        <v>0</v>
      </c>
      <c r="AT36" s="85" t="e">
        <f>SUM('Temps Proof'!AQ93:AS93)</f>
        <v>#REF!</v>
      </c>
      <c r="AU36" s="74">
        <f t="shared" si="20"/>
        <v>0</v>
      </c>
      <c r="AV36" s="75">
        <f t="shared" si="21"/>
        <v>0</v>
      </c>
      <c r="AW36" s="1423" t="e">
        <f t="shared" si="22"/>
        <v>#REF!</v>
      </c>
      <c r="AX36" s="1427">
        <f t="shared" si="22"/>
        <v>0</v>
      </c>
      <c r="AY36" s="1423" t="e">
        <f t="shared" si="23"/>
        <v>#REF!</v>
      </c>
      <c r="AZ36" s="1295">
        <f t="shared" si="24"/>
        <v>0</v>
      </c>
      <c r="BA36" s="71" t="e">
        <f t="shared" si="25"/>
        <v>#REF!</v>
      </c>
      <c r="BB36" s="71" t="e">
        <f t="shared" si="1"/>
        <v>#REF!</v>
      </c>
      <c r="BC36" s="73">
        <f t="shared" si="2"/>
        <v>0</v>
      </c>
      <c r="BD36" s="74">
        <f t="shared" si="2"/>
        <v>0</v>
      </c>
      <c r="BE36" s="75">
        <f>'Avg Bill by RS'!BD93</f>
        <v>1.7000000000000001E-2</v>
      </c>
    </row>
    <row r="37" spans="1:57" x14ac:dyDescent="0.2">
      <c r="B37" s="273">
        <v>21</v>
      </c>
      <c r="C37" s="720" t="s">
        <v>44</v>
      </c>
      <c r="D37" s="70">
        <f>'Rate Impacts - Rev Req ONLY'!D37</f>
        <v>0</v>
      </c>
      <c r="E37" s="71">
        <f>'Rate Impacts - Rev Req ONLY'!E37</f>
        <v>0</v>
      </c>
      <c r="F37" s="85" t="e">
        <f>SUM('Rev Req Proof Yr1'!AF94:AH94)</f>
        <v>#REF!</v>
      </c>
      <c r="G37" s="75">
        <f>IFERROR((F37/D37),0)</f>
        <v>0</v>
      </c>
      <c r="H37" s="85" t="e">
        <f>SUM('Rev Req Proof Yr1'!AM94:AO94)</f>
        <v>#REF!</v>
      </c>
      <c r="I37" s="74">
        <f t="shared" si="3"/>
        <v>0</v>
      </c>
      <c r="J37" s="86" t="e">
        <f>SUM('Temps Proof'!W94:Y94)</f>
        <v>#REF!</v>
      </c>
      <c r="K37" s="74">
        <f t="shared" si="4"/>
        <v>0</v>
      </c>
      <c r="L37" s="74">
        <f t="shared" si="5"/>
        <v>0</v>
      </c>
      <c r="M37" s="86" t="e">
        <f>SUM('Temps Proof'!Y94:AA94)</f>
        <v>#REF!</v>
      </c>
      <c r="N37" s="74">
        <f t="shared" si="6"/>
        <v>0</v>
      </c>
      <c r="O37" s="75">
        <f t="shared" si="7"/>
        <v>0</v>
      </c>
      <c r="P37" s="1102" t="e">
        <f>SUM('Temps Proof'!AE94:AG94)</f>
        <v>#REF!</v>
      </c>
      <c r="Q37" s="74">
        <f t="shared" si="8"/>
        <v>0</v>
      </c>
      <c r="R37" s="75">
        <f t="shared" si="9"/>
        <v>0</v>
      </c>
      <c r="S37" s="1452" t="e">
        <f t="shared" si="10"/>
        <v>#REF!</v>
      </c>
      <c r="T37" s="1280">
        <f t="shared" si="11"/>
        <v>0</v>
      </c>
      <c r="U37" s="1281" t="e">
        <f t="shared" si="12"/>
        <v>#REF!</v>
      </c>
      <c r="V37" s="1282">
        <f t="shared" si="13"/>
        <v>0</v>
      </c>
      <c r="W37" s="71" t="e">
        <f t="shared" si="14"/>
        <v>#REF!</v>
      </c>
      <c r="X37" s="71" t="e">
        <f t="shared" si="15"/>
        <v>#REF!</v>
      </c>
      <c r="Y37" s="73">
        <f t="shared" si="0"/>
        <v>0</v>
      </c>
      <c r="Z37" s="74">
        <f t="shared" si="0"/>
        <v>0</v>
      </c>
      <c r="AA37" s="75">
        <f>'Avg Bill by RS'!AK94</f>
        <v>0</v>
      </c>
      <c r="AB37" s="74"/>
      <c r="AC37" s="74"/>
      <c r="AD37" s="74"/>
      <c r="AE37" s="74"/>
      <c r="AF37" s="74"/>
      <c r="AG37" s="74"/>
      <c r="AH37" s="273">
        <v>21</v>
      </c>
      <c r="AI37" s="1196" t="s">
        <v>44</v>
      </c>
      <c r="AJ37" s="1016" t="e">
        <f>'Rate Impacts - Rev Req ONLY'!N37</f>
        <v>#REF!</v>
      </c>
      <c r="AK37" s="71" t="e">
        <f>'Rate Impacts - Rev Req ONLY'!O37</f>
        <v>#REF!</v>
      </c>
      <c r="AL37" s="85" t="e">
        <f>SUM('Rev Req Proof Yr2'!AF94:AH94)</f>
        <v>#REF!</v>
      </c>
      <c r="AM37" s="74">
        <f>IFERROR((AL37/AJ37),0)</f>
        <v>0</v>
      </c>
      <c r="AN37" s="86" t="e">
        <f>SUM('Temps Proof'!AI94:AK94)</f>
        <v>#REF!</v>
      </c>
      <c r="AO37" s="74">
        <f t="shared" si="16"/>
        <v>0</v>
      </c>
      <c r="AP37" s="75">
        <f t="shared" si="17"/>
        <v>0</v>
      </c>
      <c r="AQ37" s="86" t="e">
        <f>SUM('Temps Proof'!AM94:AO94)</f>
        <v>#REF!</v>
      </c>
      <c r="AR37" s="74">
        <f t="shared" si="18"/>
        <v>0</v>
      </c>
      <c r="AS37" s="75">
        <f t="shared" si="19"/>
        <v>0</v>
      </c>
      <c r="AT37" s="85" t="e">
        <f>SUM('Temps Proof'!AQ94:AS94)</f>
        <v>#REF!</v>
      </c>
      <c r="AU37" s="74">
        <f t="shared" si="20"/>
        <v>0</v>
      </c>
      <c r="AV37" s="75">
        <f t="shared" si="21"/>
        <v>0</v>
      </c>
      <c r="AW37" s="1423" t="e">
        <f t="shared" si="22"/>
        <v>#REF!</v>
      </c>
      <c r="AX37" s="1427">
        <f t="shared" si="22"/>
        <v>0</v>
      </c>
      <c r="AY37" s="1423" t="e">
        <f t="shared" si="23"/>
        <v>#REF!</v>
      </c>
      <c r="AZ37" s="1295">
        <f t="shared" si="24"/>
        <v>0</v>
      </c>
      <c r="BA37" s="71" t="e">
        <f t="shared" si="25"/>
        <v>#REF!</v>
      </c>
      <c r="BB37" s="71" t="e">
        <f t="shared" si="1"/>
        <v>#REF!</v>
      </c>
      <c r="BC37" s="73">
        <f t="shared" si="2"/>
        <v>0</v>
      </c>
      <c r="BD37" s="74">
        <f t="shared" si="2"/>
        <v>0</v>
      </c>
      <c r="BE37" s="75">
        <f>'Avg Bill by RS'!BD94</f>
        <v>0</v>
      </c>
    </row>
    <row r="38" spans="1:57" x14ac:dyDescent="0.2">
      <c r="B38" s="273">
        <v>22</v>
      </c>
      <c r="C38" s="720" t="s">
        <v>264</v>
      </c>
      <c r="D38" s="70">
        <f>'Rate Impacts - Rev Req ONLY'!D38</f>
        <v>0</v>
      </c>
      <c r="E38" s="71">
        <f>'Rate Impacts - Rev Req ONLY'!E38</f>
        <v>0</v>
      </c>
      <c r="F38" s="85" t="e">
        <f>SUM('Rev Req Proof Yr1'!AF95:AH95)</f>
        <v>#REF!</v>
      </c>
      <c r="G38" s="75">
        <f>IFERROR((F38/D38),0)</f>
        <v>0</v>
      </c>
      <c r="H38" s="85" t="e">
        <f>SUM('Rev Req Proof Yr1'!AM95:AO95)</f>
        <v>#REF!</v>
      </c>
      <c r="I38" s="74">
        <f t="shared" si="3"/>
        <v>0</v>
      </c>
      <c r="J38" s="86" t="e">
        <f>SUM('Temps Proof'!W95:Y95)</f>
        <v>#REF!</v>
      </c>
      <c r="K38" s="74">
        <f t="shared" si="4"/>
        <v>0</v>
      </c>
      <c r="L38" s="74">
        <f t="shared" si="5"/>
        <v>0</v>
      </c>
      <c r="M38" s="86" t="e">
        <f>SUM('Temps Proof'!Y95:AA95)</f>
        <v>#REF!</v>
      </c>
      <c r="N38" s="74">
        <f t="shared" si="6"/>
        <v>0</v>
      </c>
      <c r="O38" s="75">
        <f t="shared" si="7"/>
        <v>0</v>
      </c>
      <c r="P38" s="1102" t="e">
        <f>SUM('Temps Proof'!AE95:AG95)</f>
        <v>#REF!</v>
      </c>
      <c r="Q38" s="74">
        <f t="shared" si="8"/>
        <v>0</v>
      </c>
      <c r="R38" s="75">
        <f t="shared" si="9"/>
        <v>0</v>
      </c>
      <c r="S38" s="1452" t="e">
        <f t="shared" si="10"/>
        <v>#REF!</v>
      </c>
      <c r="T38" s="1280">
        <f t="shared" si="11"/>
        <v>0</v>
      </c>
      <c r="U38" s="1281" t="e">
        <f t="shared" si="12"/>
        <v>#REF!</v>
      </c>
      <c r="V38" s="1282">
        <f t="shared" si="13"/>
        <v>0</v>
      </c>
      <c r="W38" s="71" t="e">
        <f t="shared" si="14"/>
        <v>#REF!</v>
      </c>
      <c r="X38" s="71" t="e">
        <f t="shared" si="15"/>
        <v>#REF!</v>
      </c>
      <c r="Y38" s="73">
        <f t="shared" si="0"/>
        <v>0</v>
      </c>
      <c r="Z38" s="74">
        <f t="shared" si="0"/>
        <v>0</v>
      </c>
      <c r="AA38" s="75">
        <f>'Avg Bill by RS'!AK95</f>
        <v>0</v>
      </c>
      <c r="AB38" s="74"/>
      <c r="AC38" s="74"/>
      <c r="AD38" s="74"/>
      <c r="AE38" s="74"/>
      <c r="AF38" s="74"/>
      <c r="AG38" s="74"/>
      <c r="AH38" s="273">
        <v>22</v>
      </c>
      <c r="AI38" s="1196" t="s">
        <v>264</v>
      </c>
      <c r="AJ38" s="1016" t="e">
        <f>'Rate Impacts - Rev Req ONLY'!N38</f>
        <v>#REF!</v>
      </c>
      <c r="AK38" s="71" t="e">
        <f>'Rate Impacts - Rev Req ONLY'!O38</f>
        <v>#REF!</v>
      </c>
      <c r="AL38" s="85" t="e">
        <f>SUM('Rev Req Proof Yr2'!AF95:AH95)</f>
        <v>#REF!</v>
      </c>
      <c r="AM38" s="74">
        <f>IFERROR((AL38/AJ38),0)</f>
        <v>0</v>
      </c>
      <c r="AN38" s="86" t="e">
        <f>SUM('Temps Proof'!AI95:AK95)</f>
        <v>#REF!</v>
      </c>
      <c r="AO38" s="74">
        <f t="shared" si="16"/>
        <v>0</v>
      </c>
      <c r="AP38" s="75">
        <f t="shared" si="17"/>
        <v>0</v>
      </c>
      <c r="AQ38" s="86" t="e">
        <f>SUM('Temps Proof'!AM95:AO95)</f>
        <v>#REF!</v>
      </c>
      <c r="AR38" s="74">
        <f t="shared" si="18"/>
        <v>0</v>
      </c>
      <c r="AS38" s="75">
        <f t="shared" si="19"/>
        <v>0</v>
      </c>
      <c r="AT38" s="85" t="e">
        <f>SUM('Temps Proof'!AQ95:AS95)</f>
        <v>#REF!</v>
      </c>
      <c r="AU38" s="74">
        <f t="shared" si="20"/>
        <v>0</v>
      </c>
      <c r="AV38" s="75">
        <f t="shared" si="21"/>
        <v>0</v>
      </c>
      <c r="AW38" s="1423" t="e">
        <f t="shared" si="22"/>
        <v>#REF!</v>
      </c>
      <c r="AX38" s="1427">
        <f t="shared" si="22"/>
        <v>0</v>
      </c>
      <c r="AY38" s="1423" t="e">
        <f t="shared" si="23"/>
        <v>#REF!</v>
      </c>
      <c r="AZ38" s="1295">
        <f t="shared" si="24"/>
        <v>0</v>
      </c>
      <c r="BA38" s="71" t="e">
        <f t="shared" si="25"/>
        <v>#REF!</v>
      </c>
      <c r="BB38" s="71" t="e">
        <f t="shared" si="1"/>
        <v>#REF!</v>
      </c>
      <c r="BC38" s="73">
        <f t="shared" si="2"/>
        <v>0</v>
      </c>
      <c r="BD38" s="74">
        <f t="shared" si="2"/>
        <v>0</v>
      </c>
      <c r="BE38" s="75">
        <f>'Avg Bill by RS'!BD95</f>
        <v>0</v>
      </c>
    </row>
    <row r="39" spans="1:57" x14ac:dyDescent="0.2">
      <c r="B39" s="273">
        <v>23</v>
      </c>
      <c r="C39" s="720" t="s">
        <v>304</v>
      </c>
      <c r="D39" s="70">
        <f>'Rate Impacts - Rev Req ONLY'!D39</f>
        <v>242994.60207180592</v>
      </c>
      <c r="E39" s="71">
        <f>'Rate Impacts - Rev Req ONLY'!E39</f>
        <v>242994.60207180592</v>
      </c>
      <c r="F39" s="85" t="e">
        <f>SUM('Rev Req Proof Yr1'!AF96:AH96)</f>
        <v>#REF!</v>
      </c>
      <c r="G39" s="75">
        <f>IFERROR((F39/D39),0)</f>
        <v>0</v>
      </c>
      <c r="H39" s="85" t="e">
        <f>SUM('Rev Req Proof Yr1'!AM96:AO96)</f>
        <v>#REF!</v>
      </c>
      <c r="I39" s="74">
        <f t="shared" si="3"/>
        <v>0</v>
      </c>
      <c r="J39" s="86" t="e">
        <f>SUM('Temps Proof'!W96:Y96)</f>
        <v>#REF!</v>
      </c>
      <c r="K39" s="74">
        <f t="shared" si="4"/>
        <v>0</v>
      </c>
      <c r="L39" s="74">
        <f t="shared" si="5"/>
        <v>0</v>
      </c>
      <c r="M39" s="86" t="e">
        <f>SUM('Temps Proof'!Y96:AA96)</f>
        <v>#REF!</v>
      </c>
      <c r="N39" s="74">
        <f t="shared" si="6"/>
        <v>0</v>
      </c>
      <c r="O39" s="75">
        <f t="shared" si="7"/>
        <v>0</v>
      </c>
      <c r="P39" s="1102" t="e">
        <f>SUM('Temps Proof'!AE96:AG96)</f>
        <v>#REF!</v>
      </c>
      <c r="Q39" s="74">
        <f t="shared" si="8"/>
        <v>0</v>
      </c>
      <c r="R39" s="75">
        <f t="shared" si="9"/>
        <v>0</v>
      </c>
      <c r="S39" s="1452" t="e">
        <f>SUM(F39,H39)</f>
        <v>#REF!</v>
      </c>
      <c r="T39" s="1280">
        <f t="shared" si="11"/>
        <v>0</v>
      </c>
      <c r="U39" s="1281" t="e">
        <f t="shared" si="12"/>
        <v>#REF!</v>
      </c>
      <c r="V39" s="1282">
        <f t="shared" si="13"/>
        <v>0</v>
      </c>
      <c r="W39" s="71" t="e">
        <f t="shared" si="14"/>
        <v>#REF!</v>
      </c>
      <c r="X39" s="71" t="e">
        <f t="shared" si="15"/>
        <v>#REF!</v>
      </c>
      <c r="Y39" s="73">
        <f t="shared" si="0"/>
        <v>0</v>
      </c>
      <c r="Z39" s="74">
        <f t="shared" si="0"/>
        <v>0</v>
      </c>
      <c r="AA39" s="75">
        <f>'Avg Bill by RS'!AK96</f>
        <v>0</v>
      </c>
      <c r="AB39" s="74"/>
      <c r="AC39" s="74"/>
      <c r="AD39" s="74"/>
      <c r="AE39" s="74"/>
      <c r="AF39" s="74"/>
      <c r="AG39" s="74"/>
      <c r="AH39" s="273">
        <v>23</v>
      </c>
      <c r="AI39" s="1196" t="s">
        <v>304</v>
      </c>
      <c r="AJ39" s="1016" t="e">
        <f>'Rate Impacts - Rev Req ONLY'!N39</f>
        <v>#REF!</v>
      </c>
      <c r="AK39" s="71" t="e">
        <f>'Rate Impacts - Rev Req ONLY'!O39</f>
        <v>#REF!</v>
      </c>
      <c r="AL39" s="85" t="e">
        <f>SUM('Rev Req Proof Yr2'!AF96:AH96)</f>
        <v>#REF!</v>
      </c>
      <c r="AM39" s="74">
        <f>IFERROR((AL39/AJ39),0)</f>
        <v>0</v>
      </c>
      <c r="AN39" s="86" t="e">
        <f>SUM('Temps Proof'!AI96:AK96)</f>
        <v>#REF!</v>
      </c>
      <c r="AO39" s="74">
        <f t="shared" si="16"/>
        <v>0</v>
      </c>
      <c r="AP39" s="75">
        <f t="shared" si="17"/>
        <v>0</v>
      </c>
      <c r="AQ39" s="86" t="e">
        <f>SUM('Temps Proof'!AM96:AO96)</f>
        <v>#REF!</v>
      </c>
      <c r="AR39" s="74">
        <f t="shared" si="18"/>
        <v>0</v>
      </c>
      <c r="AS39" s="75">
        <f t="shared" si="19"/>
        <v>0</v>
      </c>
      <c r="AT39" s="85" t="e">
        <f>SUM('Temps Proof'!AQ96:AS96)</f>
        <v>#REF!</v>
      </c>
      <c r="AU39" s="74">
        <f t="shared" si="20"/>
        <v>0</v>
      </c>
      <c r="AV39" s="75">
        <f t="shared" si="21"/>
        <v>0</v>
      </c>
      <c r="AW39" s="1423" t="e">
        <f t="shared" si="22"/>
        <v>#REF!</v>
      </c>
      <c r="AX39" s="1427">
        <f t="shared" si="22"/>
        <v>0</v>
      </c>
      <c r="AY39" s="1423" t="e">
        <f t="shared" si="23"/>
        <v>#REF!</v>
      </c>
      <c r="AZ39" s="1295">
        <f t="shared" si="24"/>
        <v>0</v>
      </c>
      <c r="BA39" s="71" t="e">
        <f t="shared" si="25"/>
        <v>#REF!</v>
      </c>
      <c r="BB39" s="71" t="e">
        <f t="shared" si="1"/>
        <v>#REF!</v>
      </c>
      <c r="BC39" s="73">
        <f t="shared" si="2"/>
        <v>0</v>
      </c>
      <c r="BD39" s="74">
        <f t="shared" si="2"/>
        <v>0</v>
      </c>
      <c r="BE39" s="75">
        <f>'Avg Bill by RS'!BD96</f>
        <v>0</v>
      </c>
    </row>
    <row r="40" spans="1:57" ht="13.5" thickBot="1" x14ac:dyDescent="0.25">
      <c r="B40" s="43"/>
      <c r="C40" s="77"/>
      <c r="D40" s="44"/>
      <c r="E40" s="44"/>
      <c r="F40" s="43"/>
      <c r="G40" s="961"/>
      <c r="H40" s="43"/>
      <c r="I40" s="962"/>
      <c r="J40" s="963"/>
      <c r="K40" s="1117"/>
      <c r="L40" s="1117"/>
      <c r="M40" s="963"/>
      <c r="N40" s="1117"/>
      <c r="O40" s="964"/>
      <c r="P40" s="1103"/>
      <c r="Q40" s="1117"/>
      <c r="R40" s="964"/>
      <c r="S40" s="1283"/>
      <c r="T40" s="1283"/>
      <c r="U40" s="1283"/>
      <c r="V40" s="1284"/>
      <c r="W40" s="44"/>
      <c r="X40" s="44"/>
      <c r="Y40" s="975"/>
      <c r="Z40" s="976"/>
      <c r="AA40" s="977"/>
      <c r="AB40" s="1215"/>
      <c r="AC40" s="1215"/>
      <c r="AD40" s="1215"/>
      <c r="AE40" s="1215"/>
      <c r="AF40" s="1215"/>
      <c r="AG40" s="1215"/>
      <c r="AH40" s="43"/>
      <c r="AI40" s="1198"/>
      <c r="AJ40" s="43"/>
      <c r="AK40" s="44"/>
      <c r="AL40" s="43"/>
      <c r="AM40" s="962"/>
      <c r="AN40" s="1407"/>
      <c r="AO40" s="962"/>
      <c r="AP40" s="961"/>
      <c r="AQ40" s="1407"/>
      <c r="AR40" s="962"/>
      <c r="AS40" s="961"/>
      <c r="AT40" s="43"/>
      <c r="AU40" s="962"/>
      <c r="AV40" s="961"/>
      <c r="AW40" s="1431"/>
      <c r="AX40" s="1431"/>
      <c r="AY40" s="1424"/>
      <c r="AZ40" s="1296"/>
      <c r="BA40" s="44"/>
      <c r="BB40" s="44"/>
      <c r="BC40" s="975"/>
      <c r="BD40" s="976"/>
      <c r="BE40" s="977"/>
    </row>
    <row r="41" spans="1:57" s="82" customFormat="1" x14ac:dyDescent="0.2">
      <c r="A41" s="46"/>
      <c r="B41" s="956"/>
      <c r="C41" s="1303" t="s">
        <v>32</v>
      </c>
      <c r="D41" s="949">
        <f>SUM(D17:D39)</f>
        <v>49604902.662138224</v>
      </c>
      <c r="E41" s="950">
        <f>SUM(E17:E39)</f>
        <v>78333454.662138224</v>
      </c>
      <c r="F41" s="1089" t="e">
        <f>SUM(F17:F39)</f>
        <v>#REF!</v>
      </c>
      <c r="G41" s="954">
        <f>IFERROR((F41/(D41-D39)),0)</f>
        <v>0</v>
      </c>
      <c r="H41" s="950" t="e">
        <f>SUM(H17:H39)</f>
        <v>#REF!</v>
      </c>
      <c r="I41" s="1330">
        <f>IFERROR((H41/(D41-D39)),0)</f>
        <v>0</v>
      </c>
      <c r="J41" s="968" t="e">
        <f>SUM(J17:J39)</f>
        <v>#REF!</v>
      </c>
      <c r="K41" s="953">
        <f>IFERROR((J41/(E41-E39+F41+H41)),0)</f>
        <v>0</v>
      </c>
      <c r="L41" s="953">
        <f>IFERROR((J41/(D41-D39+F41)),0)</f>
        <v>0</v>
      </c>
      <c r="M41" s="968" t="e">
        <f>SUM(M17:M39)</f>
        <v>#REF!</v>
      </c>
      <c r="N41" s="953">
        <f>IFERROR((M41/(E41-E39+F41+H41)),0)</f>
        <v>0</v>
      </c>
      <c r="O41" s="954">
        <f>IFERROR((M41/(D41-D39+F41)),0)</f>
        <v>0</v>
      </c>
      <c r="P41" s="1090" t="e">
        <f>SUM(P17:P39)</f>
        <v>#REF!</v>
      </c>
      <c r="Q41" s="953">
        <f>IFERROR((P41/(E41-E39+F41+H41)),0)</f>
        <v>0</v>
      </c>
      <c r="R41" s="954"/>
      <c r="S41" s="1285" t="e">
        <f>SUM(S17:S39)</f>
        <v>#REF!</v>
      </c>
      <c r="T41" s="1286">
        <f>IFERROR((S41)/(D41-D39),0)</f>
        <v>0</v>
      </c>
      <c r="U41" s="1287" t="e">
        <f>SUM(U17:U39)</f>
        <v>#REF!</v>
      </c>
      <c r="V41" s="1288">
        <f>IFERROR((U41)/(E41-E39),0)</f>
        <v>0</v>
      </c>
      <c r="W41" s="955" t="e">
        <f>SUM(W17:W39)</f>
        <v>#REF!</v>
      </c>
      <c r="X41" s="1013" t="e">
        <f>SUM(X17:X39)</f>
        <v>#REF!</v>
      </c>
      <c r="Y41" s="952">
        <f>IFERROR(SUM((W41-W39)-SUM(D41-D39))/SUM(D41-D39),0)</f>
        <v>0</v>
      </c>
      <c r="Z41" s="953">
        <f>IFERROR(SUM((X41-X39)-SUM(E41-E39))/SUM(E41-E39),0)</f>
        <v>0</v>
      </c>
      <c r="AA41" s="954"/>
      <c r="AB41" s="1176"/>
      <c r="AC41" s="1176"/>
      <c r="AD41" s="1176"/>
      <c r="AE41" s="1176"/>
      <c r="AF41" s="1176"/>
      <c r="AG41" s="1176"/>
      <c r="AH41" s="956"/>
      <c r="AI41" s="1415" t="s">
        <v>32</v>
      </c>
      <c r="AJ41" s="955" t="e">
        <f>SUM(AJ17:AJ39)</f>
        <v>#REF!</v>
      </c>
      <c r="AK41" s="950" t="e">
        <f>SUM(AK17:AK39)</f>
        <v>#REF!</v>
      </c>
      <c r="AL41" s="1089" t="e">
        <f>SUM(AL17:AL39)</f>
        <v>#REF!</v>
      </c>
      <c r="AM41" s="953">
        <f>IFERROR((AL41/(AJ41-AJ39)),0)</f>
        <v>0</v>
      </c>
      <c r="AN41" s="1089" t="e">
        <f>SUM(AN17:AN39)</f>
        <v>#REF!</v>
      </c>
      <c r="AO41" s="953">
        <f>IFERROR((AN41/(AK41-AK39+AL41)),0)</f>
        <v>0</v>
      </c>
      <c r="AP41" s="954">
        <f>IFERROR((AN41/(AJ41-AJ39+AL41)),0)</f>
        <v>0</v>
      </c>
      <c r="AQ41" s="1089" t="e">
        <f>SUM(AQ17:AQ39)</f>
        <v>#REF!</v>
      </c>
      <c r="AR41" s="953">
        <f>IFERROR((AQ41/(AK41-AK39+AL41)),0)</f>
        <v>0</v>
      </c>
      <c r="AS41" s="954">
        <f>IFERROR((AQ41/(AJ41-AJ39+AL41)),0)</f>
        <v>0</v>
      </c>
      <c r="AT41" s="1089" t="e">
        <f>SUM(AT17:AT39)</f>
        <v>#REF!</v>
      </c>
      <c r="AU41" s="953">
        <f>IFERROR((AT41/(AK41-AK39+AL41)),0)</f>
        <v>0</v>
      </c>
      <c r="AV41" s="954">
        <f>IFERROR((AT41/(AJ41-AJ39+AL41)),0)</f>
        <v>0</v>
      </c>
      <c r="AW41" s="1423" t="e">
        <f t="shared" ref="AW41:AX41" si="30">AL41</f>
        <v>#REF!</v>
      </c>
      <c r="AX41" s="1427">
        <f t="shared" si="30"/>
        <v>0</v>
      </c>
      <c r="AY41" s="1425" t="e">
        <f>SUM(AY17:AY39)</f>
        <v>#REF!</v>
      </c>
      <c r="AZ41" s="1297">
        <f>IFERROR((AY41/(AK41-AK39)),0)</f>
        <v>0</v>
      </c>
      <c r="BA41" s="978" t="e">
        <f>SUM(BA17:BA39)</f>
        <v>#REF!</v>
      </c>
      <c r="BB41" s="979" t="e">
        <f>SUM(BB17:BB39)</f>
        <v>#REF!</v>
      </c>
      <c r="BC41" s="986">
        <f>IFERROR(SUM((BA41-BA39)-SUM(AJ41-AJ39))/SUM(AJ41-AJ39),0)</f>
        <v>0</v>
      </c>
      <c r="BD41" s="981">
        <f>IFERROR(SUM((BB41-BB39)-SUM(AK41-AK39))/SUM(AK41-AK39),0)</f>
        <v>0</v>
      </c>
      <c r="BE41" s="980"/>
    </row>
    <row r="42" spans="1:57" ht="15.75" thickBot="1" x14ac:dyDescent="0.3">
      <c r="A42" s="50"/>
      <c r="B42" s="1304"/>
      <c r="C42" s="1106"/>
      <c r="D42" s="1160"/>
      <c r="E42" s="1222"/>
      <c r="F42" s="1223"/>
      <c r="G42" s="1106"/>
      <c r="H42" s="1223"/>
      <c r="I42" s="1222"/>
      <c r="J42" s="1418" t="s">
        <v>381</v>
      </c>
      <c r="K42" s="79"/>
      <c r="L42" s="79"/>
      <c r="M42" s="1418" t="s">
        <v>381</v>
      </c>
      <c r="N42" s="79"/>
      <c r="O42" s="80"/>
      <c r="P42" s="1457"/>
      <c r="Q42" s="79"/>
      <c r="R42" s="80"/>
      <c r="S42" s="1414"/>
      <c r="T42" s="1289"/>
      <c r="U42" s="1414"/>
      <c r="V42" s="1290"/>
      <c r="W42" s="1159"/>
      <c r="X42" s="1014"/>
      <c r="Y42" s="1224"/>
      <c r="Z42" s="1105"/>
      <c r="AA42" s="1185"/>
      <c r="AB42" s="1459"/>
      <c r="AC42" s="1459"/>
      <c r="AD42" s="1459"/>
      <c r="AE42" s="1459"/>
      <c r="AF42" s="1459"/>
      <c r="AG42" s="1216"/>
      <c r="AH42" s="1304"/>
      <c r="AI42" s="1200"/>
      <c r="AJ42" s="1462"/>
      <c r="AK42" s="969"/>
      <c r="AL42" s="1223"/>
      <c r="AM42" s="969"/>
      <c r="AN42" s="1223" t="s">
        <v>390</v>
      </c>
      <c r="AO42" s="969"/>
      <c r="AP42" s="971"/>
      <c r="AQ42" s="1223" t="s">
        <v>390</v>
      </c>
      <c r="AR42" s="969"/>
      <c r="AS42" s="971"/>
      <c r="AT42" s="1223" t="s">
        <v>390</v>
      </c>
      <c r="AU42" s="969"/>
      <c r="AV42" s="971"/>
      <c r="AW42" s="1426"/>
      <c r="AX42" s="1428"/>
      <c r="AY42" s="1426"/>
      <c r="AZ42" s="1298"/>
      <c r="BA42" s="969"/>
      <c r="BB42" s="1012"/>
      <c r="BC42" s="1161"/>
      <c r="BD42" s="79"/>
      <c r="BE42" s="1185" t="s">
        <v>446</v>
      </c>
    </row>
    <row r="43" spans="1:57" ht="6.95" customHeight="1" x14ac:dyDescent="0.2">
      <c r="D43" s="78"/>
      <c r="E43" s="78"/>
      <c r="F43" s="78"/>
      <c r="G43" s="78"/>
      <c r="H43" s="78"/>
      <c r="I43" s="78"/>
      <c r="J43" s="78"/>
      <c r="K43" s="78"/>
      <c r="L43" s="78"/>
      <c r="M43" s="78"/>
      <c r="N43" s="78"/>
      <c r="O43" s="78"/>
      <c r="P43" s="78"/>
      <c r="Q43" s="78"/>
      <c r="R43" s="78"/>
      <c r="S43" s="78"/>
      <c r="T43" s="1162" t="s">
        <v>425</v>
      </c>
      <c r="U43" s="78"/>
      <c r="V43" s="78"/>
      <c r="W43" s="78"/>
    </row>
    <row r="44" spans="1:57" ht="12" customHeight="1" x14ac:dyDescent="0.2">
      <c r="B44" s="834" t="s">
        <v>586</v>
      </c>
      <c r="C44" s="830"/>
      <c r="D44" s="88"/>
      <c r="E44" s="89"/>
      <c r="F44" s="52"/>
      <c r="G44" s="52"/>
      <c r="H44" s="89"/>
      <c r="I44" s="52"/>
      <c r="J44" s="89"/>
      <c r="K44" s="89"/>
      <c r="L44" s="89"/>
      <c r="M44" s="89"/>
      <c r="N44" s="89"/>
      <c r="O44" s="89"/>
      <c r="P44" s="89"/>
      <c r="Q44" s="89"/>
      <c r="R44" s="89"/>
      <c r="S44" s="89"/>
      <c r="T44" s="89"/>
      <c r="U44" s="89"/>
      <c r="V44" s="89"/>
      <c r="W44" s="52"/>
      <c r="X44" s="90"/>
      <c r="Y44" s="567"/>
      <c r="Z44" s="52"/>
      <c r="AA44" s="52"/>
      <c r="AB44" s="52"/>
      <c r="AC44" s="52"/>
      <c r="AD44" s="52"/>
      <c r="AE44" s="52"/>
      <c r="AF44" s="52"/>
      <c r="AG44" s="52"/>
      <c r="AH44" s="834" t="s">
        <v>586</v>
      </c>
      <c r="AI44" s="830"/>
      <c r="AK44" s="893"/>
    </row>
    <row r="45" spans="1:57" ht="12" customHeight="1" x14ac:dyDescent="0.2">
      <c r="B45" s="834" t="s">
        <v>587</v>
      </c>
      <c r="C45" s="835"/>
      <c r="D45" s="88"/>
      <c r="E45" s="89"/>
      <c r="F45" s="90"/>
      <c r="G45" s="90"/>
      <c r="H45" s="89"/>
      <c r="I45" s="90"/>
      <c r="J45" s="89"/>
      <c r="K45" s="89"/>
      <c r="L45" s="89"/>
      <c r="M45" s="89"/>
      <c r="N45" s="89"/>
      <c r="O45" s="89"/>
      <c r="P45" s="89"/>
      <c r="Q45" s="89"/>
      <c r="R45" s="89"/>
      <c r="S45" s="89"/>
      <c r="T45" s="89"/>
      <c r="U45" s="89"/>
      <c r="V45" s="89"/>
      <c r="W45" s="52"/>
      <c r="X45" s="1158"/>
      <c r="Y45" s="567"/>
      <c r="Z45" s="52"/>
      <c r="AA45" s="52"/>
      <c r="AB45" s="52"/>
      <c r="AC45" s="52"/>
      <c r="AD45" s="52"/>
      <c r="AE45" s="52"/>
      <c r="AF45" s="52"/>
      <c r="AG45" s="52"/>
      <c r="AH45" s="834" t="s">
        <v>587</v>
      </c>
    </row>
    <row r="46" spans="1:57" ht="12" customHeight="1" x14ac:dyDescent="0.2">
      <c r="B46" s="834" t="s">
        <v>433</v>
      </c>
      <c r="D46" s="88"/>
      <c r="E46" s="89"/>
      <c r="F46" s="90"/>
      <c r="G46" s="90"/>
      <c r="H46" s="89"/>
      <c r="I46" s="90"/>
      <c r="J46" s="89"/>
      <c r="K46" s="89"/>
      <c r="L46" s="89"/>
      <c r="M46" s="89"/>
      <c r="N46" s="89"/>
      <c r="O46" s="89"/>
      <c r="P46" s="89"/>
      <c r="Q46" s="89"/>
      <c r="R46" s="89"/>
      <c r="S46" s="89"/>
      <c r="T46" s="89"/>
      <c r="U46" s="89"/>
      <c r="V46" s="89"/>
      <c r="W46" s="52"/>
      <c r="X46" s="52"/>
      <c r="Y46" s="52"/>
      <c r="Z46" s="52"/>
      <c r="AA46" s="52"/>
      <c r="AB46" s="52"/>
      <c r="AC46" s="52"/>
      <c r="AD46" s="52"/>
      <c r="AE46" s="52"/>
      <c r="AF46" s="52"/>
      <c r="AG46" s="52"/>
      <c r="AH46" s="834" t="s">
        <v>595</v>
      </c>
    </row>
    <row r="47" spans="1:57" ht="12" customHeight="1" x14ac:dyDescent="0.2">
      <c r="B47" s="834" t="s">
        <v>602</v>
      </c>
      <c r="C47" s="834"/>
      <c r="D47" s="834"/>
      <c r="E47" s="834"/>
      <c r="F47" s="834"/>
      <c r="G47" s="834"/>
      <c r="H47" s="834"/>
      <c r="I47" s="834"/>
      <c r="J47" s="834"/>
      <c r="K47" s="89"/>
      <c r="L47" s="89"/>
      <c r="M47" s="89"/>
      <c r="N47" s="89"/>
      <c r="O47" s="89"/>
      <c r="P47" s="89"/>
      <c r="Q47" s="89"/>
      <c r="R47" s="89"/>
      <c r="S47" s="89"/>
      <c r="T47" s="89"/>
      <c r="U47" s="89"/>
      <c r="V47" s="89"/>
      <c r="W47" s="52"/>
      <c r="X47" s="52"/>
      <c r="Y47" s="52"/>
      <c r="Z47" s="52"/>
      <c r="AA47" s="52"/>
      <c r="AB47" s="52"/>
      <c r="AC47" s="52"/>
      <c r="AD47" s="52"/>
      <c r="AE47" s="52"/>
      <c r="AF47" s="52"/>
      <c r="AG47" s="52"/>
      <c r="AH47" s="834" t="s">
        <v>596</v>
      </c>
    </row>
    <row r="48" spans="1:57" ht="12" customHeight="1" x14ac:dyDescent="0.2">
      <c r="D48" s="88"/>
      <c r="E48" s="89"/>
      <c r="F48" s="52"/>
      <c r="G48" s="52"/>
      <c r="H48" s="89"/>
      <c r="I48" s="52"/>
      <c r="J48" s="89"/>
      <c r="K48" s="89"/>
      <c r="L48" s="89"/>
      <c r="M48" s="89"/>
      <c r="N48" s="89"/>
      <c r="O48" s="89"/>
      <c r="P48" s="89"/>
      <c r="Q48" s="89"/>
      <c r="R48" s="89"/>
      <c r="S48" s="89"/>
      <c r="T48" s="89"/>
      <c r="U48" s="89"/>
      <c r="V48" s="89"/>
      <c r="W48" s="52"/>
      <c r="X48" s="52"/>
      <c r="Y48" s="52"/>
      <c r="Z48" s="52"/>
      <c r="AA48" s="52"/>
      <c r="AB48" s="52"/>
      <c r="AC48" s="52"/>
      <c r="AD48" s="52"/>
      <c r="AE48" s="52"/>
      <c r="AF48" s="52"/>
      <c r="AG48" s="52"/>
      <c r="AH48" s="834" t="s">
        <v>602</v>
      </c>
      <c r="AI48" s="830"/>
    </row>
    <row r="49" spans="2:54" x14ac:dyDescent="0.2">
      <c r="C49" s="830"/>
      <c r="D49" s="87"/>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834"/>
    </row>
    <row r="50" spans="2:54" ht="12.95" customHeight="1" x14ac:dyDescent="0.2">
      <c r="C50" s="835"/>
      <c r="D50" s="87"/>
      <c r="E50" s="52"/>
      <c r="F50" s="52"/>
      <c r="G50" s="52"/>
      <c r="H50" s="52"/>
      <c r="I50" s="52"/>
      <c r="J50" s="52"/>
      <c r="K50" s="52"/>
      <c r="L50" s="52"/>
      <c r="M50" s="52"/>
      <c r="N50" s="52"/>
      <c r="O50" s="52"/>
      <c r="P50" s="52"/>
      <c r="Q50" s="52"/>
      <c r="R50" s="52"/>
      <c r="S50" s="52"/>
      <c r="T50" s="52"/>
      <c r="U50" s="52"/>
      <c r="V50" s="52"/>
      <c r="W50" s="1201"/>
      <c r="X50" s="1201"/>
      <c r="Y50" s="1201"/>
      <c r="Z50" s="1201"/>
      <c r="AA50" s="1201"/>
      <c r="AB50" s="1201"/>
      <c r="AC50" s="1201"/>
      <c r="AD50" s="1201"/>
      <c r="AE50" s="1201"/>
      <c r="AF50" s="1201"/>
      <c r="AG50" s="1201"/>
      <c r="AH50" s="1220"/>
      <c r="AI50" s="87"/>
      <c r="AJ50" s="44"/>
      <c r="AK50" s="44"/>
      <c r="AL50" s="44"/>
      <c r="AM50" s="44"/>
      <c r="AN50" s="44"/>
      <c r="AO50" s="44"/>
      <c r="AP50" s="44"/>
      <c r="AQ50" s="44"/>
      <c r="AR50" s="44"/>
      <c r="AS50" s="44"/>
      <c r="AT50" s="44"/>
      <c r="AU50" s="44"/>
      <c r="AV50" s="44"/>
      <c r="AW50" s="44"/>
      <c r="AX50" s="44"/>
      <c r="AY50" s="44"/>
      <c r="AZ50" s="44"/>
      <c r="BA50" s="44"/>
      <c r="BB50" s="44"/>
    </row>
    <row r="51" spans="2:54" ht="12" customHeight="1" x14ac:dyDescent="0.2">
      <c r="D51" s="87"/>
      <c r="E51" s="52"/>
      <c r="F51" s="52"/>
      <c r="G51" s="52"/>
      <c r="H51" s="52"/>
      <c r="I51" s="52"/>
      <c r="J51" s="52"/>
      <c r="K51" s="52"/>
      <c r="L51" s="52"/>
      <c r="M51" s="52"/>
      <c r="N51" s="52"/>
      <c r="O51" s="52"/>
      <c r="P51" s="52"/>
      <c r="Q51" s="52"/>
      <c r="R51" s="52"/>
      <c r="S51" s="52"/>
      <c r="T51" s="52"/>
      <c r="U51" s="52"/>
      <c r="V51" s="52"/>
      <c r="W51" s="1201"/>
      <c r="X51" s="1201"/>
      <c r="Y51" s="1201"/>
      <c r="Z51" s="1201"/>
      <c r="AA51" s="1201"/>
      <c r="AB51" s="1201"/>
      <c r="AC51" s="1201"/>
      <c r="AD51" s="1201"/>
      <c r="AE51" s="1201"/>
      <c r="AF51" s="1201"/>
      <c r="AG51" s="1201"/>
      <c r="AH51" s="1220"/>
      <c r="AI51" s="88"/>
      <c r="AJ51" s="44"/>
      <c r="AK51" s="44"/>
      <c r="AL51" s="44"/>
      <c r="AM51" s="44"/>
      <c r="AN51" s="44"/>
      <c r="AO51" s="44"/>
      <c r="AP51" s="44"/>
      <c r="AQ51" s="44"/>
      <c r="AR51" s="44"/>
      <c r="AS51" s="44"/>
      <c r="AT51" s="44"/>
      <c r="AU51" s="44"/>
      <c r="AV51" s="44"/>
      <c r="AW51" s="44"/>
      <c r="AX51" s="44"/>
      <c r="AY51" s="44"/>
      <c r="AZ51" s="44"/>
      <c r="BA51" s="44"/>
      <c r="BB51" s="44"/>
    </row>
    <row r="52" spans="2:54" ht="12" customHeight="1" x14ac:dyDescent="0.2">
      <c r="B52" s="1220"/>
      <c r="C52" s="88"/>
      <c r="D52" s="52"/>
      <c r="E52" s="52"/>
      <c r="F52" s="52"/>
      <c r="G52" s="52"/>
      <c r="H52" s="52"/>
      <c r="I52" s="52"/>
      <c r="J52" s="52"/>
      <c r="K52" s="52"/>
      <c r="L52" s="52"/>
      <c r="M52" s="52"/>
      <c r="N52" s="52"/>
      <c r="O52" s="52"/>
      <c r="P52" s="52"/>
      <c r="Q52" s="52"/>
      <c r="R52" s="52"/>
      <c r="S52" s="52"/>
      <c r="T52" s="52"/>
      <c r="U52" s="52"/>
      <c r="V52" s="52"/>
      <c r="W52" s="1202"/>
      <c r="X52" s="1722"/>
      <c r="Y52" s="1722"/>
      <c r="Z52" s="1722"/>
      <c r="AA52" s="1722"/>
      <c r="AB52" s="1417"/>
      <c r="AC52" s="1417"/>
      <c r="AD52" s="1417"/>
      <c r="AE52" s="1417"/>
      <c r="AF52" s="1417"/>
      <c r="AG52" s="1417"/>
      <c r="AH52" s="1220"/>
      <c r="AI52" s="88"/>
      <c r="AJ52" s="1722"/>
      <c r="AK52" s="1722"/>
      <c r="AL52" s="1722"/>
      <c r="AM52" s="1722"/>
      <c r="AN52" s="1417"/>
      <c r="AO52" s="1417"/>
      <c r="AP52" s="1417"/>
      <c r="AQ52" s="1417"/>
      <c r="AR52" s="1417"/>
      <c r="AS52" s="1417"/>
      <c r="AT52" s="44"/>
      <c r="AU52" s="1722"/>
      <c r="AV52" s="1722"/>
      <c r="AW52" s="1722"/>
      <c r="AX52" s="1722"/>
      <c r="AY52" s="1722"/>
      <c r="AZ52" s="44"/>
      <c r="BA52" s="1169"/>
      <c r="BB52" s="1169"/>
    </row>
    <row r="53" spans="2:54" x14ac:dyDescent="0.2">
      <c r="W53" s="44"/>
      <c r="X53" s="1169"/>
      <c r="Y53" s="1169"/>
      <c r="Z53" s="1169"/>
      <c r="AA53" s="1169"/>
      <c r="AB53" s="1169"/>
      <c r="AC53" s="1169"/>
      <c r="AD53" s="1169"/>
      <c r="AE53" s="1169"/>
      <c r="AF53" s="1169"/>
      <c r="AG53" s="1169"/>
      <c r="AJ53" s="1169"/>
      <c r="AK53" s="1169"/>
      <c r="AL53" s="1169"/>
      <c r="AM53" s="1169"/>
      <c r="AN53" s="1169"/>
      <c r="AO53" s="1169"/>
      <c r="AP53" s="1169"/>
      <c r="AQ53" s="1169"/>
      <c r="AR53" s="1169"/>
      <c r="AS53" s="1169"/>
      <c r="AT53" s="44"/>
      <c r="AU53" s="1169"/>
      <c r="AV53" s="1169"/>
      <c r="AW53" s="1169"/>
      <c r="AX53" s="1169"/>
      <c r="AY53" s="1169"/>
      <c r="AZ53" s="44"/>
      <c r="BA53" s="1169"/>
      <c r="BB53" s="1169"/>
    </row>
    <row r="54" spans="2:54" x14ac:dyDescent="0.2">
      <c r="W54" s="44"/>
      <c r="X54" s="1203"/>
      <c r="Y54" s="1203"/>
      <c r="Z54" s="1203"/>
      <c r="AA54" s="1204"/>
      <c r="AB54" s="1204"/>
      <c r="AC54" s="1204"/>
      <c r="AD54" s="1204"/>
      <c r="AE54" s="1204"/>
      <c r="AF54" s="1204"/>
      <c r="AG54" s="1204"/>
      <c r="AJ54" s="1203"/>
      <c r="AK54" s="1203"/>
      <c r="AL54" s="1203"/>
      <c r="AM54" s="1204"/>
      <c r="AN54" s="1204"/>
      <c r="AO54" s="1204"/>
      <c r="AP54" s="1204"/>
      <c r="AQ54" s="1204"/>
      <c r="AR54" s="1204"/>
      <c r="AS54" s="1204"/>
      <c r="AT54" s="44"/>
      <c r="AU54" s="1203"/>
      <c r="AV54" s="1203"/>
      <c r="AW54" s="1203"/>
      <c r="AX54" s="1203"/>
      <c r="AY54" s="1204"/>
      <c r="AZ54" s="44"/>
      <c r="BA54" s="1205"/>
      <c r="BB54" s="1206"/>
    </row>
    <row r="55" spans="2:54" x14ac:dyDescent="0.2">
      <c r="F55" s="893"/>
      <c r="W55" s="44"/>
      <c r="X55" s="1203"/>
      <c r="Y55" s="1203"/>
      <c r="Z55" s="1203"/>
      <c r="AA55" s="1204"/>
      <c r="AB55" s="1204"/>
      <c r="AC55" s="1204"/>
      <c r="AD55" s="1204"/>
      <c r="AE55" s="1204"/>
      <c r="AF55" s="1204"/>
      <c r="AG55" s="1204"/>
      <c r="AJ55" s="1203"/>
      <c r="AK55" s="1203"/>
      <c r="AL55" s="1203"/>
      <c r="AM55" s="1204"/>
      <c r="AN55" s="1204"/>
      <c r="AO55" s="1204"/>
      <c r="AP55" s="1204"/>
      <c r="AQ55" s="1204"/>
      <c r="AR55" s="1204"/>
      <c r="AS55" s="1204"/>
      <c r="AT55" s="44"/>
      <c r="AU55" s="1203"/>
      <c r="AV55" s="1203"/>
      <c r="AW55" s="1203"/>
      <c r="AX55" s="1203"/>
      <c r="AY55" s="1204"/>
      <c r="AZ55" s="44"/>
      <c r="BA55" s="1205"/>
      <c r="BB55" s="1206"/>
    </row>
    <row r="56" spans="2:54" x14ac:dyDescent="0.2">
      <c r="W56" s="44"/>
      <c r="X56" s="1203"/>
      <c r="Y56" s="1203"/>
      <c r="Z56" s="1203"/>
      <c r="AA56" s="1204"/>
      <c r="AB56" s="1204"/>
      <c r="AC56" s="1204"/>
      <c r="AD56" s="1204"/>
      <c r="AE56" s="1204"/>
      <c r="AF56" s="1204"/>
      <c r="AG56" s="1204"/>
      <c r="AJ56" s="1203"/>
      <c r="AK56" s="1203"/>
      <c r="AL56" s="1203"/>
      <c r="AM56" s="1204"/>
      <c r="AN56" s="1204"/>
      <c r="AO56" s="1204"/>
      <c r="AP56" s="1204"/>
      <c r="AQ56" s="1204"/>
      <c r="AR56" s="1204"/>
      <c r="AS56" s="1204"/>
      <c r="AT56" s="44"/>
      <c r="AU56" s="1203"/>
      <c r="AV56" s="1203"/>
      <c r="AW56" s="1203"/>
      <c r="AX56" s="1203"/>
      <c r="AY56" s="1204"/>
      <c r="AZ56" s="44"/>
      <c r="BA56" s="1205"/>
      <c r="BB56" s="1206"/>
    </row>
    <row r="57" spans="2:54" x14ac:dyDescent="0.2">
      <c r="W57" s="44"/>
      <c r="X57" s="1203"/>
      <c r="Y57" s="1203"/>
      <c r="Z57" s="1203"/>
      <c r="AA57" s="1204"/>
      <c r="AB57" s="1204"/>
      <c r="AC57" s="1204"/>
      <c r="AD57" s="1204"/>
      <c r="AE57" s="1204"/>
      <c r="AF57" s="1204"/>
      <c r="AG57" s="1204"/>
      <c r="AJ57" s="1203"/>
      <c r="AK57" s="1203"/>
      <c r="AL57" s="1203"/>
      <c r="AM57" s="1204"/>
      <c r="AN57" s="1204"/>
      <c r="AO57" s="1204"/>
      <c r="AP57" s="1204"/>
      <c r="AQ57" s="1204"/>
      <c r="AR57" s="1204"/>
      <c r="AS57" s="1204"/>
      <c r="AT57" s="44"/>
      <c r="AU57" s="1203"/>
      <c r="AV57" s="1203"/>
      <c r="AW57" s="1203"/>
      <c r="AX57" s="1203"/>
      <c r="AY57" s="1204"/>
      <c r="AZ57" s="44"/>
      <c r="BA57" s="1205"/>
      <c r="BB57" s="1206"/>
    </row>
    <row r="58" spans="2:54" x14ac:dyDescent="0.2">
      <c r="W58" s="1207"/>
      <c r="X58" s="1203"/>
      <c r="Y58" s="1203"/>
      <c r="Z58" s="1203"/>
      <c r="AA58" s="1204"/>
      <c r="AB58" s="1204"/>
      <c r="AC58" s="1204"/>
      <c r="AD58" s="1204"/>
      <c r="AE58" s="1204"/>
      <c r="AF58" s="1204"/>
      <c r="AG58" s="1204"/>
      <c r="AJ58" s="1203"/>
      <c r="AK58" s="1203"/>
      <c r="AL58" s="1203"/>
      <c r="AM58" s="1204"/>
      <c r="AN58" s="1204"/>
      <c r="AO58" s="1204"/>
      <c r="AP58" s="1204"/>
      <c r="AQ58" s="1204"/>
      <c r="AR58" s="1204"/>
      <c r="AS58" s="1204"/>
      <c r="AT58" s="44"/>
      <c r="AU58" s="1203"/>
      <c r="AV58" s="1203"/>
      <c r="AW58" s="1203"/>
      <c r="AX58" s="1203"/>
      <c r="AY58" s="1204"/>
      <c r="AZ58" s="44"/>
      <c r="BA58" s="1205"/>
      <c r="BB58" s="1206"/>
    </row>
    <row r="59" spans="2:54" x14ac:dyDescent="0.2">
      <c r="W59" s="44"/>
      <c r="X59" s="1203"/>
      <c r="Y59" s="1203"/>
      <c r="Z59" s="1203"/>
      <c r="AA59" s="1204"/>
      <c r="AB59" s="1204"/>
      <c r="AC59" s="1204"/>
      <c r="AD59" s="1204"/>
      <c r="AE59" s="1204"/>
      <c r="AF59" s="1204"/>
      <c r="AG59" s="1204"/>
      <c r="AJ59" s="1203"/>
      <c r="AK59" s="1203"/>
      <c r="AL59" s="1203"/>
      <c r="AM59" s="1204"/>
      <c r="AN59" s="1204"/>
      <c r="AO59" s="1204"/>
      <c r="AP59" s="1204"/>
      <c r="AQ59" s="1204"/>
      <c r="AR59" s="1204"/>
      <c r="AS59" s="1204"/>
      <c r="AT59" s="44"/>
      <c r="AU59" s="1203"/>
      <c r="AV59" s="1203"/>
      <c r="AW59" s="1203"/>
      <c r="AX59" s="1203"/>
      <c r="AY59" s="1204"/>
      <c r="AZ59" s="44"/>
      <c r="BA59" s="1208"/>
      <c r="BB59" s="1209"/>
    </row>
    <row r="60" spans="2:54" x14ac:dyDescent="0.2">
      <c r="W60" s="44"/>
      <c r="X60" s="44"/>
      <c r="Y60" s="44"/>
      <c r="Z60" s="44"/>
      <c r="AA60" s="44"/>
      <c r="AB60" s="44"/>
      <c r="AC60" s="44"/>
      <c r="AD60" s="44"/>
      <c r="AE60" s="44"/>
      <c r="AF60" s="44"/>
      <c r="AG60" s="44"/>
      <c r="AJ60" s="44"/>
      <c r="AK60" s="44"/>
      <c r="AL60" s="44"/>
      <c r="AM60" s="44"/>
      <c r="AN60" s="44"/>
      <c r="AO60" s="44"/>
      <c r="AP60" s="44"/>
      <c r="AQ60" s="44"/>
      <c r="AR60" s="44"/>
      <c r="AS60" s="44"/>
      <c r="AT60" s="44"/>
      <c r="AU60" s="44"/>
      <c r="AV60" s="44"/>
      <c r="AW60" s="44"/>
      <c r="AX60" s="44"/>
      <c r="AY60" s="44"/>
      <c r="AZ60" s="44"/>
      <c r="BA60" s="44"/>
      <c r="BB60" s="44"/>
    </row>
    <row r="61" spans="2:54" x14ac:dyDescent="0.2">
      <c r="W61" s="1207"/>
      <c r="X61" s="44"/>
      <c r="Y61" s="44"/>
      <c r="Z61" s="1210"/>
      <c r="AA61" s="44"/>
      <c r="AB61" s="44"/>
      <c r="AC61" s="44"/>
      <c r="AD61" s="44"/>
      <c r="AE61" s="44"/>
      <c r="AF61" s="44"/>
      <c r="AG61" s="44"/>
      <c r="AJ61" s="44"/>
      <c r="AK61" s="44"/>
      <c r="AL61" s="44"/>
      <c r="AM61" s="44"/>
      <c r="AN61" s="44"/>
      <c r="AO61" s="44"/>
      <c r="AP61" s="44"/>
      <c r="AQ61" s="44"/>
      <c r="AR61" s="44"/>
      <c r="AS61" s="44"/>
      <c r="AT61" s="44"/>
      <c r="AU61" s="44"/>
      <c r="AV61" s="44"/>
      <c r="AW61" s="44"/>
      <c r="AX61" s="44"/>
      <c r="AY61" s="44"/>
      <c r="AZ61" s="44"/>
      <c r="BA61" s="44"/>
      <c r="BB61" s="44"/>
    </row>
    <row r="62" spans="2:54" x14ac:dyDescent="0.2">
      <c r="W62" s="44"/>
      <c r="X62" s="44"/>
      <c r="Y62" s="44"/>
      <c r="Z62" s="1210"/>
      <c r="AA62" s="44"/>
      <c r="AB62" s="44"/>
      <c r="AC62" s="44"/>
      <c r="AD62" s="44"/>
      <c r="AE62" s="44"/>
      <c r="AF62" s="44"/>
      <c r="AG62" s="44"/>
      <c r="AJ62" s="44"/>
      <c r="AK62" s="44"/>
      <c r="AL62" s="44"/>
      <c r="AM62" s="44"/>
      <c r="AN62" s="44"/>
      <c r="AO62" s="44"/>
      <c r="AP62" s="44"/>
      <c r="AQ62" s="44"/>
      <c r="AR62" s="44"/>
      <c r="AS62" s="44"/>
      <c r="AT62" s="44"/>
      <c r="AU62" s="44"/>
      <c r="AV62" s="44"/>
      <c r="AW62" s="44"/>
      <c r="AX62" s="44"/>
      <c r="AY62" s="44"/>
      <c r="AZ62" s="44"/>
      <c r="BA62" s="44"/>
      <c r="BB62" s="44"/>
    </row>
    <row r="63" spans="2:54" x14ac:dyDescent="0.2">
      <c r="W63" s="1202"/>
      <c r="X63" s="1722"/>
      <c r="Y63" s="1722"/>
      <c r="Z63" s="1722"/>
      <c r="AA63" s="1722"/>
      <c r="AB63" s="1417"/>
      <c r="AC63" s="1417"/>
      <c r="AD63" s="1417"/>
      <c r="AE63" s="1417"/>
      <c r="AF63" s="1417"/>
      <c r="AG63" s="1417"/>
      <c r="AJ63" s="1722"/>
      <c r="AK63" s="1722"/>
      <c r="AL63" s="1722"/>
      <c r="AM63" s="1722"/>
      <c r="AN63" s="1417"/>
      <c r="AO63" s="1417"/>
      <c r="AP63" s="1417"/>
      <c r="AQ63" s="1417"/>
      <c r="AR63" s="1417"/>
      <c r="AS63" s="1417"/>
      <c r="AT63" s="44"/>
      <c r="AU63" s="1722"/>
      <c r="AV63" s="1722"/>
      <c r="AW63" s="1722"/>
      <c r="AX63" s="1722"/>
      <c r="AY63" s="1722"/>
      <c r="AZ63" s="44"/>
      <c r="BA63" s="1169"/>
      <c r="BB63" s="1169"/>
    </row>
    <row r="64" spans="2:54" x14ac:dyDescent="0.2">
      <c r="W64" s="44"/>
      <c r="X64" s="1169"/>
      <c r="Y64" s="1169"/>
      <c r="Z64" s="1169"/>
      <c r="AA64" s="1169"/>
      <c r="AB64" s="1169"/>
      <c r="AC64" s="1169"/>
      <c r="AD64" s="1169"/>
      <c r="AE64" s="1169"/>
      <c r="AF64" s="1169"/>
      <c r="AG64" s="1169"/>
      <c r="AJ64" s="1169"/>
      <c r="AK64" s="1169"/>
      <c r="AL64" s="1169"/>
      <c r="AM64" s="1169"/>
      <c r="AN64" s="1169"/>
      <c r="AO64" s="1169"/>
      <c r="AP64" s="1169"/>
      <c r="AQ64" s="1169"/>
      <c r="AR64" s="1169"/>
      <c r="AS64" s="1169"/>
      <c r="AT64" s="44"/>
      <c r="AU64" s="1169"/>
      <c r="AV64" s="1169"/>
      <c r="AW64" s="1169"/>
      <c r="AX64" s="1169"/>
      <c r="AY64" s="1169"/>
      <c r="AZ64" s="44"/>
      <c r="BA64" s="1169"/>
      <c r="BB64" s="1169"/>
    </row>
    <row r="65" spans="23:54" x14ac:dyDescent="0.2">
      <c r="W65" s="44"/>
      <c r="X65" s="1203"/>
      <c r="Y65" s="1203"/>
      <c r="Z65" s="1203"/>
      <c r="AA65" s="1204"/>
      <c r="AB65" s="1204"/>
      <c r="AC65" s="1204"/>
      <c r="AD65" s="1204"/>
      <c r="AE65" s="1204"/>
      <c r="AF65" s="1204"/>
      <c r="AG65" s="1204"/>
      <c r="AJ65" s="1203"/>
      <c r="AK65" s="1203"/>
      <c r="AL65" s="1203"/>
      <c r="AM65" s="1204"/>
      <c r="AN65" s="1204"/>
      <c r="AO65" s="1204"/>
      <c r="AP65" s="1204"/>
      <c r="AQ65" s="1204"/>
      <c r="AR65" s="1204"/>
      <c r="AS65" s="1204"/>
      <c r="AT65" s="44"/>
      <c r="AU65" s="1203"/>
      <c r="AV65" s="1203"/>
      <c r="AW65" s="1203"/>
      <c r="AX65" s="1203"/>
      <c r="AY65" s="1204"/>
      <c r="AZ65" s="44"/>
      <c r="BA65" s="1211"/>
      <c r="BB65" s="1206"/>
    </row>
    <row r="66" spans="23:54" x14ac:dyDescent="0.2">
      <c r="W66" s="44"/>
      <c r="X66" s="1203"/>
      <c r="Y66" s="1203"/>
      <c r="Z66" s="1203"/>
      <c r="AA66" s="1204"/>
      <c r="AB66" s="1204"/>
      <c r="AC66" s="1204"/>
      <c r="AD66" s="1204"/>
      <c r="AE66" s="1204"/>
      <c r="AF66" s="1204"/>
      <c r="AG66" s="1204"/>
      <c r="AJ66" s="1203"/>
      <c r="AK66" s="1203"/>
      <c r="AL66" s="1203"/>
      <c r="AM66" s="1204"/>
      <c r="AN66" s="1204"/>
      <c r="AO66" s="1204"/>
      <c r="AP66" s="1204"/>
      <c r="AQ66" s="1204"/>
      <c r="AR66" s="1204"/>
      <c r="AS66" s="1204"/>
      <c r="AT66" s="44"/>
      <c r="AU66" s="1203"/>
      <c r="AV66" s="1203"/>
      <c r="AW66" s="1203"/>
      <c r="AX66" s="1203"/>
      <c r="AY66" s="1204"/>
      <c r="AZ66" s="44"/>
      <c r="BA66" s="1211"/>
      <c r="BB66" s="1206"/>
    </row>
    <row r="67" spans="23:54" x14ac:dyDescent="0.2">
      <c r="W67" s="44"/>
      <c r="X67" s="1203"/>
      <c r="Y67" s="1203"/>
      <c r="Z67" s="1203"/>
      <c r="AA67" s="1204"/>
      <c r="AB67" s="1204"/>
      <c r="AC67" s="1204"/>
      <c r="AD67" s="1204"/>
      <c r="AE67" s="1204"/>
      <c r="AF67" s="1204"/>
      <c r="AG67" s="1204"/>
      <c r="AJ67" s="1203"/>
      <c r="AK67" s="1203"/>
      <c r="AL67" s="1203"/>
      <c r="AM67" s="1204"/>
      <c r="AN67" s="1204"/>
      <c r="AO67" s="1204"/>
      <c r="AP67" s="1204"/>
      <c r="AQ67" s="1204"/>
      <c r="AR67" s="1204"/>
      <c r="AS67" s="1204"/>
      <c r="AT67" s="44"/>
      <c r="AU67" s="1203"/>
      <c r="AV67" s="1203"/>
      <c r="AW67" s="1203"/>
      <c r="AX67" s="1203"/>
      <c r="AY67" s="1204"/>
      <c r="AZ67" s="44"/>
      <c r="BA67" s="1211"/>
      <c r="BB67" s="1206"/>
    </row>
    <row r="68" spans="23:54" x14ac:dyDescent="0.2">
      <c r="W68" s="44"/>
      <c r="X68" s="1203"/>
      <c r="Y68" s="1203"/>
      <c r="Z68" s="1203"/>
      <c r="AA68" s="1204"/>
      <c r="AB68" s="1204"/>
      <c r="AC68" s="1204"/>
      <c r="AD68" s="1204"/>
      <c r="AE68" s="1204"/>
      <c r="AF68" s="1204"/>
      <c r="AG68" s="1204"/>
      <c r="AJ68" s="1203"/>
      <c r="AK68" s="1203"/>
      <c r="AL68" s="1203"/>
      <c r="AM68" s="1204"/>
      <c r="AN68" s="1204"/>
      <c r="AO68" s="1204"/>
      <c r="AP68" s="1204"/>
      <c r="AQ68" s="1204"/>
      <c r="AR68" s="1204"/>
      <c r="AS68" s="1204"/>
      <c r="AT68" s="44"/>
      <c r="AU68" s="1203"/>
      <c r="AV68" s="1203"/>
      <c r="AW68" s="1203"/>
      <c r="AX68" s="1203"/>
      <c r="AY68" s="1204"/>
      <c r="AZ68" s="44"/>
      <c r="BA68" s="1211"/>
      <c r="BB68" s="1206"/>
    </row>
    <row r="69" spans="23:54" x14ac:dyDescent="0.2">
      <c r="W69" s="1207"/>
      <c r="X69" s="1203"/>
      <c r="Y69" s="1203"/>
      <c r="Z69" s="1203"/>
      <c r="AA69" s="1204"/>
      <c r="AB69" s="1204"/>
      <c r="AC69" s="1204"/>
      <c r="AD69" s="1204"/>
      <c r="AE69" s="1204"/>
      <c r="AF69" s="1204"/>
      <c r="AG69" s="1204"/>
      <c r="AJ69" s="1203"/>
      <c r="AK69" s="1203"/>
      <c r="AL69" s="1203"/>
      <c r="AM69" s="1204"/>
      <c r="AN69" s="1204"/>
      <c r="AO69" s="1204"/>
      <c r="AP69" s="1204"/>
      <c r="AQ69" s="1204"/>
      <c r="AR69" s="1204"/>
      <c r="AS69" s="1204"/>
      <c r="AT69" s="44"/>
      <c r="AU69" s="1203"/>
      <c r="AV69" s="1203"/>
      <c r="AW69" s="1203"/>
      <c r="AX69" s="1203"/>
      <c r="AY69" s="1204"/>
      <c r="AZ69" s="44"/>
      <c r="BA69" s="1211"/>
      <c r="BB69" s="1206"/>
    </row>
    <row r="70" spans="23:54" x14ac:dyDescent="0.2">
      <c r="W70" s="44"/>
      <c r="X70" s="1203"/>
      <c r="Y70" s="1203"/>
      <c r="Z70" s="1203"/>
      <c r="AA70" s="1204"/>
      <c r="AB70" s="1204"/>
      <c r="AC70" s="1204"/>
      <c r="AD70" s="1204"/>
      <c r="AE70" s="1204"/>
      <c r="AF70" s="1204"/>
      <c r="AG70" s="1204"/>
      <c r="AJ70" s="1203"/>
      <c r="AK70" s="1203"/>
      <c r="AL70" s="1203"/>
      <c r="AM70" s="1204"/>
      <c r="AN70" s="1204"/>
      <c r="AO70" s="1204"/>
      <c r="AP70" s="1204"/>
      <c r="AQ70" s="1204"/>
      <c r="AR70" s="1204"/>
      <c r="AS70" s="1204"/>
      <c r="AT70" s="44"/>
      <c r="AU70" s="1203"/>
      <c r="AV70" s="1203"/>
      <c r="AW70" s="1203"/>
      <c r="AX70" s="1203"/>
      <c r="AY70" s="1204"/>
      <c r="AZ70" s="44"/>
      <c r="BA70" s="1211"/>
      <c r="BB70" s="1209"/>
    </row>
    <row r="71" spans="23:54" x14ac:dyDescent="0.2">
      <c r="W71" s="44"/>
      <c r="X71" s="44"/>
      <c r="Y71" s="44"/>
      <c r="Z71" s="1210"/>
      <c r="AA71" s="44"/>
      <c r="AB71" s="44"/>
      <c r="AC71" s="44"/>
      <c r="AD71" s="44"/>
      <c r="AE71" s="44"/>
      <c r="AF71" s="44"/>
      <c r="AG71" s="44"/>
      <c r="AJ71" s="44"/>
      <c r="AK71" s="1210"/>
      <c r="AL71" s="1210"/>
      <c r="AM71" s="44"/>
      <c r="AN71" s="44"/>
      <c r="AO71" s="44"/>
      <c r="AP71" s="44"/>
      <c r="AQ71" s="44"/>
      <c r="AR71" s="44"/>
      <c r="AS71" s="44"/>
      <c r="AT71" s="44"/>
      <c r="AU71" s="44"/>
      <c r="AV71" s="44"/>
      <c r="AW71" s="44"/>
      <c r="AX71" s="44"/>
      <c r="AY71" s="44"/>
      <c r="AZ71" s="44"/>
      <c r="BA71" s="44"/>
      <c r="BB71" s="44"/>
    </row>
    <row r="72" spans="23:54" x14ac:dyDescent="0.2">
      <c r="W72" s="1207"/>
      <c r="X72" s="44"/>
      <c r="Y72" s="44"/>
      <c r="Z72" s="1210"/>
      <c r="AA72" s="44"/>
      <c r="AB72" s="44"/>
      <c r="AC72" s="44"/>
      <c r="AD72" s="44"/>
      <c r="AE72" s="44"/>
      <c r="AF72" s="44"/>
      <c r="AG72" s="44"/>
      <c r="AJ72" s="44"/>
      <c r="AK72" s="44"/>
      <c r="AL72" s="1210"/>
      <c r="AM72" s="44"/>
      <c r="AN72" s="44"/>
      <c r="AO72" s="44"/>
      <c r="AP72" s="44"/>
      <c r="AQ72" s="44"/>
      <c r="AR72" s="44"/>
      <c r="AS72" s="44"/>
      <c r="AT72" s="44"/>
      <c r="AU72" s="44"/>
      <c r="AV72" s="44"/>
      <c r="AW72" s="44"/>
      <c r="AX72" s="44"/>
      <c r="AY72" s="44"/>
      <c r="AZ72" s="44"/>
      <c r="BA72" s="44"/>
      <c r="BB72" s="44"/>
    </row>
    <row r="73" spans="23:54" x14ac:dyDescent="0.2">
      <c r="W73" s="44"/>
      <c r="X73" s="44"/>
      <c r="Y73" s="44"/>
      <c r="Z73" s="44"/>
      <c r="AA73" s="44"/>
      <c r="AB73" s="44"/>
      <c r="AC73" s="44"/>
      <c r="AD73" s="44"/>
      <c r="AE73" s="44"/>
      <c r="AF73" s="44"/>
      <c r="AG73" s="44"/>
      <c r="AJ73" s="44"/>
      <c r="AK73" s="44"/>
      <c r="AL73" s="44"/>
      <c r="AM73" s="44"/>
      <c r="AN73" s="44"/>
      <c r="AO73" s="44"/>
      <c r="AP73" s="44"/>
      <c r="AQ73" s="44"/>
      <c r="AR73" s="44"/>
      <c r="AS73" s="44"/>
      <c r="AT73" s="44"/>
      <c r="AU73" s="44"/>
      <c r="AV73" s="44"/>
      <c r="AW73" s="44"/>
      <c r="AX73" s="44"/>
      <c r="AY73" s="44"/>
      <c r="AZ73" s="44"/>
      <c r="BA73" s="44"/>
      <c r="BB73" s="44"/>
    </row>
  </sheetData>
  <mergeCells count="29">
    <mergeCell ref="X1:Z1"/>
    <mergeCell ref="BB1:BD1"/>
    <mergeCell ref="X2:X3"/>
    <mergeCell ref="Y2:Y3"/>
    <mergeCell ref="Z2:Z3"/>
    <mergeCell ref="BB2:BB3"/>
    <mergeCell ref="BC2:BC3"/>
    <mergeCell ref="BD2:BD3"/>
    <mergeCell ref="BC12:BE12"/>
    <mergeCell ref="X52:AA52"/>
    <mergeCell ref="AJ52:AM52"/>
    <mergeCell ref="AU52:AY52"/>
    <mergeCell ref="F12:G12"/>
    <mergeCell ref="H12:I12"/>
    <mergeCell ref="S12:V12"/>
    <mergeCell ref="Y12:AA12"/>
    <mergeCell ref="AL12:AM12"/>
    <mergeCell ref="X63:AA63"/>
    <mergeCell ref="AJ63:AM63"/>
    <mergeCell ref="AU63:AY63"/>
    <mergeCell ref="J12:L12"/>
    <mergeCell ref="M12:O12"/>
    <mergeCell ref="P12:R12"/>
    <mergeCell ref="AW12:AZ12"/>
    <mergeCell ref="J11:O11"/>
    <mergeCell ref="AN12:AP12"/>
    <mergeCell ref="AQ12:AS12"/>
    <mergeCell ref="AT12:AV12"/>
    <mergeCell ref="AN11:AV11"/>
  </mergeCells>
  <printOptions verticalCentered="1"/>
  <pageMargins left="0.25" right="0.25" top="0.5" bottom="0.5" header="0.25" footer="0.25"/>
  <pageSetup scale="76" orientation="landscape" r:id="rId1"/>
  <headerFooter alignWithMargins="0">
    <oddHeader>&amp;RUG 388 - NW Natural/2500
Wyman/WP02</oddHeader>
    <oddFooter xml:space="preserve">&amp;C&amp;F &amp;D &amp;T
&amp;A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pane xSplit="3" ySplit="16" topLeftCell="D17" activePane="bottomRight" state="frozen"/>
      <selection pane="topRight" activeCell="D1" sqref="D1"/>
      <selection pane="bottomLeft" activeCell="A17" sqref="A17"/>
      <selection pane="bottomRight" activeCell="I33" sqref="I33"/>
    </sheetView>
  </sheetViews>
  <sheetFormatPr defaultColWidth="10.1640625" defaultRowHeight="12.75" x14ac:dyDescent="0.2"/>
  <cols>
    <col min="1" max="1" width="7.33203125" style="517" customWidth="1"/>
    <col min="2" max="2" width="16" style="479" customWidth="1"/>
    <col min="3" max="3" width="10.1640625" style="490"/>
    <col min="4" max="4" width="17.1640625" style="491" customWidth="1"/>
    <col min="5" max="5" width="16.5" style="491" customWidth="1"/>
    <col min="6" max="6" width="17.1640625" style="491" customWidth="1"/>
    <col min="7" max="7" width="17.5" style="491" customWidth="1"/>
    <col min="8" max="8" width="28.6640625" style="491" bestFit="1" customWidth="1"/>
    <col min="9" max="9" width="15.1640625" style="502" customWidth="1"/>
    <col min="10" max="10" width="16.83203125" style="494" customWidth="1"/>
    <col min="11" max="11" width="13.83203125" style="494" customWidth="1"/>
    <col min="12" max="12" width="13.83203125" style="502" customWidth="1"/>
    <col min="13" max="13" width="16.1640625" style="494" customWidth="1"/>
    <col min="14" max="16" width="13.83203125" style="494" customWidth="1"/>
    <col min="17" max="17" width="13.83203125" style="502" customWidth="1"/>
    <col min="18" max="18" width="16.1640625" style="494" customWidth="1"/>
    <col min="19" max="20" width="13.83203125" style="494" customWidth="1"/>
    <col min="21" max="21" width="13.83203125" style="502" customWidth="1"/>
    <col min="22" max="22" width="16.1640625" style="494" customWidth="1"/>
    <col min="23" max="24" width="13.83203125" style="494" customWidth="1"/>
    <col min="25" max="16384" width="10.1640625" style="494"/>
  </cols>
  <sheetData>
    <row r="1" spans="1:24" x14ac:dyDescent="0.2">
      <c r="A1" s="129" t="e">
        <f>+#REF!</f>
        <v>#REF!</v>
      </c>
      <c r="H1" s="492"/>
      <c r="I1" s="1592"/>
      <c r="J1" s="1592"/>
      <c r="K1" s="483"/>
      <c r="L1" s="493"/>
      <c r="Q1" s="493"/>
      <c r="U1" s="493"/>
    </row>
    <row r="2" spans="1:24" x14ac:dyDescent="0.2">
      <c r="A2" s="129" t="e">
        <f>+#REF!</f>
        <v>#REF!</v>
      </c>
      <c r="H2" s="492"/>
      <c r="I2" s="1594"/>
      <c r="J2" s="1594"/>
      <c r="K2" s="484"/>
      <c r="L2" s="493"/>
      <c r="Q2" s="493"/>
      <c r="U2" s="493"/>
    </row>
    <row r="3" spans="1:24" x14ac:dyDescent="0.2">
      <c r="A3" s="129" t="e">
        <f>+#REF!</f>
        <v>#REF!</v>
      </c>
      <c r="H3" s="492"/>
      <c r="I3" s="495"/>
      <c r="J3" s="496"/>
      <c r="K3" s="497"/>
      <c r="L3" s="495"/>
      <c r="Q3" s="495"/>
      <c r="U3" s="495"/>
    </row>
    <row r="4" spans="1:24" x14ac:dyDescent="0.2">
      <c r="A4" s="129" t="e">
        <f>+#REF!</f>
        <v>#REF!</v>
      </c>
      <c r="H4" s="492"/>
      <c r="I4" s="498"/>
      <c r="J4" s="496"/>
      <c r="K4" s="499"/>
      <c r="L4" s="498"/>
      <c r="M4" s="500"/>
      <c r="Q4" s="498"/>
      <c r="R4" s="500"/>
      <c r="U4" s="498"/>
      <c r="V4" s="500"/>
    </row>
    <row r="5" spans="1:24" x14ac:dyDescent="0.2">
      <c r="A5" s="423" t="s">
        <v>173</v>
      </c>
      <c r="D5" s="490"/>
      <c r="E5" s="490"/>
      <c r="F5" s="490"/>
      <c r="G5" s="490"/>
      <c r="H5" s="492"/>
      <c r="I5" s="495"/>
      <c r="K5" s="499"/>
      <c r="L5" s="495"/>
      <c r="M5" s="500"/>
      <c r="Q5" s="495"/>
      <c r="R5" s="500"/>
      <c r="U5" s="495"/>
      <c r="V5" s="500"/>
    </row>
    <row r="6" spans="1:24" x14ac:dyDescent="0.2">
      <c r="A6" s="45" t="e">
        <f>#REF!</f>
        <v>#REF!</v>
      </c>
      <c r="D6" s="490"/>
      <c r="E6" s="490"/>
      <c r="F6" s="490"/>
      <c r="G6" s="490"/>
      <c r="H6" s="492"/>
      <c r="I6" s="495"/>
      <c r="K6" s="327"/>
      <c r="L6" s="327"/>
      <c r="M6" s="327"/>
      <c r="N6" s="327"/>
      <c r="O6" s="327"/>
      <c r="P6" s="327"/>
      <c r="Q6" s="495"/>
      <c r="U6" s="495"/>
    </row>
    <row r="7" spans="1:24" x14ac:dyDescent="0.2">
      <c r="D7" s="490"/>
      <c r="E7" s="490"/>
      <c r="F7" s="490"/>
      <c r="G7" s="490"/>
      <c r="H7" s="492"/>
      <c r="I7" s="495"/>
      <c r="K7" s="501"/>
      <c r="L7" s="501"/>
      <c r="M7" s="501"/>
      <c r="N7" s="501"/>
      <c r="O7" s="501"/>
      <c r="P7" s="501"/>
      <c r="Q7" s="495"/>
      <c r="S7" s="499"/>
      <c r="U7" s="495"/>
      <c r="W7" s="499"/>
    </row>
    <row r="8" spans="1:24" x14ac:dyDescent="0.2">
      <c r="D8" s="490"/>
      <c r="E8" s="490"/>
      <c r="F8" s="490"/>
      <c r="G8" s="490"/>
      <c r="H8" s="492"/>
      <c r="K8" s="327"/>
      <c r="L8" s="327"/>
      <c r="M8" s="327"/>
      <c r="N8" s="327"/>
      <c r="O8" s="327"/>
      <c r="P8" s="327"/>
      <c r="Q8" s="1592"/>
      <c r="R8" s="1592"/>
      <c r="S8" s="1592"/>
      <c r="U8" s="1592"/>
      <c r="V8" s="1592"/>
      <c r="W8" s="1592"/>
    </row>
    <row r="9" spans="1:24" x14ac:dyDescent="0.2">
      <c r="A9" s="503"/>
      <c r="D9" s="490"/>
      <c r="E9" s="490"/>
      <c r="F9" s="490"/>
      <c r="G9" s="490"/>
      <c r="H9" s="492"/>
      <c r="L9" s="1593"/>
      <c r="M9" s="1593"/>
      <c r="N9" s="1593"/>
      <c r="O9" s="529"/>
      <c r="P9" s="529"/>
      <c r="Q9" s="1594"/>
      <c r="R9" s="1594"/>
      <c r="S9" s="1594"/>
      <c r="U9" s="1594"/>
      <c r="V9" s="1594"/>
      <c r="W9" s="1594"/>
    </row>
    <row r="10" spans="1:24" ht="15" customHeight="1" thickBot="1" x14ac:dyDescent="0.25">
      <c r="A10" s="105">
        <v>1</v>
      </c>
      <c r="D10" s="504"/>
      <c r="E10" s="504"/>
      <c r="F10" s="504"/>
      <c r="G10" s="504"/>
      <c r="H10" s="505"/>
      <c r="I10" s="1595" t="s">
        <v>288</v>
      </c>
      <c r="J10" s="1596"/>
      <c r="K10" s="1597"/>
      <c r="L10" s="1595" t="s">
        <v>288</v>
      </c>
      <c r="M10" s="1596"/>
      <c r="N10" s="1596"/>
      <c r="O10" s="1596"/>
      <c r="P10" s="1597"/>
      <c r="Q10" s="1595" t="s">
        <v>288</v>
      </c>
      <c r="R10" s="1596"/>
      <c r="S10" s="1596"/>
      <c r="T10" s="1596"/>
      <c r="U10" s="1595" t="s">
        <v>288</v>
      </c>
      <c r="V10" s="1596"/>
      <c r="W10" s="1596"/>
      <c r="X10" s="1597"/>
    </row>
    <row r="11" spans="1:24" ht="15" customHeight="1" thickBot="1" x14ac:dyDescent="0.25">
      <c r="A11" s="105">
        <f t="shared" ref="A11:A88" si="0">+A10+1</f>
        <v>2</v>
      </c>
      <c r="D11" s="430" t="s">
        <v>240</v>
      </c>
      <c r="E11" s="506" t="s">
        <v>18</v>
      </c>
      <c r="F11" s="51" t="str">
        <f>D11</f>
        <v>UG XXXXXX</v>
      </c>
      <c r="G11" s="51" t="str">
        <f>F11</f>
        <v>UG XXXXXX</v>
      </c>
      <c r="H11" s="507" t="s">
        <v>29</v>
      </c>
      <c r="I11" s="849"/>
      <c r="J11" s="509" t="s">
        <v>159</v>
      </c>
      <c r="K11" s="510"/>
      <c r="L11" s="511"/>
      <c r="M11" s="509" t="s">
        <v>159</v>
      </c>
      <c r="N11" s="509"/>
      <c r="O11" s="509"/>
      <c r="P11" s="509"/>
      <c r="Q11" s="508"/>
      <c r="R11" s="509" t="s">
        <v>159</v>
      </c>
      <c r="S11" s="509"/>
      <c r="T11" s="510"/>
      <c r="U11" s="508"/>
      <c r="V11" s="509" t="s">
        <v>159</v>
      </c>
      <c r="W11" s="509"/>
      <c r="X11" s="510"/>
    </row>
    <row r="12" spans="1:24" ht="15" customHeight="1" thickBot="1" x14ac:dyDescent="0.25">
      <c r="A12" s="105">
        <f t="shared" si="0"/>
        <v>3</v>
      </c>
      <c r="D12" s="51" t="s">
        <v>244</v>
      </c>
      <c r="E12" s="134" t="str">
        <f>'Allocation = % of Margin'!G9</f>
        <v>MARGIN</v>
      </c>
      <c r="F12" s="51" t="str">
        <f>D12</f>
        <v>WA GRC</v>
      </c>
      <c r="G12" s="51" t="str">
        <f>F12</f>
        <v>WA GRC</v>
      </c>
      <c r="H12" s="507" t="s">
        <v>24</v>
      </c>
      <c r="I12" s="435">
        <v>4.1579999999999999E-2</v>
      </c>
      <c r="J12" s="509" t="str">
        <f>IF(I12="&lt; n/a &gt;","rev sensitive factor is built in","add revenue sensitive factor")</f>
        <v>add revenue sensitive factor</v>
      </c>
      <c r="K12" s="510"/>
      <c r="L12" s="512">
        <f>I12</f>
        <v>4.1579999999999999E-2</v>
      </c>
      <c r="M12" s="509" t="str">
        <f>IF(L12="&lt; n/a &gt;","rev sensitive factor is built in","add revenue sensitive factor")</f>
        <v>add revenue sensitive factor</v>
      </c>
      <c r="N12" s="509"/>
      <c r="O12" s="509"/>
      <c r="P12" s="509"/>
      <c r="Q12" s="435">
        <f>I12</f>
        <v>4.1579999999999999E-2</v>
      </c>
      <c r="R12" s="509" t="str">
        <f>IF(Q12="&lt; n/a &gt;","rev sensitive factor is built in","add revenue sensitive factor")</f>
        <v>add revenue sensitive factor</v>
      </c>
      <c r="S12" s="509"/>
      <c r="T12" s="510"/>
      <c r="U12" s="435">
        <f>I12</f>
        <v>4.1579999999999999E-2</v>
      </c>
      <c r="V12" s="509" t="str">
        <f>IF(U12="&lt; n/a &gt;","rev sensitive factor is built in","add revenue sensitive factor")</f>
        <v>add revenue sensitive factor</v>
      </c>
      <c r="W12" s="509"/>
      <c r="X12" s="510"/>
    </row>
    <row r="13" spans="1:24" s="516" customFormat="1" ht="15" customHeight="1" thickBot="1" x14ac:dyDescent="0.25">
      <c r="A13" s="105">
        <f t="shared" si="0"/>
        <v>4</v>
      </c>
      <c r="B13" s="479"/>
      <c r="C13" s="490"/>
      <c r="D13" s="347" t="s">
        <v>153</v>
      </c>
      <c r="E13" s="439" t="str">
        <f>'Allocation = % of Margin'!G10</f>
        <v>Rate</v>
      </c>
      <c r="F13" s="347" t="s">
        <v>199</v>
      </c>
      <c r="G13" s="347" t="s">
        <v>197</v>
      </c>
      <c r="H13" s="507" t="s">
        <v>25</v>
      </c>
      <c r="I13" s="513">
        <f>IF(I12="&lt; n/a &gt;",I11,ROUND(+I11/(1-I12),0))</f>
        <v>0</v>
      </c>
      <c r="J13" s="511" t="s">
        <v>161</v>
      </c>
      <c r="K13" s="514"/>
      <c r="L13" s="515">
        <f>IF(L12="&lt; n/a &gt;",L11,ROUND(+L11/(1-L12),0))</f>
        <v>0</v>
      </c>
      <c r="M13" s="511" t="s">
        <v>161</v>
      </c>
      <c r="N13" s="511"/>
      <c r="O13" s="511"/>
      <c r="P13" s="511"/>
      <c r="Q13" s="513">
        <f>IF(Q12="&lt; n/a &gt;",Q11,ROUND(+Q11/(1-Q12),0))</f>
        <v>0</v>
      </c>
      <c r="R13" s="511" t="s">
        <v>161</v>
      </c>
      <c r="S13" s="511"/>
      <c r="T13" s="514"/>
      <c r="U13" s="513">
        <f>IF(U12="&lt; n/a &gt;",U11,ROUND(+U11/(1-U12),0))</f>
        <v>0</v>
      </c>
      <c r="V13" s="511" t="s">
        <v>161</v>
      </c>
      <c r="W13" s="511"/>
      <c r="X13" s="514"/>
    </row>
    <row r="14" spans="1:24" s="516" customFormat="1" x14ac:dyDescent="0.2">
      <c r="A14" s="105">
        <f t="shared" si="0"/>
        <v>5</v>
      </c>
      <c r="B14" s="517"/>
      <c r="C14" s="494"/>
      <c r="E14" s="530"/>
      <c r="H14" s="694"/>
      <c r="I14" s="518" t="s">
        <v>22</v>
      </c>
      <c r="J14" s="444" t="s">
        <v>153</v>
      </c>
      <c r="K14" s="445" t="s">
        <v>23</v>
      </c>
      <c r="L14" s="444" t="s">
        <v>22</v>
      </c>
      <c r="M14" s="444" t="s">
        <v>153</v>
      </c>
      <c r="N14" s="444" t="s">
        <v>196</v>
      </c>
      <c r="O14" s="444" t="s">
        <v>196</v>
      </c>
      <c r="P14" s="445" t="s">
        <v>198</v>
      </c>
      <c r="Q14" s="518" t="s">
        <v>22</v>
      </c>
      <c r="R14" s="444" t="s">
        <v>153</v>
      </c>
      <c r="S14" s="444" t="s">
        <v>196</v>
      </c>
      <c r="T14" s="445" t="s">
        <v>196</v>
      </c>
      <c r="U14" s="518" t="s">
        <v>22</v>
      </c>
      <c r="V14" s="692" t="s">
        <v>220</v>
      </c>
      <c r="W14" s="444" t="s">
        <v>196</v>
      </c>
      <c r="X14" s="445" t="s">
        <v>196</v>
      </c>
    </row>
    <row r="15" spans="1:24" s="516" customFormat="1" x14ac:dyDescent="0.2">
      <c r="A15" s="105">
        <f t="shared" si="0"/>
        <v>6</v>
      </c>
      <c r="B15" s="517"/>
      <c r="C15" s="494"/>
      <c r="E15" s="504"/>
      <c r="H15" s="695"/>
      <c r="I15" s="518"/>
      <c r="J15" s="444"/>
      <c r="K15" s="445"/>
      <c r="L15" s="444"/>
      <c r="M15" s="444"/>
      <c r="N15" s="444" t="s">
        <v>23</v>
      </c>
      <c r="O15" s="444" t="s">
        <v>28</v>
      </c>
      <c r="P15" s="445" t="s">
        <v>28</v>
      </c>
      <c r="Q15" s="518"/>
      <c r="R15" s="444"/>
      <c r="S15" s="444" t="s">
        <v>23</v>
      </c>
      <c r="T15" s="445" t="s">
        <v>28</v>
      </c>
      <c r="U15" s="518"/>
      <c r="V15" s="444"/>
      <c r="W15" s="444" t="s">
        <v>23</v>
      </c>
      <c r="X15" s="445" t="s">
        <v>28</v>
      </c>
    </row>
    <row r="16" spans="1:24" s="516" customFormat="1" x14ac:dyDescent="0.2">
      <c r="A16" s="105">
        <f t="shared" si="0"/>
        <v>7</v>
      </c>
      <c r="B16" s="653" t="s">
        <v>2</v>
      </c>
      <c r="C16" s="444" t="s">
        <v>3</v>
      </c>
      <c r="D16" s="448" t="s">
        <v>35</v>
      </c>
      <c r="E16" s="448" t="s">
        <v>36</v>
      </c>
      <c r="F16" s="448" t="s">
        <v>13</v>
      </c>
      <c r="G16" s="448" t="s">
        <v>37</v>
      </c>
      <c r="H16" s="696"/>
      <c r="I16" s="519" t="s">
        <v>38</v>
      </c>
      <c r="J16" s="448" t="s">
        <v>39</v>
      </c>
      <c r="K16" s="449" t="s">
        <v>40</v>
      </c>
      <c r="L16" s="448" t="s">
        <v>109</v>
      </c>
      <c r="M16" s="448" t="s">
        <v>110</v>
      </c>
      <c r="N16" s="448" t="s">
        <v>43</v>
      </c>
      <c r="O16" s="448" t="s">
        <v>111</v>
      </c>
      <c r="P16" s="449" t="s">
        <v>112</v>
      </c>
      <c r="Q16" s="519" t="s">
        <v>113</v>
      </c>
      <c r="R16" s="448" t="s">
        <v>114</v>
      </c>
      <c r="S16" s="448" t="s">
        <v>115</v>
      </c>
      <c r="T16" s="449" t="s">
        <v>71</v>
      </c>
      <c r="U16" s="519" t="s">
        <v>113</v>
      </c>
      <c r="V16" s="448" t="s">
        <v>114</v>
      </c>
      <c r="W16" s="448" t="s">
        <v>115</v>
      </c>
      <c r="X16" s="449" t="s">
        <v>71</v>
      </c>
    </row>
    <row r="17" spans="1:24" x14ac:dyDescent="0.2">
      <c r="A17" s="105">
        <f t="shared" si="0"/>
        <v>8</v>
      </c>
      <c r="B17" s="669" t="e">
        <f>#REF!</f>
        <v>#REF!</v>
      </c>
      <c r="C17" s="669" t="e">
        <f>#REF!</f>
        <v>#REF!</v>
      </c>
      <c r="D17" s="454" t="e">
        <f>#REF!</f>
        <v>#REF!</v>
      </c>
      <c r="E17" s="451">
        <f>'Allocation = % of Margin'!E14</f>
        <v>0.67652999999999996</v>
      </c>
      <c r="F17" s="455">
        <f>'Allocation = % of Margin'!J14</f>
        <v>145254</v>
      </c>
      <c r="G17" s="455">
        <f>'Allocation = % of Margin'!O14</f>
        <v>208635.2992440185</v>
      </c>
      <c r="H17" s="697"/>
      <c r="I17" s="520">
        <v>1</v>
      </c>
      <c r="J17" s="521" t="e">
        <f>+$D17*I17</f>
        <v>#REF!</v>
      </c>
      <c r="K17" s="458" t="e">
        <f>+I17*$K$87</f>
        <v>#REF!</v>
      </c>
      <c r="L17" s="522">
        <v>1</v>
      </c>
      <c r="M17" s="521" t="e">
        <f>+$D17*L17</f>
        <v>#REF!</v>
      </c>
      <c r="N17" s="456" t="e">
        <f>M17*O17</f>
        <v>#REF!</v>
      </c>
      <c r="O17" s="457" t="e">
        <f>+$O$87*L17</f>
        <v>#REF!</v>
      </c>
      <c r="P17" s="458" t="e">
        <f>O17</f>
        <v>#REF!</v>
      </c>
      <c r="Q17" s="520">
        <v>1</v>
      </c>
      <c r="R17" s="521" t="e">
        <f>+$D17*Q17</f>
        <v>#REF!</v>
      </c>
      <c r="S17" s="455" t="e">
        <f>R17*T17</f>
        <v>#REF!</v>
      </c>
      <c r="T17" s="458" t="e">
        <f>+$T$87*Q17</f>
        <v>#REF!</v>
      </c>
      <c r="U17" s="520">
        <v>1</v>
      </c>
      <c r="V17" s="521" t="e">
        <f>#REF!*U17</f>
        <v>#REF!</v>
      </c>
      <c r="W17" s="455" t="e">
        <f>V17*X17</f>
        <v>#REF!</v>
      </c>
      <c r="X17" s="458">
        <f>+$X$86*U17</f>
        <v>0</v>
      </c>
    </row>
    <row r="18" spans="1:24" x14ac:dyDescent="0.2">
      <c r="A18" s="105">
        <f t="shared" si="0"/>
        <v>9</v>
      </c>
      <c r="B18" s="669" t="e">
        <f>#REF!</f>
        <v>#REF!</v>
      </c>
      <c r="C18" s="669" t="e">
        <f>#REF!</f>
        <v>#REF!</v>
      </c>
      <c r="D18" s="454" t="e">
        <f>#REF!</f>
        <v>#REF!</v>
      </c>
      <c r="E18" s="451">
        <f>'Allocation = % of Margin'!E15</f>
        <v>0.73148999999999997</v>
      </c>
      <c r="F18" s="455">
        <f>'Allocation = % of Margin'!J15</f>
        <v>34043</v>
      </c>
      <c r="G18" s="455">
        <f>'Allocation = % of Margin'!O15</f>
        <v>37604.525911352161</v>
      </c>
      <c r="H18" s="697"/>
      <c r="I18" s="520">
        <v>1</v>
      </c>
      <c r="J18" s="521" t="e">
        <f t="shared" ref="J18:J80" si="1">+$D18*I18</f>
        <v>#REF!</v>
      </c>
      <c r="K18" s="458" t="e">
        <f t="shared" ref="K18:K81" si="2">+I18*$K$87</f>
        <v>#REF!</v>
      </c>
      <c r="L18" s="522">
        <v>1</v>
      </c>
      <c r="M18" s="521" t="e">
        <f t="shared" ref="M18:M81" si="3">+$D18*L18</f>
        <v>#REF!</v>
      </c>
      <c r="N18" s="455" t="e">
        <f t="shared" ref="N18:N81" si="4">M18*O18</f>
        <v>#REF!</v>
      </c>
      <c r="O18" s="457" t="e">
        <f t="shared" ref="O18:O81" si="5">+$O$87*L18</f>
        <v>#REF!</v>
      </c>
      <c r="P18" s="458" t="e">
        <f t="shared" ref="P18:P81" si="6">O18</f>
        <v>#REF!</v>
      </c>
      <c r="Q18" s="520">
        <v>1</v>
      </c>
      <c r="R18" s="521" t="e">
        <f t="shared" ref="R18:R81" si="7">+$D18*Q18</f>
        <v>#REF!</v>
      </c>
      <c r="S18" s="455" t="e">
        <f t="shared" ref="S18:S81" si="8">R18*T18</f>
        <v>#REF!</v>
      </c>
      <c r="T18" s="458" t="e">
        <f t="shared" ref="T18:T81" si="9">+$T$87*Q18</f>
        <v>#REF!</v>
      </c>
      <c r="U18" s="520">
        <v>1</v>
      </c>
      <c r="V18" s="521" t="e">
        <f>#REF!*U18</f>
        <v>#REF!</v>
      </c>
      <c r="W18" s="455" t="e">
        <f t="shared" ref="W18:W81" si="10">V18*X18</f>
        <v>#REF!</v>
      </c>
      <c r="X18" s="458">
        <f t="shared" ref="X18:X81" si="11">+$X$86*U18</f>
        <v>0</v>
      </c>
    </row>
    <row r="19" spans="1:24" x14ac:dyDescent="0.2">
      <c r="A19" s="105">
        <f t="shared" si="0"/>
        <v>10</v>
      </c>
      <c r="B19" s="669" t="e">
        <f>#REF!</f>
        <v>#REF!</v>
      </c>
      <c r="C19" s="669" t="e">
        <f>#REF!</f>
        <v>#REF!</v>
      </c>
      <c r="D19" s="454" t="e">
        <f>#REF!</f>
        <v>#REF!</v>
      </c>
      <c r="E19" s="451">
        <f>'Allocation = % of Margin'!E16</f>
        <v>0.45815999999999979</v>
      </c>
      <c r="F19" s="455">
        <f>'Allocation = % of Margin'!J16</f>
        <v>25177503</v>
      </c>
      <c r="G19" s="455">
        <f>'Allocation = % of Margin'!O16</f>
        <v>33798099.797603399</v>
      </c>
      <c r="H19" s="697"/>
      <c r="I19" s="520">
        <v>1</v>
      </c>
      <c r="J19" s="521" t="e">
        <f t="shared" si="1"/>
        <v>#REF!</v>
      </c>
      <c r="K19" s="458" t="e">
        <f t="shared" si="2"/>
        <v>#REF!</v>
      </c>
      <c r="L19" s="522">
        <v>1</v>
      </c>
      <c r="M19" s="521" t="e">
        <f t="shared" si="3"/>
        <v>#REF!</v>
      </c>
      <c r="N19" s="455" t="e">
        <f t="shared" si="4"/>
        <v>#REF!</v>
      </c>
      <c r="O19" s="457" t="e">
        <f t="shared" si="5"/>
        <v>#REF!</v>
      </c>
      <c r="P19" s="458" t="e">
        <f t="shared" si="6"/>
        <v>#REF!</v>
      </c>
      <c r="Q19" s="520">
        <v>1</v>
      </c>
      <c r="R19" s="521" t="e">
        <f t="shared" si="7"/>
        <v>#REF!</v>
      </c>
      <c r="S19" s="455" t="e">
        <f t="shared" si="8"/>
        <v>#REF!</v>
      </c>
      <c r="T19" s="458" t="e">
        <f t="shared" si="9"/>
        <v>#REF!</v>
      </c>
      <c r="U19" s="520">
        <v>1</v>
      </c>
      <c r="V19" s="521" t="e">
        <f>#REF!*U19</f>
        <v>#REF!</v>
      </c>
      <c r="W19" s="455" t="e">
        <f t="shared" si="10"/>
        <v>#REF!</v>
      </c>
      <c r="X19" s="458">
        <f t="shared" si="11"/>
        <v>0</v>
      </c>
    </row>
    <row r="20" spans="1:24" x14ac:dyDescent="0.2">
      <c r="A20" s="105">
        <f t="shared" si="0"/>
        <v>11</v>
      </c>
      <c r="B20" s="669" t="e">
        <f>#REF!</f>
        <v>#REF!</v>
      </c>
      <c r="C20" s="669" t="e">
        <f>#REF!</f>
        <v>#REF!</v>
      </c>
      <c r="D20" s="454" t="e">
        <f>#REF!</f>
        <v>#REF!</v>
      </c>
      <c r="E20" s="451">
        <f>'Allocation = % of Margin'!E17</f>
        <v>0.44368000000000019</v>
      </c>
      <c r="F20" s="455">
        <f>'Allocation = % of Margin'!J17</f>
        <v>7927324</v>
      </c>
      <c r="G20" s="455">
        <f>'Allocation = % of Margin'!O17</f>
        <v>9866168.066922849</v>
      </c>
      <c r="H20" s="697"/>
      <c r="I20" s="523">
        <v>1</v>
      </c>
      <c r="J20" s="521" t="e">
        <f t="shared" si="1"/>
        <v>#REF!</v>
      </c>
      <c r="K20" s="458" t="e">
        <f t="shared" si="2"/>
        <v>#REF!</v>
      </c>
      <c r="L20" s="522">
        <v>1</v>
      </c>
      <c r="M20" s="521" t="e">
        <f t="shared" si="3"/>
        <v>#REF!</v>
      </c>
      <c r="N20" s="455" t="e">
        <f t="shared" si="4"/>
        <v>#REF!</v>
      </c>
      <c r="O20" s="457" t="e">
        <f t="shared" si="5"/>
        <v>#REF!</v>
      </c>
      <c r="P20" s="458" t="e">
        <f t="shared" si="6"/>
        <v>#REF!</v>
      </c>
      <c r="Q20" s="523">
        <v>1</v>
      </c>
      <c r="R20" s="521" t="e">
        <f t="shared" si="7"/>
        <v>#REF!</v>
      </c>
      <c r="S20" s="455" t="e">
        <f t="shared" si="8"/>
        <v>#REF!</v>
      </c>
      <c r="T20" s="458" t="e">
        <f t="shared" si="9"/>
        <v>#REF!</v>
      </c>
      <c r="U20" s="523">
        <v>1</v>
      </c>
      <c r="V20" s="521" t="e">
        <f>#REF!*U20</f>
        <v>#REF!</v>
      </c>
      <c r="W20" s="455" t="e">
        <f t="shared" si="10"/>
        <v>#REF!</v>
      </c>
      <c r="X20" s="458">
        <f t="shared" si="11"/>
        <v>0</v>
      </c>
    </row>
    <row r="21" spans="1:24" x14ac:dyDescent="0.2">
      <c r="A21" s="105">
        <f t="shared" si="0"/>
        <v>12</v>
      </c>
      <c r="B21" s="669" t="e">
        <f>#REF!</f>
        <v>#REF!</v>
      </c>
      <c r="C21" s="669" t="e">
        <f>#REF!</f>
        <v>#REF!</v>
      </c>
      <c r="D21" s="454" t="e">
        <f>#REF!</f>
        <v>#REF!</v>
      </c>
      <c r="E21" s="451">
        <f>'Allocation = % of Margin'!E18</f>
        <v>0.46249000000000001</v>
      </c>
      <c r="F21" s="455">
        <f>'Allocation = % of Margin'!J18</f>
        <v>131186</v>
      </c>
      <c r="G21" s="455">
        <f>'Allocation = % of Margin'!O18</f>
        <v>141888.51157190159</v>
      </c>
      <c r="H21" s="697"/>
      <c r="I21" s="523">
        <v>1</v>
      </c>
      <c r="J21" s="521" t="e">
        <f t="shared" si="1"/>
        <v>#REF!</v>
      </c>
      <c r="K21" s="458" t="e">
        <f t="shared" si="2"/>
        <v>#REF!</v>
      </c>
      <c r="L21" s="524">
        <v>1</v>
      </c>
      <c r="M21" s="521" t="e">
        <f t="shared" si="3"/>
        <v>#REF!</v>
      </c>
      <c r="N21" s="455" t="e">
        <f t="shared" si="4"/>
        <v>#REF!</v>
      </c>
      <c r="O21" s="457" t="e">
        <f t="shared" si="5"/>
        <v>#REF!</v>
      </c>
      <c r="P21" s="458" t="e">
        <f t="shared" si="6"/>
        <v>#REF!</v>
      </c>
      <c r="Q21" s="523">
        <v>1</v>
      </c>
      <c r="R21" s="521" t="e">
        <f t="shared" si="7"/>
        <v>#REF!</v>
      </c>
      <c r="S21" s="455" t="e">
        <f t="shared" si="8"/>
        <v>#REF!</v>
      </c>
      <c r="T21" s="458" t="e">
        <f t="shared" si="9"/>
        <v>#REF!</v>
      </c>
      <c r="U21" s="523">
        <v>1</v>
      </c>
      <c r="V21" s="521" t="e">
        <f>#REF!*U21</f>
        <v>#REF!</v>
      </c>
      <c r="W21" s="455" t="e">
        <f t="shared" si="10"/>
        <v>#REF!</v>
      </c>
      <c r="X21" s="458">
        <f t="shared" si="11"/>
        <v>0</v>
      </c>
    </row>
    <row r="22" spans="1:24" x14ac:dyDescent="0.2">
      <c r="A22" s="105">
        <f t="shared" si="0"/>
        <v>13</v>
      </c>
      <c r="B22" s="669" t="e">
        <f>#REF!</f>
        <v>#REF!</v>
      </c>
      <c r="C22" s="669" t="e">
        <f>#REF!</f>
        <v>#REF!</v>
      </c>
      <c r="D22" s="454" t="e">
        <f>#REF!</f>
        <v>#REF!</v>
      </c>
      <c r="E22" s="451">
        <f>'Allocation = % of Margin'!E19</f>
        <v>0.24087999999999973</v>
      </c>
      <c r="F22" s="455">
        <f>'Allocation = % of Margin'!J19</f>
        <v>111135</v>
      </c>
      <c r="G22" s="455">
        <f>'Allocation = % of Margin'!O19</f>
        <v>201937.97258147644</v>
      </c>
      <c r="H22" s="698"/>
      <c r="I22" s="523">
        <v>1</v>
      </c>
      <c r="J22" s="521" t="e">
        <f t="shared" si="1"/>
        <v>#REF!</v>
      </c>
      <c r="K22" s="458" t="e">
        <f t="shared" si="2"/>
        <v>#REF!</v>
      </c>
      <c r="L22" s="524">
        <v>1</v>
      </c>
      <c r="M22" s="521" t="e">
        <f t="shared" si="3"/>
        <v>#REF!</v>
      </c>
      <c r="N22" s="455" t="e">
        <f t="shared" si="4"/>
        <v>#REF!</v>
      </c>
      <c r="O22" s="457" t="e">
        <f t="shared" si="5"/>
        <v>#REF!</v>
      </c>
      <c r="P22" s="458" t="e">
        <f t="shared" si="6"/>
        <v>#REF!</v>
      </c>
      <c r="Q22" s="523">
        <v>1</v>
      </c>
      <c r="R22" s="521" t="e">
        <f t="shared" si="7"/>
        <v>#REF!</v>
      </c>
      <c r="S22" s="455" t="e">
        <f t="shared" si="8"/>
        <v>#REF!</v>
      </c>
      <c r="T22" s="458" t="e">
        <f t="shared" si="9"/>
        <v>#REF!</v>
      </c>
      <c r="U22" s="523">
        <v>1</v>
      </c>
      <c r="V22" s="521" t="e">
        <f>#REF!*U22</f>
        <v>#REF!</v>
      </c>
      <c r="W22" s="455" t="e">
        <f t="shared" si="10"/>
        <v>#REF!</v>
      </c>
      <c r="X22" s="458">
        <f t="shared" si="11"/>
        <v>0</v>
      </c>
    </row>
    <row r="23" spans="1:24" x14ac:dyDescent="0.2">
      <c r="A23" s="105">
        <f t="shared" si="0"/>
        <v>14</v>
      </c>
      <c r="B23" s="670" t="e">
        <f>#REF!</f>
        <v>#REF!</v>
      </c>
      <c r="C23" s="671" t="s">
        <v>4</v>
      </c>
      <c r="D23" s="460" t="e">
        <f>#REF!</f>
        <v>#REF!</v>
      </c>
      <c r="E23" s="461">
        <f>'Allocation = % of Margin'!E20</f>
        <v>0.34474000000000016</v>
      </c>
      <c r="F23" s="270">
        <f>'Allocation = % of Margin'!J20</f>
        <v>612625</v>
      </c>
      <c r="G23" s="270">
        <f>'Allocation = % of Margin'!O20</f>
        <v>1542347.3405315941</v>
      </c>
      <c r="H23" s="697"/>
      <c r="I23" s="525">
        <v>1</v>
      </c>
      <c r="J23" s="517" t="e">
        <f t="shared" si="1"/>
        <v>#REF!</v>
      </c>
      <c r="K23" s="466" t="e">
        <f t="shared" si="2"/>
        <v>#REF!</v>
      </c>
      <c r="L23" s="526">
        <v>1</v>
      </c>
      <c r="M23" s="517" t="e">
        <f t="shared" si="3"/>
        <v>#REF!</v>
      </c>
      <c r="N23" s="270" t="e">
        <f t="shared" si="4"/>
        <v>#REF!</v>
      </c>
      <c r="O23" s="459" t="e">
        <f t="shared" si="5"/>
        <v>#REF!</v>
      </c>
      <c r="P23" s="466" t="e">
        <f t="shared" si="6"/>
        <v>#REF!</v>
      </c>
      <c r="Q23" s="525">
        <v>1</v>
      </c>
      <c r="R23" s="517" t="e">
        <f t="shared" si="7"/>
        <v>#REF!</v>
      </c>
      <c r="S23" s="270" t="e">
        <f t="shared" si="8"/>
        <v>#REF!</v>
      </c>
      <c r="T23" s="466" t="e">
        <f t="shared" si="9"/>
        <v>#REF!</v>
      </c>
      <c r="U23" s="525">
        <v>1</v>
      </c>
      <c r="V23" s="517" t="e">
        <f>#REF!*U23</f>
        <v>#REF!</v>
      </c>
      <c r="W23" s="270" t="e">
        <f t="shared" si="10"/>
        <v>#REF!</v>
      </c>
      <c r="X23" s="466">
        <f t="shared" si="11"/>
        <v>0</v>
      </c>
    </row>
    <row r="24" spans="1:24" x14ac:dyDescent="0.2">
      <c r="A24" s="105">
        <f t="shared" si="0"/>
        <v>15</v>
      </c>
      <c r="B24" s="668"/>
      <c r="C24" s="672" t="s">
        <v>5</v>
      </c>
      <c r="D24" s="454" t="e">
        <f>#REF!</f>
        <v>#REF!</v>
      </c>
      <c r="E24" s="451">
        <f>'Allocation = % of Margin'!E21</f>
        <v>0.30376999999999998</v>
      </c>
      <c r="F24" s="455">
        <f>'Allocation = % of Margin'!J21</f>
        <v>599841</v>
      </c>
      <c r="G24" s="455">
        <f>'Allocation = % of Margin'!O21</f>
        <v>0</v>
      </c>
      <c r="H24" s="697"/>
      <c r="I24" s="523">
        <v>1</v>
      </c>
      <c r="J24" s="521" t="e">
        <f t="shared" si="1"/>
        <v>#REF!</v>
      </c>
      <c r="K24" s="458" t="e">
        <f t="shared" si="2"/>
        <v>#REF!</v>
      </c>
      <c r="L24" s="524">
        <v>1</v>
      </c>
      <c r="M24" s="521" t="e">
        <f t="shared" si="3"/>
        <v>#REF!</v>
      </c>
      <c r="N24" s="455" t="e">
        <f t="shared" si="4"/>
        <v>#REF!</v>
      </c>
      <c r="O24" s="457" t="e">
        <f t="shared" si="5"/>
        <v>#REF!</v>
      </c>
      <c r="P24" s="458" t="e">
        <f t="shared" si="6"/>
        <v>#REF!</v>
      </c>
      <c r="Q24" s="523">
        <v>1</v>
      </c>
      <c r="R24" s="521" t="e">
        <f t="shared" si="7"/>
        <v>#REF!</v>
      </c>
      <c r="S24" s="455" t="e">
        <f t="shared" si="8"/>
        <v>#REF!</v>
      </c>
      <c r="T24" s="458" t="e">
        <f t="shared" si="9"/>
        <v>#REF!</v>
      </c>
      <c r="U24" s="523">
        <v>1</v>
      </c>
      <c r="V24" s="521" t="e">
        <f>#REF!*U24</f>
        <v>#REF!</v>
      </c>
      <c r="W24" s="455" t="e">
        <f t="shared" si="10"/>
        <v>#REF!</v>
      </c>
      <c r="X24" s="458">
        <f t="shared" si="11"/>
        <v>0</v>
      </c>
    </row>
    <row r="25" spans="1:24" x14ac:dyDescent="0.2">
      <c r="A25" s="105">
        <f t="shared" si="0"/>
        <v>16</v>
      </c>
      <c r="B25" s="670" t="e">
        <f>#REF!</f>
        <v>#REF!</v>
      </c>
      <c r="C25" s="671" t="s">
        <v>4</v>
      </c>
      <c r="D25" s="467" t="e">
        <f>#REF!</f>
        <v>#REF!</v>
      </c>
      <c r="E25" s="461">
        <f>'Allocation = % of Margin'!E22</f>
        <v>0.34416000000000024</v>
      </c>
      <c r="F25" s="462">
        <f>'Allocation = % of Margin'!J22</f>
        <v>135217</v>
      </c>
      <c r="G25" s="462">
        <f>'Allocation = % of Margin'!O22</f>
        <v>392613.82673589932</v>
      </c>
      <c r="H25" s="697"/>
      <c r="I25" s="525">
        <v>1</v>
      </c>
      <c r="J25" s="517" t="e">
        <f t="shared" si="1"/>
        <v>#REF!</v>
      </c>
      <c r="K25" s="466" t="e">
        <f t="shared" si="2"/>
        <v>#REF!</v>
      </c>
      <c r="L25" s="526">
        <v>1</v>
      </c>
      <c r="M25" s="517" t="e">
        <f t="shared" si="3"/>
        <v>#REF!</v>
      </c>
      <c r="N25" s="462" t="e">
        <f t="shared" si="4"/>
        <v>#REF!</v>
      </c>
      <c r="O25" s="459" t="e">
        <f t="shared" si="5"/>
        <v>#REF!</v>
      </c>
      <c r="P25" s="466" t="e">
        <f t="shared" si="6"/>
        <v>#REF!</v>
      </c>
      <c r="Q25" s="525">
        <v>1</v>
      </c>
      <c r="R25" s="517" t="e">
        <f t="shared" si="7"/>
        <v>#REF!</v>
      </c>
      <c r="S25" s="462" t="e">
        <f t="shared" si="8"/>
        <v>#REF!</v>
      </c>
      <c r="T25" s="466" t="e">
        <f t="shared" si="9"/>
        <v>#REF!</v>
      </c>
      <c r="U25" s="525">
        <v>1</v>
      </c>
      <c r="V25" s="517" t="e">
        <f>#REF!*U25</f>
        <v>#REF!</v>
      </c>
      <c r="W25" s="462" t="e">
        <f t="shared" si="10"/>
        <v>#REF!</v>
      </c>
      <c r="X25" s="466">
        <f t="shared" si="11"/>
        <v>0</v>
      </c>
    </row>
    <row r="26" spans="1:24" x14ac:dyDescent="0.2">
      <c r="A26" s="105">
        <f t="shared" si="0"/>
        <v>17</v>
      </c>
      <c r="B26" s="668"/>
      <c r="C26" s="672" t="s">
        <v>5</v>
      </c>
      <c r="D26" s="454" t="e">
        <f>#REF!</f>
        <v>#REF!</v>
      </c>
      <c r="E26" s="451">
        <f>'Allocation = % of Margin'!E23</f>
        <v>0.30325000000000002</v>
      </c>
      <c r="F26" s="455">
        <f>'Allocation = % of Margin'!J23</f>
        <v>188515</v>
      </c>
      <c r="G26" s="455">
        <f>'Allocation = % of Margin'!O23</f>
        <v>0</v>
      </c>
      <c r="H26" s="697"/>
      <c r="I26" s="523">
        <v>1</v>
      </c>
      <c r="J26" s="521" t="e">
        <f t="shared" si="1"/>
        <v>#REF!</v>
      </c>
      <c r="K26" s="458" t="e">
        <f t="shared" si="2"/>
        <v>#REF!</v>
      </c>
      <c r="L26" s="524">
        <v>1</v>
      </c>
      <c r="M26" s="521" t="e">
        <f t="shared" si="3"/>
        <v>#REF!</v>
      </c>
      <c r="N26" s="455" t="e">
        <f t="shared" si="4"/>
        <v>#REF!</v>
      </c>
      <c r="O26" s="457" t="e">
        <f t="shared" si="5"/>
        <v>#REF!</v>
      </c>
      <c r="P26" s="458" t="e">
        <f t="shared" si="6"/>
        <v>#REF!</v>
      </c>
      <c r="Q26" s="523">
        <v>1</v>
      </c>
      <c r="R26" s="521" t="e">
        <f t="shared" si="7"/>
        <v>#REF!</v>
      </c>
      <c r="S26" s="455" t="e">
        <f t="shared" si="8"/>
        <v>#REF!</v>
      </c>
      <c r="T26" s="458" t="e">
        <f t="shared" si="9"/>
        <v>#REF!</v>
      </c>
      <c r="U26" s="523">
        <v>1</v>
      </c>
      <c r="V26" s="521" t="e">
        <f>#REF!*U26</f>
        <v>#REF!</v>
      </c>
      <c r="W26" s="455" t="e">
        <f t="shared" si="10"/>
        <v>#REF!</v>
      </c>
      <c r="X26" s="458">
        <f t="shared" si="11"/>
        <v>0</v>
      </c>
    </row>
    <row r="27" spans="1:24" x14ac:dyDescent="0.2">
      <c r="A27" s="105">
        <f t="shared" si="0"/>
        <v>18</v>
      </c>
      <c r="B27" s="670" t="e">
        <f>#REF!</f>
        <v>#REF!</v>
      </c>
      <c r="C27" s="671" t="s">
        <v>4</v>
      </c>
      <c r="D27" s="467" t="e">
        <f>#REF!</f>
        <v>#REF!</v>
      </c>
      <c r="E27" s="461">
        <f>'Allocation = % of Margin'!E24</f>
        <v>0.34372999999999987</v>
      </c>
      <c r="F27" s="462">
        <f>'Allocation = % of Margin'!J24</f>
        <v>0</v>
      </c>
      <c r="G27" s="462">
        <f>'Allocation = % of Margin'!O24</f>
        <v>0</v>
      </c>
      <c r="H27" s="697"/>
      <c r="I27" s="525">
        <v>1</v>
      </c>
      <c r="J27" s="517" t="e">
        <f t="shared" si="1"/>
        <v>#REF!</v>
      </c>
      <c r="K27" s="466" t="e">
        <f t="shared" si="2"/>
        <v>#REF!</v>
      </c>
      <c r="L27" s="526">
        <v>0</v>
      </c>
      <c r="M27" s="517" t="e">
        <f t="shared" si="3"/>
        <v>#REF!</v>
      </c>
      <c r="N27" s="462" t="e">
        <f t="shared" si="4"/>
        <v>#REF!</v>
      </c>
      <c r="O27" s="459" t="e">
        <f t="shared" si="5"/>
        <v>#REF!</v>
      </c>
      <c r="P27" s="466" t="e">
        <f t="shared" si="6"/>
        <v>#REF!</v>
      </c>
      <c r="Q27" s="525">
        <v>0</v>
      </c>
      <c r="R27" s="517" t="e">
        <f t="shared" si="7"/>
        <v>#REF!</v>
      </c>
      <c r="S27" s="462" t="e">
        <f t="shared" si="8"/>
        <v>#REF!</v>
      </c>
      <c r="T27" s="466" t="e">
        <f t="shared" si="9"/>
        <v>#REF!</v>
      </c>
      <c r="U27" s="525">
        <v>0</v>
      </c>
      <c r="V27" s="517" t="e">
        <f>#REF!*U27</f>
        <v>#REF!</v>
      </c>
      <c r="W27" s="462" t="e">
        <f t="shared" si="10"/>
        <v>#REF!</v>
      </c>
      <c r="X27" s="466">
        <f t="shared" si="11"/>
        <v>0</v>
      </c>
    </row>
    <row r="28" spans="1:24" x14ac:dyDescent="0.2">
      <c r="A28" s="105">
        <f t="shared" si="0"/>
        <v>19</v>
      </c>
      <c r="B28" s="668"/>
      <c r="C28" s="672" t="s">
        <v>5</v>
      </c>
      <c r="D28" s="454" t="e">
        <f>#REF!</f>
        <v>#REF!</v>
      </c>
      <c r="E28" s="451">
        <f>'Allocation = % of Margin'!E25</f>
        <v>0.30284999999999984</v>
      </c>
      <c r="F28" s="455">
        <f>'Allocation = % of Margin'!J25</f>
        <v>0</v>
      </c>
      <c r="G28" s="455">
        <f>'Allocation = % of Margin'!O25</f>
        <v>0</v>
      </c>
      <c r="H28" s="697"/>
      <c r="I28" s="523">
        <v>1</v>
      </c>
      <c r="J28" s="521" t="e">
        <f t="shared" si="1"/>
        <v>#REF!</v>
      </c>
      <c r="K28" s="458" t="e">
        <f t="shared" si="2"/>
        <v>#REF!</v>
      </c>
      <c r="L28" s="524">
        <v>0</v>
      </c>
      <c r="M28" s="521" t="e">
        <f t="shared" si="3"/>
        <v>#REF!</v>
      </c>
      <c r="N28" s="455" t="e">
        <f t="shared" si="4"/>
        <v>#REF!</v>
      </c>
      <c r="O28" s="457" t="e">
        <f t="shared" si="5"/>
        <v>#REF!</v>
      </c>
      <c r="P28" s="458" t="e">
        <f t="shared" si="6"/>
        <v>#REF!</v>
      </c>
      <c r="Q28" s="523">
        <v>0</v>
      </c>
      <c r="R28" s="521" t="e">
        <f t="shared" si="7"/>
        <v>#REF!</v>
      </c>
      <c r="S28" s="455" t="e">
        <f t="shared" si="8"/>
        <v>#REF!</v>
      </c>
      <c r="T28" s="458" t="e">
        <f t="shared" si="9"/>
        <v>#REF!</v>
      </c>
      <c r="U28" s="523">
        <v>0</v>
      </c>
      <c r="V28" s="521" t="e">
        <f>#REF!*U28</f>
        <v>#REF!</v>
      </c>
      <c r="W28" s="455" t="e">
        <f t="shared" si="10"/>
        <v>#REF!</v>
      </c>
      <c r="X28" s="458">
        <f t="shared" si="11"/>
        <v>0</v>
      </c>
    </row>
    <row r="29" spans="1:24" x14ac:dyDescent="0.2">
      <c r="A29" s="105">
        <f t="shared" si="0"/>
        <v>20</v>
      </c>
      <c r="B29" s="670" t="e">
        <f>#REF!</f>
        <v>#REF!</v>
      </c>
      <c r="C29" s="671" t="s">
        <v>4</v>
      </c>
      <c r="D29" s="467" t="e">
        <f>#REF!</f>
        <v>#REF!</v>
      </c>
      <c r="E29" s="461">
        <f>'Allocation = % of Margin'!E26</f>
        <v>0.34372999999999987</v>
      </c>
      <c r="F29" s="462">
        <f>'Allocation = % of Margin'!J26</f>
        <v>0</v>
      </c>
      <c r="G29" s="462">
        <f>'Allocation = % of Margin'!O26</f>
        <v>0</v>
      </c>
      <c r="H29" s="697"/>
      <c r="I29" s="525">
        <v>1</v>
      </c>
      <c r="J29" s="517" t="e">
        <f t="shared" si="1"/>
        <v>#REF!</v>
      </c>
      <c r="K29" s="466" t="e">
        <f t="shared" si="2"/>
        <v>#REF!</v>
      </c>
      <c r="L29" s="526">
        <v>1</v>
      </c>
      <c r="M29" s="517" t="e">
        <f t="shared" si="3"/>
        <v>#REF!</v>
      </c>
      <c r="N29" s="462" t="e">
        <f t="shared" si="4"/>
        <v>#REF!</v>
      </c>
      <c r="O29" s="459" t="e">
        <f t="shared" si="5"/>
        <v>#REF!</v>
      </c>
      <c r="P29" s="466" t="e">
        <f t="shared" si="6"/>
        <v>#REF!</v>
      </c>
      <c r="Q29" s="525">
        <v>1</v>
      </c>
      <c r="R29" s="517" t="e">
        <f t="shared" si="7"/>
        <v>#REF!</v>
      </c>
      <c r="S29" s="462" t="e">
        <f t="shared" si="8"/>
        <v>#REF!</v>
      </c>
      <c r="T29" s="466" t="e">
        <f t="shared" si="9"/>
        <v>#REF!</v>
      </c>
      <c r="U29" s="525">
        <v>1</v>
      </c>
      <c r="V29" s="517" t="e">
        <f>#REF!*U29</f>
        <v>#REF!</v>
      </c>
      <c r="W29" s="462" t="e">
        <f t="shared" si="10"/>
        <v>#REF!</v>
      </c>
      <c r="X29" s="466">
        <f t="shared" si="11"/>
        <v>0</v>
      </c>
    </row>
    <row r="30" spans="1:24" x14ac:dyDescent="0.2">
      <c r="A30" s="105">
        <f t="shared" si="0"/>
        <v>21</v>
      </c>
      <c r="B30" s="668"/>
      <c r="C30" s="672" t="s">
        <v>5</v>
      </c>
      <c r="D30" s="454" t="e">
        <f>#REF!</f>
        <v>#REF!</v>
      </c>
      <c r="E30" s="451">
        <f>'Allocation = % of Margin'!E27</f>
        <v>0.30284999999999984</v>
      </c>
      <c r="F30" s="455">
        <f>'Allocation = % of Margin'!J27</f>
        <v>0</v>
      </c>
      <c r="G30" s="455">
        <f>'Allocation = % of Margin'!O27</f>
        <v>0</v>
      </c>
      <c r="H30" s="697"/>
      <c r="I30" s="523">
        <v>1</v>
      </c>
      <c r="J30" s="521" t="e">
        <f t="shared" si="1"/>
        <v>#REF!</v>
      </c>
      <c r="K30" s="458" t="e">
        <f t="shared" si="2"/>
        <v>#REF!</v>
      </c>
      <c r="L30" s="524">
        <v>1</v>
      </c>
      <c r="M30" s="521" t="e">
        <f t="shared" si="3"/>
        <v>#REF!</v>
      </c>
      <c r="N30" s="455" t="e">
        <f t="shared" si="4"/>
        <v>#REF!</v>
      </c>
      <c r="O30" s="457" t="e">
        <f t="shared" si="5"/>
        <v>#REF!</v>
      </c>
      <c r="P30" s="458" t="e">
        <f t="shared" si="6"/>
        <v>#REF!</v>
      </c>
      <c r="Q30" s="523">
        <v>1</v>
      </c>
      <c r="R30" s="521" t="e">
        <f t="shared" si="7"/>
        <v>#REF!</v>
      </c>
      <c r="S30" s="455" t="e">
        <f t="shared" si="8"/>
        <v>#REF!</v>
      </c>
      <c r="T30" s="458" t="e">
        <f t="shared" si="9"/>
        <v>#REF!</v>
      </c>
      <c r="U30" s="523">
        <v>1</v>
      </c>
      <c r="V30" s="521" t="e">
        <f>#REF!*U30</f>
        <v>#REF!</v>
      </c>
      <c r="W30" s="455" t="e">
        <f t="shared" si="10"/>
        <v>#REF!</v>
      </c>
      <c r="X30" s="458">
        <f t="shared" si="11"/>
        <v>0</v>
      </c>
    </row>
    <row r="31" spans="1:24" x14ac:dyDescent="0.2">
      <c r="A31" s="105">
        <f t="shared" si="0"/>
        <v>22</v>
      </c>
      <c r="B31" s="670" t="e">
        <f>#REF!</f>
        <v>#REF!</v>
      </c>
      <c r="C31" s="671" t="s">
        <v>4</v>
      </c>
      <c r="D31" s="467" t="e">
        <f>#REF!</f>
        <v>#REF!</v>
      </c>
      <c r="E31" s="461">
        <f>'Allocation = % of Margin'!E28</f>
        <v>0.34791</v>
      </c>
      <c r="F31" s="462">
        <f>'Allocation = % of Margin'!J28</f>
        <v>58700</v>
      </c>
      <c r="G31" s="462">
        <f>'Allocation = % of Margin'!O28</f>
        <v>189842</v>
      </c>
      <c r="H31" s="697"/>
      <c r="I31" s="525">
        <v>0</v>
      </c>
      <c r="J31" s="517" t="e">
        <f t="shared" si="1"/>
        <v>#REF!</v>
      </c>
      <c r="K31" s="466" t="e">
        <f t="shared" si="2"/>
        <v>#REF!</v>
      </c>
      <c r="L31" s="526">
        <v>1</v>
      </c>
      <c r="M31" s="517" t="e">
        <f t="shared" si="3"/>
        <v>#REF!</v>
      </c>
      <c r="N31" s="462" t="e">
        <f t="shared" si="4"/>
        <v>#REF!</v>
      </c>
      <c r="O31" s="459" t="e">
        <f t="shared" si="5"/>
        <v>#REF!</v>
      </c>
      <c r="P31" s="466" t="e">
        <f t="shared" si="6"/>
        <v>#REF!</v>
      </c>
      <c r="Q31" s="525">
        <v>1</v>
      </c>
      <c r="R31" s="517" t="e">
        <f t="shared" si="7"/>
        <v>#REF!</v>
      </c>
      <c r="S31" s="462" t="e">
        <f t="shared" si="8"/>
        <v>#REF!</v>
      </c>
      <c r="T31" s="466" t="e">
        <f t="shared" si="9"/>
        <v>#REF!</v>
      </c>
      <c r="U31" s="525">
        <v>1</v>
      </c>
      <c r="V31" s="517" t="e">
        <f>#REF!*U31</f>
        <v>#REF!</v>
      </c>
      <c r="W31" s="462" t="e">
        <f t="shared" si="10"/>
        <v>#REF!</v>
      </c>
      <c r="X31" s="466">
        <f t="shared" si="11"/>
        <v>0</v>
      </c>
    </row>
    <row r="32" spans="1:24" x14ac:dyDescent="0.2">
      <c r="A32" s="105">
        <f t="shared" si="0"/>
        <v>23</v>
      </c>
      <c r="B32" s="668"/>
      <c r="C32" s="672" t="s">
        <v>5</v>
      </c>
      <c r="D32" s="454" t="e">
        <f>#REF!</f>
        <v>#REF!</v>
      </c>
      <c r="E32" s="451">
        <f>'Allocation = % of Margin'!E29</f>
        <v>0.30653000000000008</v>
      </c>
      <c r="F32" s="455">
        <f>'Allocation = % of Margin'!J29</f>
        <v>83642</v>
      </c>
      <c r="G32" s="455">
        <f>'Allocation = % of Margin'!O29</f>
        <v>0</v>
      </c>
      <c r="H32" s="697"/>
      <c r="I32" s="523">
        <v>0</v>
      </c>
      <c r="J32" s="521" t="e">
        <f t="shared" si="1"/>
        <v>#REF!</v>
      </c>
      <c r="K32" s="458" t="e">
        <f t="shared" si="2"/>
        <v>#REF!</v>
      </c>
      <c r="L32" s="524">
        <v>1</v>
      </c>
      <c r="M32" s="521" t="e">
        <f t="shared" si="3"/>
        <v>#REF!</v>
      </c>
      <c r="N32" s="455" t="e">
        <f t="shared" si="4"/>
        <v>#REF!</v>
      </c>
      <c r="O32" s="457" t="e">
        <f t="shared" si="5"/>
        <v>#REF!</v>
      </c>
      <c r="P32" s="458" t="e">
        <f t="shared" si="6"/>
        <v>#REF!</v>
      </c>
      <c r="Q32" s="523">
        <v>1</v>
      </c>
      <c r="R32" s="521" t="e">
        <f t="shared" si="7"/>
        <v>#REF!</v>
      </c>
      <c r="S32" s="455" t="e">
        <f t="shared" si="8"/>
        <v>#REF!</v>
      </c>
      <c r="T32" s="458" t="e">
        <f t="shared" si="9"/>
        <v>#REF!</v>
      </c>
      <c r="U32" s="523">
        <v>1</v>
      </c>
      <c r="V32" s="521" t="e">
        <f>#REF!*U32</f>
        <v>#REF!</v>
      </c>
      <c r="W32" s="455" t="e">
        <f t="shared" si="10"/>
        <v>#REF!</v>
      </c>
      <c r="X32" s="458">
        <f t="shared" si="11"/>
        <v>0</v>
      </c>
    </row>
    <row r="33" spans="1:24" x14ac:dyDescent="0.2">
      <c r="A33" s="105">
        <f t="shared" si="0"/>
        <v>24</v>
      </c>
      <c r="B33" s="670" t="e">
        <f>#REF!</f>
        <v>#REF!</v>
      </c>
      <c r="C33" s="671" t="s">
        <v>4</v>
      </c>
      <c r="D33" s="467" t="e">
        <f>#REF!</f>
        <v>#REF!</v>
      </c>
      <c r="E33" s="461">
        <f>'Allocation = % of Margin'!E30</f>
        <v>0.34791</v>
      </c>
      <c r="F33" s="462">
        <f>'Allocation = % of Margin'!J30</f>
        <v>0</v>
      </c>
      <c r="G33" s="462">
        <f>'Allocation = % of Margin'!O30</f>
        <v>0</v>
      </c>
      <c r="H33" s="697"/>
      <c r="I33" s="525">
        <v>0</v>
      </c>
      <c r="J33" s="517" t="e">
        <f t="shared" si="1"/>
        <v>#REF!</v>
      </c>
      <c r="K33" s="466" t="e">
        <f t="shared" si="2"/>
        <v>#REF!</v>
      </c>
      <c r="L33" s="526">
        <v>0</v>
      </c>
      <c r="M33" s="517" t="e">
        <f t="shared" si="3"/>
        <v>#REF!</v>
      </c>
      <c r="N33" s="462" t="e">
        <f t="shared" si="4"/>
        <v>#REF!</v>
      </c>
      <c r="O33" s="459" t="e">
        <f t="shared" si="5"/>
        <v>#REF!</v>
      </c>
      <c r="P33" s="466" t="e">
        <f t="shared" si="6"/>
        <v>#REF!</v>
      </c>
      <c r="Q33" s="525">
        <v>0</v>
      </c>
      <c r="R33" s="517" t="e">
        <f t="shared" si="7"/>
        <v>#REF!</v>
      </c>
      <c r="S33" s="462" t="e">
        <f t="shared" si="8"/>
        <v>#REF!</v>
      </c>
      <c r="T33" s="466" t="e">
        <f t="shared" si="9"/>
        <v>#REF!</v>
      </c>
      <c r="U33" s="525">
        <v>0</v>
      </c>
      <c r="V33" s="517" t="e">
        <f>#REF!*U33</f>
        <v>#REF!</v>
      </c>
      <c r="W33" s="462" t="e">
        <f t="shared" si="10"/>
        <v>#REF!</v>
      </c>
      <c r="X33" s="466">
        <f t="shared" si="11"/>
        <v>0</v>
      </c>
    </row>
    <row r="34" spans="1:24" x14ac:dyDescent="0.2">
      <c r="A34" s="105">
        <f t="shared" si="0"/>
        <v>25</v>
      </c>
      <c r="B34" s="668"/>
      <c r="C34" s="672" t="s">
        <v>5</v>
      </c>
      <c r="D34" s="454" t="e">
        <f>#REF!</f>
        <v>#REF!</v>
      </c>
      <c r="E34" s="451">
        <f>'Allocation = % of Margin'!E31</f>
        <v>0.30653000000000008</v>
      </c>
      <c r="F34" s="455">
        <f>'Allocation = % of Margin'!J31</f>
        <v>0</v>
      </c>
      <c r="G34" s="455">
        <f>'Allocation = % of Margin'!O31</f>
        <v>0</v>
      </c>
      <c r="H34" s="697"/>
      <c r="I34" s="523">
        <v>0</v>
      </c>
      <c r="J34" s="521" t="e">
        <f t="shared" si="1"/>
        <v>#REF!</v>
      </c>
      <c r="K34" s="458" t="e">
        <f t="shared" si="2"/>
        <v>#REF!</v>
      </c>
      <c r="L34" s="524">
        <v>0</v>
      </c>
      <c r="M34" s="521" t="e">
        <f t="shared" si="3"/>
        <v>#REF!</v>
      </c>
      <c r="N34" s="455" t="e">
        <f t="shared" si="4"/>
        <v>#REF!</v>
      </c>
      <c r="O34" s="457" t="e">
        <f t="shared" si="5"/>
        <v>#REF!</v>
      </c>
      <c r="P34" s="458" t="e">
        <f t="shared" si="6"/>
        <v>#REF!</v>
      </c>
      <c r="Q34" s="523">
        <v>0</v>
      </c>
      <c r="R34" s="521" t="e">
        <f t="shared" si="7"/>
        <v>#REF!</v>
      </c>
      <c r="S34" s="455" t="e">
        <f t="shared" si="8"/>
        <v>#REF!</v>
      </c>
      <c r="T34" s="458" t="e">
        <f t="shared" si="9"/>
        <v>#REF!</v>
      </c>
      <c r="U34" s="523">
        <v>0</v>
      </c>
      <c r="V34" s="521" t="e">
        <f>#REF!*U34</f>
        <v>#REF!</v>
      </c>
      <c r="W34" s="455" t="e">
        <f t="shared" si="10"/>
        <v>#REF!</v>
      </c>
      <c r="X34" s="458">
        <f t="shared" si="11"/>
        <v>0</v>
      </c>
    </row>
    <row r="35" spans="1:24" x14ac:dyDescent="0.2">
      <c r="A35" s="105">
        <f t="shared" si="0"/>
        <v>26</v>
      </c>
      <c r="B35" s="670" t="e">
        <f>#REF!</f>
        <v>#REF!</v>
      </c>
      <c r="C35" s="671" t="s">
        <v>4</v>
      </c>
      <c r="D35" s="467" t="e">
        <f>#REF!</f>
        <v>#REF!</v>
      </c>
      <c r="E35" s="461">
        <f>'Allocation = % of Margin'!E32</f>
        <v>0.15245999999999996</v>
      </c>
      <c r="F35" s="462">
        <f>'Allocation = % of Margin'!J32</f>
        <v>53478</v>
      </c>
      <c r="G35" s="462">
        <f>'Allocation = % of Margin'!O32</f>
        <v>219575.29677293496</v>
      </c>
      <c r="H35" s="697"/>
      <c r="I35" s="525">
        <v>1</v>
      </c>
      <c r="J35" s="517" t="e">
        <f t="shared" si="1"/>
        <v>#REF!</v>
      </c>
      <c r="K35" s="466" t="e">
        <f t="shared" si="2"/>
        <v>#REF!</v>
      </c>
      <c r="L35" s="526">
        <v>1</v>
      </c>
      <c r="M35" s="517" t="e">
        <f t="shared" si="3"/>
        <v>#REF!</v>
      </c>
      <c r="N35" s="462" t="e">
        <f t="shared" si="4"/>
        <v>#REF!</v>
      </c>
      <c r="O35" s="459" t="e">
        <f t="shared" si="5"/>
        <v>#REF!</v>
      </c>
      <c r="P35" s="466" t="e">
        <f t="shared" si="6"/>
        <v>#REF!</v>
      </c>
      <c r="Q35" s="525">
        <v>1</v>
      </c>
      <c r="R35" s="517" t="e">
        <f t="shared" si="7"/>
        <v>#REF!</v>
      </c>
      <c r="S35" s="462" t="e">
        <f t="shared" si="8"/>
        <v>#REF!</v>
      </c>
      <c r="T35" s="466" t="e">
        <f t="shared" si="9"/>
        <v>#REF!</v>
      </c>
      <c r="U35" s="525">
        <v>1</v>
      </c>
      <c r="V35" s="517" t="e">
        <f>#REF!*U35</f>
        <v>#REF!</v>
      </c>
      <c r="W35" s="462" t="e">
        <f t="shared" si="10"/>
        <v>#REF!</v>
      </c>
      <c r="X35" s="466">
        <f t="shared" si="11"/>
        <v>0</v>
      </c>
    </row>
    <row r="36" spans="1:24" x14ac:dyDescent="0.2">
      <c r="A36" s="105">
        <f t="shared" si="0"/>
        <v>27</v>
      </c>
      <c r="B36" s="670"/>
      <c r="C36" s="671" t="s">
        <v>5</v>
      </c>
      <c r="D36" s="467" t="e">
        <f>#REF!</f>
        <v>#REF!</v>
      </c>
      <c r="E36" s="461">
        <f>'Allocation = % of Margin'!E33</f>
        <v>0.1364699999999997</v>
      </c>
      <c r="F36" s="462">
        <f>'Allocation = % of Margin'!J33</f>
        <v>41363</v>
      </c>
      <c r="G36" s="462">
        <f>'Allocation = % of Margin'!O33</f>
        <v>0</v>
      </c>
      <c r="H36" s="697"/>
      <c r="I36" s="525">
        <v>1</v>
      </c>
      <c r="J36" s="517" t="e">
        <f t="shared" si="1"/>
        <v>#REF!</v>
      </c>
      <c r="K36" s="466" t="e">
        <f t="shared" si="2"/>
        <v>#REF!</v>
      </c>
      <c r="L36" s="526">
        <v>1</v>
      </c>
      <c r="M36" s="517" t="e">
        <f t="shared" si="3"/>
        <v>#REF!</v>
      </c>
      <c r="N36" s="462" t="e">
        <f t="shared" si="4"/>
        <v>#REF!</v>
      </c>
      <c r="O36" s="459" t="e">
        <f t="shared" si="5"/>
        <v>#REF!</v>
      </c>
      <c r="P36" s="466" t="e">
        <f t="shared" si="6"/>
        <v>#REF!</v>
      </c>
      <c r="Q36" s="525">
        <v>1</v>
      </c>
      <c r="R36" s="517" t="e">
        <f t="shared" si="7"/>
        <v>#REF!</v>
      </c>
      <c r="S36" s="462" t="e">
        <f t="shared" si="8"/>
        <v>#REF!</v>
      </c>
      <c r="T36" s="466" t="e">
        <f t="shared" si="9"/>
        <v>#REF!</v>
      </c>
      <c r="U36" s="525">
        <v>1</v>
      </c>
      <c r="V36" s="517" t="e">
        <f>#REF!*U36</f>
        <v>#REF!</v>
      </c>
      <c r="W36" s="462" t="e">
        <f t="shared" si="10"/>
        <v>#REF!</v>
      </c>
      <c r="X36" s="466">
        <f t="shared" si="11"/>
        <v>0</v>
      </c>
    </row>
    <row r="37" spans="1:24" x14ac:dyDescent="0.2">
      <c r="A37" s="105">
        <f t="shared" si="0"/>
        <v>28</v>
      </c>
      <c r="B37" s="670"/>
      <c r="C37" s="671" t="s">
        <v>6</v>
      </c>
      <c r="D37" s="467" t="e">
        <f>#REF!</f>
        <v>#REF!</v>
      </c>
      <c r="E37" s="461">
        <f>'Allocation = % of Margin'!E34</f>
        <v>0.1046699999999999</v>
      </c>
      <c r="F37" s="462">
        <f>'Allocation = % of Margin'!J34</f>
        <v>6222</v>
      </c>
      <c r="G37" s="462">
        <f>'Allocation = % of Margin'!O34</f>
        <v>0</v>
      </c>
      <c r="H37" s="697"/>
      <c r="I37" s="525">
        <v>1</v>
      </c>
      <c r="J37" s="517" t="e">
        <f t="shared" si="1"/>
        <v>#REF!</v>
      </c>
      <c r="K37" s="466" t="e">
        <f t="shared" si="2"/>
        <v>#REF!</v>
      </c>
      <c r="L37" s="526">
        <v>1</v>
      </c>
      <c r="M37" s="517" t="e">
        <f t="shared" si="3"/>
        <v>#REF!</v>
      </c>
      <c r="N37" s="462" t="e">
        <f t="shared" si="4"/>
        <v>#REF!</v>
      </c>
      <c r="O37" s="459" t="e">
        <f t="shared" si="5"/>
        <v>#REF!</v>
      </c>
      <c r="P37" s="466" t="e">
        <f t="shared" si="6"/>
        <v>#REF!</v>
      </c>
      <c r="Q37" s="525">
        <v>1</v>
      </c>
      <c r="R37" s="517" t="e">
        <f t="shared" si="7"/>
        <v>#REF!</v>
      </c>
      <c r="S37" s="462" t="e">
        <f t="shared" si="8"/>
        <v>#REF!</v>
      </c>
      <c r="T37" s="466" t="e">
        <f t="shared" si="9"/>
        <v>#REF!</v>
      </c>
      <c r="U37" s="525">
        <v>1</v>
      </c>
      <c r="V37" s="517" t="e">
        <f>#REF!*U37</f>
        <v>#REF!</v>
      </c>
      <c r="W37" s="462" t="e">
        <f t="shared" si="10"/>
        <v>#REF!</v>
      </c>
      <c r="X37" s="466">
        <f t="shared" si="11"/>
        <v>0</v>
      </c>
    </row>
    <row r="38" spans="1:24" x14ac:dyDescent="0.2">
      <c r="A38" s="105">
        <f t="shared" si="0"/>
        <v>29</v>
      </c>
      <c r="B38" s="670"/>
      <c r="C38" s="671" t="s">
        <v>7</v>
      </c>
      <c r="D38" s="467" t="e">
        <f>#REF!</f>
        <v>#REF!</v>
      </c>
      <c r="E38" s="461">
        <f>'Allocation = % of Margin'!E35</f>
        <v>8.3729999999999999E-2</v>
      </c>
      <c r="F38" s="462">
        <f>'Allocation = % of Margin'!J35</f>
        <v>303</v>
      </c>
      <c r="G38" s="462">
        <f>'Allocation = % of Margin'!O35</f>
        <v>0</v>
      </c>
      <c r="H38" s="697"/>
      <c r="I38" s="525">
        <v>1</v>
      </c>
      <c r="J38" s="517" t="e">
        <f t="shared" si="1"/>
        <v>#REF!</v>
      </c>
      <c r="K38" s="466" t="e">
        <f t="shared" si="2"/>
        <v>#REF!</v>
      </c>
      <c r="L38" s="526">
        <v>1</v>
      </c>
      <c r="M38" s="517" t="e">
        <f t="shared" si="3"/>
        <v>#REF!</v>
      </c>
      <c r="N38" s="462" t="e">
        <f t="shared" si="4"/>
        <v>#REF!</v>
      </c>
      <c r="O38" s="459" t="e">
        <f t="shared" si="5"/>
        <v>#REF!</v>
      </c>
      <c r="P38" s="466" t="e">
        <f t="shared" si="6"/>
        <v>#REF!</v>
      </c>
      <c r="Q38" s="525">
        <v>1</v>
      </c>
      <c r="R38" s="517" t="e">
        <f t="shared" si="7"/>
        <v>#REF!</v>
      </c>
      <c r="S38" s="462" t="e">
        <f t="shared" si="8"/>
        <v>#REF!</v>
      </c>
      <c r="T38" s="466" t="e">
        <f t="shared" si="9"/>
        <v>#REF!</v>
      </c>
      <c r="U38" s="525">
        <v>1</v>
      </c>
      <c r="V38" s="517" t="e">
        <f>#REF!*U38</f>
        <v>#REF!</v>
      </c>
      <c r="W38" s="462" t="e">
        <f t="shared" si="10"/>
        <v>#REF!</v>
      </c>
      <c r="X38" s="466">
        <f t="shared" si="11"/>
        <v>0</v>
      </c>
    </row>
    <row r="39" spans="1:24" x14ac:dyDescent="0.2">
      <c r="A39" s="105">
        <f t="shared" si="0"/>
        <v>30</v>
      </c>
      <c r="B39" s="670"/>
      <c r="C39" s="671" t="s">
        <v>8</v>
      </c>
      <c r="D39" s="467" t="e">
        <f>#REF!</f>
        <v>#REF!</v>
      </c>
      <c r="E39" s="461">
        <f>'Allocation = % of Margin'!E36</f>
        <v>5.5809999999999992E-2</v>
      </c>
      <c r="F39" s="462">
        <f>'Allocation = % of Margin'!J36</f>
        <v>0</v>
      </c>
      <c r="G39" s="462">
        <f>'Allocation = % of Margin'!O36</f>
        <v>0</v>
      </c>
      <c r="H39" s="697"/>
      <c r="I39" s="525">
        <v>1</v>
      </c>
      <c r="J39" s="517" t="e">
        <f t="shared" si="1"/>
        <v>#REF!</v>
      </c>
      <c r="K39" s="466" t="e">
        <f t="shared" si="2"/>
        <v>#REF!</v>
      </c>
      <c r="L39" s="526">
        <v>1</v>
      </c>
      <c r="M39" s="517" t="e">
        <f t="shared" si="3"/>
        <v>#REF!</v>
      </c>
      <c r="N39" s="462" t="e">
        <f t="shared" si="4"/>
        <v>#REF!</v>
      </c>
      <c r="O39" s="459" t="e">
        <f t="shared" si="5"/>
        <v>#REF!</v>
      </c>
      <c r="P39" s="466" t="e">
        <f t="shared" si="6"/>
        <v>#REF!</v>
      </c>
      <c r="Q39" s="525">
        <v>1</v>
      </c>
      <c r="R39" s="517" t="e">
        <f t="shared" si="7"/>
        <v>#REF!</v>
      </c>
      <c r="S39" s="462" t="e">
        <f t="shared" si="8"/>
        <v>#REF!</v>
      </c>
      <c r="T39" s="466" t="e">
        <f t="shared" si="9"/>
        <v>#REF!</v>
      </c>
      <c r="U39" s="525">
        <v>1</v>
      </c>
      <c r="V39" s="517" t="e">
        <f>#REF!*U39</f>
        <v>#REF!</v>
      </c>
      <c r="W39" s="462" t="e">
        <f t="shared" si="10"/>
        <v>#REF!</v>
      </c>
      <c r="X39" s="466">
        <f t="shared" si="11"/>
        <v>0</v>
      </c>
    </row>
    <row r="40" spans="1:24" x14ac:dyDescent="0.2">
      <c r="A40" s="105">
        <f t="shared" si="0"/>
        <v>31</v>
      </c>
      <c r="B40" s="668"/>
      <c r="C40" s="672" t="s">
        <v>9</v>
      </c>
      <c r="D40" s="454" t="e">
        <f>#REF!</f>
        <v>#REF!</v>
      </c>
      <c r="E40" s="451">
        <f>'Allocation = % of Margin'!E37</f>
        <v>2.0920000000000029E-2</v>
      </c>
      <c r="F40" s="455">
        <f>'Allocation = % of Margin'!J37</f>
        <v>0</v>
      </c>
      <c r="G40" s="455">
        <f>'Allocation = % of Margin'!O37</f>
        <v>0</v>
      </c>
      <c r="H40" s="697"/>
      <c r="I40" s="523">
        <v>1</v>
      </c>
      <c r="J40" s="521" t="e">
        <f t="shared" si="1"/>
        <v>#REF!</v>
      </c>
      <c r="K40" s="458" t="e">
        <f t="shared" si="2"/>
        <v>#REF!</v>
      </c>
      <c r="L40" s="524">
        <v>1</v>
      </c>
      <c r="M40" s="521" t="e">
        <f t="shared" si="3"/>
        <v>#REF!</v>
      </c>
      <c r="N40" s="455" t="e">
        <f t="shared" si="4"/>
        <v>#REF!</v>
      </c>
      <c r="O40" s="457" t="e">
        <f t="shared" si="5"/>
        <v>#REF!</v>
      </c>
      <c r="P40" s="458" t="e">
        <f t="shared" si="6"/>
        <v>#REF!</v>
      </c>
      <c r="Q40" s="523">
        <v>1</v>
      </c>
      <c r="R40" s="521" t="e">
        <f t="shared" si="7"/>
        <v>#REF!</v>
      </c>
      <c r="S40" s="455" t="e">
        <f t="shared" si="8"/>
        <v>#REF!</v>
      </c>
      <c r="T40" s="458" t="e">
        <f t="shared" si="9"/>
        <v>#REF!</v>
      </c>
      <c r="U40" s="523">
        <v>1</v>
      </c>
      <c r="V40" s="521" t="e">
        <f>#REF!*U40</f>
        <v>#REF!</v>
      </c>
      <c r="W40" s="455" t="e">
        <f t="shared" si="10"/>
        <v>#REF!</v>
      </c>
      <c r="X40" s="458">
        <f t="shared" si="11"/>
        <v>0</v>
      </c>
    </row>
    <row r="41" spans="1:24" x14ac:dyDescent="0.2">
      <c r="A41" s="105">
        <f t="shared" si="0"/>
        <v>32</v>
      </c>
      <c r="B41" s="670" t="e">
        <f>#REF!</f>
        <v>#REF!</v>
      </c>
      <c r="C41" s="671" t="s">
        <v>4</v>
      </c>
      <c r="D41" s="467" t="e">
        <f>#REF!</f>
        <v>#REF!</v>
      </c>
      <c r="E41" s="461">
        <f>'Allocation = % of Margin'!E38</f>
        <v>0.14721000000000001</v>
      </c>
      <c r="F41" s="462">
        <f>'Allocation = % of Margin'!J38</f>
        <v>161007</v>
      </c>
      <c r="G41" s="462">
        <f>'Allocation = % of Margin'!O38</f>
        <v>511671.18216089124</v>
      </c>
      <c r="H41" s="697"/>
      <c r="I41" s="525">
        <v>1</v>
      </c>
      <c r="J41" s="517" t="e">
        <f t="shared" si="1"/>
        <v>#REF!</v>
      </c>
      <c r="K41" s="466" t="e">
        <f t="shared" si="2"/>
        <v>#REF!</v>
      </c>
      <c r="L41" s="526">
        <v>1</v>
      </c>
      <c r="M41" s="517" t="e">
        <f t="shared" si="3"/>
        <v>#REF!</v>
      </c>
      <c r="N41" s="462" t="e">
        <f t="shared" si="4"/>
        <v>#REF!</v>
      </c>
      <c r="O41" s="459" t="e">
        <f t="shared" si="5"/>
        <v>#REF!</v>
      </c>
      <c r="P41" s="466" t="e">
        <f t="shared" si="6"/>
        <v>#REF!</v>
      </c>
      <c r="Q41" s="525">
        <v>1</v>
      </c>
      <c r="R41" s="517" t="e">
        <f t="shared" si="7"/>
        <v>#REF!</v>
      </c>
      <c r="S41" s="462" t="e">
        <f t="shared" si="8"/>
        <v>#REF!</v>
      </c>
      <c r="T41" s="466" t="e">
        <f t="shared" si="9"/>
        <v>#REF!</v>
      </c>
      <c r="U41" s="525">
        <v>1</v>
      </c>
      <c r="V41" s="517" t="e">
        <f>#REF!*U41</f>
        <v>#REF!</v>
      </c>
      <c r="W41" s="462" t="e">
        <f t="shared" si="10"/>
        <v>#REF!</v>
      </c>
      <c r="X41" s="466">
        <f t="shared" si="11"/>
        <v>0</v>
      </c>
    </row>
    <row r="42" spans="1:24" x14ac:dyDescent="0.2">
      <c r="A42" s="105">
        <f t="shared" si="0"/>
        <v>33</v>
      </c>
      <c r="B42" s="670"/>
      <c r="C42" s="671" t="s">
        <v>5</v>
      </c>
      <c r="D42" s="467" t="e">
        <f>#REF!</f>
        <v>#REF!</v>
      </c>
      <c r="E42" s="461">
        <f>'Allocation = % of Margin'!E39</f>
        <v>0.13177</v>
      </c>
      <c r="F42" s="462">
        <f>'Allocation = % of Margin'!J39</f>
        <v>86433</v>
      </c>
      <c r="G42" s="462">
        <f>'Allocation = % of Margin'!O39</f>
        <v>0</v>
      </c>
      <c r="H42" s="697"/>
      <c r="I42" s="525">
        <v>1</v>
      </c>
      <c r="J42" s="517" t="e">
        <f t="shared" si="1"/>
        <v>#REF!</v>
      </c>
      <c r="K42" s="466" t="e">
        <f t="shared" si="2"/>
        <v>#REF!</v>
      </c>
      <c r="L42" s="526">
        <v>1</v>
      </c>
      <c r="M42" s="517" t="e">
        <f t="shared" si="3"/>
        <v>#REF!</v>
      </c>
      <c r="N42" s="462" t="e">
        <f t="shared" si="4"/>
        <v>#REF!</v>
      </c>
      <c r="O42" s="459" t="e">
        <f t="shared" si="5"/>
        <v>#REF!</v>
      </c>
      <c r="P42" s="466" t="e">
        <f t="shared" si="6"/>
        <v>#REF!</v>
      </c>
      <c r="Q42" s="525">
        <v>1</v>
      </c>
      <c r="R42" s="517" t="e">
        <f t="shared" si="7"/>
        <v>#REF!</v>
      </c>
      <c r="S42" s="462" t="e">
        <f t="shared" si="8"/>
        <v>#REF!</v>
      </c>
      <c r="T42" s="466" t="e">
        <f t="shared" si="9"/>
        <v>#REF!</v>
      </c>
      <c r="U42" s="525">
        <v>1</v>
      </c>
      <c r="V42" s="517" t="e">
        <f>#REF!*U42</f>
        <v>#REF!</v>
      </c>
      <c r="W42" s="462" t="e">
        <f t="shared" si="10"/>
        <v>#REF!</v>
      </c>
      <c r="X42" s="466">
        <f t="shared" si="11"/>
        <v>0</v>
      </c>
    </row>
    <row r="43" spans="1:24" x14ac:dyDescent="0.2">
      <c r="A43" s="105">
        <f t="shared" si="0"/>
        <v>34</v>
      </c>
      <c r="B43" s="670"/>
      <c r="C43" s="671" t="s">
        <v>6</v>
      </c>
      <c r="D43" s="467" t="e">
        <f>#REF!</f>
        <v>#REF!</v>
      </c>
      <c r="E43" s="461">
        <f>'Allocation = % of Margin'!E40</f>
        <v>0.10104999999999985</v>
      </c>
      <c r="F43" s="462">
        <f>'Allocation = % of Margin'!J40</f>
        <v>8209</v>
      </c>
      <c r="G43" s="462">
        <f>'Allocation = % of Margin'!O40</f>
        <v>0</v>
      </c>
      <c r="H43" s="697"/>
      <c r="I43" s="525">
        <v>1</v>
      </c>
      <c r="J43" s="517" t="e">
        <f t="shared" si="1"/>
        <v>#REF!</v>
      </c>
      <c r="K43" s="466" t="e">
        <f t="shared" si="2"/>
        <v>#REF!</v>
      </c>
      <c r="L43" s="526">
        <v>1</v>
      </c>
      <c r="M43" s="517" t="e">
        <f t="shared" si="3"/>
        <v>#REF!</v>
      </c>
      <c r="N43" s="462" t="e">
        <f t="shared" si="4"/>
        <v>#REF!</v>
      </c>
      <c r="O43" s="459" t="e">
        <f t="shared" si="5"/>
        <v>#REF!</v>
      </c>
      <c r="P43" s="466" t="e">
        <f t="shared" si="6"/>
        <v>#REF!</v>
      </c>
      <c r="Q43" s="525">
        <v>1</v>
      </c>
      <c r="R43" s="517" t="e">
        <f t="shared" si="7"/>
        <v>#REF!</v>
      </c>
      <c r="S43" s="462" t="e">
        <f t="shared" si="8"/>
        <v>#REF!</v>
      </c>
      <c r="T43" s="466" t="e">
        <f t="shared" si="9"/>
        <v>#REF!</v>
      </c>
      <c r="U43" s="525">
        <v>1</v>
      </c>
      <c r="V43" s="517" t="e">
        <f>#REF!*U43</f>
        <v>#REF!</v>
      </c>
      <c r="W43" s="462" t="e">
        <f t="shared" si="10"/>
        <v>#REF!</v>
      </c>
      <c r="X43" s="466">
        <f t="shared" si="11"/>
        <v>0</v>
      </c>
    </row>
    <row r="44" spans="1:24" x14ac:dyDescent="0.2">
      <c r="A44" s="105">
        <f t="shared" si="0"/>
        <v>35</v>
      </c>
      <c r="B44" s="670"/>
      <c r="C44" s="671" t="s">
        <v>7</v>
      </c>
      <c r="D44" s="467" t="e">
        <f>#REF!</f>
        <v>#REF!</v>
      </c>
      <c r="E44" s="461">
        <f>'Allocation = % of Margin'!E41</f>
        <v>8.0839999999999995E-2</v>
      </c>
      <c r="F44" s="462">
        <f>'Allocation = % of Margin'!J41</f>
        <v>753</v>
      </c>
      <c r="G44" s="462">
        <f>'Allocation = % of Margin'!O41</f>
        <v>0</v>
      </c>
      <c r="H44" s="697"/>
      <c r="I44" s="525">
        <v>1</v>
      </c>
      <c r="J44" s="517" t="e">
        <f t="shared" si="1"/>
        <v>#REF!</v>
      </c>
      <c r="K44" s="466" t="e">
        <f t="shared" si="2"/>
        <v>#REF!</v>
      </c>
      <c r="L44" s="526">
        <v>1</v>
      </c>
      <c r="M44" s="517" t="e">
        <f t="shared" si="3"/>
        <v>#REF!</v>
      </c>
      <c r="N44" s="462" t="e">
        <f t="shared" si="4"/>
        <v>#REF!</v>
      </c>
      <c r="O44" s="459" t="e">
        <f t="shared" si="5"/>
        <v>#REF!</v>
      </c>
      <c r="P44" s="466" t="e">
        <f t="shared" si="6"/>
        <v>#REF!</v>
      </c>
      <c r="Q44" s="525">
        <v>1</v>
      </c>
      <c r="R44" s="517" t="e">
        <f t="shared" si="7"/>
        <v>#REF!</v>
      </c>
      <c r="S44" s="462" t="e">
        <f t="shared" si="8"/>
        <v>#REF!</v>
      </c>
      <c r="T44" s="466" t="e">
        <f t="shared" si="9"/>
        <v>#REF!</v>
      </c>
      <c r="U44" s="525">
        <v>1</v>
      </c>
      <c r="V44" s="517" t="e">
        <f>#REF!*U44</f>
        <v>#REF!</v>
      </c>
      <c r="W44" s="462" t="e">
        <f t="shared" si="10"/>
        <v>#REF!</v>
      </c>
      <c r="X44" s="466">
        <f t="shared" si="11"/>
        <v>0</v>
      </c>
    </row>
    <row r="45" spans="1:24" x14ac:dyDescent="0.2">
      <c r="A45" s="105">
        <f t="shared" si="0"/>
        <v>36</v>
      </c>
      <c r="B45" s="670"/>
      <c r="C45" s="671" t="s">
        <v>8</v>
      </c>
      <c r="D45" s="467" t="e">
        <f>#REF!</f>
        <v>#REF!</v>
      </c>
      <c r="E45" s="461">
        <f>'Allocation = % of Margin'!E42</f>
        <v>5.391E-2</v>
      </c>
      <c r="F45" s="462">
        <f>'Allocation = % of Margin'!J42</f>
        <v>0</v>
      </c>
      <c r="G45" s="462">
        <f>'Allocation = % of Margin'!O42</f>
        <v>0</v>
      </c>
      <c r="H45" s="697"/>
      <c r="I45" s="525">
        <v>1</v>
      </c>
      <c r="J45" s="517" t="e">
        <f t="shared" si="1"/>
        <v>#REF!</v>
      </c>
      <c r="K45" s="466" t="e">
        <f t="shared" si="2"/>
        <v>#REF!</v>
      </c>
      <c r="L45" s="526">
        <v>1</v>
      </c>
      <c r="M45" s="517" t="e">
        <f t="shared" si="3"/>
        <v>#REF!</v>
      </c>
      <c r="N45" s="462" t="e">
        <f t="shared" si="4"/>
        <v>#REF!</v>
      </c>
      <c r="O45" s="459" t="e">
        <f t="shared" si="5"/>
        <v>#REF!</v>
      </c>
      <c r="P45" s="466" t="e">
        <f t="shared" si="6"/>
        <v>#REF!</v>
      </c>
      <c r="Q45" s="525">
        <v>1</v>
      </c>
      <c r="R45" s="517" t="e">
        <f t="shared" si="7"/>
        <v>#REF!</v>
      </c>
      <c r="S45" s="462" t="e">
        <f t="shared" si="8"/>
        <v>#REF!</v>
      </c>
      <c r="T45" s="466" t="e">
        <f t="shared" si="9"/>
        <v>#REF!</v>
      </c>
      <c r="U45" s="525">
        <v>1</v>
      </c>
      <c r="V45" s="517" t="e">
        <f>#REF!*U45</f>
        <v>#REF!</v>
      </c>
      <c r="W45" s="462" t="e">
        <f t="shared" si="10"/>
        <v>#REF!</v>
      </c>
      <c r="X45" s="466">
        <f t="shared" si="11"/>
        <v>0</v>
      </c>
    </row>
    <row r="46" spans="1:24" x14ac:dyDescent="0.2">
      <c r="A46" s="105">
        <f t="shared" si="0"/>
        <v>37</v>
      </c>
      <c r="B46" s="668"/>
      <c r="C46" s="672" t="s">
        <v>9</v>
      </c>
      <c r="D46" s="454" t="e">
        <f>#REF!</f>
        <v>#REF!</v>
      </c>
      <c r="E46" s="451">
        <f>'Allocation = % of Margin'!E43</f>
        <v>2.0199999999999999E-2</v>
      </c>
      <c r="F46" s="455">
        <f>'Allocation = % of Margin'!J43</f>
        <v>0</v>
      </c>
      <c r="G46" s="455">
        <f>'Allocation = % of Margin'!O43</f>
        <v>0</v>
      </c>
      <c r="H46" s="697"/>
      <c r="I46" s="523">
        <v>1</v>
      </c>
      <c r="J46" s="521" t="e">
        <f t="shared" si="1"/>
        <v>#REF!</v>
      </c>
      <c r="K46" s="458" t="e">
        <f t="shared" si="2"/>
        <v>#REF!</v>
      </c>
      <c r="L46" s="524">
        <v>1</v>
      </c>
      <c r="M46" s="521" t="e">
        <f t="shared" si="3"/>
        <v>#REF!</v>
      </c>
      <c r="N46" s="455" t="e">
        <f t="shared" si="4"/>
        <v>#REF!</v>
      </c>
      <c r="O46" s="457" t="e">
        <f t="shared" si="5"/>
        <v>#REF!</v>
      </c>
      <c r="P46" s="458" t="e">
        <f t="shared" si="6"/>
        <v>#REF!</v>
      </c>
      <c r="Q46" s="523">
        <v>1</v>
      </c>
      <c r="R46" s="521" t="e">
        <f t="shared" si="7"/>
        <v>#REF!</v>
      </c>
      <c r="S46" s="455" t="e">
        <f t="shared" si="8"/>
        <v>#REF!</v>
      </c>
      <c r="T46" s="458" t="e">
        <f t="shared" si="9"/>
        <v>#REF!</v>
      </c>
      <c r="U46" s="523">
        <v>1</v>
      </c>
      <c r="V46" s="521" t="e">
        <f>#REF!*U46</f>
        <v>#REF!</v>
      </c>
      <c r="W46" s="455" t="e">
        <f t="shared" si="10"/>
        <v>#REF!</v>
      </c>
      <c r="X46" s="458">
        <f t="shared" si="11"/>
        <v>0</v>
      </c>
    </row>
    <row r="47" spans="1:24" x14ac:dyDescent="0.2">
      <c r="A47" s="105">
        <f t="shared" si="0"/>
        <v>38</v>
      </c>
      <c r="B47" s="670" t="e">
        <f>#REF!</f>
        <v>#REF!</v>
      </c>
      <c r="C47" s="671" t="s">
        <v>4</v>
      </c>
      <c r="D47" s="467" t="e">
        <f>#REF!</f>
        <v>#REF!</v>
      </c>
      <c r="E47" s="461">
        <f>'Allocation = % of Margin'!E44</f>
        <v>0.13791999999999999</v>
      </c>
      <c r="F47" s="462">
        <f>'Allocation = % of Margin'!J44</f>
        <v>66202</v>
      </c>
      <c r="G47" s="462">
        <f>'Allocation = % of Margin'!O44</f>
        <v>360784.79504</v>
      </c>
      <c r="H47" s="697"/>
      <c r="I47" s="525">
        <v>0</v>
      </c>
      <c r="J47" s="517" t="e">
        <f t="shared" si="1"/>
        <v>#REF!</v>
      </c>
      <c r="K47" s="466" t="e">
        <f t="shared" si="2"/>
        <v>#REF!</v>
      </c>
      <c r="L47" s="526">
        <v>0</v>
      </c>
      <c r="M47" s="517" t="e">
        <f t="shared" si="3"/>
        <v>#REF!</v>
      </c>
      <c r="N47" s="462" t="e">
        <f t="shared" si="4"/>
        <v>#REF!</v>
      </c>
      <c r="O47" s="459" t="e">
        <f t="shared" si="5"/>
        <v>#REF!</v>
      </c>
      <c r="P47" s="466" t="e">
        <f t="shared" si="6"/>
        <v>#REF!</v>
      </c>
      <c r="Q47" s="525">
        <v>0</v>
      </c>
      <c r="R47" s="517" t="e">
        <f t="shared" si="7"/>
        <v>#REF!</v>
      </c>
      <c r="S47" s="462" t="e">
        <f t="shared" si="8"/>
        <v>#REF!</v>
      </c>
      <c r="T47" s="466" t="e">
        <f t="shared" si="9"/>
        <v>#REF!</v>
      </c>
      <c r="U47" s="525">
        <v>0</v>
      </c>
      <c r="V47" s="517" t="e">
        <f>#REF!*U47</f>
        <v>#REF!</v>
      </c>
      <c r="W47" s="462" t="e">
        <f t="shared" si="10"/>
        <v>#REF!</v>
      </c>
      <c r="X47" s="466">
        <f t="shared" si="11"/>
        <v>0</v>
      </c>
    </row>
    <row r="48" spans="1:24" x14ac:dyDescent="0.2">
      <c r="A48" s="105">
        <f t="shared" si="0"/>
        <v>39</v>
      </c>
      <c r="B48" s="670"/>
      <c r="C48" s="671" t="s">
        <v>5</v>
      </c>
      <c r="D48" s="467" t="e">
        <f>#REF!</f>
        <v>#REF!</v>
      </c>
      <c r="E48" s="461">
        <f>'Allocation = % of Margin'!E45</f>
        <v>0.12346999999999998</v>
      </c>
      <c r="F48" s="462">
        <f>'Allocation = % of Margin'!J45</f>
        <v>99745</v>
      </c>
      <c r="G48" s="462">
        <f>'Allocation = % of Margin'!O45</f>
        <v>0</v>
      </c>
      <c r="H48" s="697"/>
      <c r="I48" s="525">
        <v>0</v>
      </c>
      <c r="J48" s="517" t="e">
        <f t="shared" si="1"/>
        <v>#REF!</v>
      </c>
      <c r="K48" s="466" t="e">
        <f t="shared" si="2"/>
        <v>#REF!</v>
      </c>
      <c r="L48" s="526">
        <v>0</v>
      </c>
      <c r="M48" s="517" t="e">
        <f t="shared" si="3"/>
        <v>#REF!</v>
      </c>
      <c r="N48" s="462" t="e">
        <f t="shared" si="4"/>
        <v>#REF!</v>
      </c>
      <c r="O48" s="459" t="e">
        <f t="shared" si="5"/>
        <v>#REF!</v>
      </c>
      <c r="P48" s="466" t="e">
        <f t="shared" si="6"/>
        <v>#REF!</v>
      </c>
      <c r="Q48" s="525">
        <v>0</v>
      </c>
      <c r="R48" s="517" t="e">
        <f t="shared" si="7"/>
        <v>#REF!</v>
      </c>
      <c r="S48" s="462" t="e">
        <f t="shared" si="8"/>
        <v>#REF!</v>
      </c>
      <c r="T48" s="466" t="e">
        <f t="shared" si="9"/>
        <v>#REF!</v>
      </c>
      <c r="U48" s="525">
        <v>0</v>
      </c>
      <c r="V48" s="517" t="e">
        <f>#REF!*U48</f>
        <v>#REF!</v>
      </c>
      <c r="W48" s="462" t="e">
        <f t="shared" si="10"/>
        <v>#REF!</v>
      </c>
      <c r="X48" s="466">
        <f t="shared" si="11"/>
        <v>0</v>
      </c>
    </row>
    <row r="49" spans="1:24" x14ac:dyDescent="0.2">
      <c r="A49" s="105">
        <f t="shared" si="0"/>
        <v>40</v>
      </c>
      <c r="B49" s="670"/>
      <c r="C49" s="671" t="s">
        <v>6</v>
      </c>
      <c r="D49" s="467" t="e">
        <f>#REF!</f>
        <v>#REF!</v>
      </c>
      <c r="E49" s="461">
        <f>'Allocation = % of Margin'!E46</f>
        <v>9.4670000000000004E-2</v>
      </c>
      <c r="F49" s="462">
        <f>'Allocation = % of Margin'!J46</f>
        <v>55266</v>
      </c>
      <c r="G49" s="462">
        <f>'Allocation = % of Margin'!O46</f>
        <v>0</v>
      </c>
      <c r="H49" s="697"/>
      <c r="I49" s="525">
        <v>0</v>
      </c>
      <c r="J49" s="517" t="e">
        <f t="shared" si="1"/>
        <v>#REF!</v>
      </c>
      <c r="K49" s="466" t="e">
        <f t="shared" si="2"/>
        <v>#REF!</v>
      </c>
      <c r="L49" s="526">
        <v>0</v>
      </c>
      <c r="M49" s="517" t="e">
        <f t="shared" si="3"/>
        <v>#REF!</v>
      </c>
      <c r="N49" s="462" t="e">
        <f t="shared" si="4"/>
        <v>#REF!</v>
      </c>
      <c r="O49" s="459" t="e">
        <f t="shared" si="5"/>
        <v>#REF!</v>
      </c>
      <c r="P49" s="466" t="e">
        <f t="shared" si="6"/>
        <v>#REF!</v>
      </c>
      <c r="Q49" s="525">
        <v>0</v>
      </c>
      <c r="R49" s="517" t="e">
        <f t="shared" si="7"/>
        <v>#REF!</v>
      </c>
      <c r="S49" s="462" t="e">
        <f t="shared" si="8"/>
        <v>#REF!</v>
      </c>
      <c r="T49" s="466" t="e">
        <f t="shared" si="9"/>
        <v>#REF!</v>
      </c>
      <c r="U49" s="525">
        <v>0</v>
      </c>
      <c r="V49" s="517" t="e">
        <f>#REF!*U49</f>
        <v>#REF!</v>
      </c>
      <c r="W49" s="462" t="e">
        <f t="shared" si="10"/>
        <v>#REF!</v>
      </c>
      <c r="X49" s="466">
        <f t="shared" si="11"/>
        <v>0</v>
      </c>
    </row>
    <row r="50" spans="1:24" x14ac:dyDescent="0.2">
      <c r="A50" s="105">
        <f t="shared" si="0"/>
        <v>41</v>
      </c>
      <c r="B50" s="670"/>
      <c r="C50" s="671" t="s">
        <v>7</v>
      </c>
      <c r="D50" s="467" t="e">
        <f>#REF!</f>
        <v>#REF!</v>
      </c>
      <c r="E50" s="461">
        <f>'Allocation = % of Margin'!E47</f>
        <v>7.5750000000000012E-2</v>
      </c>
      <c r="F50" s="462">
        <f>'Allocation = % of Margin'!J47</f>
        <v>45369</v>
      </c>
      <c r="G50" s="462">
        <f>'Allocation = % of Margin'!O47</f>
        <v>0</v>
      </c>
      <c r="H50" s="697"/>
      <c r="I50" s="525">
        <v>0</v>
      </c>
      <c r="J50" s="517" t="e">
        <f t="shared" si="1"/>
        <v>#REF!</v>
      </c>
      <c r="K50" s="466" t="e">
        <f t="shared" si="2"/>
        <v>#REF!</v>
      </c>
      <c r="L50" s="526">
        <v>0</v>
      </c>
      <c r="M50" s="517" t="e">
        <f t="shared" si="3"/>
        <v>#REF!</v>
      </c>
      <c r="N50" s="462" t="e">
        <f t="shared" si="4"/>
        <v>#REF!</v>
      </c>
      <c r="O50" s="459" t="e">
        <f t="shared" si="5"/>
        <v>#REF!</v>
      </c>
      <c r="P50" s="466" t="e">
        <f t="shared" si="6"/>
        <v>#REF!</v>
      </c>
      <c r="Q50" s="525">
        <v>0</v>
      </c>
      <c r="R50" s="517" t="e">
        <f t="shared" si="7"/>
        <v>#REF!</v>
      </c>
      <c r="S50" s="462" t="e">
        <f t="shared" si="8"/>
        <v>#REF!</v>
      </c>
      <c r="T50" s="466" t="e">
        <f t="shared" si="9"/>
        <v>#REF!</v>
      </c>
      <c r="U50" s="525">
        <v>0</v>
      </c>
      <c r="V50" s="517" t="e">
        <f>#REF!*U50</f>
        <v>#REF!</v>
      </c>
      <c r="W50" s="462" t="e">
        <f t="shared" si="10"/>
        <v>#REF!</v>
      </c>
      <c r="X50" s="466">
        <f t="shared" si="11"/>
        <v>0</v>
      </c>
    </row>
    <row r="51" spans="1:24" x14ac:dyDescent="0.2">
      <c r="A51" s="105">
        <f t="shared" si="0"/>
        <v>42</v>
      </c>
      <c r="B51" s="670"/>
      <c r="C51" s="671" t="s">
        <v>8</v>
      </c>
      <c r="D51" s="467" t="e">
        <f>#REF!</f>
        <v>#REF!</v>
      </c>
      <c r="E51" s="461">
        <f>'Allocation = % of Margin'!E48</f>
        <v>5.0500000000000003E-2</v>
      </c>
      <c r="F51" s="462">
        <f>'Allocation = % of Margin'!J48</f>
        <v>0</v>
      </c>
      <c r="G51" s="462">
        <f>'Allocation = % of Margin'!O48</f>
        <v>0</v>
      </c>
      <c r="H51" s="697"/>
      <c r="I51" s="525">
        <v>0</v>
      </c>
      <c r="J51" s="517" t="e">
        <f t="shared" si="1"/>
        <v>#REF!</v>
      </c>
      <c r="K51" s="466" t="e">
        <f t="shared" si="2"/>
        <v>#REF!</v>
      </c>
      <c r="L51" s="526">
        <v>0</v>
      </c>
      <c r="M51" s="517" t="e">
        <f t="shared" si="3"/>
        <v>#REF!</v>
      </c>
      <c r="N51" s="462" t="e">
        <f t="shared" si="4"/>
        <v>#REF!</v>
      </c>
      <c r="O51" s="459" t="e">
        <f t="shared" si="5"/>
        <v>#REF!</v>
      </c>
      <c r="P51" s="466" t="e">
        <f t="shared" si="6"/>
        <v>#REF!</v>
      </c>
      <c r="Q51" s="525">
        <v>0</v>
      </c>
      <c r="R51" s="517" t="e">
        <f t="shared" si="7"/>
        <v>#REF!</v>
      </c>
      <c r="S51" s="462" t="e">
        <f t="shared" si="8"/>
        <v>#REF!</v>
      </c>
      <c r="T51" s="466" t="e">
        <f t="shared" si="9"/>
        <v>#REF!</v>
      </c>
      <c r="U51" s="525">
        <v>0</v>
      </c>
      <c r="V51" s="517" t="e">
        <f>#REF!*U51</f>
        <v>#REF!</v>
      </c>
      <c r="W51" s="462" t="e">
        <f t="shared" si="10"/>
        <v>#REF!</v>
      </c>
      <c r="X51" s="466">
        <f t="shared" si="11"/>
        <v>0</v>
      </c>
    </row>
    <row r="52" spans="1:24" x14ac:dyDescent="0.2">
      <c r="A52" s="105">
        <f t="shared" si="0"/>
        <v>43</v>
      </c>
      <c r="B52" s="668"/>
      <c r="C52" s="672" t="s">
        <v>9</v>
      </c>
      <c r="D52" s="454" t="e">
        <f>#REF!</f>
        <v>#REF!</v>
      </c>
      <c r="E52" s="451">
        <f>'Allocation = % of Margin'!E49</f>
        <v>1.8929999999999999E-2</v>
      </c>
      <c r="F52" s="455">
        <f>'Allocation = % of Margin'!J49</f>
        <v>0</v>
      </c>
      <c r="G52" s="455">
        <f>'Allocation = % of Margin'!O49</f>
        <v>0</v>
      </c>
      <c r="H52" s="697"/>
      <c r="I52" s="523">
        <v>0</v>
      </c>
      <c r="J52" s="521" t="e">
        <f t="shared" si="1"/>
        <v>#REF!</v>
      </c>
      <c r="K52" s="458" t="e">
        <f t="shared" si="2"/>
        <v>#REF!</v>
      </c>
      <c r="L52" s="524">
        <v>0</v>
      </c>
      <c r="M52" s="521" t="e">
        <f t="shared" si="3"/>
        <v>#REF!</v>
      </c>
      <c r="N52" s="455" t="e">
        <f t="shared" si="4"/>
        <v>#REF!</v>
      </c>
      <c r="O52" s="457" t="e">
        <f t="shared" si="5"/>
        <v>#REF!</v>
      </c>
      <c r="P52" s="458" t="e">
        <f t="shared" si="6"/>
        <v>#REF!</v>
      </c>
      <c r="Q52" s="523">
        <v>0</v>
      </c>
      <c r="R52" s="521" t="e">
        <f t="shared" si="7"/>
        <v>#REF!</v>
      </c>
      <c r="S52" s="455" t="e">
        <f t="shared" si="8"/>
        <v>#REF!</v>
      </c>
      <c r="T52" s="458" t="e">
        <f t="shared" si="9"/>
        <v>#REF!</v>
      </c>
      <c r="U52" s="523">
        <v>0</v>
      </c>
      <c r="V52" s="521" t="e">
        <f>#REF!*U52</f>
        <v>#REF!</v>
      </c>
      <c r="W52" s="455" t="e">
        <f t="shared" si="10"/>
        <v>#REF!</v>
      </c>
      <c r="X52" s="458">
        <f t="shared" si="11"/>
        <v>0</v>
      </c>
    </row>
    <row r="53" spans="1:24" x14ac:dyDescent="0.2">
      <c r="A53" s="105">
        <f t="shared" si="0"/>
        <v>44</v>
      </c>
      <c r="B53" s="670" t="e">
        <f>#REF!</f>
        <v>#REF!</v>
      </c>
      <c r="C53" s="671" t="s">
        <v>4</v>
      </c>
      <c r="D53" s="467" t="e">
        <f>#REF!</f>
        <v>#REF!</v>
      </c>
      <c r="E53" s="461">
        <f>'Allocation = % of Margin'!E50</f>
        <v>0.13941000000000001</v>
      </c>
      <c r="F53" s="462">
        <f>'Allocation = % of Margin'!J50</f>
        <v>128870</v>
      </c>
      <c r="G53" s="462">
        <f>'Allocation = % of Margin'!O50</f>
        <v>823616.4656</v>
      </c>
      <c r="H53" s="697"/>
      <c r="I53" s="525">
        <v>0</v>
      </c>
      <c r="J53" s="517" t="e">
        <f t="shared" si="1"/>
        <v>#REF!</v>
      </c>
      <c r="K53" s="466" t="e">
        <f t="shared" si="2"/>
        <v>#REF!</v>
      </c>
      <c r="L53" s="526">
        <v>0</v>
      </c>
      <c r="M53" s="517" t="e">
        <f t="shared" si="3"/>
        <v>#REF!</v>
      </c>
      <c r="N53" s="462" t="e">
        <f t="shared" si="4"/>
        <v>#REF!</v>
      </c>
      <c r="O53" s="459" t="e">
        <f t="shared" si="5"/>
        <v>#REF!</v>
      </c>
      <c r="P53" s="466" t="e">
        <f t="shared" si="6"/>
        <v>#REF!</v>
      </c>
      <c r="Q53" s="525">
        <v>0</v>
      </c>
      <c r="R53" s="517" t="e">
        <f t="shared" si="7"/>
        <v>#REF!</v>
      </c>
      <c r="S53" s="462" t="e">
        <f t="shared" si="8"/>
        <v>#REF!</v>
      </c>
      <c r="T53" s="466" t="e">
        <f t="shared" si="9"/>
        <v>#REF!</v>
      </c>
      <c r="U53" s="525">
        <v>0</v>
      </c>
      <c r="V53" s="517" t="e">
        <f>#REF!*U53</f>
        <v>#REF!</v>
      </c>
      <c r="W53" s="462" t="e">
        <f t="shared" si="10"/>
        <v>#REF!</v>
      </c>
      <c r="X53" s="466">
        <f t="shared" si="11"/>
        <v>0</v>
      </c>
    </row>
    <row r="54" spans="1:24" x14ac:dyDescent="0.2">
      <c r="A54" s="105">
        <f t="shared" si="0"/>
        <v>45</v>
      </c>
      <c r="B54" s="670"/>
      <c r="C54" s="671" t="s">
        <v>5</v>
      </c>
      <c r="D54" s="467" t="e">
        <f>#REF!</f>
        <v>#REF!</v>
      </c>
      <c r="E54" s="461">
        <f>'Allocation = % of Margin'!E51</f>
        <v>0.12478999999999997</v>
      </c>
      <c r="F54" s="462">
        <f>'Allocation = % of Margin'!J51</f>
        <v>129382</v>
      </c>
      <c r="G54" s="462">
        <f>'Allocation = % of Margin'!O51</f>
        <v>0</v>
      </c>
      <c r="H54" s="697"/>
      <c r="I54" s="525">
        <v>0</v>
      </c>
      <c r="J54" s="517" t="e">
        <f t="shared" si="1"/>
        <v>#REF!</v>
      </c>
      <c r="K54" s="466" t="e">
        <f t="shared" si="2"/>
        <v>#REF!</v>
      </c>
      <c r="L54" s="526">
        <v>0</v>
      </c>
      <c r="M54" s="517" t="e">
        <f t="shared" si="3"/>
        <v>#REF!</v>
      </c>
      <c r="N54" s="462" t="e">
        <f t="shared" si="4"/>
        <v>#REF!</v>
      </c>
      <c r="O54" s="459" t="e">
        <f t="shared" si="5"/>
        <v>#REF!</v>
      </c>
      <c r="P54" s="466" t="e">
        <f t="shared" si="6"/>
        <v>#REF!</v>
      </c>
      <c r="Q54" s="525">
        <v>0</v>
      </c>
      <c r="R54" s="517" t="e">
        <f t="shared" si="7"/>
        <v>#REF!</v>
      </c>
      <c r="S54" s="462" t="e">
        <f t="shared" si="8"/>
        <v>#REF!</v>
      </c>
      <c r="T54" s="466" t="e">
        <f t="shared" si="9"/>
        <v>#REF!</v>
      </c>
      <c r="U54" s="525">
        <v>0</v>
      </c>
      <c r="V54" s="517" t="e">
        <f>#REF!*U54</f>
        <v>#REF!</v>
      </c>
      <c r="W54" s="462" t="e">
        <f t="shared" si="10"/>
        <v>#REF!</v>
      </c>
      <c r="X54" s="466">
        <f t="shared" si="11"/>
        <v>0</v>
      </c>
    </row>
    <row r="55" spans="1:24" x14ac:dyDescent="0.2">
      <c r="A55" s="105">
        <f t="shared" si="0"/>
        <v>46</v>
      </c>
      <c r="B55" s="670"/>
      <c r="C55" s="671" t="s">
        <v>6</v>
      </c>
      <c r="D55" s="467" t="e">
        <f>#REF!</f>
        <v>#REF!</v>
      </c>
      <c r="E55" s="461">
        <f>'Allocation = % of Margin'!E52</f>
        <v>9.5690000000000011E-2</v>
      </c>
      <c r="F55" s="462">
        <f>'Allocation = % of Margin'!J52</f>
        <v>89682</v>
      </c>
      <c r="G55" s="462">
        <f>'Allocation = % of Margin'!O52</f>
        <v>0</v>
      </c>
      <c r="H55" s="697"/>
      <c r="I55" s="525">
        <v>0</v>
      </c>
      <c r="J55" s="517" t="e">
        <f t="shared" si="1"/>
        <v>#REF!</v>
      </c>
      <c r="K55" s="466" t="e">
        <f t="shared" si="2"/>
        <v>#REF!</v>
      </c>
      <c r="L55" s="526">
        <v>0</v>
      </c>
      <c r="M55" s="517" t="e">
        <f t="shared" si="3"/>
        <v>#REF!</v>
      </c>
      <c r="N55" s="462" t="e">
        <f t="shared" si="4"/>
        <v>#REF!</v>
      </c>
      <c r="O55" s="459" t="e">
        <f t="shared" si="5"/>
        <v>#REF!</v>
      </c>
      <c r="P55" s="466" t="e">
        <f t="shared" si="6"/>
        <v>#REF!</v>
      </c>
      <c r="Q55" s="525">
        <v>0</v>
      </c>
      <c r="R55" s="517" t="e">
        <f t="shared" si="7"/>
        <v>#REF!</v>
      </c>
      <c r="S55" s="462" t="e">
        <f t="shared" si="8"/>
        <v>#REF!</v>
      </c>
      <c r="T55" s="466" t="e">
        <f t="shared" si="9"/>
        <v>#REF!</v>
      </c>
      <c r="U55" s="525">
        <v>0</v>
      </c>
      <c r="V55" s="517" t="e">
        <f>#REF!*U55</f>
        <v>#REF!</v>
      </c>
      <c r="W55" s="462" t="e">
        <f t="shared" si="10"/>
        <v>#REF!</v>
      </c>
      <c r="X55" s="466">
        <f t="shared" si="11"/>
        <v>0</v>
      </c>
    </row>
    <row r="56" spans="1:24" x14ac:dyDescent="0.2">
      <c r="A56" s="105">
        <f t="shared" si="0"/>
        <v>47</v>
      </c>
      <c r="B56" s="670"/>
      <c r="C56" s="671" t="s">
        <v>7</v>
      </c>
      <c r="D56" s="467" t="e">
        <f>#REF!</f>
        <v>#REF!</v>
      </c>
      <c r="E56" s="461">
        <f>'Allocation = % of Margin'!E53</f>
        <v>7.6560000000000017E-2</v>
      </c>
      <c r="F56" s="462">
        <f>'Allocation = % of Margin'!J53</f>
        <v>183003</v>
      </c>
      <c r="G56" s="462">
        <f>'Allocation = % of Margin'!O53</f>
        <v>0</v>
      </c>
      <c r="H56" s="697"/>
      <c r="I56" s="525">
        <v>0</v>
      </c>
      <c r="J56" s="517" t="e">
        <f t="shared" si="1"/>
        <v>#REF!</v>
      </c>
      <c r="K56" s="466" t="e">
        <f t="shared" si="2"/>
        <v>#REF!</v>
      </c>
      <c r="L56" s="526">
        <v>0</v>
      </c>
      <c r="M56" s="517" t="e">
        <f t="shared" si="3"/>
        <v>#REF!</v>
      </c>
      <c r="N56" s="462" t="e">
        <f t="shared" si="4"/>
        <v>#REF!</v>
      </c>
      <c r="O56" s="459" t="e">
        <f t="shared" si="5"/>
        <v>#REF!</v>
      </c>
      <c r="P56" s="466" t="e">
        <f t="shared" si="6"/>
        <v>#REF!</v>
      </c>
      <c r="Q56" s="525">
        <v>0</v>
      </c>
      <c r="R56" s="517" t="e">
        <f t="shared" si="7"/>
        <v>#REF!</v>
      </c>
      <c r="S56" s="462" t="e">
        <f t="shared" si="8"/>
        <v>#REF!</v>
      </c>
      <c r="T56" s="466" t="e">
        <f t="shared" si="9"/>
        <v>#REF!</v>
      </c>
      <c r="U56" s="525">
        <v>0</v>
      </c>
      <c r="V56" s="517" t="e">
        <f>#REF!*U56</f>
        <v>#REF!</v>
      </c>
      <c r="W56" s="462" t="e">
        <f t="shared" si="10"/>
        <v>#REF!</v>
      </c>
      <c r="X56" s="466">
        <f t="shared" si="11"/>
        <v>0</v>
      </c>
    </row>
    <row r="57" spans="1:24" x14ac:dyDescent="0.2">
      <c r="A57" s="105">
        <f t="shared" si="0"/>
        <v>48</v>
      </c>
      <c r="B57" s="670"/>
      <c r="C57" s="671" t="s">
        <v>8</v>
      </c>
      <c r="D57" s="467" t="e">
        <f>#REF!</f>
        <v>#REF!</v>
      </c>
      <c r="E57" s="461">
        <f>'Allocation = % of Margin'!E54</f>
        <v>5.1040000000000002E-2</v>
      </c>
      <c r="F57" s="462">
        <f>'Allocation = % of Margin'!J54</f>
        <v>76165</v>
      </c>
      <c r="G57" s="462">
        <f>'Allocation = % of Margin'!O54</f>
        <v>0</v>
      </c>
      <c r="H57" s="697"/>
      <c r="I57" s="525">
        <v>0</v>
      </c>
      <c r="J57" s="517" t="e">
        <f t="shared" si="1"/>
        <v>#REF!</v>
      </c>
      <c r="K57" s="466" t="e">
        <f t="shared" si="2"/>
        <v>#REF!</v>
      </c>
      <c r="L57" s="526">
        <v>0</v>
      </c>
      <c r="M57" s="517" t="e">
        <f t="shared" si="3"/>
        <v>#REF!</v>
      </c>
      <c r="N57" s="462" t="e">
        <f t="shared" si="4"/>
        <v>#REF!</v>
      </c>
      <c r="O57" s="459" t="e">
        <f t="shared" si="5"/>
        <v>#REF!</v>
      </c>
      <c r="P57" s="466" t="e">
        <f t="shared" si="6"/>
        <v>#REF!</v>
      </c>
      <c r="Q57" s="525">
        <v>0</v>
      </c>
      <c r="R57" s="517" t="e">
        <f t="shared" si="7"/>
        <v>#REF!</v>
      </c>
      <c r="S57" s="462" t="e">
        <f t="shared" si="8"/>
        <v>#REF!</v>
      </c>
      <c r="T57" s="466" t="e">
        <f t="shared" si="9"/>
        <v>#REF!</v>
      </c>
      <c r="U57" s="525">
        <v>0</v>
      </c>
      <c r="V57" s="517" t="e">
        <f>#REF!*U57</f>
        <v>#REF!</v>
      </c>
      <c r="W57" s="462" t="e">
        <f t="shared" si="10"/>
        <v>#REF!</v>
      </c>
      <c r="X57" s="466">
        <f t="shared" si="11"/>
        <v>0</v>
      </c>
    </row>
    <row r="58" spans="1:24" x14ac:dyDescent="0.2">
      <c r="A58" s="105">
        <f t="shared" si="0"/>
        <v>49</v>
      </c>
      <c r="B58" s="668"/>
      <c r="C58" s="672" t="s">
        <v>9</v>
      </c>
      <c r="D58" s="454" t="e">
        <f>#REF!</f>
        <v>#REF!</v>
      </c>
      <c r="E58" s="451">
        <f>'Allocation = % of Margin'!E55</f>
        <v>1.9140000000000001E-2</v>
      </c>
      <c r="F58" s="455">
        <f>'Allocation = % of Margin'!J55</f>
        <v>0</v>
      </c>
      <c r="G58" s="455">
        <f>'Allocation = % of Margin'!O55</f>
        <v>0</v>
      </c>
      <c r="H58" s="697"/>
      <c r="I58" s="523">
        <v>0</v>
      </c>
      <c r="J58" s="521" t="e">
        <f t="shared" si="1"/>
        <v>#REF!</v>
      </c>
      <c r="K58" s="458" t="e">
        <f t="shared" si="2"/>
        <v>#REF!</v>
      </c>
      <c r="L58" s="524">
        <v>0</v>
      </c>
      <c r="M58" s="521" t="e">
        <f t="shared" si="3"/>
        <v>#REF!</v>
      </c>
      <c r="N58" s="455" t="e">
        <f t="shared" si="4"/>
        <v>#REF!</v>
      </c>
      <c r="O58" s="457" t="e">
        <f t="shared" si="5"/>
        <v>#REF!</v>
      </c>
      <c r="P58" s="458" t="e">
        <f t="shared" si="6"/>
        <v>#REF!</v>
      </c>
      <c r="Q58" s="523">
        <v>0</v>
      </c>
      <c r="R58" s="521" t="e">
        <f t="shared" si="7"/>
        <v>#REF!</v>
      </c>
      <c r="S58" s="455" t="e">
        <f t="shared" si="8"/>
        <v>#REF!</v>
      </c>
      <c r="T58" s="458" t="e">
        <f t="shared" si="9"/>
        <v>#REF!</v>
      </c>
      <c r="U58" s="523">
        <v>0</v>
      </c>
      <c r="V58" s="521" t="e">
        <f>#REF!*U58</f>
        <v>#REF!</v>
      </c>
      <c r="W58" s="455" t="e">
        <f t="shared" si="10"/>
        <v>#REF!</v>
      </c>
      <c r="X58" s="458">
        <f t="shared" si="11"/>
        <v>0</v>
      </c>
    </row>
    <row r="59" spans="1:24" x14ac:dyDescent="0.2">
      <c r="A59" s="105">
        <f t="shared" si="0"/>
        <v>50</v>
      </c>
      <c r="B59" s="670" t="e">
        <f>#REF!</f>
        <v>#REF!</v>
      </c>
      <c r="C59" s="671" t="s">
        <v>4</v>
      </c>
      <c r="D59" s="467" t="e">
        <f>#REF!</f>
        <v>#REF!</v>
      </c>
      <c r="E59" s="461">
        <f>'Allocation = % of Margin'!E56</f>
        <v>0.13682000000000002</v>
      </c>
      <c r="F59" s="462">
        <f>'Allocation = % of Margin'!J56</f>
        <v>32837</v>
      </c>
      <c r="G59" s="462">
        <f>'Allocation = % of Margin'!O56</f>
        <v>160513.01702958997</v>
      </c>
      <c r="H59" s="697"/>
      <c r="I59" s="525">
        <v>1</v>
      </c>
      <c r="J59" s="517" t="e">
        <f t="shared" si="1"/>
        <v>#REF!</v>
      </c>
      <c r="K59" s="466" t="e">
        <f t="shared" si="2"/>
        <v>#REF!</v>
      </c>
      <c r="L59" s="526">
        <v>1</v>
      </c>
      <c r="M59" s="517" t="e">
        <f t="shared" si="3"/>
        <v>#REF!</v>
      </c>
      <c r="N59" s="462" t="e">
        <f t="shared" si="4"/>
        <v>#REF!</v>
      </c>
      <c r="O59" s="459" t="e">
        <f t="shared" si="5"/>
        <v>#REF!</v>
      </c>
      <c r="P59" s="466" t="e">
        <f t="shared" si="6"/>
        <v>#REF!</v>
      </c>
      <c r="Q59" s="525">
        <v>1</v>
      </c>
      <c r="R59" s="517" t="e">
        <f t="shared" si="7"/>
        <v>#REF!</v>
      </c>
      <c r="S59" s="462" t="e">
        <f t="shared" si="8"/>
        <v>#REF!</v>
      </c>
      <c r="T59" s="466" t="e">
        <f t="shared" si="9"/>
        <v>#REF!</v>
      </c>
      <c r="U59" s="525">
        <v>1</v>
      </c>
      <c r="V59" s="517" t="e">
        <f>#REF!*U59</f>
        <v>#REF!</v>
      </c>
      <c r="W59" s="462" t="e">
        <f t="shared" si="10"/>
        <v>#REF!</v>
      </c>
      <c r="X59" s="466">
        <f t="shared" si="11"/>
        <v>0</v>
      </c>
    </row>
    <row r="60" spans="1:24" x14ac:dyDescent="0.2">
      <c r="A60" s="105">
        <f t="shared" si="0"/>
        <v>51</v>
      </c>
      <c r="B60" s="670"/>
      <c r="C60" s="671" t="s">
        <v>5</v>
      </c>
      <c r="D60" s="467" t="e">
        <f>#REF!</f>
        <v>#REF!</v>
      </c>
      <c r="E60" s="461">
        <f>'Allocation = % of Margin'!E57</f>
        <v>0.12246999999999988</v>
      </c>
      <c r="F60" s="462">
        <f>'Allocation = % of Margin'!J57</f>
        <v>57256</v>
      </c>
      <c r="G60" s="462">
        <f>'Allocation = % of Margin'!O57</f>
        <v>0</v>
      </c>
      <c r="H60" s="697"/>
      <c r="I60" s="525">
        <v>1</v>
      </c>
      <c r="J60" s="517" t="e">
        <f t="shared" si="1"/>
        <v>#REF!</v>
      </c>
      <c r="K60" s="466" t="e">
        <f t="shared" si="2"/>
        <v>#REF!</v>
      </c>
      <c r="L60" s="526">
        <v>1</v>
      </c>
      <c r="M60" s="517" t="e">
        <f t="shared" si="3"/>
        <v>#REF!</v>
      </c>
      <c r="N60" s="462" t="e">
        <f t="shared" si="4"/>
        <v>#REF!</v>
      </c>
      <c r="O60" s="459" t="e">
        <f t="shared" si="5"/>
        <v>#REF!</v>
      </c>
      <c r="P60" s="466" t="e">
        <f t="shared" si="6"/>
        <v>#REF!</v>
      </c>
      <c r="Q60" s="525">
        <v>1</v>
      </c>
      <c r="R60" s="517" t="e">
        <f t="shared" si="7"/>
        <v>#REF!</v>
      </c>
      <c r="S60" s="462" t="e">
        <f t="shared" si="8"/>
        <v>#REF!</v>
      </c>
      <c r="T60" s="466" t="e">
        <f t="shared" si="9"/>
        <v>#REF!</v>
      </c>
      <c r="U60" s="525">
        <v>1</v>
      </c>
      <c r="V60" s="517" t="e">
        <f>#REF!*U60</f>
        <v>#REF!</v>
      </c>
      <c r="W60" s="462" t="e">
        <f t="shared" si="10"/>
        <v>#REF!</v>
      </c>
      <c r="X60" s="466">
        <f t="shared" si="11"/>
        <v>0</v>
      </c>
    </row>
    <row r="61" spans="1:24" x14ac:dyDescent="0.2">
      <c r="A61" s="105">
        <f t="shared" si="0"/>
        <v>52</v>
      </c>
      <c r="B61" s="670"/>
      <c r="C61" s="671" t="s">
        <v>6</v>
      </c>
      <c r="D61" s="467" t="e">
        <f>#REF!</f>
        <v>#REF!</v>
      </c>
      <c r="E61" s="461">
        <f>'Allocation = % of Margin'!E58</f>
        <v>9.3909999999999993E-2</v>
      </c>
      <c r="F61" s="462">
        <f>'Allocation = % of Margin'!J58</f>
        <v>20473</v>
      </c>
      <c r="G61" s="462">
        <f>'Allocation = % of Margin'!O58</f>
        <v>0</v>
      </c>
      <c r="H61" s="697"/>
      <c r="I61" s="525">
        <v>1</v>
      </c>
      <c r="J61" s="517" t="e">
        <f t="shared" si="1"/>
        <v>#REF!</v>
      </c>
      <c r="K61" s="466" t="e">
        <f t="shared" si="2"/>
        <v>#REF!</v>
      </c>
      <c r="L61" s="526">
        <v>1</v>
      </c>
      <c r="M61" s="517" t="e">
        <f t="shared" si="3"/>
        <v>#REF!</v>
      </c>
      <c r="N61" s="462" t="e">
        <f t="shared" si="4"/>
        <v>#REF!</v>
      </c>
      <c r="O61" s="459" t="e">
        <f t="shared" si="5"/>
        <v>#REF!</v>
      </c>
      <c r="P61" s="466" t="e">
        <f t="shared" si="6"/>
        <v>#REF!</v>
      </c>
      <c r="Q61" s="525">
        <v>1</v>
      </c>
      <c r="R61" s="517" t="e">
        <f t="shared" si="7"/>
        <v>#REF!</v>
      </c>
      <c r="S61" s="462" t="e">
        <f t="shared" si="8"/>
        <v>#REF!</v>
      </c>
      <c r="T61" s="466" t="e">
        <f t="shared" si="9"/>
        <v>#REF!</v>
      </c>
      <c r="U61" s="525">
        <v>1</v>
      </c>
      <c r="V61" s="517" t="e">
        <f>#REF!*U61</f>
        <v>#REF!</v>
      </c>
      <c r="W61" s="462" t="e">
        <f t="shared" si="10"/>
        <v>#REF!</v>
      </c>
      <c r="X61" s="466">
        <f t="shared" si="11"/>
        <v>0</v>
      </c>
    </row>
    <row r="62" spans="1:24" x14ac:dyDescent="0.2">
      <c r="A62" s="105">
        <f t="shared" si="0"/>
        <v>53</v>
      </c>
      <c r="B62" s="670"/>
      <c r="C62" s="671" t="s">
        <v>7</v>
      </c>
      <c r="D62" s="467" t="e">
        <f>#REF!</f>
        <v>#REF!</v>
      </c>
      <c r="E62" s="461">
        <f>'Allocation = % of Margin'!E59</f>
        <v>7.5130000000000044E-2</v>
      </c>
      <c r="F62" s="462">
        <f>'Allocation = % of Margin'!J59</f>
        <v>1368</v>
      </c>
      <c r="G62" s="462">
        <f>'Allocation = % of Margin'!O59</f>
        <v>0</v>
      </c>
      <c r="H62" s="697"/>
      <c r="I62" s="525">
        <v>1</v>
      </c>
      <c r="J62" s="517" t="e">
        <f t="shared" si="1"/>
        <v>#REF!</v>
      </c>
      <c r="K62" s="466" t="e">
        <f t="shared" si="2"/>
        <v>#REF!</v>
      </c>
      <c r="L62" s="526">
        <v>1</v>
      </c>
      <c r="M62" s="517" t="e">
        <f t="shared" si="3"/>
        <v>#REF!</v>
      </c>
      <c r="N62" s="462" t="e">
        <f t="shared" si="4"/>
        <v>#REF!</v>
      </c>
      <c r="O62" s="459" t="e">
        <f t="shared" si="5"/>
        <v>#REF!</v>
      </c>
      <c r="P62" s="466" t="e">
        <f t="shared" si="6"/>
        <v>#REF!</v>
      </c>
      <c r="Q62" s="525">
        <v>1</v>
      </c>
      <c r="R62" s="517" t="e">
        <f t="shared" si="7"/>
        <v>#REF!</v>
      </c>
      <c r="S62" s="462" t="e">
        <f t="shared" si="8"/>
        <v>#REF!</v>
      </c>
      <c r="T62" s="466" t="e">
        <f t="shared" si="9"/>
        <v>#REF!</v>
      </c>
      <c r="U62" s="525">
        <v>1</v>
      </c>
      <c r="V62" s="517" t="e">
        <f>#REF!*U62</f>
        <v>#REF!</v>
      </c>
      <c r="W62" s="462" t="e">
        <f t="shared" si="10"/>
        <v>#REF!</v>
      </c>
      <c r="X62" s="466">
        <f t="shared" si="11"/>
        <v>0</v>
      </c>
    </row>
    <row r="63" spans="1:24" x14ac:dyDescent="0.2">
      <c r="A63" s="105">
        <f t="shared" si="0"/>
        <v>54</v>
      </c>
      <c r="B63" s="670"/>
      <c r="C63" s="671" t="s">
        <v>8</v>
      </c>
      <c r="D63" s="467" t="e">
        <f>#REF!</f>
        <v>#REF!</v>
      </c>
      <c r="E63" s="461">
        <f>'Allocation = % of Margin'!E60</f>
        <v>5.0089999999999968E-2</v>
      </c>
      <c r="F63" s="462">
        <f>'Allocation = % of Margin'!J60</f>
        <v>0</v>
      </c>
      <c r="G63" s="462">
        <f>'Allocation = % of Margin'!O60</f>
        <v>0</v>
      </c>
      <c r="H63" s="697"/>
      <c r="I63" s="525">
        <v>1</v>
      </c>
      <c r="J63" s="517" t="e">
        <f t="shared" si="1"/>
        <v>#REF!</v>
      </c>
      <c r="K63" s="466" t="e">
        <f t="shared" si="2"/>
        <v>#REF!</v>
      </c>
      <c r="L63" s="526">
        <v>1</v>
      </c>
      <c r="M63" s="517" t="e">
        <f t="shared" si="3"/>
        <v>#REF!</v>
      </c>
      <c r="N63" s="462" t="e">
        <f t="shared" si="4"/>
        <v>#REF!</v>
      </c>
      <c r="O63" s="459" t="e">
        <f t="shared" si="5"/>
        <v>#REF!</v>
      </c>
      <c r="P63" s="466" t="e">
        <f t="shared" si="6"/>
        <v>#REF!</v>
      </c>
      <c r="Q63" s="525">
        <v>1</v>
      </c>
      <c r="R63" s="517" t="e">
        <f t="shared" si="7"/>
        <v>#REF!</v>
      </c>
      <c r="S63" s="462" t="e">
        <f t="shared" si="8"/>
        <v>#REF!</v>
      </c>
      <c r="T63" s="466" t="e">
        <f t="shared" si="9"/>
        <v>#REF!</v>
      </c>
      <c r="U63" s="525">
        <v>1</v>
      </c>
      <c r="V63" s="517" t="e">
        <f>#REF!*U63</f>
        <v>#REF!</v>
      </c>
      <c r="W63" s="462" t="e">
        <f t="shared" si="10"/>
        <v>#REF!</v>
      </c>
      <c r="X63" s="466">
        <f t="shared" si="11"/>
        <v>0</v>
      </c>
    </row>
    <row r="64" spans="1:24" x14ac:dyDescent="0.2">
      <c r="A64" s="105">
        <f t="shared" si="0"/>
        <v>55</v>
      </c>
      <c r="B64" s="668"/>
      <c r="C64" s="672" t="s">
        <v>9</v>
      </c>
      <c r="D64" s="454" t="e">
        <f>#REF!</f>
        <v>#REF!</v>
      </c>
      <c r="E64" s="451">
        <f>'Allocation = % of Margin'!E61</f>
        <v>1.8790000000000001E-2</v>
      </c>
      <c r="F64" s="455">
        <f>'Allocation = % of Margin'!J61</f>
        <v>0</v>
      </c>
      <c r="G64" s="455">
        <f>'Allocation = % of Margin'!O61</f>
        <v>0</v>
      </c>
      <c r="H64" s="697"/>
      <c r="I64" s="523">
        <v>1</v>
      </c>
      <c r="J64" s="521" t="e">
        <f t="shared" si="1"/>
        <v>#REF!</v>
      </c>
      <c r="K64" s="458" t="e">
        <f t="shared" si="2"/>
        <v>#REF!</v>
      </c>
      <c r="L64" s="524">
        <v>1</v>
      </c>
      <c r="M64" s="521" t="e">
        <f t="shared" si="3"/>
        <v>#REF!</v>
      </c>
      <c r="N64" s="455" t="e">
        <f t="shared" si="4"/>
        <v>#REF!</v>
      </c>
      <c r="O64" s="457" t="e">
        <f t="shared" si="5"/>
        <v>#REF!</v>
      </c>
      <c r="P64" s="458" t="e">
        <f t="shared" si="6"/>
        <v>#REF!</v>
      </c>
      <c r="Q64" s="523">
        <v>1</v>
      </c>
      <c r="R64" s="521" t="e">
        <f t="shared" si="7"/>
        <v>#REF!</v>
      </c>
      <c r="S64" s="455" t="e">
        <f t="shared" si="8"/>
        <v>#REF!</v>
      </c>
      <c r="T64" s="458" t="e">
        <f t="shared" si="9"/>
        <v>#REF!</v>
      </c>
      <c r="U64" s="523">
        <v>1</v>
      </c>
      <c r="V64" s="521" t="e">
        <f>#REF!*U64</f>
        <v>#REF!</v>
      </c>
      <c r="W64" s="455" t="e">
        <f t="shared" si="10"/>
        <v>#REF!</v>
      </c>
      <c r="X64" s="458">
        <f t="shared" si="11"/>
        <v>0</v>
      </c>
    </row>
    <row r="65" spans="1:24" x14ac:dyDescent="0.2">
      <c r="A65" s="105">
        <f t="shared" si="0"/>
        <v>56</v>
      </c>
      <c r="B65" s="670" t="e">
        <f>#REF!</f>
        <v>#REF!</v>
      </c>
      <c r="C65" s="671" t="s">
        <v>4</v>
      </c>
      <c r="D65" s="467" t="e">
        <f>#REF!</f>
        <v>#REF!</v>
      </c>
      <c r="E65" s="461">
        <f>'Allocation = % of Margin'!E62</f>
        <v>0.14583999999999989</v>
      </c>
      <c r="F65" s="462">
        <f>'Allocation = % of Margin'!J62</f>
        <v>22859</v>
      </c>
      <c r="G65" s="462">
        <f>'Allocation = % of Margin'!O62</f>
        <v>81130.543495991747</v>
      </c>
      <c r="H65" s="697"/>
      <c r="I65" s="525">
        <v>1</v>
      </c>
      <c r="J65" s="517" t="e">
        <f t="shared" si="1"/>
        <v>#REF!</v>
      </c>
      <c r="K65" s="466" t="e">
        <f t="shared" si="2"/>
        <v>#REF!</v>
      </c>
      <c r="L65" s="526">
        <v>1</v>
      </c>
      <c r="M65" s="517" t="e">
        <f t="shared" si="3"/>
        <v>#REF!</v>
      </c>
      <c r="N65" s="462" t="e">
        <f t="shared" si="4"/>
        <v>#REF!</v>
      </c>
      <c r="O65" s="459" t="e">
        <f t="shared" si="5"/>
        <v>#REF!</v>
      </c>
      <c r="P65" s="466" t="e">
        <f t="shared" si="6"/>
        <v>#REF!</v>
      </c>
      <c r="Q65" s="525">
        <v>1</v>
      </c>
      <c r="R65" s="517" t="e">
        <f t="shared" si="7"/>
        <v>#REF!</v>
      </c>
      <c r="S65" s="462" t="e">
        <f t="shared" si="8"/>
        <v>#REF!</v>
      </c>
      <c r="T65" s="466" t="e">
        <f t="shared" si="9"/>
        <v>#REF!</v>
      </c>
      <c r="U65" s="525">
        <v>1</v>
      </c>
      <c r="V65" s="517" t="e">
        <f>#REF!*U65</f>
        <v>#REF!</v>
      </c>
      <c r="W65" s="462" t="e">
        <f t="shared" si="10"/>
        <v>#REF!</v>
      </c>
      <c r="X65" s="466">
        <f t="shared" si="11"/>
        <v>0</v>
      </c>
    </row>
    <row r="66" spans="1:24" x14ac:dyDescent="0.2">
      <c r="A66" s="105">
        <f t="shared" si="0"/>
        <v>57</v>
      </c>
      <c r="B66" s="670"/>
      <c r="C66" s="671" t="s">
        <v>5</v>
      </c>
      <c r="D66" s="467" t="e">
        <f>#REF!</f>
        <v>#REF!</v>
      </c>
      <c r="E66" s="461">
        <f>'Allocation = % of Margin'!E63</f>
        <v>0.13054999999999992</v>
      </c>
      <c r="F66" s="462">
        <f>'Allocation = % of Margin'!J63</f>
        <v>20848</v>
      </c>
      <c r="G66" s="462">
        <f>'Allocation = % of Margin'!O63</f>
        <v>0</v>
      </c>
      <c r="H66" s="697"/>
      <c r="I66" s="525">
        <v>1</v>
      </c>
      <c r="J66" s="517" t="e">
        <f t="shared" si="1"/>
        <v>#REF!</v>
      </c>
      <c r="K66" s="466" t="e">
        <f t="shared" si="2"/>
        <v>#REF!</v>
      </c>
      <c r="L66" s="526">
        <v>1</v>
      </c>
      <c r="M66" s="517" t="e">
        <f t="shared" si="3"/>
        <v>#REF!</v>
      </c>
      <c r="N66" s="462" t="e">
        <f t="shared" si="4"/>
        <v>#REF!</v>
      </c>
      <c r="O66" s="459" t="e">
        <f t="shared" si="5"/>
        <v>#REF!</v>
      </c>
      <c r="P66" s="466" t="e">
        <f t="shared" si="6"/>
        <v>#REF!</v>
      </c>
      <c r="Q66" s="525">
        <v>1</v>
      </c>
      <c r="R66" s="517" t="e">
        <f t="shared" si="7"/>
        <v>#REF!</v>
      </c>
      <c r="S66" s="462" t="e">
        <f t="shared" si="8"/>
        <v>#REF!</v>
      </c>
      <c r="T66" s="466" t="e">
        <f t="shared" si="9"/>
        <v>#REF!</v>
      </c>
      <c r="U66" s="525">
        <v>1</v>
      </c>
      <c r="V66" s="517" t="e">
        <f>#REF!*U66</f>
        <v>#REF!</v>
      </c>
      <c r="W66" s="462" t="e">
        <f t="shared" si="10"/>
        <v>#REF!</v>
      </c>
      <c r="X66" s="466">
        <f t="shared" si="11"/>
        <v>0</v>
      </c>
    </row>
    <row r="67" spans="1:24" x14ac:dyDescent="0.2">
      <c r="A67" s="105">
        <f t="shared" si="0"/>
        <v>58</v>
      </c>
      <c r="B67" s="670"/>
      <c r="C67" s="671" t="s">
        <v>6</v>
      </c>
      <c r="D67" s="467" t="e">
        <f>#REF!</f>
        <v>#REF!</v>
      </c>
      <c r="E67" s="461">
        <f>'Allocation = % of Margin'!E64</f>
        <v>0.10011</v>
      </c>
      <c r="F67" s="462">
        <f>'Allocation = % of Margin'!J64</f>
        <v>0</v>
      </c>
      <c r="G67" s="462">
        <f>'Allocation = % of Margin'!O64</f>
        <v>0</v>
      </c>
      <c r="H67" s="697"/>
      <c r="I67" s="525">
        <v>1</v>
      </c>
      <c r="J67" s="517" t="e">
        <f t="shared" si="1"/>
        <v>#REF!</v>
      </c>
      <c r="K67" s="466" t="e">
        <f t="shared" si="2"/>
        <v>#REF!</v>
      </c>
      <c r="L67" s="526">
        <v>1</v>
      </c>
      <c r="M67" s="517" t="e">
        <f t="shared" si="3"/>
        <v>#REF!</v>
      </c>
      <c r="N67" s="462" t="e">
        <f t="shared" si="4"/>
        <v>#REF!</v>
      </c>
      <c r="O67" s="459" t="e">
        <f t="shared" si="5"/>
        <v>#REF!</v>
      </c>
      <c r="P67" s="466" t="e">
        <f t="shared" si="6"/>
        <v>#REF!</v>
      </c>
      <c r="Q67" s="525">
        <v>1</v>
      </c>
      <c r="R67" s="517" t="e">
        <f t="shared" si="7"/>
        <v>#REF!</v>
      </c>
      <c r="S67" s="462" t="e">
        <f t="shared" si="8"/>
        <v>#REF!</v>
      </c>
      <c r="T67" s="466" t="e">
        <f t="shared" si="9"/>
        <v>#REF!</v>
      </c>
      <c r="U67" s="525">
        <v>1</v>
      </c>
      <c r="V67" s="517" t="e">
        <f>#REF!*U67</f>
        <v>#REF!</v>
      </c>
      <c r="W67" s="462" t="e">
        <f t="shared" si="10"/>
        <v>#REF!</v>
      </c>
      <c r="X67" s="466">
        <f t="shared" si="11"/>
        <v>0</v>
      </c>
    </row>
    <row r="68" spans="1:24" x14ac:dyDescent="0.2">
      <c r="A68" s="105">
        <f t="shared" si="0"/>
        <v>59</v>
      </c>
      <c r="B68" s="670"/>
      <c r="C68" s="671" t="s">
        <v>7</v>
      </c>
      <c r="D68" s="467" t="e">
        <f>#REF!</f>
        <v>#REF!</v>
      </c>
      <c r="E68" s="461">
        <f>'Allocation = % of Margin'!E65</f>
        <v>8.0089999999999995E-2</v>
      </c>
      <c r="F68" s="462">
        <f>'Allocation = % of Margin'!J65</f>
        <v>0</v>
      </c>
      <c r="G68" s="462">
        <f>'Allocation = % of Margin'!O65</f>
        <v>0</v>
      </c>
      <c r="H68" s="697"/>
      <c r="I68" s="525">
        <v>1</v>
      </c>
      <c r="J68" s="517" t="e">
        <f t="shared" si="1"/>
        <v>#REF!</v>
      </c>
      <c r="K68" s="466" t="e">
        <f t="shared" si="2"/>
        <v>#REF!</v>
      </c>
      <c r="L68" s="526">
        <v>1</v>
      </c>
      <c r="M68" s="517" t="e">
        <f t="shared" si="3"/>
        <v>#REF!</v>
      </c>
      <c r="N68" s="462" t="e">
        <f t="shared" si="4"/>
        <v>#REF!</v>
      </c>
      <c r="O68" s="459" t="e">
        <f t="shared" si="5"/>
        <v>#REF!</v>
      </c>
      <c r="P68" s="466" t="e">
        <f t="shared" si="6"/>
        <v>#REF!</v>
      </c>
      <c r="Q68" s="525">
        <v>1</v>
      </c>
      <c r="R68" s="517" t="e">
        <f t="shared" si="7"/>
        <v>#REF!</v>
      </c>
      <c r="S68" s="462" t="e">
        <f t="shared" si="8"/>
        <v>#REF!</v>
      </c>
      <c r="T68" s="466" t="e">
        <f t="shared" si="9"/>
        <v>#REF!</v>
      </c>
      <c r="U68" s="525">
        <v>1</v>
      </c>
      <c r="V68" s="517" t="e">
        <f>#REF!*U68</f>
        <v>#REF!</v>
      </c>
      <c r="W68" s="462" t="e">
        <f t="shared" si="10"/>
        <v>#REF!</v>
      </c>
      <c r="X68" s="466">
        <f t="shared" si="11"/>
        <v>0</v>
      </c>
    </row>
    <row r="69" spans="1:24" x14ac:dyDescent="0.2">
      <c r="A69" s="105">
        <f t="shared" si="0"/>
        <v>60</v>
      </c>
      <c r="B69" s="670"/>
      <c r="C69" s="671" t="s">
        <v>8</v>
      </c>
      <c r="D69" s="467" t="e">
        <f>#REF!</f>
        <v>#REF!</v>
      </c>
      <c r="E69" s="461">
        <f>'Allocation = % of Margin'!E66</f>
        <v>5.339E-2</v>
      </c>
      <c r="F69" s="462">
        <f>'Allocation = % of Margin'!J66</f>
        <v>0</v>
      </c>
      <c r="G69" s="462">
        <f>'Allocation = % of Margin'!O66</f>
        <v>0</v>
      </c>
      <c r="H69" s="697"/>
      <c r="I69" s="525">
        <v>1</v>
      </c>
      <c r="J69" s="517" t="e">
        <f t="shared" si="1"/>
        <v>#REF!</v>
      </c>
      <c r="K69" s="466" t="e">
        <f t="shared" si="2"/>
        <v>#REF!</v>
      </c>
      <c r="L69" s="526">
        <v>1</v>
      </c>
      <c r="M69" s="517" t="e">
        <f t="shared" si="3"/>
        <v>#REF!</v>
      </c>
      <c r="N69" s="462" t="e">
        <f t="shared" si="4"/>
        <v>#REF!</v>
      </c>
      <c r="O69" s="459" t="e">
        <f t="shared" si="5"/>
        <v>#REF!</v>
      </c>
      <c r="P69" s="466" t="e">
        <f t="shared" si="6"/>
        <v>#REF!</v>
      </c>
      <c r="Q69" s="525">
        <v>1</v>
      </c>
      <c r="R69" s="517" t="e">
        <f t="shared" si="7"/>
        <v>#REF!</v>
      </c>
      <c r="S69" s="462" t="e">
        <f t="shared" si="8"/>
        <v>#REF!</v>
      </c>
      <c r="T69" s="466" t="e">
        <f t="shared" si="9"/>
        <v>#REF!</v>
      </c>
      <c r="U69" s="525">
        <v>1</v>
      </c>
      <c r="V69" s="517" t="e">
        <f>#REF!*U69</f>
        <v>#REF!</v>
      </c>
      <c r="W69" s="462" t="e">
        <f t="shared" si="10"/>
        <v>#REF!</v>
      </c>
      <c r="X69" s="466">
        <f t="shared" si="11"/>
        <v>0</v>
      </c>
    </row>
    <row r="70" spans="1:24" x14ac:dyDescent="0.2">
      <c r="A70" s="105">
        <f t="shared" si="0"/>
        <v>61</v>
      </c>
      <c r="B70" s="668"/>
      <c r="C70" s="672" t="s">
        <v>9</v>
      </c>
      <c r="D70" s="454" t="e">
        <f>#REF!</f>
        <v>#REF!</v>
      </c>
      <c r="E70" s="451">
        <f>'Allocation = % of Margin'!E67</f>
        <v>2.002E-2</v>
      </c>
      <c r="F70" s="455">
        <f>'Allocation = % of Margin'!J67</f>
        <v>0</v>
      </c>
      <c r="G70" s="455">
        <f>'Allocation = % of Margin'!O67</f>
        <v>0</v>
      </c>
      <c r="H70" s="697"/>
      <c r="I70" s="523">
        <v>1</v>
      </c>
      <c r="J70" s="521" t="e">
        <f t="shared" si="1"/>
        <v>#REF!</v>
      </c>
      <c r="K70" s="458" t="e">
        <f t="shared" si="2"/>
        <v>#REF!</v>
      </c>
      <c r="L70" s="524">
        <v>1</v>
      </c>
      <c r="M70" s="521" t="e">
        <f t="shared" si="3"/>
        <v>#REF!</v>
      </c>
      <c r="N70" s="455" t="e">
        <f t="shared" si="4"/>
        <v>#REF!</v>
      </c>
      <c r="O70" s="457" t="e">
        <f t="shared" si="5"/>
        <v>#REF!</v>
      </c>
      <c r="P70" s="458" t="e">
        <f t="shared" si="6"/>
        <v>#REF!</v>
      </c>
      <c r="Q70" s="523">
        <v>1</v>
      </c>
      <c r="R70" s="521" t="e">
        <f t="shared" si="7"/>
        <v>#REF!</v>
      </c>
      <c r="S70" s="455" t="e">
        <f t="shared" si="8"/>
        <v>#REF!</v>
      </c>
      <c r="T70" s="458" t="e">
        <f t="shared" si="9"/>
        <v>#REF!</v>
      </c>
      <c r="U70" s="523">
        <v>1</v>
      </c>
      <c r="V70" s="521" t="e">
        <f>#REF!*U70</f>
        <v>#REF!</v>
      </c>
      <c r="W70" s="455" t="e">
        <f t="shared" si="10"/>
        <v>#REF!</v>
      </c>
      <c r="X70" s="458">
        <f t="shared" si="11"/>
        <v>0</v>
      </c>
    </row>
    <row r="71" spans="1:24" x14ac:dyDescent="0.2">
      <c r="A71" s="105">
        <f t="shared" si="0"/>
        <v>62</v>
      </c>
      <c r="B71" s="670" t="e">
        <f>#REF!</f>
        <v>#REF!</v>
      </c>
      <c r="C71" s="671" t="s">
        <v>4</v>
      </c>
      <c r="D71" s="467" t="e">
        <f>#REF!</f>
        <v>#REF!</v>
      </c>
      <c r="E71" s="469">
        <f>'Allocation = % of Margin'!E68</f>
        <v>0.13402999999999998</v>
      </c>
      <c r="F71" s="462">
        <f>'Allocation = % of Margin'!J68</f>
        <v>0</v>
      </c>
      <c r="G71" s="462">
        <f>'Allocation = % of Margin'!O68</f>
        <v>0</v>
      </c>
      <c r="H71" s="697"/>
      <c r="I71" s="525">
        <v>0</v>
      </c>
      <c r="J71" s="517" t="e">
        <f t="shared" si="1"/>
        <v>#REF!</v>
      </c>
      <c r="K71" s="466" t="e">
        <f t="shared" si="2"/>
        <v>#REF!</v>
      </c>
      <c r="L71" s="526">
        <v>0</v>
      </c>
      <c r="M71" s="517" t="e">
        <f t="shared" si="3"/>
        <v>#REF!</v>
      </c>
      <c r="N71" s="462" t="e">
        <f t="shared" si="4"/>
        <v>#REF!</v>
      </c>
      <c r="O71" s="459" t="e">
        <f t="shared" si="5"/>
        <v>#REF!</v>
      </c>
      <c r="P71" s="466" t="e">
        <f t="shared" si="6"/>
        <v>#REF!</v>
      </c>
      <c r="Q71" s="525">
        <v>0</v>
      </c>
      <c r="R71" s="517" t="e">
        <f t="shared" si="7"/>
        <v>#REF!</v>
      </c>
      <c r="S71" s="462" t="e">
        <f t="shared" si="8"/>
        <v>#REF!</v>
      </c>
      <c r="T71" s="466" t="e">
        <f t="shared" si="9"/>
        <v>#REF!</v>
      </c>
      <c r="U71" s="525">
        <v>0</v>
      </c>
      <c r="V71" s="517" t="e">
        <f>#REF!*U71</f>
        <v>#REF!</v>
      </c>
      <c r="W71" s="462" t="e">
        <f t="shared" si="10"/>
        <v>#REF!</v>
      </c>
      <c r="X71" s="466">
        <f t="shared" si="11"/>
        <v>0</v>
      </c>
    </row>
    <row r="72" spans="1:24" x14ac:dyDescent="0.2">
      <c r="A72" s="105">
        <f t="shared" si="0"/>
        <v>63</v>
      </c>
      <c r="B72" s="670"/>
      <c r="C72" s="671" t="s">
        <v>5</v>
      </c>
      <c r="D72" s="467" t="e">
        <f>#REF!</f>
        <v>#REF!</v>
      </c>
      <c r="E72" s="469">
        <f>'Allocation = % of Margin'!E69</f>
        <v>0.11997999999999999</v>
      </c>
      <c r="F72" s="462">
        <f>'Allocation = % of Margin'!J69</f>
        <v>0</v>
      </c>
      <c r="G72" s="462">
        <f>'Allocation = % of Margin'!O69</f>
        <v>0</v>
      </c>
      <c r="H72" s="697"/>
      <c r="I72" s="525">
        <v>0</v>
      </c>
      <c r="J72" s="517" t="e">
        <f t="shared" si="1"/>
        <v>#REF!</v>
      </c>
      <c r="K72" s="466" t="e">
        <f t="shared" si="2"/>
        <v>#REF!</v>
      </c>
      <c r="L72" s="526">
        <v>0</v>
      </c>
      <c r="M72" s="517" t="e">
        <f t="shared" si="3"/>
        <v>#REF!</v>
      </c>
      <c r="N72" s="462" t="e">
        <f t="shared" si="4"/>
        <v>#REF!</v>
      </c>
      <c r="O72" s="459" t="e">
        <f t="shared" si="5"/>
        <v>#REF!</v>
      </c>
      <c r="P72" s="466" t="e">
        <f t="shared" si="6"/>
        <v>#REF!</v>
      </c>
      <c r="Q72" s="525">
        <v>0</v>
      </c>
      <c r="R72" s="517" t="e">
        <f t="shared" si="7"/>
        <v>#REF!</v>
      </c>
      <c r="S72" s="462" t="e">
        <f t="shared" si="8"/>
        <v>#REF!</v>
      </c>
      <c r="T72" s="466" t="e">
        <f t="shared" si="9"/>
        <v>#REF!</v>
      </c>
      <c r="U72" s="525">
        <v>0</v>
      </c>
      <c r="V72" s="517" t="e">
        <f>#REF!*U72</f>
        <v>#REF!</v>
      </c>
      <c r="W72" s="462" t="e">
        <f t="shared" si="10"/>
        <v>#REF!</v>
      </c>
      <c r="X72" s="466">
        <f t="shared" si="11"/>
        <v>0</v>
      </c>
    </row>
    <row r="73" spans="1:24" x14ac:dyDescent="0.2">
      <c r="A73" s="105">
        <f t="shared" si="0"/>
        <v>64</v>
      </c>
      <c r="B73" s="670"/>
      <c r="C73" s="671" t="s">
        <v>6</v>
      </c>
      <c r="D73" s="467" t="e">
        <f>#REF!</f>
        <v>#REF!</v>
      </c>
      <c r="E73" s="469">
        <f>'Allocation = % of Margin'!E70</f>
        <v>9.1999999999999998E-2</v>
      </c>
      <c r="F73" s="462">
        <f>'Allocation = % of Margin'!J70</f>
        <v>0</v>
      </c>
      <c r="G73" s="462">
        <f>'Allocation = % of Margin'!O70</f>
        <v>0</v>
      </c>
      <c r="H73" s="697"/>
      <c r="I73" s="525">
        <v>0</v>
      </c>
      <c r="J73" s="517" t="e">
        <f t="shared" si="1"/>
        <v>#REF!</v>
      </c>
      <c r="K73" s="466" t="e">
        <f t="shared" si="2"/>
        <v>#REF!</v>
      </c>
      <c r="L73" s="526">
        <v>0</v>
      </c>
      <c r="M73" s="517" t="e">
        <f t="shared" si="3"/>
        <v>#REF!</v>
      </c>
      <c r="N73" s="462" t="e">
        <f t="shared" si="4"/>
        <v>#REF!</v>
      </c>
      <c r="O73" s="459" t="e">
        <f t="shared" si="5"/>
        <v>#REF!</v>
      </c>
      <c r="P73" s="466" t="e">
        <f t="shared" si="6"/>
        <v>#REF!</v>
      </c>
      <c r="Q73" s="525">
        <v>0</v>
      </c>
      <c r="R73" s="517" t="e">
        <f t="shared" si="7"/>
        <v>#REF!</v>
      </c>
      <c r="S73" s="462" t="e">
        <f t="shared" si="8"/>
        <v>#REF!</v>
      </c>
      <c r="T73" s="466" t="e">
        <f t="shared" si="9"/>
        <v>#REF!</v>
      </c>
      <c r="U73" s="525">
        <v>0</v>
      </c>
      <c r="V73" s="517" t="e">
        <f>#REF!*U73</f>
        <v>#REF!</v>
      </c>
      <c r="W73" s="462" t="e">
        <f t="shared" si="10"/>
        <v>#REF!</v>
      </c>
      <c r="X73" s="466">
        <f t="shared" si="11"/>
        <v>0</v>
      </c>
    </row>
    <row r="74" spans="1:24" x14ac:dyDescent="0.2">
      <c r="A74" s="105">
        <f t="shared" si="0"/>
        <v>65</v>
      </c>
      <c r="B74" s="670"/>
      <c r="C74" s="671" t="s">
        <v>7</v>
      </c>
      <c r="D74" s="467" t="e">
        <f>#REF!</f>
        <v>#REF!</v>
      </c>
      <c r="E74" s="469">
        <f>'Allocation = % of Margin'!E71</f>
        <v>7.3609999999999995E-2</v>
      </c>
      <c r="F74" s="462">
        <f>'Allocation = % of Margin'!J71</f>
        <v>0</v>
      </c>
      <c r="G74" s="462">
        <f>'Allocation = % of Margin'!O71</f>
        <v>0</v>
      </c>
      <c r="H74" s="697"/>
      <c r="I74" s="525">
        <v>0</v>
      </c>
      <c r="J74" s="517" t="e">
        <f t="shared" si="1"/>
        <v>#REF!</v>
      </c>
      <c r="K74" s="466" t="e">
        <f t="shared" si="2"/>
        <v>#REF!</v>
      </c>
      <c r="L74" s="526">
        <v>0</v>
      </c>
      <c r="M74" s="517" t="e">
        <f t="shared" si="3"/>
        <v>#REF!</v>
      </c>
      <c r="N74" s="462" t="e">
        <f t="shared" si="4"/>
        <v>#REF!</v>
      </c>
      <c r="O74" s="459" t="e">
        <f t="shared" si="5"/>
        <v>#REF!</v>
      </c>
      <c r="P74" s="466" t="e">
        <f t="shared" si="6"/>
        <v>#REF!</v>
      </c>
      <c r="Q74" s="525">
        <v>0</v>
      </c>
      <c r="R74" s="517" t="e">
        <f t="shared" si="7"/>
        <v>#REF!</v>
      </c>
      <c r="S74" s="462" t="e">
        <f t="shared" si="8"/>
        <v>#REF!</v>
      </c>
      <c r="T74" s="466" t="e">
        <f t="shared" si="9"/>
        <v>#REF!</v>
      </c>
      <c r="U74" s="525">
        <v>0</v>
      </c>
      <c r="V74" s="517" t="e">
        <f>#REF!*U74</f>
        <v>#REF!</v>
      </c>
      <c r="W74" s="462" t="e">
        <f t="shared" si="10"/>
        <v>#REF!</v>
      </c>
      <c r="X74" s="466">
        <f t="shared" si="11"/>
        <v>0</v>
      </c>
    </row>
    <row r="75" spans="1:24" x14ac:dyDescent="0.2">
      <c r="A75" s="105">
        <f t="shared" si="0"/>
        <v>66</v>
      </c>
      <c r="B75" s="670"/>
      <c r="C75" s="671" t="s">
        <v>8</v>
      </c>
      <c r="D75" s="467" t="e">
        <f>#REF!</f>
        <v>#REF!</v>
      </c>
      <c r="E75" s="469">
        <f>'Allocation = % of Margin'!E72</f>
        <v>4.9079999999999999E-2</v>
      </c>
      <c r="F75" s="462">
        <f>'Allocation = % of Margin'!J72</f>
        <v>0</v>
      </c>
      <c r="G75" s="462">
        <f>'Allocation = % of Margin'!O72</f>
        <v>0</v>
      </c>
      <c r="H75" s="697"/>
      <c r="I75" s="525">
        <v>0</v>
      </c>
      <c r="J75" s="517" t="e">
        <f t="shared" si="1"/>
        <v>#REF!</v>
      </c>
      <c r="K75" s="466" t="e">
        <f t="shared" si="2"/>
        <v>#REF!</v>
      </c>
      <c r="L75" s="526">
        <v>0</v>
      </c>
      <c r="M75" s="517" t="e">
        <f t="shared" si="3"/>
        <v>#REF!</v>
      </c>
      <c r="N75" s="462" t="e">
        <f t="shared" si="4"/>
        <v>#REF!</v>
      </c>
      <c r="O75" s="459" t="e">
        <f t="shared" si="5"/>
        <v>#REF!</v>
      </c>
      <c r="P75" s="466" t="e">
        <f t="shared" si="6"/>
        <v>#REF!</v>
      </c>
      <c r="Q75" s="525">
        <v>0</v>
      </c>
      <c r="R75" s="517" t="e">
        <f t="shared" si="7"/>
        <v>#REF!</v>
      </c>
      <c r="S75" s="462" t="e">
        <f t="shared" si="8"/>
        <v>#REF!</v>
      </c>
      <c r="T75" s="466" t="e">
        <f t="shared" si="9"/>
        <v>#REF!</v>
      </c>
      <c r="U75" s="525">
        <v>0</v>
      </c>
      <c r="V75" s="517" t="e">
        <f>#REF!*U75</f>
        <v>#REF!</v>
      </c>
      <c r="W75" s="462" t="e">
        <f t="shared" si="10"/>
        <v>#REF!</v>
      </c>
      <c r="X75" s="466">
        <f t="shared" si="11"/>
        <v>0</v>
      </c>
    </row>
    <row r="76" spans="1:24" x14ac:dyDescent="0.2">
      <c r="A76" s="105">
        <f t="shared" si="0"/>
        <v>67</v>
      </c>
      <c r="B76" s="668"/>
      <c r="C76" s="672" t="s">
        <v>9</v>
      </c>
      <c r="D76" s="454" t="e">
        <f>#REF!</f>
        <v>#REF!</v>
      </c>
      <c r="E76" s="471">
        <f>'Allocation = % of Margin'!E73</f>
        <v>1.839E-2</v>
      </c>
      <c r="F76" s="455">
        <f>'Allocation = % of Margin'!J73</f>
        <v>0</v>
      </c>
      <c r="G76" s="455">
        <f>'Allocation = % of Margin'!O73</f>
        <v>0</v>
      </c>
      <c r="H76" s="697"/>
      <c r="I76" s="523">
        <v>0</v>
      </c>
      <c r="J76" s="521" t="e">
        <f t="shared" si="1"/>
        <v>#REF!</v>
      </c>
      <c r="K76" s="458" t="e">
        <f t="shared" si="2"/>
        <v>#REF!</v>
      </c>
      <c r="L76" s="524">
        <v>0</v>
      </c>
      <c r="M76" s="521" t="e">
        <f t="shared" si="3"/>
        <v>#REF!</v>
      </c>
      <c r="N76" s="455" t="e">
        <f t="shared" si="4"/>
        <v>#REF!</v>
      </c>
      <c r="O76" s="457" t="e">
        <f t="shared" si="5"/>
        <v>#REF!</v>
      </c>
      <c r="P76" s="458" t="e">
        <f t="shared" si="6"/>
        <v>#REF!</v>
      </c>
      <c r="Q76" s="523">
        <v>0</v>
      </c>
      <c r="R76" s="521" t="e">
        <f t="shared" si="7"/>
        <v>#REF!</v>
      </c>
      <c r="S76" s="455" t="e">
        <f t="shared" si="8"/>
        <v>#REF!</v>
      </c>
      <c r="T76" s="458" t="e">
        <f t="shared" si="9"/>
        <v>#REF!</v>
      </c>
      <c r="U76" s="523">
        <v>0</v>
      </c>
      <c r="V76" s="521" t="e">
        <f>#REF!*U76</f>
        <v>#REF!</v>
      </c>
      <c r="W76" s="455" t="e">
        <f t="shared" si="10"/>
        <v>#REF!</v>
      </c>
      <c r="X76" s="458">
        <f t="shared" si="11"/>
        <v>0</v>
      </c>
    </row>
    <row r="77" spans="1:24" x14ac:dyDescent="0.2">
      <c r="A77" s="105">
        <f t="shared" si="0"/>
        <v>68</v>
      </c>
      <c r="B77" s="670" t="e">
        <f>#REF!</f>
        <v>#REF!</v>
      </c>
      <c r="C77" s="671" t="s">
        <v>4</v>
      </c>
      <c r="D77" s="467" t="e">
        <f>#REF!</f>
        <v>#REF!</v>
      </c>
      <c r="E77" s="469">
        <f>'Allocation = % of Margin'!E74</f>
        <v>0.13402999999999998</v>
      </c>
      <c r="F77" s="462">
        <f>'Allocation = % of Margin'!J74</f>
        <v>113132</v>
      </c>
      <c r="G77" s="462">
        <f>'Allocation = % of Margin'!O74</f>
        <v>825480</v>
      </c>
      <c r="H77" s="697"/>
      <c r="I77" s="525">
        <v>0</v>
      </c>
      <c r="J77" s="517" t="e">
        <f t="shared" si="1"/>
        <v>#REF!</v>
      </c>
      <c r="K77" s="466" t="e">
        <f t="shared" si="2"/>
        <v>#REF!</v>
      </c>
      <c r="L77" s="526">
        <v>0</v>
      </c>
      <c r="M77" s="517" t="e">
        <f t="shared" si="3"/>
        <v>#REF!</v>
      </c>
      <c r="N77" s="462" t="e">
        <f t="shared" si="4"/>
        <v>#REF!</v>
      </c>
      <c r="O77" s="459" t="e">
        <f t="shared" si="5"/>
        <v>#REF!</v>
      </c>
      <c r="P77" s="466" t="e">
        <f t="shared" si="6"/>
        <v>#REF!</v>
      </c>
      <c r="Q77" s="525">
        <v>0</v>
      </c>
      <c r="R77" s="517" t="e">
        <f t="shared" si="7"/>
        <v>#REF!</v>
      </c>
      <c r="S77" s="462" t="e">
        <f t="shared" si="8"/>
        <v>#REF!</v>
      </c>
      <c r="T77" s="466" t="e">
        <f t="shared" si="9"/>
        <v>#REF!</v>
      </c>
      <c r="U77" s="525">
        <v>0</v>
      </c>
      <c r="V77" s="517" t="e">
        <f>#REF!*U77</f>
        <v>#REF!</v>
      </c>
      <c r="W77" s="462" t="e">
        <f t="shared" si="10"/>
        <v>#REF!</v>
      </c>
      <c r="X77" s="466">
        <f t="shared" si="11"/>
        <v>0</v>
      </c>
    </row>
    <row r="78" spans="1:24" x14ac:dyDescent="0.2">
      <c r="A78" s="105">
        <f t="shared" si="0"/>
        <v>69</v>
      </c>
      <c r="B78" s="670"/>
      <c r="C78" s="671" t="s">
        <v>5</v>
      </c>
      <c r="D78" s="467" t="e">
        <f>#REF!</f>
        <v>#REF!</v>
      </c>
      <c r="E78" s="469">
        <f>'Allocation = % of Margin'!E75</f>
        <v>0.11997999999999999</v>
      </c>
      <c r="F78" s="462">
        <f>'Allocation = % of Margin'!J75</f>
        <v>173392</v>
      </c>
      <c r="G78" s="462">
        <f>'Allocation = % of Margin'!O75</f>
        <v>0</v>
      </c>
      <c r="H78" s="697"/>
      <c r="I78" s="525">
        <v>0</v>
      </c>
      <c r="J78" s="517" t="e">
        <f t="shared" si="1"/>
        <v>#REF!</v>
      </c>
      <c r="K78" s="466" t="e">
        <f t="shared" si="2"/>
        <v>#REF!</v>
      </c>
      <c r="L78" s="526">
        <v>0</v>
      </c>
      <c r="M78" s="517" t="e">
        <f t="shared" si="3"/>
        <v>#REF!</v>
      </c>
      <c r="N78" s="462" t="e">
        <f t="shared" si="4"/>
        <v>#REF!</v>
      </c>
      <c r="O78" s="459" t="e">
        <f t="shared" si="5"/>
        <v>#REF!</v>
      </c>
      <c r="P78" s="466" t="e">
        <f t="shared" si="6"/>
        <v>#REF!</v>
      </c>
      <c r="Q78" s="525">
        <v>0</v>
      </c>
      <c r="R78" s="517" t="e">
        <f t="shared" si="7"/>
        <v>#REF!</v>
      </c>
      <c r="S78" s="462" t="e">
        <f t="shared" si="8"/>
        <v>#REF!</v>
      </c>
      <c r="T78" s="466" t="e">
        <f t="shared" si="9"/>
        <v>#REF!</v>
      </c>
      <c r="U78" s="525">
        <v>0</v>
      </c>
      <c r="V78" s="517" t="e">
        <f>#REF!*U78</f>
        <v>#REF!</v>
      </c>
      <c r="W78" s="462" t="e">
        <f t="shared" si="10"/>
        <v>#REF!</v>
      </c>
      <c r="X78" s="466">
        <f t="shared" si="11"/>
        <v>0</v>
      </c>
    </row>
    <row r="79" spans="1:24" x14ac:dyDescent="0.2">
      <c r="A79" s="105">
        <f t="shared" si="0"/>
        <v>70</v>
      </c>
      <c r="B79" s="670"/>
      <c r="C79" s="671" t="s">
        <v>6</v>
      </c>
      <c r="D79" s="467" t="e">
        <f>#REF!</f>
        <v>#REF!</v>
      </c>
      <c r="E79" s="469">
        <f>'Allocation = % of Margin'!E76</f>
        <v>9.1999999999999998E-2</v>
      </c>
      <c r="F79" s="462">
        <f>'Allocation = % of Margin'!J76</f>
        <v>95218</v>
      </c>
      <c r="G79" s="462">
        <f>'Allocation = % of Margin'!O76</f>
        <v>0</v>
      </c>
      <c r="H79" s="697"/>
      <c r="I79" s="525">
        <v>0</v>
      </c>
      <c r="J79" s="517" t="e">
        <f t="shared" si="1"/>
        <v>#REF!</v>
      </c>
      <c r="K79" s="466" t="e">
        <f t="shared" si="2"/>
        <v>#REF!</v>
      </c>
      <c r="L79" s="526">
        <v>0</v>
      </c>
      <c r="M79" s="517" t="e">
        <f t="shared" si="3"/>
        <v>#REF!</v>
      </c>
      <c r="N79" s="462" t="e">
        <f t="shared" si="4"/>
        <v>#REF!</v>
      </c>
      <c r="O79" s="459" t="e">
        <f t="shared" si="5"/>
        <v>#REF!</v>
      </c>
      <c r="P79" s="466" t="e">
        <f t="shared" si="6"/>
        <v>#REF!</v>
      </c>
      <c r="Q79" s="525">
        <v>0</v>
      </c>
      <c r="R79" s="517" t="e">
        <f t="shared" si="7"/>
        <v>#REF!</v>
      </c>
      <c r="S79" s="462" t="e">
        <f t="shared" si="8"/>
        <v>#REF!</v>
      </c>
      <c r="T79" s="466" t="e">
        <f t="shared" si="9"/>
        <v>#REF!</v>
      </c>
      <c r="U79" s="525">
        <v>0</v>
      </c>
      <c r="V79" s="517" t="e">
        <f>#REF!*U79</f>
        <v>#REF!</v>
      </c>
      <c r="W79" s="462" t="e">
        <f t="shared" si="10"/>
        <v>#REF!</v>
      </c>
      <c r="X79" s="466">
        <f t="shared" si="11"/>
        <v>0</v>
      </c>
    </row>
    <row r="80" spans="1:24" x14ac:dyDescent="0.2">
      <c r="A80" s="105">
        <f t="shared" si="0"/>
        <v>71</v>
      </c>
      <c r="B80" s="670"/>
      <c r="C80" s="671" t="s">
        <v>7</v>
      </c>
      <c r="D80" s="467" t="e">
        <f>#REF!</f>
        <v>#REF!</v>
      </c>
      <c r="E80" s="469">
        <f>'Allocation = % of Margin'!E77</f>
        <v>7.3609999999999995E-2</v>
      </c>
      <c r="F80" s="462">
        <f>'Allocation = % of Margin'!J77</f>
        <v>247323</v>
      </c>
      <c r="G80" s="462">
        <f>'Allocation = % of Margin'!O77</f>
        <v>0</v>
      </c>
      <c r="H80" s="697"/>
      <c r="I80" s="525">
        <v>0</v>
      </c>
      <c r="J80" s="517" t="e">
        <f t="shared" si="1"/>
        <v>#REF!</v>
      </c>
      <c r="K80" s="466" t="e">
        <f t="shared" si="2"/>
        <v>#REF!</v>
      </c>
      <c r="L80" s="526">
        <v>0</v>
      </c>
      <c r="M80" s="517" t="e">
        <f t="shared" si="3"/>
        <v>#REF!</v>
      </c>
      <c r="N80" s="462" t="e">
        <f t="shared" si="4"/>
        <v>#REF!</v>
      </c>
      <c r="O80" s="459" t="e">
        <f t="shared" si="5"/>
        <v>#REF!</v>
      </c>
      <c r="P80" s="466" t="e">
        <f t="shared" si="6"/>
        <v>#REF!</v>
      </c>
      <c r="Q80" s="525">
        <v>0</v>
      </c>
      <c r="R80" s="517" t="e">
        <f t="shared" si="7"/>
        <v>#REF!</v>
      </c>
      <c r="S80" s="462" t="e">
        <f t="shared" si="8"/>
        <v>#REF!</v>
      </c>
      <c r="T80" s="466" t="e">
        <f t="shared" si="9"/>
        <v>#REF!</v>
      </c>
      <c r="U80" s="525">
        <v>0</v>
      </c>
      <c r="V80" s="517" t="e">
        <f>#REF!*U80</f>
        <v>#REF!</v>
      </c>
      <c r="W80" s="462" t="e">
        <f t="shared" si="10"/>
        <v>#REF!</v>
      </c>
      <c r="X80" s="466">
        <f t="shared" si="11"/>
        <v>0</v>
      </c>
    </row>
    <row r="81" spans="1:24" x14ac:dyDescent="0.2">
      <c r="A81" s="105">
        <f t="shared" si="0"/>
        <v>72</v>
      </c>
      <c r="B81" s="670"/>
      <c r="C81" s="671" t="s">
        <v>8</v>
      </c>
      <c r="D81" s="467" t="e">
        <f>#REF!</f>
        <v>#REF!</v>
      </c>
      <c r="E81" s="469">
        <f>'Allocation = % of Margin'!E78</f>
        <v>4.9079999999999999E-2</v>
      </c>
      <c r="F81" s="462">
        <f>'Allocation = % of Margin'!J78</f>
        <v>66215</v>
      </c>
      <c r="G81" s="462">
        <f>'Allocation = % of Margin'!O78</f>
        <v>0</v>
      </c>
      <c r="H81" s="697"/>
      <c r="I81" s="525">
        <v>0</v>
      </c>
      <c r="J81" s="517" t="e">
        <f>+$D81*I81</f>
        <v>#REF!</v>
      </c>
      <c r="K81" s="466" t="e">
        <f t="shared" si="2"/>
        <v>#REF!</v>
      </c>
      <c r="L81" s="526">
        <v>0</v>
      </c>
      <c r="M81" s="517" t="e">
        <f t="shared" si="3"/>
        <v>#REF!</v>
      </c>
      <c r="N81" s="462" t="e">
        <f t="shared" si="4"/>
        <v>#REF!</v>
      </c>
      <c r="O81" s="459" t="e">
        <f t="shared" si="5"/>
        <v>#REF!</v>
      </c>
      <c r="P81" s="466" t="e">
        <f t="shared" si="6"/>
        <v>#REF!</v>
      </c>
      <c r="Q81" s="525">
        <v>0</v>
      </c>
      <c r="R81" s="517" t="e">
        <f t="shared" si="7"/>
        <v>#REF!</v>
      </c>
      <c r="S81" s="462" t="e">
        <f t="shared" si="8"/>
        <v>#REF!</v>
      </c>
      <c r="T81" s="466" t="e">
        <f t="shared" si="9"/>
        <v>#REF!</v>
      </c>
      <c r="U81" s="525">
        <v>0</v>
      </c>
      <c r="V81" s="517" t="e">
        <f>#REF!*U81</f>
        <v>#REF!</v>
      </c>
      <c r="W81" s="462" t="e">
        <f t="shared" si="10"/>
        <v>#REF!</v>
      </c>
      <c r="X81" s="466">
        <f t="shared" si="11"/>
        <v>0</v>
      </c>
    </row>
    <row r="82" spans="1:24" x14ac:dyDescent="0.2">
      <c r="A82" s="105">
        <f t="shared" si="0"/>
        <v>73</v>
      </c>
      <c r="B82" s="668"/>
      <c r="C82" s="672" t="s">
        <v>9</v>
      </c>
      <c r="D82" s="454" t="e">
        <f>#REF!</f>
        <v>#REF!</v>
      </c>
      <c r="E82" s="471">
        <f>'Allocation = % of Margin'!E79</f>
        <v>1.839E-2</v>
      </c>
      <c r="F82" s="455">
        <f>'Allocation = % of Margin'!J79</f>
        <v>0</v>
      </c>
      <c r="G82" s="455">
        <f>'Allocation = % of Margin'!O79</f>
        <v>0</v>
      </c>
      <c r="H82" s="697"/>
      <c r="I82" s="523">
        <v>0</v>
      </c>
      <c r="J82" s="521" t="e">
        <f t="shared" ref="J82:J85" si="12">+$D82*I82</f>
        <v>#REF!</v>
      </c>
      <c r="K82" s="458" t="e">
        <f t="shared" ref="K82:K85" si="13">+I82*$K$87</f>
        <v>#REF!</v>
      </c>
      <c r="L82" s="524">
        <v>0</v>
      </c>
      <c r="M82" s="521" t="e">
        <f t="shared" ref="M82:M85" si="14">+$D82*L82</f>
        <v>#REF!</v>
      </c>
      <c r="N82" s="455" t="e">
        <f t="shared" ref="N82:N85" si="15">M82*O82</f>
        <v>#REF!</v>
      </c>
      <c r="O82" s="457" t="e">
        <f t="shared" ref="O82:O85" si="16">+$O$87*L82</f>
        <v>#REF!</v>
      </c>
      <c r="P82" s="458" t="e">
        <f t="shared" ref="P82:P85" si="17">O82</f>
        <v>#REF!</v>
      </c>
      <c r="Q82" s="523">
        <v>0</v>
      </c>
      <c r="R82" s="521" t="e">
        <f t="shared" ref="R82:R85" si="18">+$D82*Q82</f>
        <v>#REF!</v>
      </c>
      <c r="S82" s="455" t="e">
        <f t="shared" ref="S82:S85" si="19">R82*T82</f>
        <v>#REF!</v>
      </c>
      <c r="T82" s="458" t="e">
        <f t="shared" ref="T82:T85" si="20">+$T$87*Q82</f>
        <v>#REF!</v>
      </c>
      <c r="U82" s="523">
        <v>0</v>
      </c>
      <c r="V82" s="521" t="e">
        <f>#REF!*U82</f>
        <v>#REF!</v>
      </c>
      <c r="W82" s="455" t="e">
        <f t="shared" ref="W82:W85" si="21">V82*X82</f>
        <v>#REF!</v>
      </c>
      <c r="X82" s="458">
        <f t="shared" ref="X82:X85" si="22">+$X$86*U82</f>
        <v>0</v>
      </c>
    </row>
    <row r="83" spans="1:24" x14ac:dyDescent="0.2">
      <c r="A83" s="105">
        <f t="shared" si="0"/>
        <v>74</v>
      </c>
      <c r="B83" s="668" t="e">
        <f>#REF!</f>
        <v>#REF!</v>
      </c>
      <c r="C83" s="672" t="s">
        <v>248</v>
      </c>
      <c r="D83" s="454" t="e">
        <f>#REF!</f>
        <v>#REF!</v>
      </c>
      <c r="E83" s="473">
        <f>'Allocation = % of Margin'!E80</f>
        <v>4.9099999999999994E-3</v>
      </c>
      <c r="F83" s="455">
        <f>'Allocation = % of Margin'!J80</f>
        <v>0</v>
      </c>
      <c r="G83" s="455">
        <f>'Allocation = % of Margin'!O80</f>
        <v>0</v>
      </c>
      <c r="H83" s="697"/>
      <c r="I83" s="523">
        <v>0</v>
      </c>
      <c r="J83" s="521" t="e">
        <f t="shared" si="12"/>
        <v>#REF!</v>
      </c>
      <c r="K83" s="458" t="e">
        <f t="shared" si="13"/>
        <v>#REF!</v>
      </c>
      <c r="L83" s="524">
        <v>0</v>
      </c>
      <c r="M83" s="521" t="e">
        <f t="shared" si="14"/>
        <v>#REF!</v>
      </c>
      <c r="N83" s="455" t="e">
        <f t="shared" si="15"/>
        <v>#REF!</v>
      </c>
      <c r="O83" s="457" t="e">
        <f t="shared" si="16"/>
        <v>#REF!</v>
      </c>
      <c r="P83" s="458" t="e">
        <f t="shared" si="17"/>
        <v>#REF!</v>
      </c>
      <c r="Q83" s="523">
        <v>0</v>
      </c>
      <c r="R83" s="521" t="e">
        <f t="shared" si="18"/>
        <v>#REF!</v>
      </c>
      <c r="S83" s="455" t="e">
        <f t="shared" si="19"/>
        <v>#REF!</v>
      </c>
      <c r="T83" s="458" t="e">
        <f t="shared" si="20"/>
        <v>#REF!</v>
      </c>
      <c r="U83" s="523">
        <v>0</v>
      </c>
      <c r="V83" s="521" t="e">
        <f>#REF!*U83</f>
        <v>#REF!</v>
      </c>
      <c r="W83" s="455" t="e">
        <f t="shared" si="21"/>
        <v>#REF!</v>
      </c>
      <c r="X83" s="458">
        <f t="shared" si="22"/>
        <v>0</v>
      </c>
    </row>
    <row r="84" spans="1:24" x14ac:dyDescent="0.2">
      <c r="A84" s="105">
        <f t="shared" si="0"/>
        <v>75</v>
      </c>
      <c r="B84" s="669" t="e">
        <f>#REF!</f>
        <v>#REF!</v>
      </c>
      <c r="C84" s="672" t="s">
        <v>248</v>
      </c>
      <c r="D84" s="454" t="e">
        <f>#REF!</f>
        <v>#REF!</v>
      </c>
      <c r="E84" s="473">
        <f>'Allocation = % of Margin'!E81</f>
        <v>4.9099999999999994E-3</v>
      </c>
      <c r="F84" s="455">
        <f>'Allocation = % of Margin'!J81</f>
        <v>0</v>
      </c>
      <c r="G84" s="693">
        <f>'Allocation = % of Margin'!O81</f>
        <v>0</v>
      </c>
      <c r="H84" s="699"/>
      <c r="I84" s="520">
        <v>0</v>
      </c>
      <c r="J84" s="353" t="e">
        <f t="shared" si="12"/>
        <v>#REF!</v>
      </c>
      <c r="K84" s="458" t="e">
        <f t="shared" si="13"/>
        <v>#REF!</v>
      </c>
      <c r="L84" s="524">
        <v>0</v>
      </c>
      <c r="M84" s="353" t="e">
        <f t="shared" si="14"/>
        <v>#REF!</v>
      </c>
      <c r="N84" s="455" t="e">
        <f t="shared" si="15"/>
        <v>#REF!</v>
      </c>
      <c r="O84" s="457" t="e">
        <f t="shared" si="16"/>
        <v>#REF!</v>
      </c>
      <c r="P84" s="458" t="e">
        <f t="shared" si="17"/>
        <v>#REF!</v>
      </c>
      <c r="Q84" s="523">
        <v>0</v>
      </c>
      <c r="R84" s="521" t="e">
        <f t="shared" si="18"/>
        <v>#REF!</v>
      </c>
      <c r="S84" s="455" t="e">
        <f t="shared" si="19"/>
        <v>#REF!</v>
      </c>
      <c r="T84" s="458" t="e">
        <f t="shared" si="20"/>
        <v>#REF!</v>
      </c>
      <c r="U84" s="523">
        <v>0</v>
      </c>
      <c r="V84" s="527" t="e">
        <f>#REF!*U84</f>
        <v>#REF!</v>
      </c>
      <c r="W84" s="455" t="e">
        <f t="shared" si="21"/>
        <v>#REF!</v>
      </c>
      <c r="X84" s="458">
        <f t="shared" si="22"/>
        <v>0</v>
      </c>
    </row>
    <row r="85" spans="1:24" x14ac:dyDescent="0.2">
      <c r="A85" s="105">
        <f t="shared" si="0"/>
        <v>76</v>
      </c>
      <c r="B85" s="669" t="e">
        <f>#REF!</f>
        <v>#REF!</v>
      </c>
      <c r="C85" s="672" t="s">
        <v>248</v>
      </c>
      <c r="D85" s="454" t="e">
        <f>#REF!</f>
        <v>#REF!</v>
      </c>
      <c r="E85" s="473">
        <f>'Allocation = % of Margin'!E82</f>
        <v>0</v>
      </c>
      <c r="F85" s="455">
        <f>'Allocation = % of Margin'!J82</f>
        <v>0</v>
      </c>
      <c r="G85" s="455">
        <f>'Allocation = % of Margin'!O82</f>
        <v>242994.60207180592</v>
      </c>
      <c r="H85" s="700"/>
      <c r="I85" s="523">
        <v>0</v>
      </c>
      <c r="J85" s="353" t="e">
        <f t="shared" si="12"/>
        <v>#REF!</v>
      </c>
      <c r="K85" s="458" t="e">
        <f t="shared" si="13"/>
        <v>#REF!</v>
      </c>
      <c r="L85" s="524">
        <v>0</v>
      </c>
      <c r="M85" s="353" t="e">
        <f t="shared" si="14"/>
        <v>#REF!</v>
      </c>
      <c r="N85" s="455" t="e">
        <f t="shared" si="15"/>
        <v>#REF!</v>
      </c>
      <c r="O85" s="457" t="e">
        <f t="shared" si="16"/>
        <v>#REF!</v>
      </c>
      <c r="P85" s="458" t="e">
        <f t="shared" si="17"/>
        <v>#REF!</v>
      </c>
      <c r="Q85" s="523">
        <v>0</v>
      </c>
      <c r="R85" s="521" t="e">
        <f t="shared" si="18"/>
        <v>#REF!</v>
      </c>
      <c r="S85" s="455" t="e">
        <f t="shared" si="19"/>
        <v>#REF!</v>
      </c>
      <c r="T85" s="458" t="e">
        <f t="shared" si="20"/>
        <v>#REF!</v>
      </c>
      <c r="U85" s="523">
        <v>0</v>
      </c>
      <c r="V85" s="353" t="e">
        <f>#REF!*U85</f>
        <v>#REF!</v>
      </c>
      <c r="W85" s="455" t="e">
        <f t="shared" si="21"/>
        <v>#REF!</v>
      </c>
      <c r="X85" s="458">
        <f t="shared" si="22"/>
        <v>0</v>
      </c>
    </row>
    <row r="86" spans="1:24" s="660" customFormat="1" x14ac:dyDescent="0.2">
      <c r="A86" s="105">
        <f t="shared" si="0"/>
        <v>77</v>
      </c>
      <c r="B86" s="654"/>
      <c r="C86" s="655"/>
      <c r="D86" s="654"/>
      <c r="E86" s="656"/>
      <c r="F86" s="656"/>
      <c r="G86" s="656"/>
      <c r="H86" s="657"/>
      <c r="I86" s="658"/>
      <c r="J86" s="659"/>
      <c r="L86" s="658"/>
      <c r="M86" s="659"/>
      <c r="O86" s="661"/>
      <c r="Q86" s="658"/>
      <c r="R86" s="659"/>
      <c r="T86" s="661"/>
      <c r="U86" s="658"/>
      <c r="V86" s="659"/>
      <c r="X86" s="661"/>
    </row>
    <row r="87" spans="1:24" x14ac:dyDescent="0.2">
      <c r="A87" s="105">
        <f t="shared" si="0"/>
        <v>78</v>
      </c>
      <c r="B87" s="654" t="s">
        <v>160</v>
      </c>
      <c r="D87" s="690" t="e">
        <f>SUM(D17:D85)</f>
        <v>#REF!</v>
      </c>
      <c r="E87" s="261"/>
      <c r="F87" s="596">
        <f t="shared" ref="F87:G87" si="23">SUM(F17:F85)</f>
        <v>37287358</v>
      </c>
      <c r="G87" s="596">
        <f t="shared" si="23"/>
        <v>49604903.243273698</v>
      </c>
      <c r="H87" s="492"/>
      <c r="I87" s="526"/>
      <c r="J87" s="690" t="e">
        <f>SUM(J17:J85)</f>
        <v>#REF!</v>
      </c>
      <c r="K87" s="937" t="e">
        <f>ROUND(I13/J87,5)</f>
        <v>#REF!</v>
      </c>
      <c r="L87" s="526"/>
      <c r="M87" s="690" t="e">
        <f t="shared" ref="M87" si="24">SUM(M17:M85)</f>
        <v>#REF!</v>
      </c>
      <c r="N87" s="642" t="e">
        <f>L13-(N17+N20+N22)</f>
        <v>#REF!</v>
      </c>
      <c r="O87" s="661" t="e">
        <f>ROUND(L13/M87,5)</f>
        <v>#REF!</v>
      </c>
      <c r="P87" s="691" t="e">
        <f>N87/G87</f>
        <v>#REF!</v>
      </c>
      <c r="Q87" s="526"/>
      <c r="R87" s="690" t="e">
        <f t="shared" ref="R87" si="25">SUM(R17:R85)</f>
        <v>#REF!</v>
      </c>
      <c r="S87" s="462" t="e">
        <f>Q13-(S17+S20+S22)</f>
        <v>#REF!</v>
      </c>
      <c r="T87" s="661" t="e">
        <f>ROUND(Q13/R87,5)</f>
        <v>#REF!</v>
      </c>
      <c r="U87" s="526"/>
      <c r="V87" s="690" t="e">
        <f t="shared" ref="V87" si="26">SUM(V17:V85)</f>
        <v>#REF!</v>
      </c>
      <c r="W87" s="642" t="e">
        <f>U13-(W17+W20+W22)</f>
        <v>#REF!</v>
      </c>
      <c r="X87" s="661" t="e">
        <f>ROUND(U13/V87,5)</f>
        <v>#REF!</v>
      </c>
    </row>
    <row r="88" spans="1:24" x14ac:dyDescent="0.2">
      <c r="A88" s="105">
        <f t="shared" si="0"/>
        <v>79</v>
      </c>
      <c r="D88" s="528"/>
      <c r="E88" s="528"/>
      <c r="F88" s="528"/>
      <c r="G88" s="528"/>
      <c r="I88" s="526"/>
      <c r="L88" s="526"/>
      <c r="Q88" s="526"/>
      <c r="U88" s="526"/>
    </row>
    <row r="89" spans="1:24" x14ac:dyDescent="0.2">
      <c r="A89" s="105">
        <f t="shared" ref="A89:A92" si="27">+A88+1</f>
        <v>80</v>
      </c>
      <c r="B89" s="158" t="s">
        <v>63</v>
      </c>
      <c r="C89" s="46"/>
      <c r="D89" s="417"/>
      <c r="E89" s="46"/>
      <c r="F89" s="46"/>
      <c r="G89" s="46"/>
      <c r="H89" s="417"/>
      <c r="I89" s="46"/>
      <c r="J89" s="417"/>
      <c r="K89" s="46"/>
      <c r="L89" s="46"/>
      <c r="M89" s="130"/>
      <c r="Q89" s="494"/>
      <c r="U89" s="494"/>
    </row>
    <row r="90" spans="1:24" x14ac:dyDescent="0.2">
      <c r="A90" s="105">
        <f t="shared" si="27"/>
        <v>81</v>
      </c>
      <c r="B90" s="701" t="s">
        <v>64</v>
      </c>
      <c r="C90" s="702"/>
      <c r="D90" s="702"/>
      <c r="E90" s="702"/>
      <c r="F90" s="702"/>
      <c r="G90" s="702"/>
      <c r="H90" s="702"/>
      <c r="I90" s="702"/>
      <c r="J90" s="702"/>
      <c r="K90" s="702"/>
      <c r="L90" s="702"/>
      <c r="M90" s="703"/>
      <c r="N90" s="703"/>
      <c r="O90" s="703"/>
      <c r="P90" s="703"/>
      <c r="Q90" s="703"/>
      <c r="R90" s="703"/>
      <c r="S90" s="703"/>
      <c r="T90" s="703"/>
      <c r="U90" s="703"/>
      <c r="V90" s="703"/>
      <c r="W90" s="703"/>
      <c r="X90" s="704"/>
    </row>
    <row r="91" spans="1:24" x14ac:dyDescent="0.2">
      <c r="A91" s="105">
        <f t="shared" si="27"/>
        <v>82</v>
      </c>
      <c r="B91" s="158" t="s">
        <v>77</v>
      </c>
      <c r="C91" s="46"/>
      <c r="D91" s="417"/>
      <c r="E91" s="46"/>
      <c r="F91" s="46"/>
      <c r="G91" s="46"/>
      <c r="H91" s="417"/>
      <c r="I91" s="46"/>
      <c r="J91" s="417"/>
      <c r="K91" s="46"/>
      <c r="L91" s="46"/>
      <c r="M91" s="130"/>
      <c r="Q91" s="494"/>
      <c r="U91" s="494"/>
    </row>
    <row r="92" spans="1:24" x14ac:dyDescent="0.2">
      <c r="A92" s="105">
        <f t="shared" si="27"/>
        <v>83</v>
      </c>
      <c r="B92" s="701" t="s">
        <v>78</v>
      </c>
      <c r="C92" s="702"/>
      <c r="D92" s="702"/>
      <c r="E92" s="702"/>
      <c r="F92" s="702"/>
      <c r="G92" s="702"/>
      <c r="H92" s="702"/>
      <c r="I92" s="702"/>
      <c r="J92" s="702"/>
      <c r="K92" s="702"/>
      <c r="L92" s="702"/>
      <c r="M92" s="703"/>
      <c r="N92" s="703"/>
      <c r="O92" s="703"/>
      <c r="P92" s="703"/>
      <c r="Q92" s="703"/>
      <c r="R92" s="703"/>
      <c r="S92" s="703"/>
      <c r="T92" s="703"/>
      <c r="U92" s="703"/>
      <c r="V92" s="703"/>
      <c r="W92" s="703"/>
      <c r="X92" s="704"/>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zoomScale="90" zoomScaleNormal="90" workbookViewId="0">
      <pane xSplit="4" ySplit="9" topLeftCell="E10"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2" customWidth="1"/>
    <col min="2" max="2" width="8.6640625" style="42" customWidth="1"/>
    <col min="3" max="3" width="16.33203125" style="42" customWidth="1"/>
    <col min="4" max="5" width="14" style="42" customWidth="1"/>
    <col min="6" max="6" width="15" style="42" customWidth="1"/>
    <col min="7" max="9" width="14" style="42" customWidth="1"/>
    <col min="10" max="10" width="14" style="604" customWidth="1" outlineLevel="1"/>
    <col min="11" max="11" width="15.1640625" style="604" customWidth="1" outlineLevel="1"/>
    <col min="12" max="12" width="14" style="604" customWidth="1" outlineLevel="1"/>
    <col min="13" max="13" width="14.33203125" style="604" customWidth="1" outlineLevel="1"/>
    <col min="14" max="14" width="14.33203125" style="42" customWidth="1"/>
    <col min="15" max="15" width="16" style="42" customWidth="1" outlineLevel="1"/>
    <col min="16" max="16" width="15.83203125" style="42" customWidth="1" outlineLevel="1"/>
    <col min="17" max="17" width="16.5" style="82" customWidth="1" outlineLevel="1"/>
    <col min="18" max="18" width="15.83203125" style="120" customWidth="1" outlineLevel="1"/>
    <col min="19" max="19" width="16.5" style="120" customWidth="1" outlineLevel="1"/>
    <col min="20" max="20" width="3.1640625" style="120" customWidth="1"/>
    <col min="21" max="16384" width="9.33203125" style="42"/>
  </cols>
  <sheetData>
    <row r="1" spans="2:20" x14ac:dyDescent="0.2">
      <c r="B1" s="81" t="s">
        <v>0</v>
      </c>
    </row>
    <row r="2" spans="2:20" x14ac:dyDescent="0.2">
      <c r="B2" s="81" t="s">
        <v>242</v>
      </c>
    </row>
    <row r="3" spans="2:20" x14ac:dyDescent="0.2">
      <c r="B3" s="81" t="s">
        <v>243</v>
      </c>
      <c r="P3" s="91"/>
      <c r="Q3" s="128"/>
    </row>
    <row r="4" spans="2:20" x14ac:dyDescent="0.2">
      <c r="B4" s="81" t="s">
        <v>536</v>
      </c>
      <c r="N4" s="635"/>
      <c r="O4" s="49"/>
      <c r="P4" s="49"/>
      <c r="Q4" s="48"/>
      <c r="R4" s="121"/>
      <c r="S4" s="121"/>
      <c r="T4" s="121"/>
    </row>
    <row r="5" spans="2:20" ht="13.5" thickBot="1" x14ac:dyDescent="0.25">
      <c r="B5" s="1229" t="s">
        <v>457</v>
      </c>
      <c r="N5" s="635"/>
      <c r="O5" s="49"/>
      <c r="P5" s="49"/>
      <c r="Q5" s="48"/>
      <c r="R5" s="121"/>
      <c r="S5" s="121"/>
      <c r="T5" s="121"/>
    </row>
    <row r="6" spans="2:20" ht="13.5" thickBot="1" x14ac:dyDescent="0.25">
      <c r="O6" s="1730" t="s">
        <v>460</v>
      </c>
      <c r="P6" s="1731"/>
      <c r="Q6" s="1732"/>
      <c r="R6" s="1728" t="s">
        <v>459</v>
      </c>
      <c r="S6" s="1729"/>
    </row>
    <row r="7" spans="2:20" ht="13.5" thickBot="1" x14ac:dyDescent="0.25">
      <c r="B7" s="93"/>
      <c r="C7" s="93"/>
      <c r="D7" s="93"/>
      <c r="E7" s="93"/>
      <c r="F7" s="93"/>
      <c r="G7" s="93"/>
      <c r="H7" s="614" t="s">
        <v>18</v>
      </c>
      <c r="I7" s="94" t="s">
        <v>454</v>
      </c>
      <c r="J7" s="1701" t="s">
        <v>455</v>
      </c>
      <c r="K7" s="1702"/>
      <c r="L7" s="1702"/>
      <c r="M7" s="1702"/>
      <c r="N7" s="1702"/>
      <c r="O7" s="1264" t="s">
        <v>158</v>
      </c>
      <c r="P7" s="1268" t="str">
        <f>'Rates in Detail'!P9</f>
        <v>EDIT Amort Cr</v>
      </c>
      <c r="Q7" s="1241" t="s">
        <v>32</v>
      </c>
      <c r="R7" s="1235" t="s">
        <v>158</v>
      </c>
      <c r="S7" s="1239" t="s">
        <v>32</v>
      </c>
    </row>
    <row r="8" spans="2:20" ht="51" x14ac:dyDescent="0.2">
      <c r="B8" s="95" t="s">
        <v>130</v>
      </c>
      <c r="C8" s="56" t="s">
        <v>2</v>
      </c>
      <c r="D8" s="56" t="s">
        <v>3</v>
      </c>
      <c r="E8" s="56" t="s">
        <v>143</v>
      </c>
      <c r="F8" s="56" t="s">
        <v>141</v>
      </c>
      <c r="G8" s="56" t="s">
        <v>142</v>
      </c>
      <c r="H8" s="96" t="s">
        <v>139</v>
      </c>
      <c r="I8" s="56" t="s">
        <v>140</v>
      </c>
      <c r="J8" s="605" t="s">
        <v>449</v>
      </c>
      <c r="K8" s="606" t="s">
        <v>450</v>
      </c>
      <c r="L8" s="606" t="s">
        <v>451</v>
      </c>
      <c r="M8" s="606" t="s">
        <v>453</v>
      </c>
      <c r="N8" s="56" t="s">
        <v>452</v>
      </c>
      <c r="O8" s="1265" t="s">
        <v>538</v>
      </c>
      <c r="P8" s="1262" t="s">
        <v>539</v>
      </c>
      <c r="Q8" s="1232" t="s">
        <v>540</v>
      </c>
      <c r="R8" s="1236" t="s">
        <v>538</v>
      </c>
      <c r="S8" s="1233" t="s">
        <v>541</v>
      </c>
      <c r="T8" s="1238"/>
    </row>
    <row r="9" spans="2:20" ht="13.5" thickBot="1" x14ac:dyDescent="0.25">
      <c r="B9" s="622"/>
      <c r="C9" s="623" t="s">
        <v>35</v>
      </c>
      <c r="D9" s="623" t="s">
        <v>36</v>
      </c>
      <c r="E9" s="623" t="s">
        <v>13</v>
      </c>
      <c r="F9" s="623" t="s">
        <v>37</v>
      </c>
      <c r="G9" s="623" t="s">
        <v>38</v>
      </c>
      <c r="H9" s="624" t="s">
        <v>39</v>
      </c>
      <c r="I9" s="625" t="s">
        <v>40</v>
      </c>
      <c r="J9" s="624" t="s">
        <v>41</v>
      </c>
      <c r="K9" s="623" t="s">
        <v>42</v>
      </c>
      <c r="L9" s="623" t="s">
        <v>109</v>
      </c>
      <c r="M9" s="623" t="s">
        <v>110</v>
      </c>
      <c r="N9" s="623" t="s">
        <v>231</v>
      </c>
      <c r="O9" s="1266" t="s">
        <v>111</v>
      </c>
      <c r="P9" s="1263" t="s">
        <v>112</v>
      </c>
      <c r="Q9" s="1231" t="s">
        <v>456</v>
      </c>
      <c r="R9" s="1234" t="s">
        <v>114</v>
      </c>
      <c r="S9" s="1240" t="s">
        <v>458</v>
      </c>
      <c r="T9" s="1227"/>
    </row>
    <row r="10" spans="2:20" x14ac:dyDescent="0.2">
      <c r="B10" s="100">
        <v>1</v>
      </c>
      <c r="C10" s="101" t="e">
        <f>#REF!</f>
        <v>#REF!</v>
      </c>
      <c r="D10" s="101" t="s">
        <v>248</v>
      </c>
      <c r="E10" s="101" t="s">
        <v>248</v>
      </c>
      <c r="F10" s="103" t="e">
        <f>#REF!</f>
        <v>#REF!</v>
      </c>
      <c r="G10" s="103" t="e">
        <f>#REF!</f>
        <v>#REF!</v>
      </c>
      <c r="H10" s="839" t="e">
        <f>#REF!</f>
        <v>#REF!</v>
      </c>
      <c r="I10" s="840" t="e">
        <f>#REF!</f>
        <v>#REF!</v>
      </c>
      <c r="J10" s="609">
        <f>'Rates in Detail'!E13</f>
        <v>0.67652999999999996</v>
      </c>
      <c r="K10" s="613">
        <f>'Rates in Detail'!H13</f>
        <v>0.10141</v>
      </c>
      <c r="L10" s="613">
        <f>'Rates in Detail'!F13</f>
        <v>0.26333000000000001</v>
      </c>
      <c r="M10" s="613">
        <f>'Rates in Detail'!I13</f>
        <v>0.11125999999999998</v>
      </c>
      <c r="N10" s="125">
        <f>SUM(J10:M10)</f>
        <v>1.1525299999999998</v>
      </c>
      <c r="O10" s="1242">
        <f>'Rates in Detail'!L13</f>
        <v>0.11114</v>
      </c>
      <c r="P10" s="1237">
        <f>'Rates in Detail'!P13</f>
        <v>-9.1000000000000004E-3</v>
      </c>
      <c r="Q10" s="1252">
        <f>SUM(N10:P10)</f>
        <v>1.2545699999999997</v>
      </c>
      <c r="R10" s="1237">
        <f>'Rates in Detail'!Y13</f>
        <v>6.1650000000000003E-2</v>
      </c>
      <c r="S10" s="1256">
        <f>Q10+R10</f>
        <v>1.3162199999999997</v>
      </c>
      <c r="T10" s="121"/>
    </row>
    <row r="11" spans="2:20" x14ac:dyDescent="0.2">
      <c r="B11" s="100">
        <f>B10+1</f>
        <v>2</v>
      </c>
      <c r="C11" s="101" t="e">
        <f>#REF!</f>
        <v>#REF!</v>
      </c>
      <c r="D11" s="101" t="s">
        <v>248</v>
      </c>
      <c r="E11" s="101" t="s">
        <v>248</v>
      </c>
      <c r="F11" s="103" t="e">
        <f>#REF!</f>
        <v>#REF!</v>
      </c>
      <c r="G11" s="103" t="e">
        <f>#REF!</f>
        <v>#REF!</v>
      </c>
      <c r="H11" s="839" t="e">
        <f>#REF!</f>
        <v>#REF!</v>
      </c>
      <c r="I11" s="840" t="e">
        <f>#REF!</f>
        <v>#REF!</v>
      </c>
      <c r="J11" s="609">
        <f>'Rates in Detail'!E14</f>
        <v>0.73148999999999997</v>
      </c>
      <c r="K11" s="613">
        <f>'Rates in Detail'!H14</f>
        <v>0.10141</v>
      </c>
      <c r="L11" s="613">
        <f>'Rates in Detail'!F14</f>
        <v>0.26333000000000001</v>
      </c>
      <c r="M11" s="613">
        <f>'Rates in Detail'!I14</f>
        <v>9.3060000000000004E-2</v>
      </c>
      <c r="N11" s="125">
        <f t="shared" ref="N11:N74" si="0">SUM(J11:M11)</f>
        <v>1.18929</v>
      </c>
      <c r="O11" s="1242">
        <f>'Rates in Detail'!L14</f>
        <v>9.2410000000000006E-2</v>
      </c>
      <c r="P11" s="1237">
        <f>'Rates in Detail'!P14</f>
        <v>-7.5599999999999999E-3</v>
      </c>
      <c r="Q11" s="1252">
        <f t="shared" ref="Q11:Q74" si="1">SUM(N11:P11)</f>
        <v>1.2741400000000001</v>
      </c>
      <c r="R11" s="1237">
        <f>'Rates in Detail'!Y14</f>
        <v>5.126E-2</v>
      </c>
      <c r="S11" s="1256">
        <f t="shared" ref="S11:S74" si="2">Q11+R11</f>
        <v>1.3254000000000001</v>
      </c>
      <c r="T11" s="121"/>
    </row>
    <row r="12" spans="2:20" x14ac:dyDescent="0.2">
      <c r="B12" s="100">
        <f t="shared" ref="B12:B75" si="3">B11+1</f>
        <v>3</v>
      </c>
      <c r="C12" s="101" t="e">
        <f>#REF!</f>
        <v>#REF!</v>
      </c>
      <c r="D12" s="101" t="s">
        <v>248</v>
      </c>
      <c r="E12" s="101" t="s">
        <v>248</v>
      </c>
      <c r="F12" s="103" t="e">
        <f>#REF!</f>
        <v>#REF!</v>
      </c>
      <c r="G12" s="103" t="e">
        <f>#REF!</f>
        <v>#REF!</v>
      </c>
      <c r="H12" s="839" t="e">
        <f>#REF!</f>
        <v>#REF!</v>
      </c>
      <c r="I12" s="840" t="e">
        <f>#REF!</f>
        <v>#REF!</v>
      </c>
      <c r="J12" s="609">
        <f>'Rates in Detail'!E15</f>
        <v>0.45815999999999979</v>
      </c>
      <c r="K12" s="613">
        <f>'Rates in Detail'!H15</f>
        <v>0.10141</v>
      </c>
      <c r="L12" s="613">
        <f>'Rates in Detail'!F15</f>
        <v>0.26333000000000001</v>
      </c>
      <c r="M12" s="613">
        <f>'Rates in Detail'!I15</f>
        <v>6.6579999999999986E-2</v>
      </c>
      <c r="N12" s="125">
        <f t="shared" si="0"/>
        <v>0.88947999999999972</v>
      </c>
      <c r="O12" s="1242">
        <f>'Rates in Detail'!L15</f>
        <v>7.034E-2</v>
      </c>
      <c r="P12" s="1237">
        <f>'Rates in Detail'!P15</f>
        <v>-5.7600000000000004E-3</v>
      </c>
      <c r="Q12" s="1252">
        <f t="shared" si="1"/>
        <v>0.95405999999999969</v>
      </c>
      <c r="R12" s="1237">
        <f>'Rates in Detail'!Y15</f>
        <v>3.9019999999999999E-2</v>
      </c>
      <c r="S12" s="1256">
        <f t="shared" si="2"/>
        <v>0.99307999999999974</v>
      </c>
      <c r="T12" s="121"/>
    </row>
    <row r="13" spans="2:20" x14ac:dyDescent="0.2">
      <c r="B13" s="100">
        <f t="shared" si="3"/>
        <v>4</v>
      </c>
      <c r="C13" s="101" t="e">
        <f>#REF!</f>
        <v>#REF!</v>
      </c>
      <c r="D13" s="101" t="s">
        <v>248</v>
      </c>
      <c r="E13" s="101" t="s">
        <v>248</v>
      </c>
      <c r="F13" s="103" t="e">
        <f>#REF!</f>
        <v>#REF!</v>
      </c>
      <c r="G13" s="103" t="e">
        <f>#REF!</f>
        <v>#REF!</v>
      </c>
      <c r="H13" s="839" t="e">
        <f>#REF!</f>
        <v>#REF!</v>
      </c>
      <c r="I13" s="841" t="e">
        <f>#REF!</f>
        <v>#REF!</v>
      </c>
      <c r="J13" s="609">
        <f>'Rates in Detail'!E16</f>
        <v>0.44368000000000019</v>
      </c>
      <c r="K13" s="613">
        <f>'Rates in Detail'!H16</f>
        <v>0.10141</v>
      </c>
      <c r="L13" s="613">
        <f>'Rates in Detail'!F16</f>
        <v>0.26333000000000001</v>
      </c>
      <c r="M13" s="613">
        <f>'Rates in Detail'!I16</f>
        <v>5.8480000000000004E-2</v>
      </c>
      <c r="N13" s="126">
        <f t="shared" si="0"/>
        <v>0.86690000000000011</v>
      </c>
      <c r="O13" s="1244">
        <f>'Rates in Detail'!L16</f>
        <v>6.3159999999999994E-2</v>
      </c>
      <c r="P13" s="1237">
        <f>'Rates in Detail'!P16</f>
        <v>-5.1700000000000001E-3</v>
      </c>
      <c r="Q13" s="1252">
        <f t="shared" si="1"/>
        <v>0.9248900000000001</v>
      </c>
      <c r="R13" s="1237">
        <f>'Rates in Detail'!Y16</f>
        <v>3.5029999999999999E-2</v>
      </c>
      <c r="S13" s="1256">
        <f t="shared" si="2"/>
        <v>0.95992000000000011</v>
      </c>
      <c r="T13" s="121"/>
    </row>
    <row r="14" spans="2:20" x14ac:dyDescent="0.2">
      <c r="B14" s="100">
        <f t="shared" si="3"/>
        <v>5</v>
      </c>
      <c r="C14" s="101" t="e">
        <f>#REF!</f>
        <v>#REF!</v>
      </c>
      <c r="D14" s="101" t="s">
        <v>248</v>
      </c>
      <c r="E14" s="101" t="s">
        <v>248</v>
      </c>
      <c r="F14" s="103" t="e">
        <f>#REF!</f>
        <v>#REF!</v>
      </c>
      <c r="G14" s="103" t="e">
        <f>#REF!</f>
        <v>#REF!</v>
      </c>
      <c r="H14" s="839" t="e">
        <f>#REF!</f>
        <v>#REF!</v>
      </c>
      <c r="I14" s="841" t="e">
        <f>#REF!</f>
        <v>#REF!</v>
      </c>
      <c r="J14" s="609">
        <f>'Rates in Detail'!E17</f>
        <v>0.46249000000000001</v>
      </c>
      <c r="K14" s="613">
        <f>'Rates in Detail'!H17</f>
        <v>0.10141</v>
      </c>
      <c r="L14" s="613">
        <f>'Rates in Detail'!F17</f>
        <v>0.26333000000000001</v>
      </c>
      <c r="M14" s="613">
        <f>'Rates in Detail'!I17</f>
        <v>-8.9999999999999802E-5</v>
      </c>
      <c r="N14" s="126">
        <f t="shared" si="0"/>
        <v>0.8271400000000001</v>
      </c>
      <c r="O14" s="1244">
        <f>'Rates in Detail'!L17</f>
        <v>5.7209999999999997E-2</v>
      </c>
      <c r="P14" s="1237">
        <f>'Rates in Detail'!P17</f>
        <v>-4.6899999999999997E-3</v>
      </c>
      <c r="Q14" s="1252">
        <f t="shared" si="1"/>
        <v>0.87966000000000011</v>
      </c>
      <c r="R14" s="1237">
        <f>'Rates in Detail'!Y17</f>
        <v>3.1730000000000001E-2</v>
      </c>
      <c r="S14" s="1256">
        <f t="shared" si="2"/>
        <v>0.91139000000000014</v>
      </c>
      <c r="T14" s="121"/>
    </row>
    <row r="15" spans="2:20" x14ac:dyDescent="0.2">
      <c r="B15" s="100">
        <f t="shared" si="3"/>
        <v>6</v>
      </c>
      <c r="C15" s="1225" t="e">
        <f>#REF!</f>
        <v>#REF!</v>
      </c>
      <c r="D15" s="101" t="s">
        <v>248</v>
      </c>
      <c r="E15" s="101" t="s">
        <v>248</v>
      </c>
      <c r="F15" s="103" t="e">
        <f>#REF!</f>
        <v>#REF!</v>
      </c>
      <c r="G15" s="103" t="e">
        <f>#REF!</f>
        <v>#REF!</v>
      </c>
      <c r="H15" s="842" t="e">
        <f>#REF!</f>
        <v>#REF!</v>
      </c>
      <c r="I15" s="843" t="e">
        <f>#REF!</f>
        <v>#REF!</v>
      </c>
      <c r="J15" s="609">
        <f>'Rates in Detail'!E18</f>
        <v>0.24087999999999973</v>
      </c>
      <c r="K15" s="613">
        <f>'Rates in Detail'!H18</f>
        <v>0.10141</v>
      </c>
      <c r="L15" s="613">
        <f>'Rates in Detail'!F18</f>
        <v>0.26333000000000001</v>
      </c>
      <c r="M15" s="613">
        <f>'Rates in Detail'!I18</f>
        <v>3.8710000000000001E-2</v>
      </c>
      <c r="N15" s="126">
        <f t="shared" si="0"/>
        <v>0.64432999999999985</v>
      </c>
      <c r="O15" s="1244">
        <f>'Rates in Detail'!L18</f>
        <v>5.006E-2</v>
      </c>
      <c r="P15" s="1237">
        <f>'Rates in Detail'!P18</f>
        <v>-4.1000000000000003E-3</v>
      </c>
      <c r="Q15" s="1252">
        <f t="shared" si="1"/>
        <v>0.69028999999999985</v>
      </c>
      <c r="R15" s="1237">
        <f>'Rates in Detail'!Y18</f>
        <v>2.777E-2</v>
      </c>
      <c r="S15" s="1256">
        <f t="shared" si="2"/>
        <v>0.71805999999999981</v>
      </c>
      <c r="T15" s="121"/>
    </row>
    <row r="16" spans="2:20" x14ac:dyDescent="0.2">
      <c r="B16" s="100">
        <f t="shared" si="3"/>
        <v>7</v>
      </c>
      <c r="C16" s="1226" t="e">
        <f>#REF!</f>
        <v>#REF!</v>
      </c>
      <c r="D16" s="1226" t="s">
        <v>4</v>
      </c>
      <c r="E16" s="105">
        <v>2000</v>
      </c>
      <c r="F16" s="106" t="e">
        <f>#REF!</f>
        <v>#REF!</v>
      </c>
      <c r="G16" s="106" t="e">
        <f>#REF!</f>
        <v>#REF!</v>
      </c>
      <c r="H16" s="844" t="e">
        <f>#REF!</f>
        <v>#REF!</v>
      </c>
      <c r="I16" s="845" t="e">
        <f>#REF!</f>
        <v>#REF!</v>
      </c>
      <c r="J16" s="610">
        <f>'Rates in Detail'!E19</f>
        <v>0.34474000000000016</v>
      </c>
      <c r="K16" s="612">
        <f>'Rates in Detail'!H19</f>
        <v>0</v>
      </c>
      <c r="L16" s="612">
        <f>'Rates in Detail'!F19</f>
        <v>0.26333000000000001</v>
      </c>
      <c r="M16" s="612">
        <f>'Rates in Detail'!I19</f>
        <v>4.3429999999999996E-2</v>
      </c>
      <c r="N16" s="127">
        <f t="shared" si="0"/>
        <v>0.65150000000000008</v>
      </c>
      <c r="O16" s="1245">
        <f>'Rates in Detail'!L19</f>
        <v>5.0160000000000003E-2</v>
      </c>
      <c r="P16" s="1246">
        <f>'Rates in Detail'!P19</f>
        <v>-4.1099999999999999E-3</v>
      </c>
      <c r="Q16" s="1253">
        <f t="shared" si="1"/>
        <v>0.69755000000000011</v>
      </c>
      <c r="R16" s="1246">
        <f>'Rates in Detail'!Y19</f>
        <v>2.7820000000000001E-2</v>
      </c>
      <c r="S16" s="1257">
        <f t="shared" si="2"/>
        <v>0.72537000000000007</v>
      </c>
      <c r="T16" s="121"/>
    </row>
    <row r="17" spans="2:20" x14ac:dyDescent="0.2">
      <c r="B17" s="100">
        <f t="shared" si="3"/>
        <v>8</v>
      </c>
      <c r="C17" s="101"/>
      <c r="D17" s="101" t="s">
        <v>5</v>
      </c>
      <c r="E17" s="102" t="s">
        <v>59</v>
      </c>
      <c r="F17" s="103" t="e">
        <f>#REF!</f>
        <v>#REF!</v>
      </c>
      <c r="G17" s="103"/>
      <c r="H17" s="839"/>
      <c r="I17" s="841"/>
      <c r="J17" s="609">
        <f>'Rates in Detail'!E20</f>
        <v>0.30376999999999998</v>
      </c>
      <c r="K17" s="613">
        <f>'Rates in Detail'!H20</f>
        <v>0</v>
      </c>
      <c r="L17" s="613">
        <f>'Rates in Detail'!F20</f>
        <v>0.26333000000000001</v>
      </c>
      <c r="M17" s="613">
        <f>'Rates in Detail'!I20</f>
        <v>3.7170000000000002E-2</v>
      </c>
      <c r="N17" s="125">
        <f t="shared" si="0"/>
        <v>0.60426999999999997</v>
      </c>
      <c r="O17" s="1244">
        <f>'Rates in Detail'!L20</f>
        <v>4.4200000000000003E-2</v>
      </c>
      <c r="P17" s="1237">
        <f>'Rates in Detail'!P20</f>
        <v>-3.62E-3</v>
      </c>
      <c r="Q17" s="1252">
        <f t="shared" si="1"/>
        <v>0.64485000000000003</v>
      </c>
      <c r="R17" s="1237">
        <f>'Rates in Detail'!Y20</f>
        <v>2.4510000000000001E-2</v>
      </c>
      <c r="S17" s="1256">
        <f t="shared" si="2"/>
        <v>0.66936000000000007</v>
      </c>
      <c r="T17" s="121"/>
    </row>
    <row r="18" spans="2:20" x14ac:dyDescent="0.2">
      <c r="B18" s="100">
        <f t="shared" si="3"/>
        <v>9</v>
      </c>
      <c r="C18" s="1226" t="e">
        <f>#REF!</f>
        <v>#REF!</v>
      </c>
      <c r="D18" s="1226" t="s">
        <v>4</v>
      </c>
      <c r="E18" s="105">
        <v>2000</v>
      </c>
      <c r="F18" s="106" t="e">
        <f>#REF!</f>
        <v>#REF!</v>
      </c>
      <c r="G18" s="106" t="e">
        <f>#REF!</f>
        <v>#REF!</v>
      </c>
      <c r="H18" s="844" t="e">
        <f>#REF!</f>
        <v>#REF!</v>
      </c>
      <c r="I18" s="845" t="e">
        <f>#REF!</f>
        <v>#REF!</v>
      </c>
      <c r="J18" s="610">
        <f>'Rates in Detail'!E21</f>
        <v>0.34416000000000024</v>
      </c>
      <c r="K18" s="612">
        <f>'Rates in Detail'!H21</f>
        <v>0</v>
      </c>
      <c r="L18" s="612">
        <f>'Rates in Detail'!F21</f>
        <v>0.26333000000000001</v>
      </c>
      <c r="M18" s="612">
        <f>'Rates in Detail'!I21</f>
        <v>-1.7200000000000002E-3</v>
      </c>
      <c r="N18" s="127">
        <f t="shared" si="0"/>
        <v>0.60577000000000025</v>
      </c>
      <c r="O18" s="1245">
        <f>'Rates in Detail'!L21</f>
        <v>2.3040000000000001E-2</v>
      </c>
      <c r="P18" s="1246">
        <f>'Rates in Detail'!P21</f>
        <v>-3.9100000000000003E-3</v>
      </c>
      <c r="Q18" s="1253">
        <f t="shared" si="1"/>
        <v>0.62490000000000023</v>
      </c>
      <c r="R18" s="1246">
        <f>'Rates in Detail'!Y21</f>
        <v>8.7299999999999999E-3</v>
      </c>
      <c r="S18" s="1257">
        <f t="shared" si="2"/>
        <v>0.63363000000000025</v>
      </c>
      <c r="T18" s="121"/>
    </row>
    <row r="19" spans="2:20" x14ac:dyDescent="0.2">
      <c r="B19" s="100">
        <f t="shared" si="3"/>
        <v>10</v>
      </c>
      <c r="C19" s="101"/>
      <c r="D19" s="101" t="s">
        <v>5</v>
      </c>
      <c r="E19" s="102" t="s">
        <v>59</v>
      </c>
      <c r="F19" s="103" t="e">
        <f>#REF!</f>
        <v>#REF!</v>
      </c>
      <c r="G19" s="103"/>
      <c r="H19" s="839"/>
      <c r="I19" s="841"/>
      <c r="J19" s="609">
        <f>'Rates in Detail'!E22</f>
        <v>0.30325000000000002</v>
      </c>
      <c r="K19" s="613">
        <f>'Rates in Detail'!H22</f>
        <v>0</v>
      </c>
      <c r="L19" s="613">
        <f>'Rates in Detail'!F22</f>
        <v>0.26333000000000001</v>
      </c>
      <c r="M19" s="613">
        <f>'Rates in Detail'!I22</f>
        <v>-2.6199999999999999E-3</v>
      </c>
      <c r="N19" s="125">
        <f t="shared" si="0"/>
        <v>0.56396000000000013</v>
      </c>
      <c r="O19" s="1244">
        <f>'Rates in Detail'!L22</f>
        <v>2.0299999999999999E-2</v>
      </c>
      <c r="P19" s="1237">
        <f>'Rates in Detail'!P22</f>
        <v>-3.4399999999999999E-3</v>
      </c>
      <c r="Q19" s="1252">
        <f t="shared" si="1"/>
        <v>0.58082000000000011</v>
      </c>
      <c r="R19" s="1237">
        <f>'Rates in Detail'!Y22</f>
        <v>7.6899999999999998E-3</v>
      </c>
      <c r="S19" s="1256">
        <f t="shared" si="2"/>
        <v>0.58851000000000009</v>
      </c>
      <c r="T19" s="121"/>
    </row>
    <row r="20" spans="2:20" x14ac:dyDescent="0.2">
      <c r="B20" s="100">
        <f t="shared" si="3"/>
        <v>11</v>
      </c>
      <c r="C20" s="1226" t="e">
        <f>#REF!</f>
        <v>#REF!</v>
      </c>
      <c r="D20" s="1226" t="s">
        <v>4</v>
      </c>
      <c r="E20" s="105">
        <v>2000</v>
      </c>
      <c r="F20" s="106" t="e">
        <f>#REF!</f>
        <v>#REF!</v>
      </c>
      <c r="G20" s="106" t="e">
        <f>#REF!</f>
        <v>#REF!</v>
      </c>
      <c r="H20" s="844" t="e">
        <f>#REF!</f>
        <v>#REF!</v>
      </c>
      <c r="I20" s="845" t="e">
        <f>#REF!</f>
        <v>#REF!</v>
      </c>
      <c r="J20" s="610">
        <f>'Rates in Detail'!E23</f>
        <v>0.34372999999999987</v>
      </c>
      <c r="K20" s="612">
        <f>'Rates in Detail'!H23</f>
        <v>0</v>
      </c>
      <c r="L20" s="612">
        <f>'Rates in Detail'!F23</f>
        <v>0.26333000000000001</v>
      </c>
      <c r="M20" s="612">
        <f>'Rates in Detail'!I23</f>
        <v>5.3189999999999994E-2</v>
      </c>
      <c r="N20" s="127">
        <f t="shared" si="0"/>
        <v>0.66024999999999989</v>
      </c>
      <c r="O20" s="1245">
        <f>'Rates in Detail'!L23</f>
        <v>3.6089999999999997E-2</v>
      </c>
      <c r="P20" s="1246">
        <f>'Rates in Detail'!P23</f>
        <v>-3.2200000000000002E-3</v>
      </c>
      <c r="Q20" s="1253">
        <f t="shared" si="1"/>
        <v>0.69311999999999985</v>
      </c>
      <c r="R20" s="1246">
        <f>'Rates in Detail'!Y23</f>
        <v>2.162E-2</v>
      </c>
      <c r="S20" s="1257">
        <f t="shared" si="2"/>
        <v>0.71473999999999982</v>
      </c>
      <c r="T20" s="121"/>
    </row>
    <row r="21" spans="2:20" x14ac:dyDescent="0.2">
      <c r="B21" s="100">
        <f t="shared" si="3"/>
        <v>12</v>
      </c>
      <c r="C21" s="101"/>
      <c r="D21" s="101" t="s">
        <v>5</v>
      </c>
      <c r="E21" s="102" t="s">
        <v>59</v>
      </c>
      <c r="F21" s="103" t="e">
        <f>#REF!</f>
        <v>#REF!</v>
      </c>
      <c r="G21" s="103"/>
      <c r="H21" s="839"/>
      <c r="I21" s="841"/>
      <c r="J21" s="609">
        <f>'Rates in Detail'!E24</f>
        <v>0.30284999999999984</v>
      </c>
      <c r="K21" s="613">
        <f>'Rates in Detail'!H24</f>
        <v>0</v>
      </c>
      <c r="L21" s="613">
        <f>'Rates in Detail'!F24</f>
        <v>0.26333000000000001</v>
      </c>
      <c r="M21" s="613">
        <f>'Rates in Detail'!I24</f>
        <v>4.6990000000000004E-2</v>
      </c>
      <c r="N21" s="125">
        <f t="shared" si="0"/>
        <v>0.61316999999999988</v>
      </c>
      <c r="O21" s="1244">
        <f>'Rates in Detail'!L24</f>
        <v>3.1800000000000002E-2</v>
      </c>
      <c r="P21" s="1237">
        <f>'Rates in Detail'!P24</f>
        <v>-2.8400000000000001E-3</v>
      </c>
      <c r="Q21" s="1252">
        <f t="shared" si="1"/>
        <v>0.64212999999999998</v>
      </c>
      <c r="R21" s="1237">
        <f>'Rates in Detail'!Y24</f>
        <v>1.9050000000000001E-2</v>
      </c>
      <c r="S21" s="1256">
        <f t="shared" si="2"/>
        <v>0.66117999999999999</v>
      </c>
      <c r="T21" s="121"/>
    </row>
    <row r="22" spans="2:20" x14ac:dyDescent="0.2">
      <c r="B22" s="100">
        <f t="shared" si="3"/>
        <v>13</v>
      </c>
      <c r="C22" s="1226" t="e">
        <f>#REF!</f>
        <v>#REF!</v>
      </c>
      <c r="D22" s="1226" t="s">
        <v>4</v>
      </c>
      <c r="E22" s="105">
        <v>2000</v>
      </c>
      <c r="F22" s="106" t="e">
        <f>#REF!</f>
        <v>#REF!</v>
      </c>
      <c r="G22" s="106" t="e">
        <f>#REF!</f>
        <v>#REF!</v>
      </c>
      <c r="H22" s="844" t="e">
        <f>#REF!</f>
        <v>#REF!</v>
      </c>
      <c r="I22" s="845" t="e">
        <f>#REF!</f>
        <v>#REF!</v>
      </c>
      <c r="J22" s="610">
        <f>'Rates in Detail'!E25</f>
        <v>0.34372999999999987</v>
      </c>
      <c r="K22" s="612">
        <f>'Rates in Detail'!H25</f>
        <v>0</v>
      </c>
      <c r="L22" s="612">
        <f>'Rates in Detail'!F25</f>
        <v>0.26333000000000001</v>
      </c>
      <c r="M22" s="612">
        <f>'Rates in Detail'!I25</f>
        <v>8.7499999999999991E-3</v>
      </c>
      <c r="N22" s="127">
        <f t="shared" si="0"/>
        <v>0.61580999999999997</v>
      </c>
      <c r="O22" s="1245">
        <f>'Rates in Detail'!L25</f>
        <v>1.576E-2</v>
      </c>
      <c r="P22" s="1246">
        <f>'Rates in Detail'!P25</f>
        <v>-3.2200000000000002E-3</v>
      </c>
      <c r="Q22" s="1253">
        <f t="shared" si="1"/>
        <v>0.62834999999999996</v>
      </c>
      <c r="R22" s="1246">
        <f>'Rates in Detail'!Y25</f>
        <v>7.1300000000000001E-3</v>
      </c>
      <c r="S22" s="1257">
        <f t="shared" si="2"/>
        <v>0.63547999999999993</v>
      </c>
      <c r="T22" s="121"/>
    </row>
    <row r="23" spans="2:20" x14ac:dyDescent="0.2">
      <c r="B23" s="100">
        <f t="shared" si="3"/>
        <v>14</v>
      </c>
      <c r="C23" s="101"/>
      <c r="D23" s="101" t="s">
        <v>5</v>
      </c>
      <c r="E23" s="102" t="s">
        <v>59</v>
      </c>
      <c r="F23" s="103" t="e">
        <f>#REF!</f>
        <v>#REF!</v>
      </c>
      <c r="G23" s="103"/>
      <c r="H23" s="839"/>
      <c r="I23" s="841"/>
      <c r="J23" s="609">
        <f>'Rates in Detail'!E26</f>
        <v>0.30284999999999984</v>
      </c>
      <c r="K23" s="613">
        <f>'Rates in Detail'!H26</f>
        <v>0</v>
      </c>
      <c r="L23" s="613">
        <f>'Rates in Detail'!F26</f>
        <v>0.26333000000000001</v>
      </c>
      <c r="M23" s="613">
        <f>'Rates in Detail'!I26</f>
        <v>7.8399999999999997E-3</v>
      </c>
      <c r="N23" s="125">
        <f t="shared" si="0"/>
        <v>0.57401999999999986</v>
      </c>
      <c r="O23" s="1244">
        <f>'Rates in Detail'!L26</f>
        <v>1.388E-2</v>
      </c>
      <c r="P23" s="1237">
        <f>'Rates in Detail'!P26</f>
        <v>-2.8400000000000001E-3</v>
      </c>
      <c r="Q23" s="1252">
        <f t="shared" si="1"/>
        <v>0.58505999999999991</v>
      </c>
      <c r="R23" s="1237">
        <f>'Rates in Detail'!Y26</f>
        <v>6.28E-3</v>
      </c>
      <c r="S23" s="1256">
        <f t="shared" si="2"/>
        <v>0.59133999999999987</v>
      </c>
      <c r="T23" s="121"/>
    </row>
    <row r="24" spans="2:20" x14ac:dyDescent="0.2">
      <c r="B24" s="100">
        <f t="shared" si="3"/>
        <v>15</v>
      </c>
      <c r="C24" s="1226" t="e">
        <f>#REF!</f>
        <v>#REF!</v>
      </c>
      <c r="D24" s="1226" t="s">
        <v>4</v>
      </c>
      <c r="E24" s="105">
        <v>2000</v>
      </c>
      <c r="F24" s="106" t="e">
        <f>#REF!</f>
        <v>#REF!</v>
      </c>
      <c r="G24" s="106" t="e">
        <f>#REF!</f>
        <v>#REF!</v>
      </c>
      <c r="H24" s="844" t="e">
        <f>#REF!</f>
        <v>#REF!</v>
      </c>
      <c r="I24" s="845" t="e">
        <f>#REF!</f>
        <v>#REF!</v>
      </c>
      <c r="J24" s="610">
        <f>'Rates in Detail'!E27</f>
        <v>0.34791</v>
      </c>
      <c r="K24" s="612">
        <f>'Rates in Detail'!H27</f>
        <v>0</v>
      </c>
      <c r="L24" s="612">
        <f>'Rates in Detail'!F27</f>
        <v>0</v>
      </c>
      <c r="M24" s="612">
        <f>'Rates in Detail'!I27</f>
        <v>1.5499999999999999E-3</v>
      </c>
      <c r="N24" s="127">
        <f t="shared" si="0"/>
        <v>0.34945999999999999</v>
      </c>
      <c r="O24" s="1245">
        <f>'Rates in Detail'!L27</f>
        <v>2.562E-2</v>
      </c>
      <c r="P24" s="1246">
        <f>'Rates in Detail'!P27</f>
        <v>-4.3499999999999997E-3</v>
      </c>
      <c r="Q24" s="1253">
        <f t="shared" si="1"/>
        <v>0.37072999999999995</v>
      </c>
      <c r="R24" s="1246">
        <f>'Rates in Detail'!Y27</f>
        <v>9.7099999999999999E-3</v>
      </c>
      <c r="S24" s="1257">
        <f t="shared" si="2"/>
        <v>0.38043999999999994</v>
      </c>
      <c r="T24" s="121"/>
    </row>
    <row r="25" spans="2:20" x14ac:dyDescent="0.2">
      <c r="B25" s="100">
        <f t="shared" si="3"/>
        <v>16</v>
      </c>
      <c r="C25" s="101"/>
      <c r="D25" s="101" t="s">
        <v>5</v>
      </c>
      <c r="E25" s="102" t="s">
        <v>59</v>
      </c>
      <c r="F25" s="103" t="e">
        <f>#REF!</f>
        <v>#REF!</v>
      </c>
      <c r="G25" s="103"/>
      <c r="H25" s="839"/>
      <c r="I25" s="841"/>
      <c r="J25" s="609">
        <f>'Rates in Detail'!E28</f>
        <v>0.30653000000000008</v>
      </c>
      <c r="K25" s="613">
        <f>'Rates in Detail'!H28</f>
        <v>0</v>
      </c>
      <c r="L25" s="613">
        <f>'Rates in Detail'!F28</f>
        <v>0</v>
      </c>
      <c r="M25" s="613">
        <f>'Rates in Detail'!I28</f>
        <v>1.3600000000000001E-3</v>
      </c>
      <c r="N25" s="125">
        <f t="shared" si="0"/>
        <v>0.30789000000000011</v>
      </c>
      <c r="O25" s="1244">
        <f>'Rates in Detail'!L28</f>
        <v>2.257E-2</v>
      </c>
      <c r="P25" s="1237">
        <f>'Rates in Detail'!P28</f>
        <v>-3.8300000000000001E-3</v>
      </c>
      <c r="Q25" s="1252">
        <f t="shared" si="1"/>
        <v>0.32663000000000009</v>
      </c>
      <c r="R25" s="1237">
        <f>'Rates in Detail'!Y28</f>
        <v>8.5500000000000003E-3</v>
      </c>
      <c r="S25" s="1256">
        <f t="shared" si="2"/>
        <v>0.33518000000000009</v>
      </c>
      <c r="T25" s="121"/>
    </row>
    <row r="26" spans="2:20" x14ac:dyDescent="0.2">
      <c r="B26" s="100">
        <f t="shared" si="3"/>
        <v>17</v>
      </c>
      <c r="C26" s="1226" t="e">
        <f>#REF!</f>
        <v>#REF!</v>
      </c>
      <c r="D26" s="1226" t="s">
        <v>4</v>
      </c>
      <c r="E26" s="105">
        <v>2000</v>
      </c>
      <c r="F26" s="106" t="e">
        <f>#REF!</f>
        <v>#REF!</v>
      </c>
      <c r="G26" s="106" t="e">
        <f>#REF!</f>
        <v>#REF!</v>
      </c>
      <c r="H26" s="844" t="e">
        <f>#REF!</f>
        <v>#REF!</v>
      </c>
      <c r="I26" s="845" t="e">
        <f>#REF!</f>
        <v>#REF!</v>
      </c>
      <c r="J26" s="610">
        <f>'Rates in Detail'!E29</f>
        <v>0.34791</v>
      </c>
      <c r="K26" s="612">
        <f>'Rates in Detail'!H29</f>
        <v>0</v>
      </c>
      <c r="L26" s="612">
        <f>'Rates in Detail'!F29</f>
        <v>0</v>
      </c>
      <c r="M26" s="612">
        <f>'Rates in Detail'!I29</f>
        <v>1.5499999999999999E-3</v>
      </c>
      <c r="N26" s="127">
        <f t="shared" si="0"/>
        <v>0.34945999999999999</v>
      </c>
      <c r="O26" s="1245">
        <f>'Rates in Detail'!L29</f>
        <v>1.5949999999999999E-2</v>
      </c>
      <c r="P26" s="1246">
        <f>'Rates in Detail'!P29</f>
        <v>-3.2599999999999999E-3</v>
      </c>
      <c r="Q26" s="1253">
        <f t="shared" si="1"/>
        <v>0.36215000000000003</v>
      </c>
      <c r="R26" s="1246">
        <f>'Rates in Detail'!Y29</f>
        <v>7.2100000000000003E-3</v>
      </c>
      <c r="S26" s="1257">
        <f t="shared" si="2"/>
        <v>0.36936000000000002</v>
      </c>
      <c r="T26" s="121"/>
    </row>
    <row r="27" spans="2:20" x14ac:dyDescent="0.2">
      <c r="B27" s="100">
        <f t="shared" si="3"/>
        <v>18</v>
      </c>
      <c r="C27" s="101"/>
      <c r="D27" s="101" t="s">
        <v>5</v>
      </c>
      <c r="E27" s="102" t="s">
        <v>59</v>
      </c>
      <c r="F27" s="103" t="e">
        <f>#REF!</f>
        <v>#REF!</v>
      </c>
      <c r="G27" s="103"/>
      <c r="H27" s="839"/>
      <c r="I27" s="841"/>
      <c r="J27" s="609">
        <f>'Rates in Detail'!E30</f>
        <v>0.30653000000000008</v>
      </c>
      <c r="K27" s="613">
        <f>'Rates in Detail'!H30</f>
        <v>0</v>
      </c>
      <c r="L27" s="613">
        <f>'Rates in Detail'!F30</f>
        <v>0</v>
      </c>
      <c r="M27" s="613">
        <f>'Rates in Detail'!I30</f>
        <v>1.3600000000000001E-3</v>
      </c>
      <c r="N27" s="125">
        <f t="shared" si="0"/>
        <v>0.30789000000000011</v>
      </c>
      <c r="O27" s="1244">
        <f>'Rates in Detail'!L30</f>
        <v>1.405E-2</v>
      </c>
      <c r="P27" s="1237">
        <f>'Rates in Detail'!P30</f>
        <v>-2.8700000000000002E-3</v>
      </c>
      <c r="Q27" s="1252">
        <f t="shared" si="1"/>
        <v>0.31907000000000013</v>
      </c>
      <c r="R27" s="1237">
        <f>'Rates in Detail'!Y30</f>
        <v>6.3499999999999997E-3</v>
      </c>
      <c r="S27" s="1256">
        <f t="shared" si="2"/>
        <v>0.32542000000000015</v>
      </c>
      <c r="T27" s="121"/>
    </row>
    <row r="28" spans="2:20" x14ac:dyDescent="0.2">
      <c r="B28" s="100">
        <f t="shared" si="3"/>
        <v>19</v>
      </c>
      <c r="C28" s="1226" t="e">
        <f>#REF!</f>
        <v>#REF!</v>
      </c>
      <c r="D28" s="1226" t="s">
        <v>4</v>
      </c>
      <c r="E28" s="105">
        <v>10000</v>
      </c>
      <c r="F28" s="106" t="e">
        <f>#REF!</f>
        <v>#REF!</v>
      </c>
      <c r="G28" s="106" t="e">
        <f>#REF!</f>
        <v>#REF!</v>
      </c>
      <c r="H28" s="844" t="e">
        <f>#REF!</f>
        <v>#REF!</v>
      </c>
      <c r="I28" s="845" t="e">
        <f>#REF!</f>
        <v>#REF!</v>
      </c>
      <c r="J28" s="610">
        <f>'Rates in Detail'!E31</f>
        <v>0.15245999999999996</v>
      </c>
      <c r="K28" s="612">
        <f>'Rates in Detail'!H31</f>
        <v>0</v>
      </c>
      <c r="L28" s="612">
        <f>'Rates in Detail'!F31</f>
        <v>0.26333000000000001</v>
      </c>
      <c r="M28" s="612">
        <f>'Rates in Detail'!I31</f>
        <v>1.9560000000000001E-2</v>
      </c>
      <c r="N28" s="127">
        <f t="shared" si="0"/>
        <v>0.43535000000000001</v>
      </c>
      <c r="O28" s="1245">
        <f>'Rates in Detail'!L31</f>
        <v>3.7769999999999998E-2</v>
      </c>
      <c r="P28" s="1246">
        <f>'Rates in Detail'!P31</f>
        <v>-3.0899999999999999E-3</v>
      </c>
      <c r="Q28" s="1253">
        <f t="shared" si="1"/>
        <v>0.47003</v>
      </c>
      <c r="R28" s="1246">
        <f>'Rates in Detail'!Y31</f>
        <v>2.095E-2</v>
      </c>
      <c r="S28" s="1257">
        <f t="shared" si="2"/>
        <v>0.49098000000000003</v>
      </c>
      <c r="T28" s="121"/>
    </row>
    <row r="29" spans="2:20" x14ac:dyDescent="0.2">
      <c r="B29" s="100">
        <f t="shared" si="3"/>
        <v>20</v>
      </c>
      <c r="C29" s="1226"/>
      <c r="D29" s="1226" t="s">
        <v>5</v>
      </c>
      <c r="E29" s="105">
        <v>20000</v>
      </c>
      <c r="F29" s="106" t="e">
        <f>#REF!</f>
        <v>#REF!</v>
      </c>
      <c r="G29" s="106"/>
      <c r="H29" s="844"/>
      <c r="I29" s="845"/>
      <c r="J29" s="610">
        <f>'Rates in Detail'!E32</f>
        <v>0.1364699999999997</v>
      </c>
      <c r="K29" s="612">
        <f>'Rates in Detail'!H32</f>
        <v>0</v>
      </c>
      <c r="L29" s="612">
        <f>'Rates in Detail'!F32</f>
        <v>0.26333000000000001</v>
      </c>
      <c r="M29" s="612">
        <f>'Rates in Detail'!I32</f>
        <v>1.6539999999999999E-2</v>
      </c>
      <c r="N29" s="127">
        <f t="shared" si="0"/>
        <v>0.41633999999999971</v>
      </c>
      <c r="O29" s="1245">
        <f>'Rates in Detail'!L32</f>
        <v>3.381E-2</v>
      </c>
      <c r="P29" s="1246">
        <f>'Rates in Detail'!P32</f>
        <v>-2.7699999999999999E-3</v>
      </c>
      <c r="Q29" s="1253">
        <f t="shared" si="1"/>
        <v>0.44737999999999972</v>
      </c>
      <c r="R29" s="1246">
        <f>'Rates in Detail'!Y32</f>
        <v>1.8749999999999999E-2</v>
      </c>
      <c r="S29" s="1257">
        <f t="shared" si="2"/>
        <v>0.46612999999999971</v>
      </c>
      <c r="T29" s="121"/>
    </row>
    <row r="30" spans="2:20" x14ac:dyDescent="0.2">
      <c r="B30" s="100">
        <f t="shared" si="3"/>
        <v>21</v>
      </c>
      <c r="C30" s="1226"/>
      <c r="D30" s="1226" t="s">
        <v>6</v>
      </c>
      <c r="E30" s="105">
        <v>20000</v>
      </c>
      <c r="F30" s="106" t="e">
        <f>#REF!</f>
        <v>#REF!</v>
      </c>
      <c r="G30" s="106"/>
      <c r="H30" s="844"/>
      <c r="I30" s="845"/>
      <c r="J30" s="610">
        <f>'Rates in Detail'!E33</f>
        <v>0.1046699999999999</v>
      </c>
      <c r="K30" s="612">
        <f>'Rates in Detail'!H33</f>
        <v>0</v>
      </c>
      <c r="L30" s="612">
        <f>'Rates in Detail'!F33</f>
        <v>0.26333000000000001</v>
      </c>
      <c r="M30" s="612">
        <f>'Rates in Detail'!I33</f>
        <v>1.052E-2</v>
      </c>
      <c r="N30" s="127">
        <f t="shared" si="0"/>
        <v>0.37851999999999986</v>
      </c>
      <c r="O30" s="1245">
        <f>'Rates in Detail'!L33</f>
        <v>2.5930000000000002E-2</v>
      </c>
      <c r="P30" s="1246">
        <f>'Rates in Detail'!P33</f>
        <v>-2.1199999999999999E-3</v>
      </c>
      <c r="Q30" s="1253">
        <f t="shared" si="1"/>
        <v>0.40232999999999985</v>
      </c>
      <c r="R30" s="1246">
        <f>'Rates in Detail'!Y33</f>
        <v>1.438E-2</v>
      </c>
      <c r="S30" s="1257">
        <f t="shared" si="2"/>
        <v>0.41670999999999986</v>
      </c>
      <c r="T30" s="121"/>
    </row>
    <row r="31" spans="2:20" x14ac:dyDescent="0.2">
      <c r="B31" s="100">
        <f t="shared" si="3"/>
        <v>22</v>
      </c>
      <c r="C31" s="1226"/>
      <c r="D31" s="1226" t="s">
        <v>7</v>
      </c>
      <c r="E31" s="105">
        <v>100000</v>
      </c>
      <c r="F31" s="106" t="e">
        <f>#REF!</f>
        <v>#REF!</v>
      </c>
      <c r="G31" s="106"/>
      <c r="H31" s="844"/>
      <c r="I31" s="845"/>
      <c r="J31" s="610">
        <f>'Rates in Detail'!E34</f>
        <v>8.3729999999999999E-2</v>
      </c>
      <c r="K31" s="612">
        <f>'Rates in Detail'!H34</f>
        <v>0</v>
      </c>
      <c r="L31" s="612">
        <f>'Rates in Detail'!F34</f>
        <v>0.26333000000000001</v>
      </c>
      <c r="M31" s="612">
        <f>'Rates in Detail'!I34</f>
        <v>6.550000000000002E-3</v>
      </c>
      <c r="N31" s="127">
        <f t="shared" si="0"/>
        <v>0.35361000000000004</v>
      </c>
      <c r="O31" s="1245">
        <f>'Rates in Detail'!L34</f>
        <v>2.0740000000000001E-2</v>
      </c>
      <c r="P31" s="1246">
        <f>'Rates in Detail'!P34</f>
        <v>-1.6999999999999999E-3</v>
      </c>
      <c r="Q31" s="1253">
        <f t="shared" si="1"/>
        <v>0.37265000000000004</v>
      </c>
      <c r="R31" s="1246">
        <f>'Rates in Detail'!Y34</f>
        <v>1.1509999999999999E-2</v>
      </c>
      <c r="S31" s="1257">
        <f t="shared" si="2"/>
        <v>0.38416000000000006</v>
      </c>
      <c r="T31" s="121"/>
    </row>
    <row r="32" spans="2:20" x14ac:dyDescent="0.2">
      <c r="B32" s="100">
        <f t="shared" si="3"/>
        <v>23</v>
      </c>
      <c r="C32" s="1226"/>
      <c r="D32" s="1226" t="s">
        <v>8</v>
      </c>
      <c r="E32" s="105">
        <v>600000</v>
      </c>
      <c r="F32" s="106" t="e">
        <f>#REF!</f>
        <v>#REF!</v>
      </c>
      <c r="G32" s="106"/>
      <c r="H32" s="844"/>
      <c r="I32" s="845"/>
      <c r="J32" s="610">
        <f>'Rates in Detail'!E35</f>
        <v>5.5809999999999992E-2</v>
      </c>
      <c r="K32" s="612">
        <f>'Rates in Detail'!H35</f>
        <v>0</v>
      </c>
      <c r="L32" s="612">
        <f>'Rates in Detail'!F35</f>
        <v>0.26333000000000001</v>
      </c>
      <c r="M32" s="612">
        <f>'Rates in Detail'!I35</f>
        <v>1.239999999999998E-3</v>
      </c>
      <c r="N32" s="127">
        <f t="shared" si="0"/>
        <v>0.32038</v>
      </c>
      <c r="O32" s="1245">
        <f>'Rates in Detail'!L35</f>
        <v>1.383E-2</v>
      </c>
      <c r="P32" s="1246">
        <f>'Rates in Detail'!P35</f>
        <v>-1.1299999999999999E-3</v>
      </c>
      <c r="Q32" s="1253">
        <f t="shared" si="1"/>
        <v>0.33307999999999999</v>
      </c>
      <c r="R32" s="1246">
        <f>'Rates in Detail'!Y35</f>
        <v>7.6699999999999997E-3</v>
      </c>
      <c r="S32" s="1257">
        <f t="shared" si="2"/>
        <v>0.34075</v>
      </c>
      <c r="T32" s="121"/>
    </row>
    <row r="33" spans="2:20" x14ac:dyDescent="0.2">
      <c r="B33" s="100">
        <f t="shared" si="3"/>
        <v>24</v>
      </c>
      <c r="C33" s="101"/>
      <c r="D33" s="101" t="s">
        <v>9</v>
      </c>
      <c r="E33" s="102" t="s">
        <v>59</v>
      </c>
      <c r="F33" s="103" t="e">
        <f>#REF!</f>
        <v>#REF!</v>
      </c>
      <c r="G33" s="103"/>
      <c r="H33" s="839"/>
      <c r="I33" s="841"/>
      <c r="J33" s="609">
        <f>'Rates in Detail'!E36</f>
        <v>2.0920000000000029E-2</v>
      </c>
      <c r="K33" s="613">
        <f>'Rates in Detail'!H36</f>
        <v>0</v>
      </c>
      <c r="L33" s="613">
        <f>'Rates in Detail'!F36</f>
        <v>0.26333000000000001</v>
      </c>
      <c r="M33" s="613">
        <f>'Rates in Detail'!I36</f>
        <v>-5.3500000000000006E-3</v>
      </c>
      <c r="N33" s="125">
        <f t="shared" si="0"/>
        <v>0.27890000000000004</v>
      </c>
      <c r="O33" s="1244">
        <f>'Rates in Detail'!L36</f>
        <v>5.1799999999999997E-3</v>
      </c>
      <c r="P33" s="1237">
        <f>'Rates in Detail'!P36</f>
        <v>-4.2000000000000002E-4</v>
      </c>
      <c r="Q33" s="1252">
        <f t="shared" si="1"/>
        <v>0.28366000000000008</v>
      </c>
      <c r="R33" s="1237">
        <f>'Rates in Detail'!Y36</f>
        <v>2.8800000000000002E-3</v>
      </c>
      <c r="S33" s="1256">
        <f t="shared" si="2"/>
        <v>0.28654000000000007</v>
      </c>
      <c r="T33" s="121"/>
    </row>
    <row r="34" spans="2:20" x14ac:dyDescent="0.2">
      <c r="B34" s="100">
        <f t="shared" si="3"/>
        <v>25</v>
      </c>
      <c r="C34" s="1226" t="e">
        <f>#REF!</f>
        <v>#REF!</v>
      </c>
      <c r="D34" s="1226" t="s">
        <v>4</v>
      </c>
      <c r="E34" s="105">
        <v>10000</v>
      </c>
      <c r="F34" s="106" t="e">
        <f>#REF!</f>
        <v>#REF!</v>
      </c>
      <c r="G34" s="106" t="e">
        <f>#REF!</f>
        <v>#REF!</v>
      </c>
      <c r="H34" s="844" t="e">
        <f>#REF!</f>
        <v>#REF!</v>
      </c>
      <c r="I34" s="845" t="e">
        <f>#REF!</f>
        <v>#REF!</v>
      </c>
      <c r="J34" s="610">
        <f>'Rates in Detail'!E37</f>
        <v>0.14721000000000001</v>
      </c>
      <c r="K34" s="612">
        <f>'Rates in Detail'!H37</f>
        <v>0</v>
      </c>
      <c r="L34" s="612">
        <f>'Rates in Detail'!F37</f>
        <v>0.26333000000000001</v>
      </c>
      <c r="M34" s="612">
        <f>'Rates in Detail'!I37</f>
        <v>-4.6100000000000012E-3</v>
      </c>
      <c r="N34" s="127">
        <f t="shared" si="0"/>
        <v>0.40593000000000001</v>
      </c>
      <c r="O34" s="1245">
        <f>'Rates in Detail'!L37</f>
        <v>1.6219999999999998E-2</v>
      </c>
      <c r="P34" s="1246">
        <f>'Rates in Detail'!P37</f>
        <v>-2.7499999999999998E-3</v>
      </c>
      <c r="Q34" s="1253">
        <f t="shared" si="1"/>
        <v>0.41940000000000005</v>
      </c>
      <c r="R34" s="1246">
        <f>'Rates in Detail'!Y37</f>
        <v>6.1399999999999996E-3</v>
      </c>
      <c r="S34" s="1257">
        <f t="shared" si="2"/>
        <v>0.42554000000000003</v>
      </c>
      <c r="T34" s="121"/>
    </row>
    <row r="35" spans="2:20" x14ac:dyDescent="0.2">
      <c r="B35" s="100">
        <f t="shared" si="3"/>
        <v>26</v>
      </c>
      <c r="C35" s="1226"/>
      <c r="D35" s="1226" t="s">
        <v>5</v>
      </c>
      <c r="E35" s="105">
        <v>20000</v>
      </c>
      <c r="F35" s="106" t="e">
        <f>#REF!</f>
        <v>#REF!</v>
      </c>
      <c r="G35" s="106"/>
      <c r="H35" s="844"/>
      <c r="I35" s="845"/>
      <c r="J35" s="610">
        <f>'Rates in Detail'!E38</f>
        <v>0.13177</v>
      </c>
      <c r="K35" s="612">
        <f>'Rates in Detail'!H38</f>
        <v>0</v>
      </c>
      <c r="L35" s="612">
        <f>'Rates in Detail'!F38</f>
        <v>0.26333000000000001</v>
      </c>
      <c r="M35" s="612">
        <f>'Rates in Detail'!I38</f>
        <v>-5.1100000000000008E-3</v>
      </c>
      <c r="N35" s="127">
        <f t="shared" si="0"/>
        <v>0.38999</v>
      </c>
      <c r="O35" s="1245">
        <f>'Rates in Detail'!L38</f>
        <v>1.452E-2</v>
      </c>
      <c r="P35" s="1246">
        <f>'Rates in Detail'!P38</f>
        <v>-2.4599999999999999E-3</v>
      </c>
      <c r="Q35" s="1253">
        <f t="shared" si="1"/>
        <v>0.40204999999999996</v>
      </c>
      <c r="R35" s="1246">
        <f>'Rates in Detail'!Y38</f>
        <v>5.4999999999999997E-3</v>
      </c>
      <c r="S35" s="1257">
        <f t="shared" si="2"/>
        <v>0.40754999999999997</v>
      </c>
      <c r="T35" s="121"/>
    </row>
    <row r="36" spans="2:20" x14ac:dyDescent="0.2">
      <c r="B36" s="100">
        <f t="shared" si="3"/>
        <v>27</v>
      </c>
      <c r="C36" s="1226"/>
      <c r="D36" s="1226" t="s">
        <v>6</v>
      </c>
      <c r="E36" s="105">
        <v>20000</v>
      </c>
      <c r="F36" s="106" t="e">
        <f>#REF!</f>
        <v>#REF!</v>
      </c>
      <c r="G36" s="106"/>
      <c r="H36" s="844"/>
      <c r="I36" s="845"/>
      <c r="J36" s="610">
        <f>'Rates in Detail'!E39</f>
        <v>0.10104999999999985</v>
      </c>
      <c r="K36" s="612">
        <f>'Rates in Detail'!H39</f>
        <v>0</v>
      </c>
      <c r="L36" s="612">
        <f>'Rates in Detail'!F39</f>
        <v>0.26333000000000001</v>
      </c>
      <c r="M36" s="612">
        <f>'Rates in Detail'!I39</f>
        <v>-6.0700000000000007E-3</v>
      </c>
      <c r="N36" s="127">
        <f t="shared" si="0"/>
        <v>0.35830999999999985</v>
      </c>
      <c r="O36" s="1245">
        <f>'Rates in Detail'!L39</f>
        <v>1.1129999999999999E-2</v>
      </c>
      <c r="P36" s="1246">
        <f>'Rates in Detail'!P39</f>
        <v>-1.89E-3</v>
      </c>
      <c r="Q36" s="1253">
        <f t="shared" si="1"/>
        <v>0.36754999999999982</v>
      </c>
      <c r="R36" s="1246">
        <f>'Rates in Detail'!Y39</f>
        <v>4.2199999999999998E-3</v>
      </c>
      <c r="S36" s="1257">
        <f t="shared" si="2"/>
        <v>0.37176999999999982</v>
      </c>
      <c r="T36" s="121"/>
    </row>
    <row r="37" spans="2:20" x14ac:dyDescent="0.2">
      <c r="B37" s="100">
        <f t="shared" si="3"/>
        <v>28</v>
      </c>
      <c r="C37" s="1226"/>
      <c r="D37" s="1226" t="s">
        <v>7</v>
      </c>
      <c r="E37" s="105">
        <v>100000</v>
      </c>
      <c r="F37" s="106" t="e">
        <f>#REF!</f>
        <v>#REF!</v>
      </c>
      <c r="G37" s="106"/>
      <c r="H37" s="844"/>
      <c r="I37" s="845"/>
      <c r="J37" s="610">
        <f>'Rates in Detail'!E40</f>
        <v>8.0839999999999995E-2</v>
      </c>
      <c r="K37" s="612">
        <f>'Rates in Detail'!H40</f>
        <v>0</v>
      </c>
      <c r="L37" s="612">
        <f>'Rates in Detail'!F40</f>
        <v>0.26333000000000001</v>
      </c>
      <c r="M37" s="612">
        <f>'Rates in Detail'!I40</f>
        <v>-6.7300000000000007E-3</v>
      </c>
      <c r="N37" s="127">
        <f t="shared" si="0"/>
        <v>0.33743999999999996</v>
      </c>
      <c r="O37" s="1245">
        <f>'Rates in Detail'!L40</f>
        <v>8.9099999999999995E-3</v>
      </c>
      <c r="P37" s="1246">
        <f>'Rates in Detail'!P40</f>
        <v>-1.5100000000000001E-3</v>
      </c>
      <c r="Q37" s="1253">
        <f t="shared" si="1"/>
        <v>0.34483999999999992</v>
      </c>
      <c r="R37" s="1246">
        <f>'Rates in Detail'!Y40</f>
        <v>3.3700000000000002E-3</v>
      </c>
      <c r="S37" s="1257">
        <f t="shared" si="2"/>
        <v>0.34820999999999991</v>
      </c>
      <c r="T37" s="121"/>
    </row>
    <row r="38" spans="2:20" x14ac:dyDescent="0.2">
      <c r="B38" s="100">
        <f t="shared" si="3"/>
        <v>29</v>
      </c>
      <c r="C38" s="1226"/>
      <c r="D38" s="1226" t="s">
        <v>8</v>
      </c>
      <c r="E38" s="105">
        <v>600000</v>
      </c>
      <c r="F38" s="106" t="e">
        <f>#REF!</f>
        <v>#REF!</v>
      </c>
      <c r="G38" s="106"/>
      <c r="H38" s="844"/>
      <c r="I38" s="845"/>
      <c r="J38" s="610">
        <f>'Rates in Detail'!E41</f>
        <v>5.391E-2</v>
      </c>
      <c r="K38" s="612">
        <f>'Rates in Detail'!H41</f>
        <v>0</v>
      </c>
      <c r="L38" s="612">
        <f>'Rates in Detail'!F41</f>
        <v>0.26333000000000001</v>
      </c>
      <c r="M38" s="612">
        <f>'Rates in Detail'!I41</f>
        <v>-7.5900000000000004E-3</v>
      </c>
      <c r="N38" s="127">
        <f t="shared" si="0"/>
        <v>0.30965000000000004</v>
      </c>
      <c r="O38" s="1245">
        <f>'Rates in Detail'!L41</f>
        <v>5.94E-3</v>
      </c>
      <c r="P38" s="1246">
        <f>'Rates in Detail'!P41</f>
        <v>-1.01E-3</v>
      </c>
      <c r="Q38" s="1253">
        <f t="shared" si="1"/>
        <v>0.31458000000000003</v>
      </c>
      <c r="R38" s="1246">
        <f>'Rates in Detail'!Y41</f>
        <v>2.2499999999999998E-3</v>
      </c>
      <c r="S38" s="1257">
        <f t="shared" si="2"/>
        <v>0.31683</v>
      </c>
      <c r="T38" s="121"/>
    </row>
    <row r="39" spans="2:20" x14ac:dyDescent="0.2">
      <c r="B39" s="100">
        <f t="shared" si="3"/>
        <v>30</v>
      </c>
      <c r="C39" s="101"/>
      <c r="D39" s="101" t="s">
        <v>9</v>
      </c>
      <c r="E39" s="102" t="s">
        <v>59</v>
      </c>
      <c r="F39" s="103" t="e">
        <f>#REF!</f>
        <v>#REF!</v>
      </c>
      <c r="G39" s="103"/>
      <c r="H39" s="839"/>
      <c r="I39" s="841"/>
      <c r="J39" s="609">
        <f>'Rates in Detail'!E42</f>
        <v>2.0199999999999999E-2</v>
      </c>
      <c r="K39" s="613">
        <f>'Rates in Detail'!H42</f>
        <v>0</v>
      </c>
      <c r="L39" s="613">
        <f>'Rates in Detail'!F42</f>
        <v>0.26333000000000001</v>
      </c>
      <c r="M39" s="613">
        <f>'Rates in Detail'!I42</f>
        <v>-8.6700000000000006E-3</v>
      </c>
      <c r="N39" s="125">
        <f t="shared" si="0"/>
        <v>0.27485999999999999</v>
      </c>
      <c r="O39" s="1244">
        <f>'Rates in Detail'!L42</f>
        <v>2.2300000000000002E-3</v>
      </c>
      <c r="P39" s="1237">
        <f>'Rates in Detail'!P42</f>
        <v>-3.8000000000000002E-4</v>
      </c>
      <c r="Q39" s="1252">
        <f t="shared" si="1"/>
        <v>0.27671000000000001</v>
      </c>
      <c r="R39" s="1237">
        <f>'Rates in Detail'!Y42</f>
        <v>8.4000000000000003E-4</v>
      </c>
      <c r="S39" s="1256">
        <f t="shared" si="2"/>
        <v>0.27755000000000002</v>
      </c>
      <c r="T39" s="121"/>
    </row>
    <row r="40" spans="2:20" x14ac:dyDescent="0.2">
      <c r="B40" s="100">
        <f t="shared" si="3"/>
        <v>31</v>
      </c>
      <c r="C40" s="1226" t="e">
        <f>#REF!</f>
        <v>#REF!</v>
      </c>
      <c r="D40" s="1226" t="s">
        <v>4</v>
      </c>
      <c r="E40" s="105">
        <v>10000</v>
      </c>
      <c r="F40" s="106" t="e">
        <f>#REF!</f>
        <v>#REF!</v>
      </c>
      <c r="G40" s="106" t="e">
        <f>#REF!</f>
        <v>#REF!</v>
      </c>
      <c r="H40" s="844" t="e">
        <f>#REF!</f>
        <v>#REF!</v>
      </c>
      <c r="I40" s="845" t="e">
        <f>#REF!</f>
        <v>#REF!</v>
      </c>
      <c r="J40" s="610">
        <f>'Rates in Detail'!E43</f>
        <v>0.13791999999999999</v>
      </c>
      <c r="K40" s="612">
        <f>'Rates in Detail'!H43</f>
        <v>0</v>
      </c>
      <c r="L40" s="612">
        <f>'Rates in Detail'!F43</f>
        <v>0</v>
      </c>
      <c r="M40" s="612">
        <f>'Rates in Detail'!I43</f>
        <v>5.9999999999999995E-4</v>
      </c>
      <c r="N40" s="127">
        <f t="shared" si="0"/>
        <v>0.13851999999999998</v>
      </c>
      <c r="O40" s="1245">
        <f>'Rates in Detail'!L43</f>
        <v>1.295E-2</v>
      </c>
      <c r="P40" s="1246">
        <f>'Rates in Detail'!P43</f>
        <v>-1.75E-3</v>
      </c>
      <c r="Q40" s="1253">
        <f t="shared" si="1"/>
        <v>0.14971999999999996</v>
      </c>
      <c r="R40" s="1246">
        <f>'Rates in Detail'!Y43</f>
        <v>5.94E-3</v>
      </c>
      <c r="S40" s="1257">
        <f t="shared" si="2"/>
        <v>0.15565999999999997</v>
      </c>
      <c r="T40" s="121"/>
    </row>
    <row r="41" spans="2:20" x14ac:dyDescent="0.2">
      <c r="B41" s="100">
        <f t="shared" si="3"/>
        <v>32</v>
      </c>
      <c r="C41" s="1226"/>
      <c r="D41" s="1226" t="s">
        <v>5</v>
      </c>
      <c r="E41" s="105">
        <v>20000</v>
      </c>
      <c r="F41" s="106" t="e">
        <f>#REF!</f>
        <v>#REF!</v>
      </c>
      <c r="G41" s="106"/>
      <c r="H41" s="844"/>
      <c r="I41" s="845"/>
      <c r="J41" s="610">
        <f>'Rates in Detail'!E44</f>
        <v>0.12346999999999998</v>
      </c>
      <c r="K41" s="612">
        <f>'Rates in Detail'!H44</f>
        <v>0</v>
      </c>
      <c r="L41" s="612">
        <f>'Rates in Detail'!F44</f>
        <v>0</v>
      </c>
      <c r="M41" s="612">
        <f>'Rates in Detail'!I44</f>
        <v>5.2999999999999998E-4</v>
      </c>
      <c r="N41" s="127">
        <f t="shared" si="0"/>
        <v>0.12399999999999999</v>
      </c>
      <c r="O41" s="1245">
        <f>'Rates in Detail'!L44</f>
        <v>1.159E-2</v>
      </c>
      <c r="P41" s="1246">
        <f>'Rates in Detail'!P44</f>
        <v>-1.57E-3</v>
      </c>
      <c r="Q41" s="1253">
        <f t="shared" si="1"/>
        <v>0.13402</v>
      </c>
      <c r="R41" s="1246">
        <f>'Rates in Detail'!Y44</f>
        <v>5.3099999999999996E-3</v>
      </c>
      <c r="S41" s="1257">
        <f t="shared" si="2"/>
        <v>0.13933000000000001</v>
      </c>
      <c r="T41" s="121"/>
    </row>
    <row r="42" spans="2:20" x14ac:dyDescent="0.2">
      <c r="B42" s="100">
        <f t="shared" si="3"/>
        <v>33</v>
      </c>
      <c r="C42" s="1226"/>
      <c r="D42" s="1226" t="s">
        <v>6</v>
      </c>
      <c r="E42" s="105">
        <v>20000</v>
      </c>
      <c r="F42" s="106" t="e">
        <f>#REF!</f>
        <v>#REF!</v>
      </c>
      <c r="G42" s="106"/>
      <c r="H42" s="844"/>
      <c r="I42" s="845"/>
      <c r="J42" s="610">
        <f>'Rates in Detail'!E45</f>
        <v>9.4670000000000004E-2</v>
      </c>
      <c r="K42" s="612">
        <f>'Rates in Detail'!H45</f>
        <v>0</v>
      </c>
      <c r="L42" s="612">
        <f>'Rates in Detail'!F45</f>
        <v>0</v>
      </c>
      <c r="M42" s="612">
        <f>'Rates in Detail'!I45</f>
        <v>4.1000000000000005E-4</v>
      </c>
      <c r="N42" s="127">
        <f t="shared" si="0"/>
        <v>9.5079999999999998E-2</v>
      </c>
      <c r="O42" s="1245">
        <f>'Rates in Detail'!L45</f>
        <v>8.8900000000000003E-3</v>
      </c>
      <c r="P42" s="1246">
        <f>'Rates in Detail'!P45</f>
        <v>-1.1999999999999999E-3</v>
      </c>
      <c r="Q42" s="1253">
        <f t="shared" si="1"/>
        <v>0.10276999999999999</v>
      </c>
      <c r="R42" s="1246">
        <f>'Rates in Detail'!Y45</f>
        <v>4.0699999999999998E-3</v>
      </c>
      <c r="S42" s="1257">
        <f t="shared" si="2"/>
        <v>0.10683999999999999</v>
      </c>
      <c r="T42" s="121"/>
    </row>
    <row r="43" spans="2:20" x14ac:dyDescent="0.2">
      <c r="B43" s="100">
        <f t="shared" si="3"/>
        <v>34</v>
      </c>
      <c r="C43" s="1226"/>
      <c r="D43" s="1226" t="s">
        <v>7</v>
      </c>
      <c r="E43" s="105">
        <v>100000</v>
      </c>
      <c r="F43" s="106" t="e">
        <f>#REF!</f>
        <v>#REF!</v>
      </c>
      <c r="G43" s="106"/>
      <c r="H43" s="844"/>
      <c r="I43" s="845"/>
      <c r="J43" s="610">
        <f>'Rates in Detail'!E46</f>
        <v>7.5750000000000012E-2</v>
      </c>
      <c r="K43" s="612">
        <f>'Rates in Detail'!H46</f>
        <v>0</v>
      </c>
      <c r="L43" s="612">
        <f>'Rates in Detail'!F46</f>
        <v>0</v>
      </c>
      <c r="M43" s="612">
        <f>'Rates in Detail'!I46</f>
        <v>3.1999999999999997E-4</v>
      </c>
      <c r="N43" s="127">
        <f t="shared" si="0"/>
        <v>7.6070000000000013E-2</v>
      </c>
      <c r="O43" s="1245">
        <f>'Rates in Detail'!L46</f>
        <v>7.11E-3</v>
      </c>
      <c r="P43" s="1246">
        <f>'Rates in Detail'!P46</f>
        <v>-9.6000000000000002E-4</v>
      </c>
      <c r="Q43" s="1253">
        <f t="shared" si="1"/>
        <v>8.2220000000000015E-2</v>
      </c>
      <c r="R43" s="1246">
        <f>'Rates in Detail'!Y46</f>
        <v>3.2599999999999999E-3</v>
      </c>
      <c r="S43" s="1257">
        <f t="shared" si="2"/>
        <v>8.5480000000000014E-2</v>
      </c>
      <c r="T43" s="121"/>
    </row>
    <row r="44" spans="2:20" x14ac:dyDescent="0.2">
      <c r="B44" s="100">
        <f t="shared" si="3"/>
        <v>35</v>
      </c>
      <c r="C44" s="1226"/>
      <c r="D44" s="1226" t="s">
        <v>8</v>
      </c>
      <c r="E44" s="105">
        <v>600000</v>
      </c>
      <c r="F44" s="106" t="e">
        <f>#REF!</f>
        <v>#REF!</v>
      </c>
      <c r="G44" s="106"/>
      <c r="H44" s="844"/>
      <c r="I44" s="845"/>
      <c r="J44" s="610">
        <f>'Rates in Detail'!E47</f>
        <v>5.0500000000000003E-2</v>
      </c>
      <c r="K44" s="612">
        <f>'Rates in Detail'!H47</f>
        <v>0</v>
      </c>
      <c r="L44" s="612">
        <f>'Rates in Detail'!F47</f>
        <v>0</v>
      </c>
      <c r="M44" s="612">
        <f>'Rates in Detail'!I47</f>
        <v>2.1000000000000001E-4</v>
      </c>
      <c r="N44" s="127">
        <f t="shared" si="0"/>
        <v>5.0710000000000005E-2</v>
      </c>
      <c r="O44" s="1245">
        <f>'Rates in Detail'!L47</f>
        <v>4.7400000000000003E-3</v>
      </c>
      <c r="P44" s="1246">
        <f>'Rates in Detail'!P47</f>
        <v>-6.4000000000000005E-4</v>
      </c>
      <c r="Q44" s="1253">
        <f t="shared" si="1"/>
        <v>5.4810000000000005E-2</v>
      </c>
      <c r="R44" s="1246">
        <f>'Rates in Detail'!Y47</f>
        <v>2.1700000000000001E-3</v>
      </c>
      <c r="S44" s="1257">
        <f t="shared" si="2"/>
        <v>5.6980000000000003E-2</v>
      </c>
      <c r="T44" s="121"/>
    </row>
    <row r="45" spans="2:20" x14ac:dyDescent="0.2">
      <c r="B45" s="100">
        <f t="shared" si="3"/>
        <v>36</v>
      </c>
      <c r="C45" s="101"/>
      <c r="D45" s="101" t="s">
        <v>9</v>
      </c>
      <c r="E45" s="102" t="s">
        <v>59</v>
      </c>
      <c r="F45" s="103" t="e">
        <f>#REF!</f>
        <v>#REF!</v>
      </c>
      <c r="G45" s="103"/>
      <c r="H45" s="839"/>
      <c r="I45" s="841"/>
      <c r="J45" s="609">
        <f>'Rates in Detail'!E48</f>
        <v>1.8929999999999999E-2</v>
      </c>
      <c r="K45" s="613">
        <f>'Rates in Detail'!H48</f>
        <v>0</v>
      </c>
      <c r="L45" s="613">
        <f>'Rates in Detail'!F48</f>
        <v>0</v>
      </c>
      <c r="M45" s="613">
        <f>'Rates in Detail'!I48</f>
        <v>7.9999999999999993E-5</v>
      </c>
      <c r="N45" s="125">
        <f t="shared" si="0"/>
        <v>1.9009999999999999E-2</v>
      </c>
      <c r="O45" s="1244">
        <f>'Rates in Detail'!L48</f>
        <v>1.7799999999999999E-3</v>
      </c>
      <c r="P45" s="1237">
        <f>'Rates in Detail'!P48</f>
        <v>-2.4000000000000001E-4</v>
      </c>
      <c r="Q45" s="1252">
        <f t="shared" si="1"/>
        <v>2.0549999999999999E-2</v>
      </c>
      <c r="R45" s="1237">
        <f>'Rates in Detail'!Y48</f>
        <v>8.0999999999999996E-4</v>
      </c>
      <c r="S45" s="1256">
        <f t="shared" si="2"/>
        <v>2.1359999999999997E-2</v>
      </c>
      <c r="T45" s="121"/>
    </row>
    <row r="46" spans="2:20" x14ac:dyDescent="0.2">
      <c r="B46" s="100">
        <f t="shared" si="3"/>
        <v>37</v>
      </c>
      <c r="C46" s="1226" t="e">
        <f>#REF!</f>
        <v>#REF!</v>
      </c>
      <c r="D46" s="1226" t="s">
        <v>4</v>
      </c>
      <c r="E46" s="105">
        <v>10000</v>
      </c>
      <c r="F46" s="106" t="e">
        <f>#REF!</f>
        <v>#REF!</v>
      </c>
      <c r="G46" s="106" t="e">
        <f>#REF!</f>
        <v>#REF!</v>
      </c>
      <c r="H46" s="844" t="e">
        <f>#REF!</f>
        <v>#REF!</v>
      </c>
      <c r="I46" s="845" t="e">
        <f>#REF!</f>
        <v>#REF!</v>
      </c>
      <c r="J46" s="610">
        <f>'Rates in Detail'!E49</f>
        <v>0.13941000000000001</v>
      </c>
      <c r="K46" s="612">
        <f>'Rates in Detail'!H49</f>
        <v>0</v>
      </c>
      <c r="L46" s="612">
        <f>'Rates in Detail'!F49</f>
        <v>0</v>
      </c>
      <c r="M46" s="612">
        <f>'Rates in Detail'!I49</f>
        <v>5.8999999999999992E-4</v>
      </c>
      <c r="N46" s="127">
        <f t="shared" si="0"/>
        <v>0.14000000000000001</v>
      </c>
      <c r="O46" s="1245">
        <f>'Rates in Detail'!L49</f>
        <v>1.044E-2</v>
      </c>
      <c r="P46" s="1246">
        <f>'Rates in Detail'!P49</f>
        <v>-1.7700000000000001E-3</v>
      </c>
      <c r="Q46" s="1253">
        <f t="shared" si="1"/>
        <v>0.14867000000000002</v>
      </c>
      <c r="R46" s="1246">
        <f>'Rates in Detail'!Y49</f>
        <v>3.96E-3</v>
      </c>
      <c r="S46" s="1257">
        <f t="shared" si="2"/>
        <v>0.15263000000000002</v>
      </c>
      <c r="T46" s="121"/>
    </row>
    <row r="47" spans="2:20" x14ac:dyDescent="0.2">
      <c r="B47" s="100">
        <f t="shared" si="3"/>
        <v>38</v>
      </c>
      <c r="C47" s="1226"/>
      <c r="D47" s="1226" t="s">
        <v>5</v>
      </c>
      <c r="E47" s="105">
        <v>20000</v>
      </c>
      <c r="F47" s="106" t="e">
        <f>#REF!</f>
        <v>#REF!</v>
      </c>
      <c r="G47" s="106"/>
      <c r="H47" s="844"/>
      <c r="I47" s="845"/>
      <c r="J47" s="610">
        <f>'Rates in Detail'!E50</f>
        <v>0.12478999999999997</v>
      </c>
      <c r="K47" s="612">
        <f>'Rates in Detail'!H50</f>
        <v>0</v>
      </c>
      <c r="L47" s="612">
        <f>'Rates in Detail'!F50</f>
        <v>0</v>
      </c>
      <c r="M47" s="612">
        <f>'Rates in Detail'!I50</f>
        <v>5.2000000000000006E-4</v>
      </c>
      <c r="N47" s="127">
        <f t="shared" si="0"/>
        <v>0.12530999999999998</v>
      </c>
      <c r="O47" s="1245">
        <f>'Rates in Detail'!L50</f>
        <v>9.3500000000000007E-3</v>
      </c>
      <c r="P47" s="1246">
        <f>'Rates in Detail'!P50</f>
        <v>-1.5900000000000001E-3</v>
      </c>
      <c r="Q47" s="1253">
        <f t="shared" si="1"/>
        <v>0.13306999999999997</v>
      </c>
      <c r="R47" s="1246">
        <f>'Rates in Detail'!Y50</f>
        <v>3.5400000000000002E-3</v>
      </c>
      <c r="S47" s="1257">
        <f t="shared" si="2"/>
        <v>0.13660999999999995</v>
      </c>
      <c r="T47" s="121"/>
    </row>
    <row r="48" spans="2:20" x14ac:dyDescent="0.2">
      <c r="B48" s="100">
        <f t="shared" si="3"/>
        <v>39</v>
      </c>
      <c r="C48" s="1226"/>
      <c r="D48" s="1226" t="s">
        <v>6</v>
      </c>
      <c r="E48" s="105">
        <v>20000</v>
      </c>
      <c r="F48" s="106" t="e">
        <f>#REF!</f>
        <v>#REF!</v>
      </c>
      <c r="G48" s="106"/>
      <c r="H48" s="844"/>
      <c r="I48" s="845"/>
      <c r="J48" s="610">
        <f>'Rates in Detail'!E51</f>
        <v>9.5690000000000011E-2</v>
      </c>
      <c r="K48" s="612">
        <f>'Rates in Detail'!H51</f>
        <v>0</v>
      </c>
      <c r="L48" s="612">
        <f>'Rates in Detail'!F51</f>
        <v>0</v>
      </c>
      <c r="M48" s="612">
        <f>'Rates in Detail'!I51</f>
        <v>4.1000000000000005E-4</v>
      </c>
      <c r="N48" s="127">
        <f t="shared" si="0"/>
        <v>9.6100000000000005E-2</v>
      </c>
      <c r="O48" s="1245">
        <f>'Rates in Detail'!L51</f>
        <v>7.1700000000000002E-3</v>
      </c>
      <c r="P48" s="1246">
        <f>'Rates in Detail'!P51</f>
        <v>-1.2199999999999999E-3</v>
      </c>
      <c r="Q48" s="1253">
        <f t="shared" si="1"/>
        <v>0.10205</v>
      </c>
      <c r="R48" s="1246">
        <f>'Rates in Detail'!Y51</f>
        <v>2.7200000000000002E-3</v>
      </c>
      <c r="S48" s="1257">
        <f t="shared" si="2"/>
        <v>0.10477</v>
      </c>
      <c r="T48" s="121"/>
    </row>
    <row r="49" spans="2:20" x14ac:dyDescent="0.2">
      <c r="B49" s="100">
        <f t="shared" si="3"/>
        <v>40</v>
      </c>
      <c r="C49" s="1226"/>
      <c r="D49" s="1226" t="s">
        <v>7</v>
      </c>
      <c r="E49" s="105">
        <v>100000</v>
      </c>
      <c r="F49" s="106" t="e">
        <f>#REF!</f>
        <v>#REF!</v>
      </c>
      <c r="G49" s="106"/>
      <c r="H49" s="844"/>
      <c r="I49" s="845"/>
      <c r="J49" s="610">
        <f>'Rates in Detail'!E52</f>
        <v>7.6560000000000017E-2</v>
      </c>
      <c r="K49" s="612">
        <f>'Rates in Detail'!H52</f>
        <v>0</v>
      </c>
      <c r="L49" s="612">
        <f>'Rates in Detail'!F52</f>
        <v>0</v>
      </c>
      <c r="M49" s="612">
        <f>'Rates in Detail'!I52</f>
        <v>3.1999999999999997E-4</v>
      </c>
      <c r="N49" s="127">
        <f t="shared" si="0"/>
        <v>7.6880000000000018E-2</v>
      </c>
      <c r="O49" s="1245">
        <f>'Rates in Detail'!L52</f>
        <v>5.7299999999999999E-3</v>
      </c>
      <c r="P49" s="1246">
        <f>'Rates in Detail'!P52</f>
        <v>-9.7000000000000005E-4</v>
      </c>
      <c r="Q49" s="1253">
        <f t="shared" si="1"/>
        <v>8.1640000000000018E-2</v>
      </c>
      <c r="R49" s="1246">
        <f>'Rates in Detail'!Y52</f>
        <v>2.1700000000000001E-3</v>
      </c>
      <c r="S49" s="1257">
        <f t="shared" si="2"/>
        <v>8.3810000000000023E-2</v>
      </c>
      <c r="T49" s="121"/>
    </row>
    <row r="50" spans="2:20" x14ac:dyDescent="0.2">
      <c r="B50" s="100">
        <f t="shared" si="3"/>
        <v>41</v>
      </c>
      <c r="C50" s="1226"/>
      <c r="D50" s="1226" t="s">
        <v>8</v>
      </c>
      <c r="E50" s="105">
        <v>600000</v>
      </c>
      <c r="F50" s="106" t="e">
        <f>#REF!</f>
        <v>#REF!</v>
      </c>
      <c r="G50" s="106"/>
      <c r="H50" s="844"/>
      <c r="I50" s="845"/>
      <c r="J50" s="610">
        <f>'Rates in Detail'!E53</f>
        <v>5.1040000000000002E-2</v>
      </c>
      <c r="K50" s="612">
        <f>'Rates in Detail'!H53</f>
        <v>0</v>
      </c>
      <c r="L50" s="612">
        <f>'Rates in Detail'!F53</f>
        <v>0</v>
      </c>
      <c r="M50" s="612">
        <f>'Rates in Detail'!I53</f>
        <v>2.1000000000000001E-4</v>
      </c>
      <c r="N50" s="127">
        <f t="shared" si="0"/>
        <v>5.1250000000000004E-2</v>
      </c>
      <c r="O50" s="1245">
        <f>'Rates in Detail'!L53</f>
        <v>3.82E-3</v>
      </c>
      <c r="P50" s="1246">
        <f>'Rates in Detail'!P53</f>
        <v>-6.4999999999999997E-4</v>
      </c>
      <c r="Q50" s="1253">
        <f t="shared" si="1"/>
        <v>5.4420000000000003E-2</v>
      </c>
      <c r="R50" s="1246">
        <f>'Rates in Detail'!Y53</f>
        <v>1.4499999999999999E-3</v>
      </c>
      <c r="S50" s="1257">
        <f t="shared" si="2"/>
        <v>5.5870000000000003E-2</v>
      </c>
      <c r="T50" s="121"/>
    </row>
    <row r="51" spans="2:20" x14ac:dyDescent="0.2">
      <c r="B51" s="100">
        <f t="shared" si="3"/>
        <v>42</v>
      </c>
      <c r="C51" s="101"/>
      <c r="D51" s="101" t="s">
        <v>9</v>
      </c>
      <c r="E51" s="102" t="s">
        <v>59</v>
      </c>
      <c r="F51" s="103" t="e">
        <f>#REF!</f>
        <v>#REF!</v>
      </c>
      <c r="G51" s="103"/>
      <c r="H51" s="839"/>
      <c r="I51" s="841"/>
      <c r="J51" s="609">
        <f>'Rates in Detail'!E54</f>
        <v>1.9140000000000001E-2</v>
      </c>
      <c r="K51" s="613">
        <f>'Rates in Detail'!H54</f>
        <v>0</v>
      </c>
      <c r="L51" s="613">
        <f>'Rates in Detail'!F54</f>
        <v>0</v>
      </c>
      <c r="M51" s="613">
        <f>'Rates in Detail'!I54</f>
        <v>7.9999999999999993E-5</v>
      </c>
      <c r="N51" s="125">
        <f t="shared" si="0"/>
        <v>1.9220000000000001E-2</v>
      </c>
      <c r="O51" s="1244">
        <f>'Rates in Detail'!L54</f>
        <v>1.4300000000000001E-3</v>
      </c>
      <c r="P51" s="1237">
        <f>'Rates in Detail'!P54</f>
        <v>-2.4000000000000001E-4</v>
      </c>
      <c r="Q51" s="1252">
        <f t="shared" si="1"/>
        <v>2.0410000000000001E-2</v>
      </c>
      <c r="R51" s="1237">
        <f>'Rates in Detail'!Y54</f>
        <v>5.4000000000000001E-4</v>
      </c>
      <c r="S51" s="1256">
        <f t="shared" si="2"/>
        <v>2.095E-2</v>
      </c>
      <c r="T51" s="121"/>
    </row>
    <row r="52" spans="2:20" x14ac:dyDescent="0.2">
      <c r="B52" s="100">
        <f t="shared" si="3"/>
        <v>43</v>
      </c>
      <c r="C52" s="1226" t="e">
        <f>#REF!</f>
        <v>#REF!</v>
      </c>
      <c r="D52" s="1226" t="s">
        <v>4</v>
      </c>
      <c r="E52" s="105">
        <v>10000</v>
      </c>
      <c r="F52" s="106" t="e">
        <f>#REF!</f>
        <v>#REF!</v>
      </c>
      <c r="G52" s="106" t="e">
        <f>#REF!</f>
        <v>#REF!</v>
      </c>
      <c r="H52" s="844" t="e">
        <f>#REF!</f>
        <v>#REF!</v>
      </c>
      <c r="I52" s="845" t="e">
        <f>#REF!</f>
        <v>#REF!</v>
      </c>
      <c r="J52" s="610">
        <f>'Rates in Detail'!E55</f>
        <v>0.13682000000000002</v>
      </c>
      <c r="K52" s="612">
        <f>'Rates in Detail'!H55</f>
        <v>0</v>
      </c>
      <c r="L52" s="612">
        <f>'Rates in Detail'!F55</f>
        <v>0.26333000000000001</v>
      </c>
      <c r="M52" s="612">
        <f>'Rates in Detail'!I55</f>
        <v>2.334E-2</v>
      </c>
      <c r="N52" s="127">
        <f t="shared" si="0"/>
        <v>0.42349000000000003</v>
      </c>
      <c r="O52" s="1245">
        <f>'Rates in Detail'!L55</f>
        <v>2.2440000000000002E-2</v>
      </c>
      <c r="P52" s="1246">
        <f>'Rates in Detail'!P55</f>
        <v>-1.8400000000000001E-3</v>
      </c>
      <c r="Q52" s="1253">
        <f t="shared" si="1"/>
        <v>0.44409000000000004</v>
      </c>
      <c r="R52" s="1246">
        <f>'Rates in Detail'!Y55</f>
        <v>1.2449999999999999E-2</v>
      </c>
      <c r="S52" s="1257">
        <f t="shared" si="2"/>
        <v>0.45654000000000006</v>
      </c>
      <c r="T52" s="121"/>
    </row>
    <row r="53" spans="2:20" x14ac:dyDescent="0.2">
      <c r="B53" s="100">
        <f t="shared" si="3"/>
        <v>44</v>
      </c>
      <c r="C53" s="1226"/>
      <c r="D53" s="1226" t="s">
        <v>5</v>
      </c>
      <c r="E53" s="105">
        <v>20000</v>
      </c>
      <c r="F53" s="106" t="e">
        <f>#REF!</f>
        <v>#REF!</v>
      </c>
      <c r="G53" s="106"/>
      <c r="H53" s="844"/>
      <c r="I53" s="845"/>
      <c r="J53" s="610">
        <f>'Rates in Detail'!E56</f>
        <v>0.12246999999999988</v>
      </c>
      <c r="K53" s="612">
        <f>'Rates in Detail'!H56</f>
        <v>0</v>
      </c>
      <c r="L53" s="612">
        <f>'Rates in Detail'!F56</f>
        <v>0.26333000000000001</v>
      </c>
      <c r="M53" s="612">
        <f>'Rates in Detail'!I56</f>
        <v>2.0999999999999998E-2</v>
      </c>
      <c r="N53" s="127">
        <f t="shared" si="0"/>
        <v>0.40679999999999994</v>
      </c>
      <c r="O53" s="1245">
        <f>'Rates in Detail'!L56</f>
        <v>2.009E-2</v>
      </c>
      <c r="P53" s="1246">
        <f>'Rates in Detail'!P56</f>
        <v>-1.64E-3</v>
      </c>
      <c r="Q53" s="1253">
        <f t="shared" si="1"/>
        <v>0.42524999999999996</v>
      </c>
      <c r="R53" s="1246">
        <f>'Rates in Detail'!Y56</f>
        <v>1.1140000000000001E-2</v>
      </c>
      <c r="S53" s="1257">
        <f t="shared" si="2"/>
        <v>0.43638999999999994</v>
      </c>
      <c r="T53" s="121"/>
    </row>
    <row r="54" spans="2:20" x14ac:dyDescent="0.2">
      <c r="B54" s="100">
        <f t="shared" si="3"/>
        <v>45</v>
      </c>
      <c r="C54" s="1226"/>
      <c r="D54" s="1226" t="s">
        <v>6</v>
      </c>
      <c r="E54" s="105">
        <v>20000</v>
      </c>
      <c r="F54" s="106" t="e">
        <f>#REF!</f>
        <v>#REF!</v>
      </c>
      <c r="G54" s="106"/>
      <c r="H54" s="844"/>
      <c r="I54" s="845"/>
      <c r="J54" s="610">
        <f>'Rates in Detail'!E57</f>
        <v>9.3909999999999993E-2</v>
      </c>
      <c r="K54" s="612">
        <f>'Rates in Detail'!H57</f>
        <v>0</v>
      </c>
      <c r="L54" s="612">
        <f>'Rates in Detail'!F57</f>
        <v>0.26333000000000001</v>
      </c>
      <c r="M54" s="612">
        <f>'Rates in Detail'!I57</f>
        <v>1.6370000000000003E-2</v>
      </c>
      <c r="N54" s="127">
        <f t="shared" si="0"/>
        <v>0.37361</v>
      </c>
      <c r="O54" s="1245">
        <f>'Rates in Detail'!L57</f>
        <v>1.54E-2</v>
      </c>
      <c r="P54" s="1246">
        <f>'Rates in Detail'!P57</f>
        <v>-1.2600000000000001E-3</v>
      </c>
      <c r="Q54" s="1253">
        <f t="shared" si="1"/>
        <v>0.38775000000000004</v>
      </c>
      <c r="R54" s="1246">
        <f>'Rates in Detail'!Y57</f>
        <v>8.5400000000000007E-3</v>
      </c>
      <c r="S54" s="1257">
        <f t="shared" si="2"/>
        <v>0.39629000000000003</v>
      </c>
      <c r="T54" s="121"/>
    </row>
    <row r="55" spans="2:20" x14ac:dyDescent="0.2">
      <c r="B55" s="100">
        <f t="shared" si="3"/>
        <v>46</v>
      </c>
      <c r="C55" s="1226"/>
      <c r="D55" s="1226" t="s">
        <v>7</v>
      </c>
      <c r="E55" s="105">
        <v>100000</v>
      </c>
      <c r="F55" s="106" t="e">
        <f>#REF!</f>
        <v>#REF!</v>
      </c>
      <c r="G55" s="106"/>
      <c r="H55" s="844"/>
      <c r="I55" s="845"/>
      <c r="J55" s="610">
        <f>'Rates in Detail'!E58</f>
        <v>7.5130000000000044E-2</v>
      </c>
      <c r="K55" s="612">
        <f>'Rates in Detail'!H58</f>
        <v>0</v>
      </c>
      <c r="L55" s="612">
        <f>'Rates in Detail'!F58</f>
        <v>0.26333000000000001</v>
      </c>
      <c r="M55" s="612">
        <f>'Rates in Detail'!I58</f>
        <v>1.3339999999999999E-2</v>
      </c>
      <c r="N55" s="127">
        <f t="shared" si="0"/>
        <v>0.35180000000000006</v>
      </c>
      <c r="O55" s="1245">
        <f>'Rates in Detail'!L58</f>
        <v>1.2319999999999999E-2</v>
      </c>
      <c r="P55" s="1246">
        <f>'Rates in Detail'!P58</f>
        <v>-1.01E-3</v>
      </c>
      <c r="Q55" s="1253">
        <f t="shared" si="1"/>
        <v>0.36311000000000004</v>
      </c>
      <c r="R55" s="1246">
        <f>'Rates in Detail'!Y58</f>
        <v>6.8300000000000001E-3</v>
      </c>
      <c r="S55" s="1257">
        <f t="shared" si="2"/>
        <v>0.36994000000000005</v>
      </c>
      <c r="T55" s="121"/>
    </row>
    <row r="56" spans="2:20" x14ac:dyDescent="0.2">
      <c r="B56" s="100">
        <f t="shared" si="3"/>
        <v>47</v>
      </c>
      <c r="C56" s="1226"/>
      <c r="D56" s="1226" t="s">
        <v>8</v>
      </c>
      <c r="E56" s="105">
        <v>600000</v>
      </c>
      <c r="F56" s="106" t="e">
        <f>#REF!</f>
        <v>#REF!</v>
      </c>
      <c r="G56" s="106"/>
      <c r="H56" s="844"/>
      <c r="I56" s="845"/>
      <c r="J56" s="610">
        <f>'Rates in Detail'!E59</f>
        <v>5.0089999999999968E-2</v>
      </c>
      <c r="K56" s="612">
        <f>'Rates in Detail'!H59</f>
        <v>0</v>
      </c>
      <c r="L56" s="612">
        <f>'Rates in Detail'!F59</f>
        <v>0.26333000000000001</v>
      </c>
      <c r="M56" s="612">
        <f>'Rates in Detail'!I59</f>
        <v>9.2699999999999987E-3</v>
      </c>
      <c r="N56" s="127">
        <f t="shared" si="0"/>
        <v>0.32268999999999998</v>
      </c>
      <c r="O56" s="1245">
        <f>'Rates in Detail'!L59</f>
        <v>8.2199999999999999E-3</v>
      </c>
      <c r="P56" s="1246">
        <f>'Rates in Detail'!P59</f>
        <v>-6.7000000000000002E-4</v>
      </c>
      <c r="Q56" s="1253">
        <f t="shared" si="1"/>
        <v>0.33023999999999998</v>
      </c>
      <c r="R56" s="1246">
        <f>'Rates in Detail'!Y59</f>
        <v>4.5599999999999998E-3</v>
      </c>
      <c r="S56" s="1257">
        <f t="shared" si="2"/>
        <v>0.33479999999999999</v>
      </c>
      <c r="T56" s="121"/>
    </row>
    <row r="57" spans="2:20" x14ac:dyDescent="0.2">
      <c r="B57" s="100">
        <f t="shared" si="3"/>
        <v>48</v>
      </c>
      <c r="C57" s="101"/>
      <c r="D57" s="101" t="s">
        <v>9</v>
      </c>
      <c r="E57" s="102" t="s">
        <v>59</v>
      </c>
      <c r="F57" s="103" t="e">
        <f>#REF!</f>
        <v>#REF!</v>
      </c>
      <c r="G57" s="103"/>
      <c r="H57" s="839"/>
      <c r="I57" s="841"/>
      <c r="J57" s="609">
        <f>'Rates in Detail'!E60</f>
        <v>1.8790000000000001E-2</v>
      </c>
      <c r="K57" s="613">
        <f>'Rates in Detail'!H60</f>
        <v>0</v>
      </c>
      <c r="L57" s="613">
        <f>'Rates in Detail'!F60</f>
        <v>0.26333000000000001</v>
      </c>
      <c r="M57" s="613">
        <f>'Rates in Detail'!I60</f>
        <v>4.1999999999999989E-3</v>
      </c>
      <c r="N57" s="125">
        <f t="shared" si="0"/>
        <v>0.28632000000000002</v>
      </c>
      <c r="O57" s="1244">
        <f>'Rates in Detail'!L60</f>
        <v>3.0799999999999998E-3</v>
      </c>
      <c r="P57" s="1237">
        <f>'Rates in Detail'!P60</f>
        <v>-2.5000000000000001E-4</v>
      </c>
      <c r="Q57" s="1252">
        <f t="shared" si="1"/>
        <v>0.28915000000000007</v>
      </c>
      <c r="R57" s="1237">
        <f>'Rates in Detail'!Y60</f>
        <v>1.7099999999999999E-3</v>
      </c>
      <c r="S57" s="1256">
        <f t="shared" si="2"/>
        <v>0.29086000000000006</v>
      </c>
      <c r="T57" s="121"/>
    </row>
    <row r="58" spans="2:20" x14ac:dyDescent="0.2">
      <c r="B58" s="100">
        <f t="shared" si="3"/>
        <v>49</v>
      </c>
      <c r="C58" s="1226" t="e">
        <f>#REF!</f>
        <v>#REF!</v>
      </c>
      <c r="D58" s="1226" t="s">
        <v>4</v>
      </c>
      <c r="E58" s="105">
        <v>10000</v>
      </c>
      <c r="F58" s="106" t="e">
        <f>#REF!</f>
        <v>#REF!</v>
      </c>
      <c r="G58" s="106" t="e">
        <f>#REF!</f>
        <v>#REF!</v>
      </c>
      <c r="H58" s="844" t="e">
        <f>#REF!</f>
        <v>#REF!</v>
      </c>
      <c r="I58" s="845" t="e">
        <f>#REF!</f>
        <v>#REF!</v>
      </c>
      <c r="J58" s="610">
        <f>'Rates in Detail'!E61</f>
        <v>0.14583999999999989</v>
      </c>
      <c r="K58" s="612">
        <f>'Rates in Detail'!H61</f>
        <v>0</v>
      </c>
      <c r="L58" s="612">
        <f>'Rates in Detail'!F61</f>
        <v>0.26333000000000001</v>
      </c>
      <c r="M58" s="612">
        <f>'Rates in Detail'!I61</f>
        <v>6.9699999999999996E-3</v>
      </c>
      <c r="N58" s="127">
        <f t="shared" si="0"/>
        <v>0.4161399999999999</v>
      </c>
      <c r="O58" s="1245">
        <f>'Rates in Detail'!L61</f>
        <v>1.495E-2</v>
      </c>
      <c r="P58" s="1246">
        <f>'Rates in Detail'!P61</f>
        <v>-2.5400000000000002E-3</v>
      </c>
      <c r="Q58" s="1253">
        <f t="shared" si="1"/>
        <v>0.42854999999999993</v>
      </c>
      <c r="R58" s="1246">
        <f>'Rates in Detail'!Y61</f>
        <v>5.6600000000000001E-3</v>
      </c>
      <c r="S58" s="1257">
        <f t="shared" si="2"/>
        <v>0.43420999999999993</v>
      </c>
      <c r="T58" s="121"/>
    </row>
    <row r="59" spans="2:20" x14ac:dyDescent="0.2">
      <c r="B59" s="100">
        <f t="shared" si="3"/>
        <v>50</v>
      </c>
      <c r="C59" s="1226"/>
      <c r="D59" s="1226" t="s">
        <v>5</v>
      </c>
      <c r="E59" s="105">
        <v>20000</v>
      </c>
      <c r="F59" s="106" t="e">
        <f>#REF!</f>
        <v>#REF!</v>
      </c>
      <c r="G59" s="106"/>
      <c r="H59" s="844"/>
      <c r="I59" s="845"/>
      <c r="J59" s="610">
        <f>'Rates in Detail'!E62</f>
        <v>0.13054999999999992</v>
      </c>
      <c r="K59" s="612">
        <f>'Rates in Detail'!H62</f>
        <v>0</v>
      </c>
      <c r="L59" s="612">
        <f>'Rates in Detail'!F62</f>
        <v>0.26333000000000001</v>
      </c>
      <c r="M59" s="612">
        <f>'Rates in Detail'!I62</f>
        <v>6.3499999999999997E-3</v>
      </c>
      <c r="N59" s="127">
        <f t="shared" si="0"/>
        <v>0.40022999999999992</v>
      </c>
      <c r="O59" s="1245">
        <f>'Rates in Detail'!L62</f>
        <v>1.338E-2</v>
      </c>
      <c r="P59" s="1246">
        <f>'Rates in Detail'!P62</f>
        <v>-2.2699999999999999E-3</v>
      </c>
      <c r="Q59" s="1253">
        <f t="shared" si="1"/>
        <v>0.41133999999999993</v>
      </c>
      <c r="R59" s="1246">
        <f>'Rates in Detail'!Y62</f>
        <v>5.0699999999999999E-3</v>
      </c>
      <c r="S59" s="1257">
        <f t="shared" si="2"/>
        <v>0.41640999999999995</v>
      </c>
      <c r="T59" s="121"/>
    </row>
    <row r="60" spans="2:20" x14ac:dyDescent="0.2">
      <c r="B60" s="100">
        <f t="shared" si="3"/>
        <v>51</v>
      </c>
      <c r="C60" s="1226"/>
      <c r="D60" s="1226" t="s">
        <v>6</v>
      </c>
      <c r="E60" s="105">
        <v>20000</v>
      </c>
      <c r="F60" s="106" t="e">
        <f>#REF!</f>
        <v>#REF!</v>
      </c>
      <c r="G60" s="106"/>
      <c r="H60" s="844"/>
      <c r="I60" s="845"/>
      <c r="J60" s="610">
        <f>'Rates in Detail'!E63</f>
        <v>0.10011</v>
      </c>
      <c r="K60" s="612">
        <f>'Rates in Detail'!H63</f>
        <v>0</v>
      </c>
      <c r="L60" s="612">
        <f>'Rates in Detail'!F63</f>
        <v>0.26333000000000001</v>
      </c>
      <c r="M60" s="612">
        <f>'Rates in Detail'!I63</f>
        <v>5.1399999999999996E-3</v>
      </c>
      <c r="N60" s="127">
        <f t="shared" si="0"/>
        <v>0.36857999999999996</v>
      </c>
      <c r="O60" s="1245">
        <f>'Rates in Detail'!L63</f>
        <v>1.026E-2</v>
      </c>
      <c r="P60" s="1246">
        <f>'Rates in Detail'!P63</f>
        <v>-1.74E-3</v>
      </c>
      <c r="Q60" s="1253">
        <f t="shared" si="1"/>
        <v>0.37709999999999994</v>
      </c>
      <c r="R60" s="1246">
        <f>'Rates in Detail'!Y63</f>
        <v>3.8899999999999998E-3</v>
      </c>
      <c r="S60" s="1257">
        <f t="shared" si="2"/>
        <v>0.38098999999999994</v>
      </c>
      <c r="T60" s="121"/>
    </row>
    <row r="61" spans="2:20" x14ac:dyDescent="0.2">
      <c r="B61" s="100">
        <f t="shared" si="3"/>
        <v>52</v>
      </c>
      <c r="C61" s="1226"/>
      <c r="D61" s="1226" t="s">
        <v>7</v>
      </c>
      <c r="E61" s="105">
        <v>100000</v>
      </c>
      <c r="F61" s="106" t="e">
        <f>#REF!</f>
        <v>#REF!</v>
      </c>
      <c r="G61" s="106"/>
      <c r="H61" s="844"/>
      <c r="I61" s="845"/>
      <c r="J61" s="610">
        <f>'Rates in Detail'!E64</f>
        <v>8.0089999999999995E-2</v>
      </c>
      <c r="K61" s="612">
        <f>'Rates in Detail'!H64</f>
        <v>0</v>
      </c>
      <c r="L61" s="612">
        <f>'Rates in Detail'!F64</f>
        <v>0.26333000000000001</v>
      </c>
      <c r="M61" s="612">
        <f>'Rates in Detail'!I64</f>
        <v>4.3499999999999997E-3</v>
      </c>
      <c r="N61" s="127">
        <f t="shared" si="0"/>
        <v>0.34777000000000002</v>
      </c>
      <c r="O61" s="1245">
        <f>'Rates in Detail'!L64</f>
        <v>8.2100000000000003E-3</v>
      </c>
      <c r="P61" s="1246">
        <f>'Rates in Detail'!P64</f>
        <v>-1.39E-3</v>
      </c>
      <c r="Q61" s="1253">
        <f t="shared" si="1"/>
        <v>0.35459000000000002</v>
      </c>
      <c r="R61" s="1246">
        <f>'Rates in Detail'!Y64</f>
        <v>3.1099999999999999E-3</v>
      </c>
      <c r="S61" s="1257">
        <f t="shared" si="2"/>
        <v>0.35770000000000002</v>
      </c>
      <c r="T61" s="121"/>
    </row>
    <row r="62" spans="2:20" x14ac:dyDescent="0.2">
      <c r="B62" s="100">
        <f t="shared" si="3"/>
        <v>53</v>
      </c>
      <c r="C62" s="1226"/>
      <c r="D62" s="1226" t="s">
        <v>8</v>
      </c>
      <c r="E62" s="105">
        <v>600000</v>
      </c>
      <c r="F62" s="106" t="e">
        <f>#REF!</f>
        <v>#REF!</v>
      </c>
      <c r="G62" s="106"/>
      <c r="H62" s="844"/>
      <c r="I62" s="845"/>
      <c r="J62" s="610">
        <f>'Rates in Detail'!E65</f>
        <v>5.339E-2</v>
      </c>
      <c r="K62" s="612">
        <f>'Rates in Detail'!H65</f>
        <v>0</v>
      </c>
      <c r="L62" s="612">
        <f>'Rates in Detail'!F65</f>
        <v>0.26333000000000001</v>
      </c>
      <c r="M62" s="612">
        <f>'Rates in Detail'!I65</f>
        <v>3.2999999999999995E-3</v>
      </c>
      <c r="N62" s="127">
        <f t="shared" si="0"/>
        <v>0.32002000000000003</v>
      </c>
      <c r="O62" s="1245">
        <f>'Rates in Detail'!L65</f>
        <v>5.47E-3</v>
      </c>
      <c r="P62" s="1246">
        <f>'Rates in Detail'!P65</f>
        <v>-9.3000000000000005E-4</v>
      </c>
      <c r="Q62" s="1253">
        <f t="shared" si="1"/>
        <v>0.32456000000000002</v>
      </c>
      <c r="R62" s="1246">
        <f>'Rates in Detail'!Y65</f>
        <v>2.0699999999999998E-3</v>
      </c>
      <c r="S62" s="1257">
        <f t="shared" si="2"/>
        <v>0.32663000000000003</v>
      </c>
      <c r="T62" s="121"/>
    </row>
    <row r="63" spans="2:20" x14ac:dyDescent="0.2">
      <c r="B63" s="100">
        <f t="shared" si="3"/>
        <v>54</v>
      </c>
      <c r="C63" s="101"/>
      <c r="D63" s="101" t="s">
        <v>9</v>
      </c>
      <c r="E63" s="102" t="s">
        <v>59</v>
      </c>
      <c r="F63" s="103" t="e">
        <f>#REF!</f>
        <v>#REF!</v>
      </c>
      <c r="G63" s="103"/>
      <c r="H63" s="839"/>
      <c r="I63" s="841"/>
      <c r="J63" s="609">
        <f>'Rates in Detail'!E66</f>
        <v>2.002E-2</v>
      </c>
      <c r="K63" s="613">
        <f>'Rates in Detail'!H66</f>
        <v>0</v>
      </c>
      <c r="L63" s="613">
        <f>'Rates in Detail'!F66</f>
        <v>0.26333000000000001</v>
      </c>
      <c r="M63" s="613">
        <f>'Rates in Detail'!I66</f>
        <v>1.9499999999999995E-3</v>
      </c>
      <c r="N63" s="125">
        <f t="shared" si="0"/>
        <v>0.2853</v>
      </c>
      <c r="O63" s="1244">
        <f>'Rates in Detail'!L66</f>
        <v>2.0500000000000002E-3</v>
      </c>
      <c r="P63" s="1237">
        <f>'Rates in Detail'!P66</f>
        <v>-3.5E-4</v>
      </c>
      <c r="Q63" s="1252">
        <f t="shared" si="1"/>
        <v>0.28699999999999998</v>
      </c>
      <c r="R63" s="1237">
        <f>'Rates in Detail'!Y66</f>
        <v>7.7999999999999999E-4</v>
      </c>
      <c r="S63" s="1256">
        <f t="shared" si="2"/>
        <v>0.28777999999999998</v>
      </c>
      <c r="T63" s="121"/>
    </row>
    <row r="64" spans="2:20" x14ac:dyDescent="0.2">
      <c r="B64" s="100">
        <f t="shared" si="3"/>
        <v>55</v>
      </c>
      <c r="C64" s="1226" t="e">
        <f>#REF!</f>
        <v>#REF!</v>
      </c>
      <c r="D64" s="1226" t="s">
        <v>4</v>
      </c>
      <c r="E64" s="105">
        <v>10000</v>
      </c>
      <c r="F64" s="106" t="e">
        <f>#REF!</f>
        <v>#REF!</v>
      </c>
      <c r="G64" s="106" t="e">
        <f>#REF!</f>
        <v>#REF!</v>
      </c>
      <c r="H64" s="844" t="e">
        <f>#REF!</f>
        <v>#REF!</v>
      </c>
      <c r="I64" s="845" t="e">
        <f>#REF!</f>
        <v>#REF!</v>
      </c>
      <c r="J64" s="610">
        <f>'Rates in Detail'!E67</f>
        <v>0.13402999999999998</v>
      </c>
      <c r="K64" s="612">
        <f>'Rates in Detail'!H67</f>
        <v>0</v>
      </c>
      <c r="L64" s="612">
        <f>'Rates in Detail'!F67</f>
        <v>0</v>
      </c>
      <c r="M64" s="612">
        <f>'Rates in Detail'!I67</f>
        <v>5.6999999999999998E-4</v>
      </c>
      <c r="N64" s="127">
        <f t="shared" si="0"/>
        <v>0.13459999999999997</v>
      </c>
      <c r="O64" s="1245">
        <f>'Rates in Detail'!L67</f>
        <v>6.1399999999999996E-3</v>
      </c>
      <c r="P64" s="1246">
        <f>'Rates in Detail'!P67</f>
        <v>-1.2600000000000001E-3</v>
      </c>
      <c r="Q64" s="1253">
        <f t="shared" si="1"/>
        <v>0.13947999999999997</v>
      </c>
      <c r="R64" s="1246">
        <f>'Rates in Detail'!Y67</f>
        <v>2.7799999999999999E-3</v>
      </c>
      <c r="S64" s="1257">
        <f t="shared" si="2"/>
        <v>0.14225999999999997</v>
      </c>
      <c r="T64" s="121"/>
    </row>
    <row r="65" spans="2:20" x14ac:dyDescent="0.2">
      <c r="B65" s="100">
        <f t="shared" si="3"/>
        <v>56</v>
      </c>
      <c r="C65" s="1226"/>
      <c r="D65" s="1226" t="s">
        <v>5</v>
      </c>
      <c r="E65" s="105">
        <v>20000</v>
      </c>
      <c r="F65" s="106" t="e">
        <f>#REF!</f>
        <v>#REF!</v>
      </c>
      <c r="G65" s="106"/>
      <c r="H65" s="844"/>
      <c r="I65" s="845"/>
      <c r="J65" s="610">
        <f>'Rates in Detail'!E68</f>
        <v>0.11997999999999999</v>
      </c>
      <c r="K65" s="612">
        <f>'Rates in Detail'!H68</f>
        <v>0</v>
      </c>
      <c r="L65" s="612">
        <f>'Rates in Detail'!F68</f>
        <v>0</v>
      </c>
      <c r="M65" s="612">
        <f>'Rates in Detail'!I68</f>
        <v>5.1000000000000004E-4</v>
      </c>
      <c r="N65" s="127">
        <f t="shared" si="0"/>
        <v>0.12048999999999999</v>
      </c>
      <c r="O65" s="1245">
        <f>'Rates in Detail'!L68</f>
        <v>5.4999999999999997E-3</v>
      </c>
      <c r="P65" s="1246">
        <f>'Rates in Detail'!P68</f>
        <v>-1.1199999999999999E-3</v>
      </c>
      <c r="Q65" s="1253">
        <f t="shared" si="1"/>
        <v>0.12486999999999999</v>
      </c>
      <c r="R65" s="1246">
        <f>'Rates in Detail'!Y68</f>
        <v>2.49E-3</v>
      </c>
      <c r="S65" s="1257">
        <f t="shared" si="2"/>
        <v>0.12736</v>
      </c>
      <c r="T65" s="121"/>
    </row>
    <row r="66" spans="2:20" x14ac:dyDescent="0.2">
      <c r="B66" s="100">
        <f t="shared" si="3"/>
        <v>57</v>
      </c>
      <c r="C66" s="1226"/>
      <c r="D66" s="1226" t="s">
        <v>6</v>
      </c>
      <c r="E66" s="105">
        <v>20000</v>
      </c>
      <c r="F66" s="106" t="e">
        <f>#REF!</f>
        <v>#REF!</v>
      </c>
      <c r="G66" s="106"/>
      <c r="H66" s="844"/>
      <c r="I66" s="845"/>
      <c r="J66" s="610">
        <f>'Rates in Detail'!E69</f>
        <v>9.1999999999999998E-2</v>
      </c>
      <c r="K66" s="612">
        <f>'Rates in Detail'!H69</f>
        <v>0</v>
      </c>
      <c r="L66" s="612">
        <f>'Rates in Detail'!F69</f>
        <v>0</v>
      </c>
      <c r="M66" s="612">
        <f>'Rates in Detail'!I69</f>
        <v>3.7999999999999997E-4</v>
      </c>
      <c r="N66" s="127">
        <f t="shared" si="0"/>
        <v>9.2380000000000004E-2</v>
      </c>
      <c r="O66" s="1245">
        <f>'Rates in Detail'!L69</f>
        <v>4.2199999999999998E-3</v>
      </c>
      <c r="P66" s="1246">
        <f>'Rates in Detail'!P69</f>
        <v>-8.5999999999999998E-4</v>
      </c>
      <c r="Q66" s="1253">
        <f t="shared" si="1"/>
        <v>9.5740000000000006E-2</v>
      </c>
      <c r="R66" s="1246">
        <f>'Rates in Detail'!Y69</f>
        <v>1.91E-3</v>
      </c>
      <c r="S66" s="1257">
        <f t="shared" si="2"/>
        <v>9.7650000000000001E-2</v>
      </c>
      <c r="T66" s="121"/>
    </row>
    <row r="67" spans="2:20" x14ac:dyDescent="0.2">
      <c r="B67" s="100">
        <f t="shared" si="3"/>
        <v>58</v>
      </c>
      <c r="C67" s="1226"/>
      <c r="D67" s="1226" t="s">
        <v>7</v>
      </c>
      <c r="E67" s="105">
        <v>100000</v>
      </c>
      <c r="F67" s="106" t="e">
        <f>#REF!</f>
        <v>#REF!</v>
      </c>
      <c r="G67" s="106"/>
      <c r="H67" s="844"/>
      <c r="I67" s="845"/>
      <c r="J67" s="610">
        <f>'Rates in Detail'!E70</f>
        <v>7.3609999999999995E-2</v>
      </c>
      <c r="K67" s="612">
        <f>'Rates in Detail'!H70</f>
        <v>0</v>
      </c>
      <c r="L67" s="612">
        <f>'Rates in Detail'!F70</f>
        <v>0</v>
      </c>
      <c r="M67" s="612">
        <f>'Rates in Detail'!I70</f>
        <v>3.0999999999999995E-4</v>
      </c>
      <c r="N67" s="127">
        <f t="shared" si="0"/>
        <v>7.392E-2</v>
      </c>
      <c r="O67" s="1245">
        <f>'Rates in Detail'!L70</f>
        <v>3.3700000000000002E-3</v>
      </c>
      <c r="P67" s="1246">
        <f>'Rates in Detail'!P70</f>
        <v>-6.8999999999999997E-4</v>
      </c>
      <c r="Q67" s="1253">
        <f t="shared" si="1"/>
        <v>7.6600000000000001E-2</v>
      </c>
      <c r="R67" s="1246">
        <f>'Rates in Detail'!Y70</f>
        <v>1.5299999999999999E-3</v>
      </c>
      <c r="S67" s="1257">
        <f t="shared" si="2"/>
        <v>7.8130000000000005E-2</v>
      </c>
      <c r="T67" s="121"/>
    </row>
    <row r="68" spans="2:20" x14ac:dyDescent="0.2">
      <c r="B68" s="100">
        <f t="shared" si="3"/>
        <v>59</v>
      </c>
      <c r="C68" s="1226"/>
      <c r="D68" s="1226" t="s">
        <v>8</v>
      </c>
      <c r="E68" s="105">
        <v>600000</v>
      </c>
      <c r="F68" s="106" t="e">
        <f>#REF!</f>
        <v>#REF!</v>
      </c>
      <c r="G68" s="106"/>
      <c r="H68" s="844"/>
      <c r="I68" s="845"/>
      <c r="J68" s="610">
        <f>'Rates in Detail'!E71</f>
        <v>4.9079999999999999E-2</v>
      </c>
      <c r="K68" s="612">
        <f>'Rates in Detail'!H71</f>
        <v>0</v>
      </c>
      <c r="L68" s="612">
        <f>'Rates in Detail'!F71</f>
        <v>0</v>
      </c>
      <c r="M68" s="612">
        <f>'Rates in Detail'!I71</f>
        <v>2.0999999999999998E-4</v>
      </c>
      <c r="N68" s="127">
        <f t="shared" si="0"/>
        <v>4.929E-2</v>
      </c>
      <c r="O68" s="1245">
        <f>'Rates in Detail'!L71</f>
        <v>2.2499999999999998E-3</v>
      </c>
      <c r="P68" s="1246">
        <f>'Rates in Detail'!P71</f>
        <v>-4.6000000000000001E-4</v>
      </c>
      <c r="Q68" s="1253">
        <f t="shared" si="1"/>
        <v>5.108E-2</v>
      </c>
      <c r="R68" s="1246">
        <f>'Rates in Detail'!Y71</f>
        <v>1.0200000000000001E-3</v>
      </c>
      <c r="S68" s="1257">
        <f t="shared" si="2"/>
        <v>5.21E-2</v>
      </c>
      <c r="T68" s="121"/>
    </row>
    <row r="69" spans="2:20" x14ac:dyDescent="0.2">
      <c r="B69" s="100">
        <f t="shared" si="3"/>
        <v>60</v>
      </c>
      <c r="C69" s="101"/>
      <c r="D69" s="101" t="s">
        <v>9</v>
      </c>
      <c r="E69" s="102" t="s">
        <v>59</v>
      </c>
      <c r="F69" s="103" t="e">
        <f>#REF!</f>
        <v>#REF!</v>
      </c>
      <c r="G69" s="103"/>
      <c r="H69" s="839"/>
      <c r="I69" s="841"/>
      <c r="J69" s="609">
        <f>'Rates in Detail'!E72</f>
        <v>1.839E-2</v>
      </c>
      <c r="K69" s="613">
        <f>'Rates in Detail'!H72</f>
        <v>0</v>
      </c>
      <c r="L69" s="613">
        <f>'Rates in Detail'!F72</f>
        <v>0</v>
      </c>
      <c r="M69" s="613">
        <f>'Rates in Detail'!I72</f>
        <v>6.9999999999999994E-5</v>
      </c>
      <c r="N69" s="125">
        <f t="shared" si="0"/>
        <v>1.8460000000000001E-2</v>
      </c>
      <c r="O69" s="1244">
        <f>'Rates in Detail'!L72</f>
        <v>8.4000000000000003E-4</v>
      </c>
      <c r="P69" s="1237">
        <f>'Rates in Detail'!P72</f>
        <v>-1.7000000000000001E-4</v>
      </c>
      <c r="Q69" s="1252">
        <f t="shared" si="1"/>
        <v>1.9130000000000001E-2</v>
      </c>
      <c r="R69" s="1237">
        <f>'Rates in Detail'!Y72</f>
        <v>3.8000000000000002E-4</v>
      </c>
      <c r="S69" s="1256">
        <f t="shared" si="2"/>
        <v>1.951E-2</v>
      </c>
      <c r="T69" s="121"/>
    </row>
    <row r="70" spans="2:20" x14ac:dyDescent="0.2">
      <c r="B70" s="100">
        <f t="shared" si="3"/>
        <v>61</v>
      </c>
      <c r="C70" s="1226" t="e">
        <f>#REF!</f>
        <v>#REF!</v>
      </c>
      <c r="D70" s="1226" t="s">
        <v>4</v>
      </c>
      <c r="E70" s="105">
        <v>10000</v>
      </c>
      <c r="F70" s="106" t="e">
        <f>#REF!</f>
        <v>#REF!</v>
      </c>
      <c r="G70" s="106" t="e">
        <f>#REF!</f>
        <v>#REF!</v>
      </c>
      <c r="H70" s="844" t="e">
        <f>#REF!</f>
        <v>#REF!</v>
      </c>
      <c r="I70" s="845" t="e">
        <f>#REF!</f>
        <v>#REF!</v>
      </c>
      <c r="J70" s="610">
        <f>'Rates in Detail'!E73</f>
        <v>0.13402999999999998</v>
      </c>
      <c r="K70" s="612">
        <f>'Rates in Detail'!H73</f>
        <v>0</v>
      </c>
      <c r="L70" s="612">
        <f>'Rates in Detail'!F73</f>
        <v>0</v>
      </c>
      <c r="M70" s="612">
        <f>'Rates in Detail'!I73</f>
        <v>5.6999999999999998E-4</v>
      </c>
      <c r="N70" s="127">
        <f t="shared" si="0"/>
        <v>0.13459999999999997</v>
      </c>
      <c r="O70" s="1245">
        <f>'Rates in Detail'!L73</f>
        <v>8.7899999999999992E-3</v>
      </c>
      <c r="P70" s="1246">
        <f>'Rates in Detail'!P73</f>
        <v>-1.49E-3</v>
      </c>
      <c r="Q70" s="1253">
        <f t="shared" si="1"/>
        <v>0.14189999999999997</v>
      </c>
      <c r="R70" s="1246">
        <f>'Rates in Detail'!Y73</f>
        <v>3.3300000000000001E-3</v>
      </c>
      <c r="S70" s="1257">
        <f t="shared" si="2"/>
        <v>0.14522999999999997</v>
      </c>
      <c r="T70" s="121"/>
    </row>
    <row r="71" spans="2:20" x14ac:dyDescent="0.2">
      <c r="B71" s="100">
        <f t="shared" si="3"/>
        <v>62</v>
      </c>
      <c r="C71" s="1226"/>
      <c r="D71" s="1226" t="s">
        <v>5</v>
      </c>
      <c r="E71" s="105">
        <v>20000</v>
      </c>
      <c r="F71" s="106" t="e">
        <f>#REF!</f>
        <v>#REF!</v>
      </c>
      <c r="G71" s="106"/>
      <c r="H71" s="844"/>
      <c r="I71" s="845"/>
      <c r="J71" s="610">
        <f>'Rates in Detail'!E74</f>
        <v>0.11997999999999999</v>
      </c>
      <c r="K71" s="612">
        <f>'Rates in Detail'!H74</f>
        <v>0</v>
      </c>
      <c r="L71" s="612">
        <f>'Rates in Detail'!F74</f>
        <v>0</v>
      </c>
      <c r="M71" s="612">
        <f>'Rates in Detail'!I74</f>
        <v>5.1000000000000004E-4</v>
      </c>
      <c r="N71" s="127">
        <f t="shared" si="0"/>
        <v>0.12048999999999999</v>
      </c>
      <c r="O71" s="1245">
        <f>'Rates in Detail'!L74</f>
        <v>7.8600000000000007E-3</v>
      </c>
      <c r="P71" s="1246">
        <f>'Rates in Detail'!P74</f>
        <v>-1.33E-3</v>
      </c>
      <c r="Q71" s="1253">
        <f t="shared" si="1"/>
        <v>0.12701999999999999</v>
      </c>
      <c r="R71" s="1246">
        <f>'Rates in Detail'!Y74</f>
        <v>2.98E-3</v>
      </c>
      <c r="S71" s="1257">
        <f t="shared" si="2"/>
        <v>0.13</v>
      </c>
      <c r="T71" s="121"/>
    </row>
    <row r="72" spans="2:20" x14ac:dyDescent="0.2">
      <c r="B72" s="100">
        <f t="shared" si="3"/>
        <v>63</v>
      </c>
      <c r="C72" s="1226"/>
      <c r="D72" s="1226" t="s">
        <v>6</v>
      </c>
      <c r="E72" s="105">
        <v>20000</v>
      </c>
      <c r="F72" s="106" t="e">
        <f>#REF!</f>
        <v>#REF!</v>
      </c>
      <c r="G72" s="106"/>
      <c r="H72" s="844"/>
      <c r="I72" s="845"/>
      <c r="J72" s="610">
        <f>'Rates in Detail'!E75</f>
        <v>9.1999999999999998E-2</v>
      </c>
      <c r="K72" s="612">
        <f>'Rates in Detail'!H75</f>
        <v>0</v>
      </c>
      <c r="L72" s="612">
        <f>'Rates in Detail'!F75</f>
        <v>0</v>
      </c>
      <c r="M72" s="612">
        <f>'Rates in Detail'!I75</f>
        <v>3.7999999999999997E-4</v>
      </c>
      <c r="N72" s="127">
        <f t="shared" si="0"/>
        <v>9.2380000000000004E-2</v>
      </c>
      <c r="O72" s="1245">
        <f>'Rates in Detail'!L75</f>
        <v>6.0299999999999998E-3</v>
      </c>
      <c r="P72" s="1246">
        <f>'Rates in Detail'!P75</f>
        <v>-1.0200000000000001E-3</v>
      </c>
      <c r="Q72" s="1253">
        <f t="shared" si="1"/>
        <v>9.7390000000000004E-2</v>
      </c>
      <c r="R72" s="1246">
        <f>'Rates in Detail'!Y75</f>
        <v>2.2799999999999999E-3</v>
      </c>
      <c r="S72" s="1257">
        <f t="shared" si="2"/>
        <v>9.9670000000000009E-2</v>
      </c>
      <c r="T72" s="121"/>
    </row>
    <row r="73" spans="2:20" x14ac:dyDescent="0.2">
      <c r="B73" s="100">
        <f t="shared" si="3"/>
        <v>64</v>
      </c>
      <c r="C73" s="1226"/>
      <c r="D73" s="1226" t="s">
        <v>7</v>
      </c>
      <c r="E73" s="105">
        <v>100000</v>
      </c>
      <c r="F73" s="106" t="e">
        <f>#REF!</f>
        <v>#REF!</v>
      </c>
      <c r="G73" s="106"/>
      <c r="H73" s="844"/>
      <c r="I73" s="845"/>
      <c r="J73" s="610">
        <f>'Rates in Detail'!E76</f>
        <v>7.3609999999999995E-2</v>
      </c>
      <c r="K73" s="612">
        <f>'Rates in Detail'!H76</f>
        <v>0</v>
      </c>
      <c r="L73" s="612">
        <f>'Rates in Detail'!F76</f>
        <v>0</v>
      </c>
      <c r="M73" s="612">
        <f>'Rates in Detail'!I76</f>
        <v>3.0999999999999995E-4</v>
      </c>
      <c r="N73" s="127">
        <f t="shared" si="0"/>
        <v>7.392E-2</v>
      </c>
      <c r="O73" s="1245">
        <f>'Rates in Detail'!L76</f>
        <v>4.8300000000000001E-3</v>
      </c>
      <c r="P73" s="1246">
        <f>'Rates in Detail'!P76</f>
        <v>-8.1999999999999998E-4</v>
      </c>
      <c r="Q73" s="1253">
        <f t="shared" si="1"/>
        <v>7.7929999999999999E-2</v>
      </c>
      <c r="R73" s="1246">
        <f>'Rates in Detail'!Y76</f>
        <v>1.83E-3</v>
      </c>
      <c r="S73" s="1257">
        <f t="shared" si="2"/>
        <v>7.9759999999999998E-2</v>
      </c>
      <c r="T73" s="121"/>
    </row>
    <row r="74" spans="2:20" x14ac:dyDescent="0.2">
      <c r="B74" s="100">
        <f t="shared" si="3"/>
        <v>65</v>
      </c>
      <c r="C74" s="1226"/>
      <c r="D74" s="1226" t="s">
        <v>8</v>
      </c>
      <c r="E74" s="105">
        <v>600000</v>
      </c>
      <c r="F74" s="106" t="e">
        <f>#REF!</f>
        <v>#REF!</v>
      </c>
      <c r="G74" s="106"/>
      <c r="H74" s="844"/>
      <c r="I74" s="845"/>
      <c r="J74" s="610">
        <f>'Rates in Detail'!E77</f>
        <v>4.9079999999999999E-2</v>
      </c>
      <c r="K74" s="612">
        <f>'Rates in Detail'!H77</f>
        <v>0</v>
      </c>
      <c r="L74" s="612">
        <f>'Rates in Detail'!F77</f>
        <v>0</v>
      </c>
      <c r="M74" s="612">
        <f>'Rates in Detail'!I77</f>
        <v>2.0999999999999998E-4</v>
      </c>
      <c r="N74" s="127">
        <f t="shared" si="0"/>
        <v>4.929E-2</v>
      </c>
      <c r="O74" s="1245">
        <f>'Rates in Detail'!L77</f>
        <v>3.2200000000000002E-3</v>
      </c>
      <c r="P74" s="1246">
        <f>'Rates in Detail'!P77</f>
        <v>-5.5000000000000003E-4</v>
      </c>
      <c r="Q74" s="1253">
        <f t="shared" si="1"/>
        <v>5.1959999999999999E-2</v>
      </c>
      <c r="R74" s="1246">
        <f>'Rates in Detail'!Y77</f>
        <v>1.2199999999999999E-3</v>
      </c>
      <c r="S74" s="1257">
        <f t="shared" si="2"/>
        <v>5.3179999999999998E-2</v>
      </c>
      <c r="T74" s="121"/>
    </row>
    <row r="75" spans="2:20" x14ac:dyDescent="0.2">
      <c r="B75" s="100">
        <f t="shared" si="3"/>
        <v>66</v>
      </c>
      <c r="C75" s="101"/>
      <c r="D75" s="101" t="s">
        <v>9</v>
      </c>
      <c r="E75" s="102" t="s">
        <v>59</v>
      </c>
      <c r="F75" s="103" t="e">
        <f>#REF!</f>
        <v>#REF!</v>
      </c>
      <c r="G75" s="103"/>
      <c r="H75" s="839"/>
      <c r="I75" s="841"/>
      <c r="J75" s="610">
        <f>'Rates in Detail'!E78</f>
        <v>1.839E-2</v>
      </c>
      <c r="K75" s="612">
        <f>'Rates in Detail'!H78</f>
        <v>0</v>
      </c>
      <c r="L75" s="612">
        <f>'Rates in Detail'!F78</f>
        <v>0</v>
      </c>
      <c r="M75" s="612">
        <f>'Rates in Detail'!I78</f>
        <v>6.9999999999999994E-5</v>
      </c>
      <c r="N75" s="611">
        <f t="shared" ref="N75:N78" si="4">SUM(J75:M75)</f>
        <v>1.8460000000000001E-2</v>
      </c>
      <c r="O75" s="1245">
        <f>'Rates in Detail'!L78</f>
        <v>1.2099999999999999E-3</v>
      </c>
      <c r="P75" s="1246">
        <f>'Rates in Detail'!P78</f>
        <v>-2.0000000000000001E-4</v>
      </c>
      <c r="Q75" s="1253">
        <f t="shared" ref="Q75:Q78" si="5">SUM(N75:P75)</f>
        <v>1.9470000000000001E-2</v>
      </c>
      <c r="R75" s="1246">
        <f>'Rates in Detail'!Y78</f>
        <v>4.6000000000000001E-4</v>
      </c>
      <c r="S75" s="1257">
        <f t="shared" ref="S75:S78" si="6">Q75+R75</f>
        <v>1.993E-2</v>
      </c>
      <c r="T75" s="121"/>
    </row>
    <row r="76" spans="2:20" x14ac:dyDescent="0.2">
      <c r="B76" s="100">
        <f t="shared" ref="B76:B78" si="7">B75+1</f>
        <v>67</v>
      </c>
      <c r="C76" s="1225" t="e">
        <f>#REF!</f>
        <v>#REF!</v>
      </c>
      <c r="D76" s="101" t="s">
        <v>248</v>
      </c>
      <c r="E76" s="101" t="s">
        <v>248</v>
      </c>
      <c r="F76" s="103" t="e">
        <f>#REF!</f>
        <v>#REF!</v>
      </c>
      <c r="G76" s="103" t="e">
        <f>#REF!</f>
        <v>#REF!</v>
      </c>
      <c r="H76" s="839" t="e">
        <f>#REF!</f>
        <v>#REF!</v>
      </c>
      <c r="I76" s="841" t="e">
        <f>#REF!</f>
        <v>#REF!</v>
      </c>
      <c r="J76" s="607">
        <f>'Rates in Detail'!E79</f>
        <v>4.9099999999999994E-3</v>
      </c>
      <c r="K76" s="608">
        <f>'Rates in Detail'!H79</f>
        <v>0</v>
      </c>
      <c r="L76" s="608">
        <f>'Rates in Detail'!F79</f>
        <v>0</v>
      </c>
      <c r="M76" s="608">
        <f>'Rates in Detail'!I79</f>
        <v>1.0000000000000001E-5</v>
      </c>
      <c r="N76" s="125">
        <f t="shared" si="4"/>
        <v>4.919999999999999E-3</v>
      </c>
      <c r="O76" s="108">
        <f>'Rates in Detail'!L79</f>
        <v>0</v>
      </c>
      <c r="P76" s="1248">
        <f>'Rates in Detail'!P79</f>
        <v>0</v>
      </c>
      <c r="Q76" s="1254">
        <f t="shared" si="5"/>
        <v>4.919999999999999E-3</v>
      </c>
      <c r="R76" s="1248">
        <f>'Rates in Detail'!Y79</f>
        <v>0</v>
      </c>
      <c r="S76" s="1258">
        <f t="shared" si="6"/>
        <v>4.919999999999999E-3</v>
      </c>
      <c r="T76" s="121"/>
    </row>
    <row r="77" spans="2:20" x14ac:dyDescent="0.2">
      <c r="B77" s="100">
        <f t="shared" si="7"/>
        <v>68</v>
      </c>
      <c r="C77" s="1225" t="e">
        <f>#REF!</f>
        <v>#REF!</v>
      </c>
      <c r="D77" s="101" t="s">
        <v>248</v>
      </c>
      <c r="E77" s="101" t="s">
        <v>248</v>
      </c>
      <c r="F77" s="103" t="e">
        <f>#REF!</f>
        <v>#REF!</v>
      </c>
      <c r="G77" s="103" t="e">
        <f>#REF!</f>
        <v>#REF!</v>
      </c>
      <c r="H77" s="839" t="e">
        <f>#REF!</f>
        <v>#REF!</v>
      </c>
      <c r="I77" s="841" t="e">
        <f>#REF!</f>
        <v>#REF!</v>
      </c>
      <c r="J77" s="607">
        <f>'Rates in Detail'!E80</f>
        <v>4.9099999999999994E-3</v>
      </c>
      <c r="K77" s="608">
        <f>'Rates in Detail'!H80</f>
        <v>0</v>
      </c>
      <c r="L77" s="608">
        <f>'Rates in Detail'!F80</f>
        <v>0</v>
      </c>
      <c r="M77" s="608">
        <f>'Rates in Detail'!I80</f>
        <v>1.0000000000000001E-5</v>
      </c>
      <c r="N77" s="125">
        <f t="shared" si="4"/>
        <v>4.919999999999999E-3</v>
      </c>
      <c r="O77" s="108">
        <f>'Rates in Detail'!L80</f>
        <v>0</v>
      </c>
      <c r="P77" s="1248">
        <f>'Rates in Detail'!P80</f>
        <v>0</v>
      </c>
      <c r="Q77" s="1254">
        <f t="shared" si="5"/>
        <v>4.919999999999999E-3</v>
      </c>
      <c r="R77" s="1248">
        <f>'Rates in Detail'!Y80</f>
        <v>0</v>
      </c>
      <c r="S77" s="1258">
        <f t="shared" si="6"/>
        <v>4.919999999999999E-3</v>
      </c>
      <c r="T77" s="121"/>
    </row>
    <row r="78" spans="2:20" ht="13.5" thickBot="1" x14ac:dyDescent="0.25">
      <c r="B78" s="1299">
        <f t="shared" si="7"/>
        <v>69</v>
      </c>
      <c r="C78" s="1225" t="e">
        <f>#REF!</f>
        <v>#REF!</v>
      </c>
      <c r="D78" s="101" t="s">
        <v>248</v>
      </c>
      <c r="E78" s="101" t="s">
        <v>248</v>
      </c>
      <c r="F78" s="103" t="e">
        <f>#REF!</f>
        <v>#REF!</v>
      </c>
      <c r="G78" s="103" t="e">
        <f>#REF!</f>
        <v>#REF!</v>
      </c>
      <c r="H78" s="839" t="e">
        <f>#REF!</f>
        <v>#REF!</v>
      </c>
      <c r="I78" s="841" t="e">
        <f>#REF!</f>
        <v>#REF!</v>
      </c>
      <c r="J78" s="607">
        <f>'Rates in Detail'!E81</f>
        <v>0</v>
      </c>
      <c r="K78" s="608">
        <f>'Rates in Detail'!H81</f>
        <v>0</v>
      </c>
      <c r="L78" s="608">
        <f>'Rates in Detail'!F81</f>
        <v>0</v>
      </c>
      <c r="M78" s="608">
        <f>'Rates in Detail'!I81</f>
        <v>0</v>
      </c>
      <c r="N78" s="125">
        <f t="shared" si="4"/>
        <v>0</v>
      </c>
      <c r="O78" s="108">
        <f>'Rates in Detail'!L81</f>
        <v>0</v>
      </c>
      <c r="P78" s="1248">
        <f>'Rates in Detail'!P81</f>
        <v>0</v>
      </c>
      <c r="Q78" s="1255">
        <f t="shared" si="5"/>
        <v>0</v>
      </c>
      <c r="R78" s="1248">
        <f>'Rates in Detail'!Y81</f>
        <v>0</v>
      </c>
      <c r="S78" s="1259">
        <f t="shared" si="6"/>
        <v>0</v>
      </c>
      <c r="T78" s="121"/>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&amp;RUG 388 - NW Natural/2500
Wyman/WP02</oddHeader>
    <oddFooter xml:space="preserve">&amp;C&amp;F &amp;D &amp;T
&amp;A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AA78"/>
  <sheetViews>
    <sheetView zoomScale="90" zoomScaleNormal="90" workbookViewId="0">
      <pane xSplit="4" ySplit="9" topLeftCell="E10"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2" customWidth="1"/>
    <col min="2" max="2" width="8.6640625" style="42" customWidth="1"/>
    <col min="3" max="3" width="16.33203125" style="42" customWidth="1"/>
    <col min="4" max="5" width="14" style="42" customWidth="1"/>
    <col min="6" max="6" width="15" style="42" customWidth="1"/>
    <col min="7" max="9" width="14" style="42" customWidth="1"/>
    <col min="10" max="10" width="14" style="604" customWidth="1" outlineLevel="1"/>
    <col min="11" max="11" width="15.1640625" style="604" customWidth="1" outlineLevel="1"/>
    <col min="12" max="12" width="14" style="604" customWidth="1" outlineLevel="1"/>
    <col min="13" max="13" width="14.33203125" style="604" customWidth="1" outlineLevel="1"/>
    <col min="14" max="14" width="14.33203125" style="42" customWidth="1"/>
    <col min="15" max="16" width="16" style="42" customWidth="1" outlineLevel="1"/>
    <col min="17" max="17" width="16.5" style="82" customWidth="1" outlineLevel="1"/>
    <col min="18" max="18" width="16" style="42" customWidth="1" outlineLevel="1"/>
    <col min="19" max="20" width="15.6640625" style="42" customWidth="1" outlineLevel="1"/>
    <col min="21" max="21" width="16" style="42" customWidth="1"/>
    <col min="22" max="22" width="16" style="120" customWidth="1" outlineLevel="1"/>
    <col min="23" max="23" width="15.6640625" style="120" customWidth="1" outlineLevel="1"/>
    <col min="24" max="25" width="16" style="120" customWidth="1" outlineLevel="1"/>
    <col min="26" max="26" width="14.83203125" style="120" customWidth="1" outlineLevel="1"/>
    <col min="27" max="27" width="3.1640625" style="120" customWidth="1"/>
    <col min="28" max="16384" width="9.33203125" style="42"/>
  </cols>
  <sheetData>
    <row r="1" spans="2:27" x14ac:dyDescent="0.2">
      <c r="B1" s="81" t="s">
        <v>0</v>
      </c>
      <c r="S1" s="55"/>
      <c r="T1" s="55"/>
    </row>
    <row r="2" spans="2:27" x14ac:dyDescent="0.2">
      <c r="B2" s="81" t="s">
        <v>242</v>
      </c>
    </row>
    <row r="3" spans="2:27" x14ac:dyDescent="0.2">
      <c r="B3" s="81" t="s">
        <v>243</v>
      </c>
      <c r="P3" s="91"/>
      <c r="Q3" s="128"/>
    </row>
    <row r="4" spans="2:27" x14ac:dyDescent="0.2">
      <c r="B4" s="81" t="s">
        <v>537</v>
      </c>
      <c r="N4" s="635"/>
      <c r="O4" s="49"/>
      <c r="P4" s="49"/>
      <c r="Q4" s="48"/>
      <c r="R4" s="48"/>
      <c r="S4" s="48"/>
      <c r="T4" s="48"/>
      <c r="V4" s="121"/>
      <c r="W4" s="121"/>
      <c r="X4" s="121"/>
      <c r="Y4" s="121"/>
      <c r="Z4" s="121"/>
      <c r="AA4" s="121"/>
    </row>
    <row r="5" spans="2:27" ht="13.5" thickBot="1" x14ac:dyDescent="0.25">
      <c r="B5" s="1229" t="s">
        <v>457</v>
      </c>
      <c r="N5" s="635"/>
      <c r="O5" s="49"/>
      <c r="P5" s="49"/>
      <c r="Q5" s="48"/>
      <c r="R5" s="48"/>
      <c r="S5" s="48"/>
      <c r="T5" s="48"/>
      <c r="V5" s="121"/>
      <c r="W5" s="121"/>
      <c r="X5" s="121"/>
      <c r="Y5" s="121"/>
      <c r="Z5" s="121"/>
      <c r="AA5" s="121"/>
    </row>
    <row r="6" spans="2:27" ht="13.5" thickBot="1" x14ac:dyDescent="0.25">
      <c r="O6" s="1730" t="s">
        <v>460</v>
      </c>
      <c r="P6" s="1731"/>
      <c r="Q6" s="1731"/>
      <c r="R6" s="1731"/>
      <c r="S6" s="1731"/>
      <c r="T6" s="1731"/>
      <c r="U6" s="1732"/>
      <c r="V6" s="1728" t="s">
        <v>459</v>
      </c>
      <c r="W6" s="1733"/>
      <c r="X6" s="1733"/>
      <c r="Y6" s="1733"/>
      <c r="Z6" s="1729"/>
    </row>
    <row r="7" spans="2:27" ht="13.5" thickBot="1" x14ac:dyDescent="0.25">
      <c r="B7" s="93"/>
      <c r="C7" s="93"/>
      <c r="D7" s="93"/>
      <c r="E7" s="93"/>
      <c r="F7" s="93"/>
      <c r="G7" s="93"/>
      <c r="H7" s="614" t="s">
        <v>18</v>
      </c>
      <c r="I7" s="94" t="s">
        <v>454</v>
      </c>
      <c r="J7" s="1701" t="s">
        <v>455</v>
      </c>
      <c r="K7" s="1702"/>
      <c r="L7" s="1702"/>
      <c r="M7" s="1702"/>
      <c r="N7" s="1702"/>
      <c r="O7" s="1264" t="s">
        <v>158</v>
      </c>
      <c r="P7" s="1261" t="str">
        <f>'Rates in Detail'!P9</f>
        <v>EDIT Amort Cr</v>
      </c>
      <c r="Q7" s="1260" t="s">
        <v>118</v>
      </c>
      <c r="R7" s="1264" t="str">
        <f>'Rates in Detail'!S9</f>
        <v>Historical EE</v>
      </c>
      <c r="S7" s="1432" t="s">
        <v>441</v>
      </c>
      <c r="T7" s="1267" t="s">
        <v>555</v>
      </c>
      <c r="U7" s="1260" t="s">
        <v>32</v>
      </c>
      <c r="V7" s="1235" t="s">
        <v>158</v>
      </c>
      <c r="W7" s="1235" t="s">
        <v>328</v>
      </c>
      <c r="X7" s="1435" t="s">
        <v>311</v>
      </c>
      <c r="Y7" s="1437" t="s">
        <v>441</v>
      </c>
      <c r="Z7" s="1239" t="s">
        <v>32</v>
      </c>
    </row>
    <row r="8" spans="2:27" ht="51" x14ac:dyDescent="0.2">
      <c r="B8" s="95" t="s">
        <v>130</v>
      </c>
      <c r="C8" s="56" t="s">
        <v>2</v>
      </c>
      <c r="D8" s="56" t="s">
        <v>3</v>
      </c>
      <c r="E8" s="56" t="s">
        <v>143</v>
      </c>
      <c r="F8" s="56" t="s">
        <v>141</v>
      </c>
      <c r="G8" s="56" t="s">
        <v>142</v>
      </c>
      <c r="H8" s="96" t="s">
        <v>139</v>
      </c>
      <c r="I8" s="56" t="s">
        <v>140</v>
      </c>
      <c r="J8" s="605" t="s">
        <v>449</v>
      </c>
      <c r="K8" s="606" t="s">
        <v>450</v>
      </c>
      <c r="L8" s="606" t="s">
        <v>451</v>
      </c>
      <c r="M8" s="606" t="s">
        <v>453</v>
      </c>
      <c r="N8" s="56" t="s">
        <v>452</v>
      </c>
      <c r="O8" s="1265" t="s">
        <v>538</v>
      </c>
      <c r="P8" s="1262" t="s">
        <v>539</v>
      </c>
      <c r="Q8" s="1232" t="s">
        <v>540</v>
      </c>
      <c r="R8" s="1265" t="s">
        <v>543</v>
      </c>
      <c r="S8" s="1433" t="s">
        <v>543</v>
      </c>
      <c r="T8" s="1251" t="s">
        <v>580</v>
      </c>
      <c r="U8" s="1232" t="s">
        <v>542</v>
      </c>
      <c r="V8" s="1436" t="s">
        <v>538</v>
      </c>
      <c r="W8" s="1429" t="s">
        <v>543</v>
      </c>
      <c r="X8" s="1447" t="s">
        <v>543</v>
      </c>
      <c r="Y8" s="1438" t="s">
        <v>543</v>
      </c>
      <c r="Z8" s="1233" t="s">
        <v>544</v>
      </c>
      <c r="AA8" s="1228"/>
    </row>
    <row r="9" spans="2:27" ht="26.25" thickBot="1" x14ac:dyDescent="0.25">
      <c r="B9" s="622"/>
      <c r="C9" s="623" t="s">
        <v>35</v>
      </c>
      <c r="D9" s="623" t="s">
        <v>36</v>
      </c>
      <c r="E9" s="623" t="s">
        <v>13</v>
      </c>
      <c r="F9" s="623" t="s">
        <v>37</v>
      </c>
      <c r="G9" s="623" t="s">
        <v>38</v>
      </c>
      <c r="H9" s="624" t="s">
        <v>39</v>
      </c>
      <c r="I9" s="625" t="s">
        <v>40</v>
      </c>
      <c r="J9" s="624" t="s">
        <v>41</v>
      </c>
      <c r="K9" s="623" t="s">
        <v>42</v>
      </c>
      <c r="L9" s="623" t="s">
        <v>109</v>
      </c>
      <c r="M9" s="623" t="s">
        <v>110</v>
      </c>
      <c r="N9" s="623" t="s">
        <v>231</v>
      </c>
      <c r="O9" s="1266" t="s">
        <v>111</v>
      </c>
      <c r="P9" s="1263" t="s">
        <v>112</v>
      </c>
      <c r="Q9" s="1231" t="s">
        <v>456</v>
      </c>
      <c r="R9" s="1266" t="s">
        <v>114</v>
      </c>
      <c r="S9" s="1434" t="s">
        <v>115</v>
      </c>
      <c r="T9" s="1230" t="s">
        <v>71</v>
      </c>
      <c r="U9" s="1231" t="s">
        <v>581</v>
      </c>
      <c r="V9" s="1449" t="s">
        <v>75</v>
      </c>
      <c r="W9" s="1449" t="s">
        <v>76</v>
      </c>
      <c r="X9" s="1450" t="s">
        <v>165</v>
      </c>
      <c r="Y9" s="1451" t="s">
        <v>208</v>
      </c>
      <c r="Z9" s="1300" t="s">
        <v>582</v>
      </c>
      <c r="AA9" s="1227"/>
    </row>
    <row r="10" spans="2:27" x14ac:dyDescent="0.2">
      <c r="B10" s="100">
        <v>1</v>
      </c>
      <c r="C10" s="101" t="e">
        <f>#REF!</f>
        <v>#REF!</v>
      </c>
      <c r="D10" s="101" t="s">
        <v>248</v>
      </c>
      <c r="E10" s="101" t="s">
        <v>248</v>
      </c>
      <c r="F10" s="103" t="e">
        <f>#REF!</f>
        <v>#REF!</v>
      </c>
      <c r="G10" s="103" t="e">
        <f>#REF!</f>
        <v>#REF!</v>
      </c>
      <c r="H10" s="839" t="e">
        <f>#REF!</f>
        <v>#REF!</v>
      </c>
      <c r="I10" s="840" t="e">
        <f>#REF!</f>
        <v>#REF!</v>
      </c>
      <c r="J10" s="609">
        <f>'Rates in Detail'!E13</f>
        <v>0.67652999999999996</v>
      </c>
      <c r="K10" s="613">
        <f>'Rates in Detail'!H13</f>
        <v>0.10141</v>
      </c>
      <c r="L10" s="613">
        <f>'Rates in Detail'!F13</f>
        <v>0.26333000000000001</v>
      </c>
      <c r="M10" s="613">
        <f>'Rates in Detail'!I13</f>
        <v>0.11125999999999998</v>
      </c>
      <c r="N10" s="125">
        <f>SUM(J10:M10)</f>
        <v>1.1525299999999998</v>
      </c>
      <c r="O10" s="1242">
        <f>'Rates in Detail'!L13</f>
        <v>0.11114</v>
      </c>
      <c r="P10" s="1237">
        <f>'Rates in Detail'!P13</f>
        <v>-9.1000000000000004E-3</v>
      </c>
      <c r="Q10" s="1243">
        <f>SUM(N10:P10)</f>
        <v>1.2545699999999997</v>
      </c>
      <c r="R10" s="1242">
        <f>'Rates in Detail'!S13</f>
        <v>-1.627E-2</v>
      </c>
      <c r="S10" s="1237">
        <f>'Rates in Detail'!T13</f>
        <v>-8.6499999999999997E-3</v>
      </c>
      <c r="T10" s="1237">
        <f>'Rates in Detail'!U13</f>
        <v>3.0500000000000002E-3</v>
      </c>
      <c r="U10" s="1252">
        <f>SUM(Q10:T10)</f>
        <v>1.2326999999999997</v>
      </c>
      <c r="V10" s="1244">
        <f>'Rates in Detail'!Y13</f>
        <v>6.1650000000000003E-2</v>
      </c>
      <c r="W10" s="1443">
        <f>'Rates in Detail'!Z13</f>
        <v>-8.8000000000000003E-4</v>
      </c>
      <c r="X10" s="1237">
        <f>'Rates in Detail'!AA13</f>
        <v>-1.627E-2</v>
      </c>
      <c r="Y10" s="1439">
        <f>'Rates in Detail'!AB13</f>
        <v>-8.6700000000000006E-3</v>
      </c>
      <c r="Z10" s="1256">
        <f>SUM(U10:Y10)-(R10+S10+T10)</f>
        <v>1.2903999999999998</v>
      </c>
      <c r="AA10" s="121"/>
    </row>
    <row r="11" spans="2:27" x14ac:dyDescent="0.2">
      <c r="B11" s="100">
        <f>B10+1</f>
        <v>2</v>
      </c>
      <c r="C11" s="101" t="e">
        <f>#REF!</f>
        <v>#REF!</v>
      </c>
      <c r="D11" s="101" t="s">
        <v>248</v>
      </c>
      <c r="E11" s="101" t="s">
        <v>248</v>
      </c>
      <c r="F11" s="103" t="e">
        <f>#REF!</f>
        <v>#REF!</v>
      </c>
      <c r="G11" s="103" t="e">
        <f>#REF!</f>
        <v>#REF!</v>
      </c>
      <c r="H11" s="839" t="e">
        <f>#REF!</f>
        <v>#REF!</v>
      </c>
      <c r="I11" s="840" t="e">
        <f>#REF!</f>
        <v>#REF!</v>
      </c>
      <c r="J11" s="609">
        <f>'Rates in Detail'!E14</f>
        <v>0.73148999999999997</v>
      </c>
      <c r="K11" s="613">
        <f>'Rates in Detail'!H14</f>
        <v>0.10141</v>
      </c>
      <c r="L11" s="613">
        <f>'Rates in Detail'!F14</f>
        <v>0.26333000000000001</v>
      </c>
      <c r="M11" s="613">
        <f>'Rates in Detail'!I14</f>
        <v>9.3060000000000004E-2</v>
      </c>
      <c r="N11" s="125">
        <f t="shared" ref="N11:N74" si="0">SUM(J11:M11)</f>
        <v>1.18929</v>
      </c>
      <c r="O11" s="1242">
        <f>'Rates in Detail'!L14</f>
        <v>9.2410000000000006E-2</v>
      </c>
      <c r="P11" s="1237">
        <f>'Rates in Detail'!P14</f>
        <v>-7.5599999999999999E-3</v>
      </c>
      <c r="Q11" s="1243">
        <f t="shared" ref="Q11:Q74" si="1">SUM(N11:P11)</f>
        <v>1.2741400000000001</v>
      </c>
      <c r="R11" s="1242">
        <f>'Rates in Detail'!S14</f>
        <v>-1.354E-2</v>
      </c>
      <c r="S11" s="1237">
        <f>'Rates in Detail'!T14</f>
        <v>-7.1999999999999998E-3</v>
      </c>
      <c r="T11" s="1237">
        <f>'Rates in Detail'!U14</f>
        <v>2.5400000000000002E-3</v>
      </c>
      <c r="U11" s="1252">
        <f t="shared" ref="U11:U74" si="2">SUM(Q11:S11)</f>
        <v>1.2533999999999998</v>
      </c>
      <c r="V11" s="1244">
        <f>'Rates in Detail'!Y14</f>
        <v>5.126E-2</v>
      </c>
      <c r="W11" s="1443">
        <f>'Rates in Detail'!Z14</f>
        <v>-7.2999999999999996E-4</v>
      </c>
      <c r="X11" s="1237">
        <f>'Rates in Detail'!AA14</f>
        <v>-1.354E-2</v>
      </c>
      <c r="Y11" s="1439">
        <f>'Rates in Detail'!AB14</f>
        <v>-7.1999999999999998E-3</v>
      </c>
      <c r="Z11" s="1256">
        <f t="shared" ref="Z11:Z74" si="3">SUM(U11:Y11)-(R11+S11+T11)</f>
        <v>1.3013899999999998</v>
      </c>
      <c r="AA11" s="121"/>
    </row>
    <row r="12" spans="2:27" x14ac:dyDescent="0.2">
      <c r="B12" s="100">
        <f t="shared" ref="B12:B75" si="4">B11+1</f>
        <v>3</v>
      </c>
      <c r="C12" s="101" t="e">
        <f>#REF!</f>
        <v>#REF!</v>
      </c>
      <c r="D12" s="101" t="s">
        <v>248</v>
      </c>
      <c r="E12" s="101" t="s">
        <v>248</v>
      </c>
      <c r="F12" s="103" t="e">
        <f>#REF!</f>
        <v>#REF!</v>
      </c>
      <c r="G12" s="103" t="e">
        <f>#REF!</f>
        <v>#REF!</v>
      </c>
      <c r="H12" s="839" t="e">
        <f>#REF!</f>
        <v>#REF!</v>
      </c>
      <c r="I12" s="840" t="e">
        <f>#REF!</f>
        <v>#REF!</v>
      </c>
      <c r="J12" s="609">
        <f>'Rates in Detail'!E15</f>
        <v>0.45815999999999979</v>
      </c>
      <c r="K12" s="613">
        <f>'Rates in Detail'!H15</f>
        <v>0.10141</v>
      </c>
      <c r="L12" s="613">
        <f>'Rates in Detail'!F15</f>
        <v>0.26333000000000001</v>
      </c>
      <c r="M12" s="613">
        <f>'Rates in Detail'!I15</f>
        <v>6.6579999999999986E-2</v>
      </c>
      <c r="N12" s="125">
        <f t="shared" si="0"/>
        <v>0.88947999999999972</v>
      </c>
      <c r="O12" s="1242">
        <f>'Rates in Detail'!L15</f>
        <v>7.034E-2</v>
      </c>
      <c r="P12" s="1237">
        <f>'Rates in Detail'!P15</f>
        <v>-5.7600000000000004E-3</v>
      </c>
      <c r="Q12" s="1243">
        <f t="shared" si="1"/>
        <v>0.95405999999999969</v>
      </c>
      <c r="R12" s="1242">
        <f>'Rates in Detail'!S15</f>
        <v>-1.03E-2</v>
      </c>
      <c r="S12" s="1237">
        <f>'Rates in Detail'!T15</f>
        <v>-5.47E-3</v>
      </c>
      <c r="T12" s="1237">
        <f>'Rates in Detail'!U15</f>
        <v>1.9300000000000001E-3</v>
      </c>
      <c r="U12" s="1252">
        <f t="shared" si="2"/>
        <v>0.93828999999999974</v>
      </c>
      <c r="V12" s="1244">
        <f>'Rates in Detail'!Y15</f>
        <v>3.9019999999999999E-2</v>
      </c>
      <c r="W12" s="1443">
        <f>'Rates in Detail'!Z15</f>
        <v>-5.5999999999999995E-4</v>
      </c>
      <c r="X12" s="1237">
        <f>'Rates in Detail'!AA15</f>
        <v>-1.03E-2</v>
      </c>
      <c r="Y12" s="1439">
        <f>'Rates in Detail'!AB15</f>
        <v>-5.4900000000000001E-3</v>
      </c>
      <c r="Z12" s="1256">
        <f t="shared" si="3"/>
        <v>0.97479999999999967</v>
      </c>
      <c r="AA12" s="121"/>
    </row>
    <row r="13" spans="2:27" x14ac:dyDescent="0.2">
      <c r="B13" s="100">
        <f t="shared" si="4"/>
        <v>4</v>
      </c>
      <c r="C13" s="101" t="e">
        <f>#REF!</f>
        <v>#REF!</v>
      </c>
      <c r="D13" s="101" t="s">
        <v>248</v>
      </c>
      <c r="E13" s="101" t="s">
        <v>248</v>
      </c>
      <c r="F13" s="103" t="e">
        <f>#REF!</f>
        <v>#REF!</v>
      </c>
      <c r="G13" s="103" t="e">
        <f>#REF!</f>
        <v>#REF!</v>
      </c>
      <c r="H13" s="839" t="e">
        <f>#REF!</f>
        <v>#REF!</v>
      </c>
      <c r="I13" s="841" t="e">
        <f>#REF!</f>
        <v>#REF!</v>
      </c>
      <c r="J13" s="609">
        <f>'Rates in Detail'!E16</f>
        <v>0.44368000000000019</v>
      </c>
      <c r="K13" s="613">
        <f>'Rates in Detail'!H16</f>
        <v>0.10141</v>
      </c>
      <c r="L13" s="613">
        <f>'Rates in Detail'!F16</f>
        <v>0.26333000000000001</v>
      </c>
      <c r="M13" s="613">
        <f>'Rates in Detail'!I16</f>
        <v>5.8480000000000004E-2</v>
      </c>
      <c r="N13" s="126">
        <f t="shared" si="0"/>
        <v>0.86690000000000011</v>
      </c>
      <c r="O13" s="1244">
        <f>'Rates in Detail'!L16</f>
        <v>6.3159999999999994E-2</v>
      </c>
      <c r="P13" s="1237">
        <f>'Rates in Detail'!P16</f>
        <v>-5.1700000000000001E-3</v>
      </c>
      <c r="Q13" s="1243">
        <f t="shared" si="1"/>
        <v>0.9248900000000001</v>
      </c>
      <c r="R13" s="1244">
        <f>'Rates in Detail'!S16</f>
        <v>-9.2399999999999999E-3</v>
      </c>
      <c r="S13" s="1237">
        <f>'Rates in Detail'!T16</f>
        <v>-4.9100000000000003E-3</v>
      </c>
      <c r="T13" s="1237">
        <f>'Rates in Detail'!U16</f>
        <v>1.73E-3</v>
      </c>
      <c r="U13" s="1252">
        <f t="shared" si="2"/>
        <v>0.91074000000000011</v>
      </c>
      <c r="V13" s="1244">
        <f>'Rates in Detail'!Y16</f>
        <v>3.5029999999999999E-2</v>
      </c>
      <c r="W13" s="1443">
        <f>'Rates in Detail'!Z16</f>
        <v>-5.0000000000000001E-4</v>
      </c>
      <c r="X13" s="1237">
        <f>'Rates in Detail'!AA16</f>
        <v>-9.2399999999999999E-3</v>
      </c>
      <c r="Y13" s="1439">
        <f>'Rates in Detail'!AB16</f>
        <v>-4.9300000000000004E-3</v>
      </c>
      <c r="Z13" s="1256">
        <f t="shared" si="3"/>
        <v>0.94352000000000014</v>
      </c>
      <c r="AA13" s="121"/>
    </row>
    <row r="14" spans="2:27" x14ac:dyDescent="0.2">
      <c r="B14" s="100">
        <f t="shared" si="4"/>
        <v>5</v>
      </c>
      <c r="C14" s="101" t="e">
        <f>#REF!</f>
        <v>#REF!</v>
      </c>
      <c r="D14" s="101" t="s">
        <v>248</v>
      </c>
      <c r="E14" s="101" t="s">
        <v>248</v>
      </c>
      <c r="F14" s="103" t="e">
        <f>#REF!</f>
        <v>#REF!</v>
      </c>
      <c r="G14" s="103" t="e">
        <f>#REF!</f>
        <v>#REF!</v>
      </c>
      <c r="H14" s="839" t="e">
        <f>#REF!</f>
        <v>#REF!</v>
      </c>
      <c r="I14" s="841" t="e">
        <f>#REF!</f>
        <v>#REF!</v>
      </c>
      <c r="J14" s="609">
        <f>'Rates in Detail'!E17</f>
        <v>0.46249000000000001</v>
      </c>
      <c r="K14" s="613">
        <f>'Rates in Detail'!H17</f>
        <v>0.10141</v>
      </c>
      <c r="L14" s="613">
        <f>'Rates in Detail'!F17</f>
        <v>0.26333000000000001</v>
      </c>
      <c r="M14" s="613">
        <f>'Rates in Detail'!I17</f>
        <v>-8.9999999999999802E-5</v>
      </c>
      <c r="N14" s="126">
        <f t="shared" si="0"/>
        <v>0.8271400000000001</v>
      </c>
      <c r="O14" s="1244">
        <f>'Rates in Detail'!L17</f>
        <v>5.7209999999999997E-2</v>
      </c>
      <c r="P14" s="1237">
        <f>'Rates in Detail'!P17</f>
        <v>-4.6899999999999997E-3</v>
      </c>
      <c r="Q14" s="1243">
        <f t="shared" si="1"/>
        <v>0.87966000000000011</v>
      </c>
      <c r="R14" s="1244">
        <f>'Rates in Detail'!S17</f>
        <v>0</v>
      </c>
      <c r="S14" s="1237">
        <f>'Rates in Detail'!T17</f>
        <v>-4.45E-3</v>
      </c>
      <c r="T14" s="1237">
        <f>'Rates in Detail'!U17</f>
        <v>1.57E-3</v>
      </c>
      <c r="U14" s="1252">
        <f t="shared" si="2"/>
        <v>0.87521000000000015</v>
      </c>
      <c r="V14" s="1244">
        <f>'Rates in Detail'!Y17</f>
        <v>3.1730000000000001E-2</v>
      </c>
      <c r="W14" s="1443">
        <f>'Rates in Detail'!Z17</f>
        <v>-4.4999999999999999E-4</v>
      </c>
      <c r="X14" s="1237">
        <f>'Rates in Detail'!AA17</f>
        <v>0</v>
      </c>
      <c r="Y14" s="1439">
        <f>'Rates in Detail'!AB17</f>
        <v>-4.4600000000000004E-3</v>
      </c>
      <c r="Z14" s="1256">
        <f t="shared" si="3"/>
        <v>0.90491000000000021</v>
      </c>
      <c r="AA14" s="121"/>
    </row>
    <row r="15" spans="2:27" x14ac:dyDescent="0.2">
      <c r="B15" s="100">
        <f t="shared" si="4"/>
        <v>6</v>
      </c>
      <c r="C15" s="1225" t="e">
        <f>#REF!</f>
        <v>#REF!</v>
      </c>
      <c r="D15" s="101" t="s">
        <v>248</v>
      </c>
      <c r="E15" s="101" t="s">
        <v>248</v>
      </c>
      <c r="F15" s="103" t="e">
        <f>#REF!</f>
        <v>#REF!</v>
      </c>
      <c r="G15" s="103" t="e">
        <f>#REF!</f>
        <v>#REF!</v>
      </c>
      <c r="H15" s="842" t="e">
        <f>#REF!</f>
        <v>#REF!</v>
      </c>
      <c r="I15" s="843" t="e">
        <f>#REF!</f>
        <v>#REF!</v>
      </c>
      <c r="J15" s="609">
        <f>'Rates in Detail'!E18</f>
        <v>0.24087999999999973</v>
      </c>
      <c r="K15" s="613">
        <f>'Rates in Detail'!H18</f>
        <v>0.10141</v>
      </c>
      <c r="L15" s="613">
        <f>'Rates in Detail'!F18</f>
        <v>0.26333000000000001</v>
      </c>
      <c r="M15" s="613">
        <f>'Rates in Detail'!I18</f>
        <v>3.8710000000000001E-2</v>
      </c>
      <c r="N15" s="126">
        <f t="shared" si="0"/>
        <v>0.64432999999999985</v>
      </c>
      <c r="O15" s="1244">
        <f>'Rates in Detail'!L18</f>
        <v>5.006E-2</v>
      </c>
      <c r="P15" s="1237">
        <f>'Rates in Detail'!P18</f>
        <v>-4.1000000000000003E-3</v>
      </c>
      <c r="Q15" s="1243">
        <f t="shared" si="1"/>
        <v>0.69028999999999985</v>
      </c>
      <c r="R15" s="1244">
        <f>'Rates in Detail'!S18</f>
        <v>-7.3299999999999997E-3</v>
      </c>
      <c r="S15" s="1237">
        <f>'Rates in Detail'!T18</f>
        <v>-3.8899999999999998E-3</v>
      </c>
      <c r="T15" s="1237">
        <f>'Rates in Detail'!U18</f>
        <v>1.3699999999999999E-3</v>
      </c>
      <c r="U15" s="1252">
        <f t="shared" si="2"/>
        <v>0.67906999999999995</v>
      </c>
      <c r="V15" s="1244">
        <f>'Rates in Detail'!Y18</f>
        <v>2.777E-2</v>
      </c>
      <c r="W15" s="1443">
        <f>'Rates in Detail'!Z18</f>
        <v>-4.0000000000000002E-4</v>
      </c>
      <c r="X15" s="1237">
        <f>'Rates in Detail'!AA18</f>
        <v>-7.3299999999999997E-3</v>
      </c>
      <c r="Y15" s="1439">
        <f>'Rates in Detail'!AB18</f>
        <v>-3.8999999999999998E-3</v>
      </c>
      <c r="Z15" s="1256">
        <f t="shared" si="3"/>
        <v>0.70506000000000002</v>
      </c>
      <c r="AA15" s="121"/>
    </row>
    <row r="16" spans="2:27" x14ac:dyDescent="0.2">
      <c r="B16" s="100">
        <f t="shared" si="4"/>
        <v>7</v>
      </c>
      <c r="C16" s="1226" t="e">
        <f>#REF!</f>
        <v>#REF!</v>
      </c>
      <c r="D16" s="1226" t="s">
        <v>4</v>
      </c>
      <c r="E16" s="105">
        <v>2000</v>
      </c>
      <c r="F16" s="106" t="e">
        <f>#REF!</f>
        <v>#REF!</v>
      </c>
      <c r="G16" s="106" t="e">
        <f>#REF!</f>
        <v>#REF!</v>
      </c>
      <c r="H16" s="844" t="e">
        <f>#REF!</f>
        <v>#REF!</v>
      </c>
      <c r="I16" s="845" t="e">
        <f>#REF!</f>
        <v>#REF!</v>
      </c>
      <c r="J16" s="610">
        <f>'Rates in Detail'!E19</f>
        <v>0.34474000000000016</v>
      </c>
      <c r="K16" s="612">
        <f>'Rates in Detail'!H19</f>
        <v>0</v>
      </c>
      <c r="L16" s="612">
        <f>'Rates in Detail'!F19</f>
        <v>0.26333000000000001</v>
      </c>
      <c r="M16" s="612">
        <f>'Rates in Detail'!I19</f>
        <v>4.3429999999999996E-2</v>
      </c>
      <c r="N16" s="127">
        <f t="shared" si="0"/>
        <v>0.65150000000000008</v>
      </c>
      <c r="O16" s="1245">
        <f>'Rates in Detail'!L19</f>
        <v>5.0160000000000003E-2</v>
      </c>
      <c r="P16" s="1246">
        <f>'Rates in Detail'!P19</f>
        <v>-4.1099999999999999E-3</v>
      </c>
      <c r="Q16" s="1247">
        <f t="shared" si="1"/>
        <v>0.69755000000000011</v>
      </c>
      <c r="R16" s="1245">
        <f>'Rates in Detail'!S19</f>
        <v>-7.3400000000000002E-3</v>
      </c>
      <c r="S16" s="1246">
        <f>'Rates in Detail'!T19</f>
        <v>-3.8999999999999998E-3</v>
      </c>
      <c r="T16" s="1246">
        <f>'Rates in Detail'!U19</f>
        <v>1.3799999999999999E-3</v>
      </c>
      <c r="U16" s="1253">
        <f t="shared" si="2"/>
        <v>0.68631000000000009</v>
      </c>
      <c r="V16" s="1245">
        <f>'Rates in Detail'!Y19</f>
        <v>2.7820000000000001E-2</v>
      </c>
      <c r="W16" s="1444">
        <f>'Rates in Detail'!Z19</f>
        <v>-4.0000000000000002E-4</v>
      </c>
      <c r="X16" s="1246">
        <f>'Rates in Detail'!AA19</f>
        <v>-7.3400000000000002E-3</v>
      </c>
      <c r="Y16" s="1440">
        <f>'Rates in Detail'!AB19</f>
        <v>-3.9100000000000003E-3</v>
      </c>
      <c r="Z16" s="1256">
        <f t="shared" si="3"/>
        <v>0.71234000000000008</v>
      </c>
      <c r="AA16" s="121"/>
    </row>
    <row r="17" spans="2:27" x14ac:dyDescent="0.2">
      <c r="B17" s="100">
        <f t="shared" si="4"/>
        <v>8</v>
      </c>
      <c r="C17" s="101"/>
      <c r="D17" s="101" t="s">
        <v>5</v>
      </c>
      <c r="E17" s="102" t="s">
        <v>59</v>
      </c>
      <c r="F17" s="103" t="e">
        <f>#REF!</f>
        <v>#REF!</v>
      </c>
      <c r="G17" s="103"/>
      <c r="H17" s="839"/>
      <c r="I17" s="841"/>
      <c r="J17" s="609">
        <f>'Rates in Detail'!E20</f>
        <v>0.30376999999999998</v>
      </c>
      <c r="K17" s="613">
        <f>'Rates in Detail'!H20</f>
        <v>0</v>
      </c>
      <c r="L17" s="613">
        <f>'Rates in Detail'!F20</f>
        <v>0.26333000000000001</v>
      </c>
      <c r="M17" s="613">
        <f>'Rates in Detail'!I20</f>
        <v>3.7170000000000002E-2</v>
      </c>
      <c r="N17" s="125">
        <f t="shared" si="0"/>
        <v>0.60426999999999997</v>
      </c>
      <c r="O17" s="1244">
        <f>'Rates in Detail'!L20</f>
        <v>4.4200000000000003E-2</v>
      </c>
      <c r="P17" s="1237">
        <f>'Rates in Detail'!P20</f>
        <v>-3.62E-3</v>
      </c>
      <c r="Q17" s="1243">
        <f t="shared" si="1"/>
        <v>0.64485000000000003</v>
      </c>
      <c r="R17" s="1244">
        <f>'Rates in Detail'!S20</f>
        <v>-6.4700000000000001E-3</v>
      </c>
      <c r="S17" s="1237">
        <f>'Rates in Detail'!T20</f>
        <v>-3.4399999999999999E-3</v>
      </c>
      <c r="T17" s="1237">
        <f>'Rates in Detail'!U20</f>
        <v>1.2099999999999999E-3</v>
      </c>
      <c r="U17" s="1252">
        <f t="shared" si="2"/>
        <v>0.63494000000000006</v>
      </c>
      <c r="V17" s="1244">
        <f>'Rates in Detail'!Y20</f>
        <v>2.4510000000000001E-2</v>
      </c>
      <c r="W17" s="1443">
        <f>'Rates in Detail'!Z20</f>
        <v>-3.5E-4</v>
      </c>
      <c r="X17" s="1237">
        <f>'Rates in Detail'!AA20</f>
        <v>-6.4700000000000001E-3</v>
      </c>
      <c r="Y17" s="1439">
        <f>'Rates in Detail'!AB20</f>
        <v>-3.4499999999999999E-3</v>
      </c>
      <c r="Z17" s="1256">
        <f t="shared" si="3"/>
        <v>0.65788000000000024</v>
      </c>
      <c r="AA17" s="121"/>
    </row>
    <row r="18" spans="2:27" x14ac:dyDescent="0.2">
      <c r="B18" s="100">
        <f t="shared" si="4"/>
        <v>9</v>
      </c>
      <c r="C18" s="1226" t="e">
        <f>#REF!</f>
        <v>#REF!</v>
      </c>
      <c r="D18" s="1226" t="s">
        <v>4</v>
      </c>
      <c r="E18" s="105">
        <v>2000</v>
      </c>
      <c r="F18" s="106" t="e">
        <f>#REF!</f>
        <v>#REF!</v>
      </c>
      <c r="G18" s="106" t="e">
        <f>#REF!</f>
        <v>#REF!</v>
      </c>
      <c r="H18" s="844" t="e">
        <f>#REF!</f>
        <v>#REF!</v>
      </c>
      <c r="I18" s="845" t="e">
        <f>#REF!</f>
        <v>#REF!</v>
      </c>
      <c r="J18" s="610">
        <f>'Rates in Detail'!E21</f>
        <v>0.34416000000000024</v>
      </c>
      <c r="K18" s="612">
        <f>'Rates in Detail'!H21</f>
        <v>0</v>
      </c>
      <c r="L18" s="612">
        <f>'Rates in Detail'!F21</f>
        <v>0.26333000000000001</v>
      </c>
      <c r="M18" s="612">
        <f>'Rates in Detail'!I21</f>
        <v>-1.7200000000000002E-3</v>
      </c>
      <c r="N18" s="127">
        <f t="shared" si="0"/>
        <v>0.60577000000000025</v>
      </c>
      <c r="O18" s="1245">
        <f>'Rates in Detail'!L21</f>
        <v>2.3040000000000001E-2</v>
      </c>
      <c r="P18" s="1246">
        <f>'Rates in Detail'!P21</f>
        <v>-3.9100000000000003E-3</v>
      </c>
      <c r="Q18" s="1247">
        <f t="shared" si="1"/>
        <v>0.62490000000000023</v>
      </c>
      <c r="R18" s="1245">
        <f>'Rates in Detail'!S21</f>
        <v>0</v>
      </c>
      <c r="S18" s="1246">
        <f>'Rates in Detail'!T21</f>
        <v>-3.5200000000000001E-3</v>
      </c>
      <c r="T18" s="1246">
        <f>'Rates in Detail'!U21</f>
        <v>1.24E-3</v>
      </c>
      <c r="U18" s="1253">
        <f t="shared" si="2"/>
        <v>0.62138000000000027</v>
      </c>
      <c r="V18" s="1245">
        <f>'Rates in Detail'!Y21</f>
        <v>8.7299999999999999E-3</v>
      </c>
      <c r="W18" s="1444">
        <f>'Rates in Detail'!Z21</f>
        <v>-3.5E-4</v>
      </c>
      <c r="X18" s="1246">
        <f>'Rates in Detail'!AA21</f>
        <v>0</v>
      </c>
      <c r="Y18" s="1440">
        <f>'Rates in Detail'!AB21</f>
        <v>-3.3999999999999998E-3</v>
      </c>
      <c r="Z18" s="1256">
        <f t="shared" si="3"/>
        <v>0.62864000000000031</v>
      </c>
      <c r="AA18" s="121"/>
    </row>
    <row r="19" spans="2:27" x14ac:dyDescent="0.2">
      <c r="B19" s="100">
        <f t="shared" si="4"/>
        <v>10</v>
      </c>
      <c r="C19" s="101"/>
      <c r="D19" s="101" t="s">
        <v>5</v>
      </c>
      <c r="E19" s="102" t="s">
        <v>59</v>
      </c>
      <c r="F19" s="103" t="e">
        <f>#REF!</f>
        <v>#REF!</v>
      </c>
      <c r="G19" s="103"/>
      <c r="H19" s="839"/>
      <c r="I19" s="841"/>
      <c r="J19" s="609">
        <f>'Rates in Detail'!E22</f>
        <v>0.30325000000000002</v>
      </c>
      <c r="K19" s="613">
        <f>'Rates in Detail'!H22</f>
        <v>0</v>
      </c>
      <c r="L19" s="613">
        <f>'Rates in Detail'!F22</f>
        <v>0.26333000000000001</v>
      </c>
      <c r="M19" s="613">
        <f>'Rates in Detail'!I22</f>
        <v>-2.6199999999999999E-3</v>
      </c>
      <c r="N19" s="125">
        <f t="shared" si="0"/>
        <v>0.56396000000000013</v>
      </c>
      <c r="O19" s="1244">
        <f>'Rates in Detail'!L22</f>
        <v>2.0299999999999999E-2</v>
      </c>
      <c r="P19" s="1237">
        <f>'Rates in Detail'!P22</f>
        <v>-3.4399999999999999E-3</v>
      </c>
      <c r="Q19" s="1243">
        <f t="shared" si="1"/>
        <v>0.58082000000000011</v>
      </c>
      <c r="R19" s="1244">
        <f>'Rates in Detail'!S22</f>
        <v>0</v>
      </c>
      <c r="S19" s="1237">
        <f>'Rates in Detail'!T22</f>
        <v>-3.0999999999999999E-3</v>
      </c>
      <c r="T19" s="1237">
        <f>'Rates in Detail'!U22</f>
        <v>1.09E-3</v>
      </c>
      <c r="U19" s="1252">
        <f t="shared" si="2"/>
        <v>0.57772000000000012</v>
      </c>
      <c r="V19" s="1244">
        <f>'Rates in Detail'!Y22</f>
        <v>7.6899999999999998E-3</v>
      </c>
      <c r="W19" s="1443">
        <f>'Rates in Detail'!Z22</f>
        <v>-2.9999999999999997E-4</v>
      </c>
      <c r="X19" s="1237">
        <f>'Rates in Detail'!AA22</f>
        <v>0</v>
      </c>
      <c r="Y19" s="1439">
        <f>'Rates in Detail'!AB22</f>
        <v>-2.99E-3</v>
      </c>
      <c r="Z19" s="1256">
        <f t="shared" si="3"/>
        <v>0.58413000000000004</v>
      </c>
      <c r="AA19" s="121"/>
    </row>
    <row r="20" spans="2:27" x14ac:dyDescent="0.2">
      <c r="B20" s="100">
        <f t="shared" si="4"/>
        <v>11</v>
      </c>
      <c r="C20" s="1226" t="e">
        <f>#REF!</f>
        <v>#REF!</v>
      </c>
      <c r="D20" s="1226" t="s">
        <v>4</v>
      </c>
      <c r="E20" s="105">
        <v>2000</v>
      </c>
      <c r="F20" s="106" t="e">
        <f>#REF!</f>
        <v>#REF!</v>
      </c>
      <c r="G20" s="106" t="e">
        <f>#REF!</f>
        <v>#REF!</v>
      </c>
      <c r="H20" s="844" t="e">
        <f>#REF!</f>
        <v>#REF!</v>
      </c>
      <c r="I20" s="845" t="e">
        <f>#REF!</f>
        <v>#REF!</v>
      </c>
      <c r="J20" s="610">
        <f>'Rates in Detail'!E23</f>
        <v>0.34372999999999987</v>
      </c>
      <c r="K20" s="612">
        <f>'Rates in Detail'!H23</f>
        <v>0</v>
      </c>
      <c r="L20" s="612">
        <f>'Rates in Detail'!F23</f>
        <v>0.26333000000000001</v>
      </c>
      <c r="M20" s="612">
        <f>'Rates in Detail'!I23</f>
        <v>5.3189999999999994E-2</v>
      </c>
      <c r="N20" s="127">
        <f t="shared" si="0"/>
        <v>0.66024999999999989</v>
      </c>
      <c r="O20" s="1245">
        <f>'Rates in Detail'!L23</f>
        <v>3.6089999999999997E-2</v>
      </c>
      <c r="P20" s="1246">
        <f>'Rates in Detail'!P23</f>
        <v>-3.2200000000000002E-3</v>
      </c>
      <c r="Q20" s="1247">
        <f t="shared" si="1"/>
        <v>0.69311999999999985</v>
      </c>
      <c r="R20" s="1245">
        <f>'Rates in Detail'!S23</f>
        <v>-6.8599999999999998E-3</v>
      </c>
      <c r="S20" s="1246">
        <f>'Rates in Detail'!T23</f>
        <v>-3.0300000000000001E-3</v>
      </c>
      <c r="T20" s="1246">
        <f>'Rates in Detail'!U23</f>
        <v>1.3799999999999999E-3</v>
      </c>
      <c r="U20" s="1253">
        <f t="shared" si="2"/>
        <v>0.68322999999999989</v>
      </c>
      <c r="V20" s="1245">
        <f>'Rates in Detail'!Y23</f>
        <v>2.162E-2</v>
      </c>
      <c r="W20" s="1444">
        <f>'Rates in Detail'!Z23</f>
        <v>-3.1E-4</v>
      </c>
      <c r="X20" s="1246">
        <f>'Rates in Detail'!AA23</f>
        <v>-6.7799999999999996E-3</v>
      </c>
      <c r="Y20" s="1440">
        <f>'Rates in Detail'!AB23</f>
        <v>-3.0400000000000002E-3</v>
      </c>
      <c r="Z20" s="1256">
        <f t="shared" si="3"/>
        <v>0.7032299999999998</v>
      </c>
      <c r="AA20" s="121"/>
    </row>
    <row r="21" spans="2:27" x14ac:dyDescent="0.2">
      <c r="B21" s="100">
        <f t="shared" si="4"/>
        <v>12</v>
      </c>
      <c r="C21" s="101"/>
      <c r="D21" s="101" t="s">
        <v>5</v>
      </c>
      <c r="E21" s="102" t="s">
        <v>59</v>
      </c>
      <c r="F21" s="103" t="e">
        <f>#REF!</f>
        <v>#REF!</v>
      </c>
      <c r="G21" s="103"/>
      <c r="H21" s="839"/>
      <c r="I21" s="841"/>
      <c r="J21" s="609">
        <f>'Rates in Detail'!E24</f>
        <v>0.30284999999999984</v>
      </c>
      <c r="K21" s="613">
        <f>'Rates in Detail'!H24</f>
        <v>0</v>
      </c>
      <c r="L21" s="613">
        <f>'Rates in Detail'!F24</f>
        <v>0.26333000000000001</v>
      </c>
      <c r="M21" s="613">
        <f>'Rates in Detail'!I24</f>
        <v>4.6990000000000004E-2</v>
      </c>
      <c r="N21" s="125">
        <f t="shared" si="0"/>
        <v>0.61316999999999988</v>
      </c>
      <c r="O21" s="1244">
        <f>'Rates in Detail'!L24</f>
        <v>3.1800000000000002E-2</v>
      </c>
      <c r="P21" s="1237">
        <f>'Rates in Detail'!P24</f>
        <v>-2.8400000000000001E-3</v>
      </c>
      <c r="Q21" s="1243">
        <f t="shared" si="1"/>
        <v>0.64212999999999998</v>
      </c>
      <c r="R21" s="1244">
        <f>'Rates in Detail'!S24</f>
        <v>-6.0499999999999998E-3</v>
      </c>
      <c r="S21" s="1237">
        <f>'Rates in Detail'!T24</f>
        <v>-2.6700000000000001E-3</v>
      </c>
      <c r="T21" s="1237">
        <f>'Rates in Detail'!U24</f>
        <v>1.2099999999999999E-3</v>
      </c>
      <c r="U21" s="1252">
        <f t="shared" si="2"/>
        <v>0.63341000000000003</v>
      </c>
      <c r="V21" s="1244">
        <f>'Rates in Detail'!Y24</f>
        <v>1.9050000000000001E-2</v>
      </c>
      <c r="W21" s="1443">
        <f>'Rates in Detail'!Z24</f>
        <v>-2.7E-4</v>
      </c>
      <c r="X21" s="1237">
        <f>'Rates in Detail'!AA24</f>
        <v>-5.9699999999999996E-3</v>
      </c>
      <c r="Y21" s="1439">
        <f>'Rates in Detail'!AB24</f>
        <v>-2.6800000000000001E-3</v>
      </c>
      <c r="Z21" s="1256">
        <f t="shared" si="3"/>
        <v>0.65105000000000002</v>
      </c>
      <c r="AA21" s="121"/>
    </row>
    <row r="22" spans="2:27" x14ac:dyDescent="0.2">
      <c r="B22" s="100">
        <f t="shared" si="4"/>
        <v>13</v>
      </c>
      <c r="C22" s="1226" t="e">
        <f>#REF!</f>
        <v>#REF!</v>
      </c>
      <c r="D22" s="1226" t="s">
        <v>4</v>
      </c>
      <c r="E22" s="105">
        <v>2000</v>
      </c>
      <c r="F22" s="106" t="e">
        <f>#REF!</f>
        <v>#REF!</v>
      </c>
      <c r="G22" s="106" t="e">
        <f>#REF!</f>
        <v>#REF!</v>
      </c>
      <c r="H22" s="844" t="e">
        <f>#REF!</f>
        <v>#REF!</v>
      </c>
      <c r="I22" s="845" t="e">
        <f>#REF!</f>
        <v>#REF!</v>
      </c>
      <c r="J22" s="610">
        <f>'Rates in Detail'!E25</f>
        <v>0.34372999999999987</v>
      </c>
      <c r="K22" s="612">
        <f>'Rates in Detail'!H25</f>
        <v>0</v>
      </c>
      <c r="L22" s="612">
        <f>'Rates in Detail'!F25</f>
        <v>0.26333000000000001</v>
      </c>
      <c r="M22" s="612">
        <f>'Rates in Detail'!I25</f>
        <v>8.7499999999999991E-3</v>
      </c>
      <c r="N22" s="127">
        <f t="shared" si="0"/>
        <v>0.61580999999999997</v>
      </c>
      <c r="O22" s="1245">
        <f>'Rates in Detail'!L25</f>
        <v>1.576E-2</v>
      </c>
      <c r="P22" s="1246">
        <f>'Rates in Detail'!P25</f>
        <v>-3.2200000000000002E-3</v>
      </c>
      <c r="Q22" s="1247">
        <f t="shared" si="1"/>
        <v>0.62834999999999996</v>
      </c>
      <c r="R22" s="1245">
        <f>'Rates in Detail'!S25</f>
        <v>0</v>
      </c>
      <c r="S22" s="1246">
        <f>'Rates in Detail'!T25</f>
        <v>-2.8700000000000002E-3</v>
      </c>
      <c r="T22" s="1246">
        <f>'Rates in Detail'!U25</f>
        <v>1.2999999999999999E-3</v>
      </c>
      <c r="U22" s="1253">
        <f t="shared" si="2"/>
        <v>0.62547999999999992</v>
      </c>
      <c r="V22" s="1245">
        <f>'Rates in Detail'!Y25</f>
        <v>7.1300000000000001E-3</v>
      </c>
      <c r="W22" s="1444">
        <f>'Rates in Detail'!Z25</f>
        <v>-2.7999999999999998E-4</v>
      </c>
      <c r="X22" s="1246">
        <f>'Rates in Detail'!AA25</f>
        <v>0</v>
      </c>
      <c r="Y22" s="1440">
        <f>'Rates in Detail'!AB25</f>
        <v>-2.7699999999999999E-3</v>
      </c>
      <c r="Z22" s="1256">
        <f t="shared" si="3"/>
        <v>0.63112999999999986</v>
      </c>
      <c r="AA22" s="121"/>
    </row>
    <row r="23" spans="2:27" x14ac:dyDescent="0.2">
      <c r="B23" s="100">
        <f t="shared" si="4"/>
        <v>14</v>
      </c>
      <c r="C23" s="101"/>
      <c r="D23" s="101" t="s">
        <v>5</v>
      </c>
      <c r="E23" s="102" t="s">
        <v>59</v>
      </c>
      <c r="F23" s="103" t="e">
        <f>#REF!</f>
        <v>#REF!</v>
      </c>
      <c r="G23" s="103"/>
      <c r="H23" s="839"/>
      <c r="I23" s="841"/>
      <c r="J23" s="609">
        <f>'Rates in Detail'!E26</f>
        <v>0.30284999999999984</v>
      </c>
      <c r="K23" s="613">
        <f>'Rates in Detail'!H26</f>
        <v>0</v>
      </c>
      <c r="L23" s="613">
        <f>'Rates in Detail'!F26</f>
        <v>0.26333000000000001</v>
      </c>
      <c r="M23" s="613">
        <f>'Rates in Detail'!I26</f>
        <v>7.8399999999999997E-3</v>
      </c>
      <c r="N23" s="125">
        <f t="shared" si="0"/>
        <v>0.57401999999999986</v>
      </c>
      <c r="O23" s="1244">
        <f>'Rates in Detail'!L26</f>
        <v>1.388E-2</v>
      </c>
      <c r="P23" s="1237">
        <f>'Rates in Detail'!P26</f>
        <v>-2.8400000000000001E-3</v>
      </c>
      <c r="Q23" s="1243">
        <f t="shared" si="1"/>
        <v>0.58505999999999991</v>
      </c>
      <c r="R23" s="1244">
        <f>'Rates in Detail'!S26</f>
        <v>0</v>
      </c>
      <c r="S23" s="1237">
        <f>'Rates in Detail'!T26</f>
        <v>-2.5300000000000001E-3</v>
      </c>
      <c r="T23" s="1237">
        <f>'Rates in Detail'!U26</f>
        <v>1.15E-3</v>
      </c>
      <c r="U23" s="1252">
        <f t="shared" si="2"/>
        <v>0.58252999999999988</v>
      </c>
      <c r="V23" s="1244">
        <f>'Rates in Detail'!Y26</f>
        <v>6.28E-3</v>
      </c>
      <c r="W23" s="1443">
        <f>'Rates in Detail'!Z26</f>
        <v>-2.5000000000000001E-4</v>
      </c>
      <c r="X23" s="1237">
        <f>'Rates in Detail'!AA26</f>
        <v>0</v>
      </c>
      <c r="Y23" s="1439">
        <f>'Rates in Detail'!AB26</f>
        <v>-2.4399999999999999E-3</v>
      </c>
      <c r="Z23" s="1256">
        <f t="shared" si="3"/>
        <v>0.58749999999999991</v>
      </c>
      <c r="AA23" s="121"/>
    </row>
    <row r="24" spans="2:27" x14ac:dyDescent="0.2">
      <c r="B24" s="100">
        <f t="shared" si="4"/>
        <v>15</v>
      </c>
      <c r="C24" s="1226" t="e">
        <f>#REF!</f>
        <v>#REF!</v>
      </c>
      <c r="D24" s="1226" t="s">
        <v>4</v>
      </c>
      <c r="E24" s="105">
        <v>2000</v>
      </c>
      <c r="F24" s="106" t="e">
        <f>#REF!</f>
        <v>#REF!</v>
      </c>
      <c r="G24" s="106" t="e">
        <f>#REF!</f>
        <v>#REF!</v>
      </c>
      <c r="H24" s="844" t="e">
        <f>#REF!</f>
        <v>#REF!</v>
      </c>
      <c r="I24" s="845" t="e">
        <f>#REF!</f>
        <v>#REF!</v>
      </c>
      <c r="J24" s="610">
        <f>'Rates in Detail'!E27</f>
        <v>0.34791</v>
      </c>
      <c r="K24" s="612">
        <f>'Rates in Detail'!H27</f>
        <v>0</v>
      </c>
      <c r="L24" s="612">
        <f>'Rates in Detail'!F27</f>
        <v>0</v>
      </c>
      <c r="M24" s="612">
        <f>'Rates in Detail'!I27</f>
        <v>1.5499999999999999E-3</v>
      </c>
      <c r="N24" s="127">
        <f t="shared" si="0"/>
        <v>0.34945999999999999</v>
      </c>
      <c r="O24" s="1245">
        <f>'Rates in Detail'!L27</f>
        <v>2.562E-2</v>
      </c>
      <c r="P24" s="1246">
        <f>'Rates in Detail'!P27</f>
        <v>-4.3499999999999997E-3</v>
      </c>
      <c r="Q24" s="1247">
        <f t="shared" si="1"/>
        <v>0.37072999999999995</v>
      </c>
      <c r="R24" s="1245">
        <f>'Rates in Detail'!S27</f>
        <v>0</v>
      </c>
      <c r="S24" s="1246">
        <f>'Rates in Detail'!T27</f>
        <v>-3.9100000000000003E-3</v>
      </c>
      <c r="T24" s="1246">
        <f>'Rates in Detail'!U27</f>
        <v>1.3799999999999999E-3</v>
      </c>
      <c r="U24" s="1253">
        <f t="shared" si="2"/>
        <v>0.36681999999999992</v>
      </c>
      <c r="V24" s="1245">
        <f>'Rates in Detail'!Y27</f>
        <v>9.7099999999999999E-3</v>
      </c>
      <c r="W24" s="1444">
        <f>'Rates in Detail'!Z27</f>
        <v>-3.8000000000000002E-4</v>
      </c>
      <c r="X24" s="1246">
        <f>'Rates in Detail'!AA27</f>
        <v>0</v>
      </c>
      <c r="Y24" s="1440">
        <f>'Rates in Detail'!AB27</f>
        <v>-3.7799999999999999E-3</v>
      </c>
      <c r="Z24" s="1256">
        <f t="shared" si="3"/>
        <v>0.3748999999999999</v>
      </c>
      <c r="AA24" s="121"/>
    </row>
    <row r="25" spans="2:27" x14ac:dyDescent="0.2">
      <c r="B25" s="100">
        <f t="shared" si="4"/>
        <v>16</v>
      </c>
      <c r="C25" s="101"/>
      <c r="D25" s="101" t="s">
        <v>5</v>
      </c>
      <c r="E25" s="102" t="s">
        <v>59</v>
      </c>
      <c r="F25" s="103" t="e">
        <f>#REF!</f>
        <v>#REF!</v>
      </c>
      <c r="G25" s="103"/>
      <c r="H25" s="839"/>
      <c r="I25" s="841"/>
      <c r="J25" s="609">
        <f>'Rates in Detail'!E28</f>
        <v>0.30653000000000008</v>
      </c>
      <c r="K25" s="613">
        <f>'Rates in Detail'!H28</f>
        <v>0</v>
      </c>
      <c r="L25" s="613">
        <f>'Rates in Detail'!F28</f>
        <v>0</v>
      </c>
      <c r="M25" s="613">
        <f>'Rates in Detail'!I28</f>
        <v>1.3600000000000001E-3</v>
      </c>
      <c r="N25" s="125">
        <f t="shared" si="0"/>
        <v>0.30789000000000011</v>
      </c>
      <c r="O25" s="1244">
        <f>'Rates in Detail'!L28</f>
        <v>2.257E-2</v>
      </c>
      <c r="P25" s="1237">
        <f>'Rates in Detail'!P28</f>
        <v>-3.8300000000000001E-3</v>
      </c>
      <c r="Q25" s="1243">
        <f t="shared" si="1"/>
        <v>0.32663000000000009</v>
      </c>
      <c r="R25" s="1244">
        <f>'Rates in Detail'!S28</f>
        <v>0</v>
      </c>
      <c r="S25" s="1237">
        <f>'Rates in Detail'!T28</f>
        <v>-3.4399999999999999E-3</v>
      </c>
      <c r="T25" s="1237">
        <f>'Rates in Detail'!U28</f>
        <v>1.2099999999999999E-3</v>
      </c>
      <c r="U25" s="1252">
        <f t="shared" si="2"/>
        <v>0.32319000000000009</v>
      </c>
      <c r="V25" s="1244">
        <f>'Rates in Detail'!Y28</f>
        <v>8.5500000000000003E-3</v>
      </c>
      <c r="W25" s="1443">
        <f>'Rates in Detail'!Z28</f>
        <v>-3.4000000000000002E-4</v>
      </c>
      <c r="X25" s="1237">
        <f>'Rates in Detail'!AA28</f>
        <v>0</v>
      </c>
      <c r="Y25" s="1439">
        <f>'Rates in Detail'!AB28</f>
        <v>-3.3300000000000001E-3</v>
      </c>
      <c r="Z25" s="1256">
        <f t="shared" si="3"/>
        <v>0.33030000000000009</v>
      </c>
      <c r="AA25" s="121"/>
    </row>
    <row r="26" spans="2:27" x14ac:dyDescent="0.2">
      <c r="B26" s="100">
        <f t="shared" si="4"/>
        <v>17</v>
      </c>
      <c r="C26" s="1226" t="e">
        <f>#REF!</f>
        <v>#REF!</v>
      </c>
      <c r="D26" s="1226" t="s">
        <v>4</v>
      </c>
      <c r="E26" s="105">
        <v>2000</v>
      </c>
      <c r="F26" s="106" t="e">
        <f>#REF!</f>
        <v>#REF!</v>
      </c>
      <c r="G26" s="106" t="e">
        <f>#REF!</f>
        <v>#REF!</v>
      </c>
      <c r="H26" s="844" t="e">
        <f>#REF!</f>
        <v>#REF!</v>
      </c>
      <c r="I26" s="845" t="e">
        <f>#REF!</f>
        <v>#REF!</v>
      </c>
      <c r="J26" s="610">
        <f>'Rates in Detail'!E29</f>
        <v>0.34791</v>
      </c>
      <c r="K26" s="612">
        <f>'Rates in Detail'!H29</f>
        <v>0</v>
      </c>
      <c r="L26" s="612">
        <f>'Rates in Detail'!F29</f>
        <v>0</v>
      </c>
      <c r="M26" s="612">
        <f>'Rates in Detail'!I29</f>
        <v>1.5499999999999999E-3</v>
      </c>
      <c r="N26" s="127">
        <f t="shared" si="0"/>
        <v>0.34945999999999999</v>
      </c>
      <c r="O26" s="1245">
        <f>'Rates in Detail'!L29</f>
        <v>1.5949999999999999E-2</v>
      </c>
      <c r="P26" s="1246">
        <f>'Rates in Detail'!P29</f>
        <v>-3.2599999999999999E-3</v>
      </c>
      <c r="Q26" s="1247">
        <f t="shared" si="1"/>
        <v>0.36215000000000003</v>
      </c>
      <c r="R26" s="1245">
        <f>'Rates in Detail'!S29</f>
        <v>0</v>
      </c>
      <c r="S26" s="1246">
        <f>'Rates in Detail'!T29</f>
        <v>-2.8999999999999998E-3</v>
      </c>
      <c r="T26" s="1246">
        <f>'Rates in Detail'!U29</f>
        <v>1.32E-3</v>
      </c>
      <c r="U26" s="1253">
        <f t="shared" si="2"/>
        <v>0.35925000000000001</v>
      </c>
      <c r="V26" s="1245">
        <f>'Rates in Detail'!Y29</f>
        <v>7.2100000000000003E-3</v>
      </c>
      <c r="W26" s="1444">
        <f>'Rates in Detail'!Z29</f>
        <v>-2.9E-4</v>
      </c>
      <c r="X26" s="1246">
        <f>'Rates in Detail'!AA29</f>
        <v>0</v>
      </c>
      <c r="Y26" s="1440">
        <f>'Rates in Detail'!AB29</f>
        <v>-2.81E-3</v>
      </c>
      <c r="Z26" s="1256">
        <f t="shared" si="3"/>
        <v>0.36494000000000004</v>
      </c>
      <c r="AA26" s="121"/>
    </row>
    <row r="27" spans="2:27" x14ac:dyDescent="0.2">
      <c r="B27" s="100">
        <f t="shared" si="4"/>
        <v>18</v>
      </c>
      <c r="C27" s="101"/>
      <c r="D27" s="101" t="s">
        <v>5</v>
      </c>
      <c r="E27" s="102" t="s">
        <v>59</v>
      </c>
      <c r="F27" s="103" t="e">
        <f>#REF!</f>
        <v>#REF!</v>
      </c>
      <c r="G27" s="103"/>
      <c r="H27" s="839"/>
      <c r="I27" s="841"/>
      <c r="J27" s="609">
        <f>'Rates in Detail'!E30</f>
        <v>0.30653000000000008</v>
      </c>
      <c r="K27" s="613">
        <f>'Rates in Detail'!H30</f>
        <v>0</v>
      </c>
      <c r="L27" s="613">
        <f>'Rates in Detail'!F30</f>
        <v>0</v>
      </c>
      <c r="M27" s="613">
        <f>'Rates in Detail'!I30</f>
        <v>1.3600000000000001E-3</v>
      </c>
      <c r="N27" s="125">
        <f t="shared" si="0"/>
        <v>0.30789000000000011</v>
      </c>
      <c r="O27" s="1244">
        <f>'Rates in Detail'!L30</f>
        <v>1.405E-2</v>
      </c>
      <c r="P27" s="1237">
        <f>'Rates in Detail'!P30</f>
        <v>-2.8700000000000002E-3</v>
      </c>
      <c r="Q27" s="1243">
        <f t="shared" si="1"/>
        <v>0.31907000000000013</v>
      </c>
      <c r="R27" s="1244">
        <f>'Rates in Detail'!S30</f>
        <v>0</v>
      </c>
      <c r="S27" s="1237">
        <f>'Rates in Detail'!T30</f>
        <v>-2.5600000000000002E-3</v>
      </c>
      <c r="T27" s="1237">
        <f>'Rates in Detail'!U30</f>
        <v>1.16E-3</v>
      </c>
      <c r="U27" s="1252">
        <f t="shared" si="2"/>
        <v>0.31651000000000012</v>
      </c>
      <c r="V27" s="1244">
        <f>'Rates in Detail'!Y30</f>
        <v>6.3499999999999997E-3</v>
      </c>
      <c r="W27" s="1443">
        <f>'Rates in Detail'!Z30</f>
        <v>-2.5000000000000001E-4</v>
      </c>
      <c r="X27" s="1237">
        <f>'Rates in Detail'!AA30</f>
        <v>0</v>
      </c>
      <c r="Y27" s="1439">
        <f>'Rates in Detail'!AB30</f>
        <v>-2.47E-3</v>
      </c>
      <c r="Z27" s="1256">
        <f t="shared" si="3"/>
        <v>0.32154000000000021</v>
      </c>
      <c r="AA27" s="121"/>
    </row>
    <row r="28" spans="2:27" x14ac:dyDescent="0.2">
      <c r="B28" s="100">
        <f t="shared" si="4"/>
        <v>19</v>
      </c>
      <c r="C28" s="1226" t="e">
        <f>#REF!</f>
        <v>#REF!</v>
      </c>
      <c r="D28" s="1226" t="s">
        <v>4</v>
      </c>
      <c r="E28" s="105">
        <v>10000</v>
      </c>
      <c r="F28" s="106" t="e">
        <f>#REF!</f>
        <v>#REF!</v>
      </c>
      <c r="G28" s="106" t="e">
        <f>#REF!</f>
        <v>#REF!</v>
      </c>
      <c r="H28" s="844" t="e">
        <f>#REF!</f>
        <v>#REF!</v>
      </c>
      <c r="I28" s="845" t="e">
        <f>#REF!</f>
        <v>#REF!</v>
      </c>
      <c r="J28" s="610">
        <f>'Rates in Detail'!E31</f>
        <v>0.15245999999999996</v>
      </c>
      <c r="K28" s="612">
        <f>'Rates in Detail'!H31</f>
        <v>0</v>
      </c>
      <c r="L28" s="612">
        <f>'Rates in Detail'!F31</f>
        <v>0.26333000000000001</v>
      </c>
      <c r="M28" s="612">
        <f>'Rates in Detail'!I31</f>
        <v>1.9560000000000001E-2</v>
      </c>
      <c r="N28" s="127">
        <f t="shared" si="0"/>
        <v>0.43535000000000001</v>
      </c>
      <c r="O28" s="1245">
        <f>'Rates in Detail'!L31</f>
        <v>3.7769999999999998E-2</v>
      </c>
      <c r="P28" s="1246">
        <f>'Rates in Detail'!P31</f>
        <v>-3.0899999999999999E-3</v>
      </c>
      <c r="Q28" s="1247">
        <f t="shared" si="1"/>
        <v>0.47003</v>
      </c>
      <c r="R28" s="1245">
        <f>'Rates in Detail'!S31</f>
        <v>-5.5300000000000002E-3</v>
      </c>
      <c r="S28" s="1246">
        <f>'Rates in Detail'!T31</f>
        <v>-2.9399999999999999E-3</v>
      </c>
      <c r="T28" s="1246">
        <f>'Rates in Detail'!U31</f>
        <v>1.0399999999999999E-3</v>
      </c>
      <c r="U28" s="1253">
        <f t="shared" si="2"/>
        <v>0.46156000000000003</v>
      </c>
      <c r="V28" s="1245">
        <f>'Rates in Detail'!Y31</f>
        <v>2.095E-2</v>
      </c>
      <c r="W28" s="1444">
        <f>'Rates in Detail'!Z31</f>
        <v>-2.9999999999999997E-4</v>
      </c>
      <c r="X28" s="1246">
        <f>'Rates in Detail'!AA31</f>
        <v>-5.5300000000000002E-3</v>
      </c>
      <c r="Y28" s="1440">
        <f>'Rates in Detail'!AB31</f>
        <v>-2.9399999999999999E-3</v>
      </c>
      <c r="Z28" s="1256">
        <f t="shared" si="3"/>
        <v>0.48117000000000004</v>
      </c>
      <c r="AA28" s="121"/>
    </row>
    <row r="29" spans="2:27" x14ac:dyDescent="0.2">
      <c r="B29" s="100">
        <f t="shared" si="4"/>
        <v>20</v>
      </c>
      <c r="C29" s="1226"/>
      <c r="D29" s="1226" t="s">
        <v>5</v>
      </c>
      <c r="E29" s="105">
        <v>20000</v>
      </c>
      <c r="F29" s="106" t="e">
        <f>#REF!</f>
        <v>#REF!</v>
      </c>
      <c r="G29" s="106"/>
      <c r="H29" s="844"/>
      <c r="I29" s="845"/>
      <c r="J29" s="610">
        <f>'Rates in Detail'!E32</f>
        <v>0.1364699999999997</v>
      </c>
      <c r="K29" s="612">
        <f>'Rates in Detail'!H32</f>
        <v>0</v>
      </c>
      <c r="L29" s="612">
        <f>'Rates in Detail'!F32</f>
        <v>0.26333000000000001</v>
      </c>
      <c r="M29" s="612">
        <f>'Rates in Detail'!I32</f>
        <v>1.6539999999999999E-2</v>
      </c>
      <c r="N29" s="127">
        <f t="shared" si="0"/>
        <v>0.41633999999999971</v>
      </c>
      <c r="O29" s="1245">
        <f>'Rates in Detail'!L32</f>
        <v>3.381E-2</v>
      </c>
      <c r="P29" s="1246">
        <f>'Rates in Detail'!P32</f>
        <v>-2.7699999999999999E-3</v>
      </c>
      <c r="Q29" s="1247">
        <f t="shared" si="1"/>
        <v>0.44737999999999972</v>
      </c>
      <c r="R29" s="1245">
        <f>'Rates in Detail'!S32</f>
        <v>-4.9500000000000004E-3</v>
      </c>
      <c r="S29" s="1246">
        <f>'Rates in Detail'!T32</f>
        <v>-2.63E-3</v>
      </c>
      <c r="T29" s="1246">
        <f>'Rates in Detail'!U32</f>
        <v>9.3000000000000005E-4</v>
      </c>
      <c r="U29" s="1253">
        <f t="shared" si="2"/>
        <v>0.43979999999999969</v>
      </c>
      <c r="V29" s="1245">
        <f>'Rates in Detail'!Y32</f>
        <v>1.8749999999999999E-2</v>
      </c>
      <c r="W29" s="1444">
        <f>'Rates in Detail'!Z32</f>
        <v>-2.7E-4</v>
      </c>
      <c r="X29" s="1246">
        <f>'Rates in Detail'!AA32</f>
        <v>-4.9500000000000004E-3</v>
      </c>
      <c r="Y29" s="1440">
        <f>'Rates in Detail'!AB32</f>
        <v>-2.64E-3</v>
      </c>
      <c r="Z29" s="1256">
        <f t="shared" si="3"/>
        <v>0.45733999999999969</v>
      </c>
      <c r="AA29" s="121"/>
    </row>
    <row r="30" spans="2:27" x14ac:dyDescent="0.2">
      <c r="B30" s="100">
        <f t="shared" si="4"/>
        <v>21</v>
      </c>
      <c r="C30" s="1226"/>
      <c r="D30" s="1226" t="s">
        <v>6</v>
      </c>
      <c r="E30" s="105">
        <v>20000</v>
      </c>
      <c r="F30" s="106" t="e">
        <f>#REF!</f>
        <v>#REF!</v>
      </c>
      <c r="G30" s="106"/>
      <c r="H30" s="844"/>
      <c r="I30" s="845"/>
      <c r="J30" s="610">
        <f>'Rates in Detail'!E33</f>
        <v>0.1046699999999999</v>
      </c>
      <c r="K30" s="612">
        <f>'Rates in Detail'!H33</f>
        <v>0</v>
      </c>
      <c r="L30" s="612">
        <f>'Rates in Detail'!F33</f>
        <v>0.26333000000000001</v>
      </c>
      <c r="M30" s="612">
        <f>'Rates in Detail'!I33</f>
        <v>1.052E-2</v>
      </c>
      <c r="N30" s="127">
        <f t="shared" si="0"/>
        <v>0.37851999999999986</v>
      </c>
      <c r="O30" s="1245">
        <f>'Rates in Detail'!L33</f>
        <v>2.5930000000000002E-2</v>
      </c>
      <c r="P30" s="1246">
        <f>'Rates in Detail'!P33</f>
        <v>-2.1199999999999999E-3</v>
      </c>
      <c r="Q30" s="1247">
        <f t="shared" si="1"/>
        <v>0.40232999999999985</v>
      </c>
      <c r="R30" s="1245">
        <f>'Rates in Detail'!S33</f>
        <v>-3.8E-3</v>
      </c>
      <c r="S30" s="1246">
        <f>'Rates in Detail'!T33</f>
        <v>-2.0200000000000001E-3</v>
      </c>
      <c r="T30" s="1246">
        <f>'Rates in Detail'!U33</f>
        <v>7.1000000000000002E-4</v>
      </c>
      <c r="U30" s="1253">
        <f t="shared" si="2"/>
        <v>0.39650999999999981</v>
      </c>
      <c r="V30" s="1245">
        <f>'Rates in Detail'!Y33</f>
        <v>1.438E-2</v>
      </c>
      <c r="W30" s="1444">
        <f>'Rates in Detail'!Z33</f>
        <v>-2.1000000000000001E-4</v>
      </c>
      <c r="X30" s="1246">
        <f>'Rates in Detail'!AA33</f>
        <v>-3.8E-3</v>
      </c>
      <c r="Y30" s="1440">
        <f>'Rates in Detail'!AB33</f>
        <v>-2.0200000000000001E-3</v>
      </c>
      <c r="Z30" s="1256">
        <f t="shared" si="3"/>
        <v>0.40996999999999978</v>
      </c>
      <c r="AA30" s="121"/>
    </row>
    <row r="31" spans="2:27" x14ac:dyDescent="0.2">
      <c r="B31" s="100">
        <f t="shared" si="4"/>
        <v>22</v>
      </c>
      <c r="C31" s="1226"/>
      <c r="D31" s="1226" t="s">
        <v>7</v>
      </c>
      <c r="E31" s="105">
        <v>100000</v>
      </c>
      <c r="F31" s="106" t="e">
        <f>#REF!</f>
        <v>#REF!</v>
      </c>
      <c r="G31" s="106"/>
      <c r="H31" s="844"/>
      <c r="I31" s="845"/>
      <c r="J31" s="610">
        <f>'Rates in Detail'!E34</f>
        <v>8.3729999999999999E-2</v>
      </c>
      <c r="K31" s="612">
        <f>'Rates in Detail'!H34</f>
        <v>0</v>
      </c>
      <c r="L31" s="612">
        <f>'Rates in Detail'!F34</f>
        <v>0.26333000000000001</v>
      </c>
      <c r="M31" s="612">
        <f>'Rates in Detail'!I34</f>
        <v>6.550000000000002E-3</v>
      </c>
      <c r="N31" s="127">
        <f t="shared" si="0"/>
        <v>0.35361000000000004</v>
      </c>
      <c r="O31" s="1245">
        <f>'Rates in Detail'!L34</f>
        <v>2.0740000000000001E-2</v>
      </c>
      <c r="P31" s="1246">
        <f>'Rates in Detail'!P34</f>
        <v>-1.6999999999999999E-3</v>
      </c>
      <c r="Q31" s="1247">
        <f t="shared" si="1"/>
        <v>0.37265000000000004</v>
      </c>
      <c r="R31" s="1245">
        <f>'Rates in Detail'!S34</f>
        <v>-3.0400000000000002E-3</v>
      </c>
      <c r="S31" s="1246">
        <f>'Rates in Detail'!T34</f>
        <v>-1.6100000000000001E-3</v>
      </c>
      <c r="T31" s="1246">
        <f>'Rates in Detail'!U34</f>
        <v>5.6999999999999998E-4</v>
      </c>
      <c r="U31" s="1253">
        <f t="shared" si="2"/>
        <v>0.36800000000000005</v>
      </c>
      <c r="V31" s="1245">
        <f>'Rates in Detail'!Y34</f>
        <v>1.1509999999999999E-2</v>
      </c>
      <c r="W31" s="1444">
        <f>'Rates in Detail'!Z34</f>
        <v>-1.6000000000000001E-4</v>
      </c>
      <c r="X31" s="1246">
        <f>'Rates in Detail'!AA34</f>
        <v>-3.0400000000000002E-3</v>
      </c>
      <c r="Y31" s="1440">
        <f>'Rates in Detail'!AB34</f>
        <v>-1.6199999999999999E-3</v>
      </c>
      <c r="Z31" s="1256">
        <f t="shared" si="3"/>
        <v>0.37877000000000005</v>
      </c>
      <c r="AA31" s="121"/>
    </row>
    <row r="32" spans="2:27" x14ac:dyDescent="0.2">
      <c r="B32" s="100">
        <f t="shared" si="4"/>
        <v>23</v>
      </c>
      <c r="C32" s="1226"/>
      <c r="D32" s="1226" t="s">
        <v>8</v>
      </c>
      <c r="E32" s="105">
        <v>600000</v>
      </c>
      <c r="F32" s="106" t="e">
        <f>#REF!</f>
        <v>#REF!</v>
      </c>
      <c r="G32" s="106"/>
      <c r="H32" s="844"/>
      <c r="I32" s="845"/>
      <c r="J32" s="610">
        <f>'Rates in Detail'!E35</f>
        <v>5.5809999999999992E-2</v>
      </c>
      <c r="K32" s="612">
        <f>'Rates in Detail'!H35</f>
        <v>0</v>
      </c>
      <c r="L32" s="612">
        <f>'Rates in Detail'!F35</f>
        <v>0.26333000000000001</v>
      </c>
      <c r="M32" s="612">
        <f>'Rates in Detail'!I35</f>
        <v>1.239999999999998E-3</v>
      </c>
      <c r="N32" s="127">
        <f t="shared" si="0"/>
        <v>0.32038</v>
      </c>
      <c r="O32" s="1245">
        <f>'Rates in Detail'!L35</f>
        <v>1.383E-2</v>
      </c>
      <c r="P32" s="1246">
        <f>'Rates in Detail'!P35</f>
        <v>-1.1299999999999999E-3</v>
      </c>
      <c r="Q32" s="1247">
        <f t="shared" si="1"/>
        <v>0.33307999999999999</v>
      </c>
      <c r="R32" s="1245">
        <f>'Rates in Detail'!S35</f>
        <v>-2.0200000000000001E-3</v>
      </c>
      <c r="S32" s="1246">
        <f>'Rates in Detail'!T35</f>
        <v>-1.08E-3</v>
      </c>
      <c r="T32" s="1246">
        <f>'Rates in Detail'!U35</f>
        <v>3.8000000000000002E-4</v>
      </c>
      <c r="U32" s="1253">
        <f t="shared" si="2"/>
        <v>0.32997999999999994</v>
      </c>
      <c r="V32" s="1245">
        <f>'Rates in Detail'!Y35</f>
        <v>7.6699999999999997E-3</v>
      </c>
      <c r="W32" s="1444">
        <f>'Rates in Detail'!Z35</f>
        <v>-1.1E-4</v>
      </c>
      <c r="X32" s="1246">
        <f>'Rates in Detail'!AA35</f>
        <v>-2.0200000000000001E-3</v>
      </c>
      <c r="Y32" s="1440">
        <f>'Rates in Detail'!AB35</f>
        <v>-1.08E-3</v>
      </c>
      <c r="Z32" s="1256">
        <f t="shared" si="3"/>
        <v>0.3371599999999999</v>
      </c>
      <c r="AA32" s="121"/>
    </row>
    <row r="33" spans="2:27" x14ac:dyDescent="0.2">
      <c r="B33" s="100">
        <f t="shared" si="4"/>
        <v>24</v>
      </c>
      <c r="C33" s="101"/>
      <c r="D33" s="101" t="s">
        <v>9</v>
      </c>
      <c r="E33" s="102" t="s">
        <v>59</v>
      </c>
      <c r="F33" s="103" t="e">
        <f>#REF!</f>
        <v>#REF!</v>
      </c>
      <c r="G33" s="103"/>
      <c r="H33" s="839"/>
      <c r="I33" s="841"/>
      <c r="J33" s="609">
        <f>'Rates in Detail'!E36</f>
        <v>2.0920000000000029E-2</v>
      </c>
      <c r="K33" s="613">
        <f>'Rates in Detail'!H36</f>
        <v>0</v>
      </c>
      <c r="L33" s="613">
        <f>'Rates in Detail'!F36</f>
        <v>0.26333000000000001</v>
      </c>
      <c r="M33" s="613">
        <f>'Rates in Detail'!I36</f>
        <v>-5.3500000000000006E-3</v>
      </c>
      <c r="N33" s="125">
        <f t="shared" si="0"/>
        <v>0.27890000000000004</v>
      </c>
      <c r="O33" s="1244">
        <f>'Rates in Detail'!L36</f>
        <v>5.1799999999999997E-3</v>
      </c>
      <c r="P33" s="1237">
        <f>'Rates in Detail'!P36</f>
        <v>-4.2000000000000002E-4</v>
      </c>
      <c r="Q33" s="1243">
        <f t="shared" si="1"/>
        <v>0.28366000000000008</v>
      </c>
      <c r="R33" s="1244">
        <f>'Rates in Detail'!S36</f>
        <v>-7.6000000000000004E-4</v>
      </c>
      <c r="S33" s="1237">
        <f>'Rates in Detail'!T36</f>
        <v>-4.0000000000000002E-4</v>
      </c>
      <c r="T33" s="1237">
        <f>'Rates in Detail'!U36</f>
        <v>1.3999999999999999E-4</v>
      </c>
      <c r="U33" s="1252">
        <f t="shared" si="2"/>
        <v>0.28250000000000008</v>
      </c>
      <c r="V33" s="1244">
        <f>'Rates in Detail'!Y36</f>
        <v>2.8800000000000002E-3</v>
      </c>
      <c r="W33" s="1443">
        <f>'Rates in Detail'!Z36</f>
        <v>-4.0000000000000003E-5</v>
      </c>
      <c r="X33" s="1237">
        <f>'Rates in Detail'!AA36</f>
        <v>-7.6000000000000004E-4</v>
      </c>
      <c r="Y33" s="1439">
        <f>'Rates in Detail'!AB36</f>
        <v>-4.0000000000000002E-4</v>
      </c>
      <c r="Z33" s="1256">
        <f t="shared" si="3"/>
        <v>0.28520000000000012</v>
      </c>
      <c r="AA33" s="121"/>
    </row>
    <row r="34" spans="2:27" x14ac:dyDescent="0.2">
      <c r="B34" s="100">
        <f t="shared" si="4"/>
        <v>25</v>
      </c>
      <c r="C34" s="1226" t="e">
        <f>#REF!</f>
        <v>#REF!</v>
      </c>
      <c r="D34" s="1226" t="s">
        <v>4</v>
      </c>
      <c r="E34" s="105">
        <v>10000</v>
      </c>
      <c r="F34" s="106" t="e">
        <f>#REF!</f>
        <v>#REF!</v>
      </c>
      <c r="G34" s="106" t="e">
        <f>#REF!</f>
        <v>#REF!</v>
      </c>
      <c r="H34" s="844" t="e">
        <f>#REF!</f>
        <v>#REF!</v>
      </c>
      <c r="I34" s="845" t="e">
        <f>#REF!</f>
        <v>#REF!</v>
      </c>
      <c r="J34" s="610">
        <f>'Rates in Detail'!E37</f>
        <v>0.14721000000000001</v>
      </c>
      <c r="K34" s="612">
        <f>'Rates in Detail'!H37</f>
        <v>0</v>
      </c>
      <c r="L34" s="612">
        <f>'Rates in Detail'!F37</f>
        <v>0.26333000000000001</v>
      </c>
      <c r="M34" s="612">
        <f>'Rates in Detail'!I37</f>
        <v>-4.6100000000000012E-3</v>
      </c>
      <c r="N34" s="127">
        <f t="shared" si="0"/>
        <v>0.40593000000000001</v>
      </c>
      <c r="O34" s="1245">
        <f>'Rates in Detail'!L37</f>
        <v>1.6219999999999998E-2</v>
      </c>
      <c r="P34" s="1246">
        <f>'Rates in Detail'!P37</f>
        <v>-2.7499999999999998E-3</v>
      </c>
      <c r="Q34" s="1247">
        <f t="shared" si="1"/>
        <v>0.41940000000000005</v>
      </c>
      <c r="R34" s="1245">
        <f>'Rates in Detail'!S37</f>
        <v>0</v>
      </c>
      <c r="S34" s="1246">
        <f>'Rates in Detail'!T37</f>
        <v>-2.47E-3</v>
      </c>
      <c r="T34" s="1246">
        <f>'Rates in Detail'!U37</f>
        <v>8.7000000000000001E-4</v>
      </c>
      <c r="U34" s="1253">
        <f t="shared" si="2"/>
        <v>0.41693000000000002</v>
      </c>
      <c r="V34" s="1245">
        <f>'Rates in Detail'!Y37</f>
        <v>6.1399999999999996E-3</v>
      </c>
      <c r="W34" s="1444">
        <f>'Rates in Detail'!Z37</f>
        <v>-2.4000000000000001E-4</v>
      </c>
      <c r="X34" s="1246">
        <f>'Rates in Detail'!AA37</f>
        <v>0</v>
      </c>
      <c r="Y34" s="1440">
        <f>'Rates in Detail'!AB37</f>
        <v>-2.3900000000000002E-3</v>
      </c>
      <c r="Z34" s="1256">
        <f t="shared" si="3"/>
        <v>0.42203999999999997</v>
      </c>
      <c r="AA34" s="121"/>
    </row>
    <row r="35" spans="2:27" x14ac:dyDescent="0.2">
      <c r="B35" s="100">
        <f t="shared" si="4"/>
        <v>26</v>
      </c>
      <c r="C35" s="1226"/>
      <c r="D35" s="1226" t="s">
        <v>5</v>
      </c>
      <c r="E35" s="105">
        <v>20000</v>
      </c>
      <c r="F35" s="106" t="e">
        <f>#REF!</f>
        <v>#REF!</v>
      </c>
      <c r="G35" s="106"/>
      <c r="H35" s="844"/>
      <c r="I35" s="845"/>
      <c r="J35" s="610">
        <f>'Rates in Detail'!E38</f>
        <v>0.13177</v>
      </c>
      <c r="K35" s="612">
        <f>'Rates in Detail'!H38</f>
        <v>0</v>
      </c>
      <c r="L35" s="612">
        <f>'Rates in Detail'!F38</f>
        <v>0.26333000000000001</v>
      </c>
      <c r="M35" s="612">
        <f>'Rates in Detail'!I38</f>
        <v>-5.1100000000000008E-3</v>
      </c>
      <c r="N35" s="127">
        <f t="shared" si="0"/>
        <v>0.38999</v>
      </c>
      <c r="O35" s="1245">
        <f>'Rates in Detail'!L38</f>
        <v>1.452E-2</v>
      </c>
      <c r="P35" s="1246">
        <f>'Rates in Detail'!P38</f>
        <v>-2.4599999999999999E-3</v>
      </c>
      <c r="Q35" s="1247">
        <f t="shared" si="1"/>
        <v>0.40204999999999996</v>
      </c>
      <c r="R35" s="1245">
        <f>'Rates in Detail'!S38</f>
        <v>0</v>
      </c>
      <c r="S35" s="1246">
        <f>'Rates in Detail'!T38</f>
        <v>-2.2200000000000002E-3</v>
      </c>
      <c r="T35" s="1246">
        <f>'Rates in Detail'!U38</f>
        <v>7.7999999999999999E-4</v>
      </c>
      <c r="U35" s="1253">
        <f t="shared" si="2"/>
        <v>0.39982999999999996</v>
      </c>
      <c r="V35" s="1245">
        <f>'Rates in Detail'!Y38</f>
        <v>5.4999999999999997E-3</v>
      </c>
      <c r="W35" s="1444">
        <f>'Rates in Detail'!Z38</f>
        <v>-2.2000000000000001E-4</v>
      </c>
      <c r="X35" s="1246">
        <f>'Rates in Detail'!AA38</f>
        <v>0</v>
      </c>
      <c r="Y35" s="1440">
        <f>'Rates in Detail'!AB38</f>
        <v>-2.14E-3</v>
      </c>
      <c r="Z35" s="1256">
        <f t="shared" si="3"/>
        <v>0.40440999999999999</v>
      </c>
      <c r="AA35" s="121"/>
    </row>
    <row r="36" spans="2:27" x14ac:dyDescent="0.2">
      <c r="B36" s="100">
        <f t="shared" si="4"/>
        <v>27</v>
      </c>
      <c r="C36" s="1226"/>
      <c r="D36" s="1226" t="s">
        <v>6</v>
      </c>
      <c r="E36" s="105">
        <v>20000</v>
      </c>
      <c r="F36" s="106" t="e">
        <f>#REF!</f>
        <v>#REF!</v>
      </c>
      <c r="G36" s="106"/>
      <c r="H36" s="844"/>
      <c r="I36" s="845"/>
      <c r="J36" s="610">
        <f>'Rates in Detail'!E39</f>
        <v>0.10104999999999985</v>
      </c>
      <c r="K36" s="612">
        <f>'Rates in Detail'!H39</f>
        <v>0</v>
      </c>
      <c r="L36" s="612">
        <f>'Rates in Detail'!F39</f>
        <v>0.26333000000000001</v>
      </c>
      <c r="M36" s="612">
        <f>'Rates in Detail'!I39</f>
        <v>-6.0700000000000007E-3</v>
      </c>
      <c r="N36" s="127">
        <f t="shared" si="0"/>
        <v>0.35830999999999985</v>
      </c>
      <c r="O36" s="1245">
        <f>'Rates in Detail'!L39</f>
        <v>1.1129999999999999E-2</v>
      </c>
      <c r="P36" s="1246">
        <f>'Rates in Detail'!P39</f>
        <v>-1.89E-3</v>
      </c>
      <c r="Q36" s="1247">
        <f t="shared" si="1"/>
        <v>0.36754999999999982</v>
      </c>
      <c r="R36" s="1245">
        <f>'Rates in Detail'!S39</f>
        <v>0</v>
      </c>
      <c r="S36" s="1246">
        <f>'Rates in Detail'!T39</f>
        <v>-1.6999999999999999E-3</v>
      </c>
      <c r="T36" s="1246">
        <f>'Rates in Detail'!U39</f>
        <v>5.9999999999999995E-4</v>
      </c>
      <c r="U36" s="1253">
        <f t="shared" si="2"/>
        <v>0.36584999999999984</v>
      </c>
      <c r="V36" s="1245">
        <f>'Rates in Detail'!Y39</f>
        <v>4.2199999999999998E-3</v>
      </c>
      <c r="W36" s="1444">
        <f>'Rates in Detail'!Z39</f>
        <v>-1.7000000000000001E-4</v>
      </c>
      <c r="X36" s="1246">
        <f>'Rates in Detail'!AA39</f>
        <v>0</v>
      </c>
      <c r="Y36" s="1440">
        <f>'Rates in Detail'!AB39</f>
        <v>-1.64E-3</v>
      </c>
      <c r="Z36" s="1256">
        <f t="shared" si="3"/>
        <v>0.36935999999999986</v>
      </c>
      <c r="AA36" s="121"/>
    </row>
    <row r="37" spans="2:27" x14ac:dyDescent="0.2">
      <c r="B37" s="100">
        <f t="shared" si="4"/>
        <v>28</v>
      </c>
      <c r="C37" s="1226"/>
      <c r="D37" s="1226" t="s">
        <v>7</v>
      </c>
      <c r="E37" s="105">
        <v>100000</v>
      </c>
      <c r="F37" s="106" t="e">
        <f>#REF!</f>
        <v>#REF!</v>
      </c>
      <c r="G37" s="106"/>
      <c r="H37" s="844"/>
      <c r="I37" s="845"/>
      <c r="J37" s="610">
        <f>'Rates in Detail'!E40</f>
        <v>8.0839999999999995E-2</v>
      </c>
      <c r="K37" s="612">
        <f>'Rates in Detail'!H40</f>
        <v>0</v>
      </c>
      <c r="L37" s="612">
        <f>'Rates in Detail'!F40</f>
        <v>0.26333000000000001</v>
      </c>
      <c r="M37" s="612">
        <f>'Rates in Detail'!I40</f>
        <v>-6.7300000000000007E-3</v>
      </c>
      <c r="N37" s="127">
        <f t="shared" si="0"/>
        <v>0.33743999999999996</v>
      </c>
      <c r="O37" s="1245">
        <f>'Rates in Detail'!L40</f>
        <v>8.9099999999999995E-3</v>
      </c>
      <c r="P37" s="1246">
        <f>'Rates in Detail'!P40</f>
        <v>-1.5100000000000001E-3</v>
      </c>
      <c r="Q37" s="1247">
        <f t="shared" si="1"/>
        <v>0.34483999999999992</v>
      </c>
      <c r="R37" s="1245">
        <f>'Rates in Detail'!S40</f>
        <v>0</v>
      </c>
      <c r="S37" s="1246">
        <f>'Rates in Detail'!T40</f>
        <v>-1.3600000000000001E-3</v>
      </c>
      <c r="T37" s="1246">
        <f>'Rates in Detail'!U40</f>
        <v>4.8000000000000001E-4</v>
      </c>
      <c r="U37" s="1253">
        <f t="shared" si="2"/>
        <v>0.3434799999999999</v>
      </c>
      <c r="V37" s="1245">
        <f>'Rates in Detail'!Y40</f>
        <v>3.3700000000000002E-3</v>
      </c>
      <c r="W37" s="1444">
        <f>'Rates in Detail'!Z40</f>
        <v>-1.2999999999999999E-4</v>
      </c>
      <c r="X37" s="1246">
        <f>'Rates in Detail'!AA40</f>
        <v>0</v>
      </c>
      <c r="Y37" s="1440">
        <f>'Rates in Detail'!AB40</f>
        <v>-1.31E-3</v>
      </c>
      <c r="Z37" s="1256">
        <f t="shared" si="3"/>
        <v>0.34628999999999988</v>
      </c>
      <c r="AA37" s="121"/>
    </row>
    <row r="38" spans="2:27" x14ac:dyDescent="0.2">
      <c r="B38" s="100">
        <f t="shared" si="4"/>
        <v>29</v>
      </c>
      <c r="C38" s="1226"/>
      <c r="D38" s="1226" t="s">
        <v>8</v>
      </c>
      <c r="E38" s="105">
        <v>600000</v>
      </c>
      <c r="F38" s="106" t="e">
        <f>#REF!</f>
        <v>#REF!</v>
      </c>
      <c r="G38" s="106"/>
      <c r="H38" s="844"/>
      <c r="I38" s="845"/>
      <c r="J38" s="610">
        <f>'Rates in Detail'!E41</f>
        <v>5.391E-2</v>
      </c>
      <c r="K38" s="612">
        <f>'Rates in Detail'!H41</f>
        <v>0</v>
      </c>
      <c r="L38" s="612">
        <f>'Rates in Detail'!F41</f>
        <v>0.26333000000000001</v>
      </c>
      <c r="M38" s="612">
        <f>'Rates in Detail'!I41</f>
        <v>-7.5900000000000004E-3</v>
      </c>
      <c r="N38" s="127">
        <f t="shared" si="0"/>
        <v>0.30965000000000004</v>
      </c>
      <c r="O38" s="1245">
        <f>'Rates in Detail'!L41</f>
        <v>5.94E-3</v>
      </c>
      <c r="P38" s="1246">
        <f>'Rates in Detail'!P41</f>
        <v>-1.01E-3</v>
      </c>
      <c r="Q38" s="1247">
        <f t="shared" si="1"/>
        <v>0.31458000000000003</v>
      </c>
      <c r="R38" s="1245">
        <f>'Rates in Detail'!S41</f>
        <v>0</v>
      </c>
      <c r="S38" s="1246">
        <f>'Rates in Detail'!T41</f>
        <v>-9.1E-4</v>
      </c>
      <c r="T38" s="1246">
        <f>'Rates in Detail'!U41</f>
        <v>3.2000000000000003E-4</v>
      </c>
      <c r="U38" s="1253">
        <f t="shared" si="2"/>
        <v>0.31367</v>
      </c>
      <c r="V38" s="1245">
        <f>'Rates in Detail'!Y41</f>
        <v>2.2499999999999998E-3</v>
      </c>
      <c r="W38" s="1444">
        <f>'Rates in Detail'!Z41</f>
        <v>-9.0000000000000006E-5</v>
      </c>
      <c r="X38" s="1246">
        <f>'Rates in Detail'!AA41</f>
        <v>0</v>
      </c>
      <c r="Y38" s="1440">
        <f>'Rates in Detail'!AB41</f>
        <v>-8.8000000000000003E-4</v>
      </c>
      <c r="Z38" s="1256">
        <f t="shared" si="3"/>
        <v>0.31553999999999999</v>
      </c>
      <c r="AA38" s="121"/>
    </row>
    <row r="39" spans="2:27" x14ac:dyDescent="0.2">
      <c r="B39" s="100">
        <f t="shared" si="4"/>
        <v>30</v>
      </c>
      <c r="C39" s="101"/>
      <c r="D39" s="101" t="s">
        <v>9</v>
      </c>
      <c r="E39" s="102" t="s">
        <v>59</v>
      </c>
      <c r="F39" s="103" t="e">
        <f>#REF!</f>
        <v>#REF!</v>
      </c>
      <c r="G39" s="103"/>
      <c r="H39" s="839"/>
      <c r="I39" s="841"/>
      <c r="J39" s="609">
        <f>'Rates in Detail'!E42</f>
        <v>2.0199999999999999E-2</v>
      </c>
      <c r="K39" s="613">
        <f>'Rates in Detail'!H42</f>
        <v>0</v>
      </c>
      <c r="L39" s="613">
        <f>'Rates in Detail'!F42</f>
        <v>0.26333000000000001</v>
      </c>
      <c r="M39" s="613">
        <f>'Rates in Detail'!I42</f>
        <v>-8.6700000000000006E-3</v>
      </c>
      <c r="N39" s="125">
        <f t="shared" si="0"/>
        <v>0.27485999999999999</v>
      </c>
      <c r="O39" s="1244">
        <f>'Rates in Detail'!L42</f>
        <v>2.2300000000000002E-3</v>
      </c>
      <c r="P39" s="1237">
        <f>'Rates in Detail'!P42</f>
        <v>-3.8000000000000002E-4</v>
      </c>
      <c r="Q39" s="1243">
        <f t="shared" si="1"/>
        <v>0.27671000000000001</v>
      </c>
      <c r="R39" s="1244">
        <f>'Rates in Detail'!S42</f>
        <v>0</v>
      </c>
      <c r="S39" s="1237">
        <f>'Rates in Detail'!T42</f>
        <v>-3.4000000000000002E-4</v>
      </c>
      <c r="T39" s="1237">
        <f>'Rates in Detail'!U42</f>
        <v>1.2E-4</v>
      </c>
      <c r="U39" s="1252">
        <f t="shared" si="2"/>
        <v>0.27637</v>
      </c>
      <c r="V39" s="1244">
        <f>'Rates in Detail'!Y42</f>
        <v>8.4000000000000003E-4</v>
      </c>
      <c r="W39" s="1443">
        <f>'Rates in Detail'!Z42</f>
        <v>-3.0000000000000001E-5</v>
      </c>
      <c r="X39" s="1237">
        <f>'Rates in Detail'!AA42</f>
        <v>0</v>
      </c>
      <c r="Y39" s="1439">
        <f>'Rates in Detail'!AB42</f>
        <v>-3.3E-4</v>
      </c>
      <c r="Z39" s="1256">
        <f t="shared" si="3"/>
        <v>0.27707000000000004</v>
      </c>
      <c r="AA39" s="121"/>
    </row>
    <row r="40" spans="2:27" x14ac:dyDescent="0.2">
      <c r="B40" s="100">
        <f t="shared" si="4"/>
        <v>31</v>
      </c>
      <c r="C40" s="1226" t="e">
        <f>#REF!</f>
        <v>#REF!</v>
      </c>
      <c r="D40" s="1226" t="s">
        <v>4</v>
      </c>
      <c r="E40" s="105">
        <v>10000</v>
      </c>
      <c r="F40" s="106" t="e">
        <f>#REF!</f>
        <v>#REF!</v>
      </c>
      <c r="G40" s="106" t="e">
        <f>#REF!</f>
        <v>#REF!</v>
      </c>
      <c r="H40" s="844" t="e">
        <f>#REF!</f>
        <v>#REF!</v>
      </c>
      <c r="I40" s="845" t="e">
        <f>#REF!</f>
        <v>#REF!</v>
      </c>
      <c r="J40" s="610">
        <f>'Rates in Detail'!E43</f>
        <v>0.13791999999999999</v>
      </c>
      <c r="K40" s="612">
        <f>'Rates in Detail'!H43</f>
        <v>0</v>
      </c>
      <c r="L40" s="612">
        <f>'Rates in Detail'!F43</f>
        <v>0</v>
      </c>
      <c r="M40" s="612">
        <f>'Rates in Detail'!I43</f>
        <v>5.9999999999999995E-4</v>
      </c>
      <c r="N40" s="127">
        <f t="shared" si="0"/>
        <v>0.13851999999999998</v>
      </c>
      <c r="O40" s="1245">
        <f>'Rates in Detail'!L43</f>
        <v>1.295E-2</v>
      </c>
      <c r="P40" s="1246">
        <f>'Rates in Detail'!P43</f>
        <v>-1.75E-3</v>
      </c>
      <c r="Q40" s="1247">
        <f t="shared" si="1"/>
        <v>0.14971999999999996</v>
      </c>
      <c r="R40" s="1245">
        <f>'Rates in Detail'!S43</f>
        <v>0</v>
      </c>
      <c r="S40" s="1246">
        <f>'Rates in Detail'!T43</f>
        <v>-1.5900000000000001E-3</v>
      </c>
      <c r="T40" s="1246">
        <f>'Rates in Detail'!U43</f>
        <v>5.5999999999999995E-4</v>
      </c>
      <c r="U40" s="1253">
        <f t="shared" si="2"/>
        <v>0.14812999999999996</v>
      </c>
      <c r="V40" s="1245">
        <f>'Rates in Detail'!Y43</f>
        <v>5.94E-3</v>
      </c>
      <c r="W40" s="1444">
        <f>'Rates in Detail'!Z43</f>
        <v>-1.6000000000000001E-4</v>
      </c>
      <c r="X40" s="1246">
        <f>'Rates in Detail'!AA43</f>
        <v>0</v>
      </c>
      <c r="Y40" s="1440">
        <f>'Rates in Detail'!AB43</f>
        <v>-1.56E-3</v>
      </c>
      <c r="Z40" s="1256">
        <f t="shared" si="3"/>
        <v>0.15337999999999996</v>
      </c>
      <c r="AA40" s="121"/>
    </row>
    <row r="41" spans="2:27" x14ac:dyDescent="0.2">
      <c r="B41" s="100">
        <f t="shared" si="4"/>
        <v>32</v>
      </c>
      <c r="C41" s="1226"/>
      <c r="D41" s="1226" t="s">
        <v>5</v>
      </c>
      <c r="E41" s="105">
        <v>20000</v>
      </c>
      <c r="F41" s="106" t="e">
        <f>#REF!</f>
        <v>#REF!</v>
      </c>
      <c r="G41" s="106"/>
      <c r="H41" s="844"/>
      <c r="I41" s="845"/>
      <c r="J41" s="610">
        <f>'Rates in Detail'!E44</f>
        <v>0.12346999999999998</v>
      </c>
      <c r="K41" s="612">
        <f>'Rates in Detail'!H44</f>
        <v>0</v>
      </c>
      <c r="L41" s="612">
        <f>'Rates in Detail'!F44</f>
        <v>0</v>
      </c>
      <c r="M41" s="612">
        <f>'Rates in Detail'!I44</f>
        <v>5.2999999999999998E-4</v>
      </c>
      <c r="N41" s="127">
        <f t="shared" si="0"/>
        <v>0.12399999999999999</v>
      </c>
      <c r="O41" s="1245">
        <f>'Rates in Detail'!L44</f>
        <v>1.159E-2</v>
      </c>
      <c r="P41" s="1246">
        <f>'Rates in Detail'!P44</f>
        <v>-1.57E-3</v>
      </c>
      <c r="Q41" s="1247">
        <f t="shared" si="1"/>
        <v>0.13402</v>
      </c>
      <c r="R41" s="1245">
        <f>'Rates in Detail'!S44</f>
        <v>0</v>
      </c>
      <c r="S41" s="1246">
        <f>'Rates in Detail'!T44</f>
        <v>-1.4300000000000001E-3</v>
      </c>
      <c r="T41" s="1246">
        <f>'Rates in Detail'!U44</f>
        <v>5.0000000000000001E-4</v>
      </c>
      <c r="U41" s="1253">
        <f t="shared" si="2"/>
        <v>0.13259000000000001</v>
      </c>
      <c r="V41" s="1245">
        <f>'Rates in Detail'!Y44</f>
        <v>5.3099999999999996E-3</v>
      </c>
      <c r="W41" s="1444">
        <f>'Rates in Detail'!Z44</f>
        <v>-1.3999999999999999E-4</v>
      </c>
      <c r="X41" s="1246">
        <f>'Rates in Detail'!AA44</f>
        <v>0</v>
      </c>
      <c r="Y41" s="1440">
        <f>'Rates in Detail'!AB44</f>
        <v>-1.39E-3</v>
      </c>
      <c r="Z41" s="1256">
        <f t="shared" si="3"/>
        <v>0.13730000000000001</v>
      </c>
      <c r="AA41" s="121"/>
    </row>
    <row r="42" spans="2:27" x14ac:dyDescent="0.2">
      <c r="B42" s="100">
        <f t="shared" si="4"/>
        <v>33</v>
      </c>
      <c r="C42" s="1226"/>
      <c r="D42" s="1226" t="s">
        <v>6</v>
      </c>
      <c r="E42" s="105">
        <v>20000</v>
      </c>
      <c r="F42" s="106" t="e">
        <f>#REF!</f>
        <v>#REF!</v>
      </c>
      <c r="G42" s="106"/>
      <c r="H42" s="844"/>
      <c r="I42" s="845"/>
      <c r="J42" s="610">
        <f>'Rates in Detail'!E45</f>
        <v>9.4670000000000004E-2</v>
      </c>
      <c r="K42" s="612">
        <f>'Rates in Detail'!H45</f>
        <v>0</v>
      </c>
      <c r="L42" s="612">
        <f>'Rates in Detail'!F45</f>
        <v>0</v>
      </c>
      <c r="M42" s="612">
        <f>'Rates in Detail'!I45</f>
        <v>4.1000000000000005E-4</v>
      </c>
      <c r="N42" s="127">
        <f t="shared" si="0"/>
        <v>9.5079999999999998E-2</v>
      </c>
      <c r="O42" s="1245">
        <f>'Rates in Detail'!L45</f>
        <v>8.8900000000000003E-3</v>
      </c>
      <c r="P42" s="1246">
        <f>'Rates in Detail'!P45</f>
        <v>-1.1999999999999999E-3</v>
      </c>
      <c r="Q42" s="1247">
        <f t="shared" si="1"/>
        <v>0.10276999999999999</v>
      </c>
      <c r="R42" s="1245">
        <f>'Rates in Detail'!S45</f>
        <v>0</v>
      </c>
      <c r="S42" s="1246">
        <f>'Rates in Detail'!T45</f>
        <v>-1.09E-3</v>
      </c>
      <c r="T42" s="1246">
        <f>'Rates in Detail'!U45</f>
        <v>3.8999999999999999E-4</v>
      </c>
      <c r="U42" s="1253">
        <f t="shared" si="2"/>
        <v>0.10167999999999999</v>
      </c>
      <c r="V42" s="1245">
        <f>'Rates in Detail'!Y45</f>
        <v>4.0699999999999998E-3</v>
      </c>
      <c r="W42" s="1444">
        <f>'Rates in Detail'!Z45</f>
        <v>-1.1E-4</v>
      </c>
      <c r="X42" s="1246">
        <f>'Rates in Detail'!AA45</f>
        <v>0</v>
      </c>
      <c r="Y42" s="1440">
        <f>'Rates in Detail'!AB45</f>
        <v>-1.07E-3</v>
      </c>
      <c r="Z42" s="1256">
        <f t="shared" si="3"/>
        <v>0.10527</v>
      </c>
      <c r="AA42" s="121"/>
    </row>
    <row r="43" spans="2:27" x14ac:dyDescent="0.2">
      <c r="B43" s="100">
        <f t="shared" si="4"/>
        <v>34</v>
      </c>
      <c r="C43" s="1226"/>
      <c r="D43" s="1226" t="s">
        <v>7</v>
      </c>
      <c r="E43" s="105">
        <v>100000</v>
      </c>
      <c r="F43" s="106" t="e">
        <f>#REF!</f>
        <v>#REF!</v>
      </c>
      <c r="G43" s="106"/>
      <c r="H43" s="844"/>
      <c r="I43" s="845"/>
      <c r="J43" s="610">
        <f>'Rates in Detail'!E46</f>
        <v>7.5750000000000012E-2</v>
      </c>
      <c r="K43" s="612">
        <f>'Rates in Detail'!H46</f>
        <v>0</v>
      </c>
      <c r="L43" s="612">
        <f>'Rates in Detail'!F46</f>
        <v>0</v>
      </c>
      <c r="M43" s="612">
        <f>'Rates in Detail'!I46</f>
        <v>3.1999999999999997E-4</v>
      </c>
      <c r="N43" s="127">
        <f t="shared" si="0"/>
        <v>7.6070000000000013E-2</v>
      </c>
      <c r="O43" s="1245">
        <f>'Rates in Detail'!L46</f>
        <v>7.11E-3</v>
      </c>
      <c r="P43" s="1246">
        <f>'Rates in Detail'!P46</f>
        <v>-9.6000000000000002E-4</v>
      </c>
      <c r="Q43" s="1247">
        <f t="shared" si="1"/>
        <v>8.2220000000000015E-2</v>
      </c>
      <c r="R43" s="1245">
        <f>'Rates in Detail'!S46</f>
        <v>0</v>
      </c>
      <c r="S43" s="1246">
        <f>'Rates in Detail'!T46</f>
        <v>-8.8000000000000003E-4</v>
      </c>
      <c r="T43" s="1246">
        <f>'Rates in Detail'!U46</f>
        <v>3.1E-4</v>
      </c>
      <c r="U43" s="1253">
        <f t="shared" si="2"/>
        <v>8.134000000000001E-2</v>
      </c>
      <c r="V43" s="1245">
        <f>'Rates in Detail'!Y46</f>
        <v>3.2599999999999999E-3</v>
      </c>
      <c r="W43" s="1444">
        <f>'Rates in Detail'!Z46</f>
        <v>-9.0000000000000006E-5</v>
      </c>
      <c r="X43" s="1246">
        <f>'Rates in Detail'!AA46</f>
        <v>0</v>
      </c>
      <c r="Y43" s="1440">
        <f>'Rates in Detail'!AB46</f>
        <v>-8.4999999999999995E-4</v>
      </c>
      <c r="Z43" s="1256">
        <f t="shared" si="3"/>
        <v>8.4229999999999999E-2</v>
      </c>
      <c r="AA43" s="121"/>
    </row>
    <row r="44" spans="2:27" x14ac:dyDescent="0.2">
      <c r="B44" s="100">
        <f t="shared" si="4"/>
        <v>35</v>
      </c>
      <c r="C44" s="1226"/>
      <c r="D44" s="1226" t="s">
        <v>8</v>
      </c>
      <c r="E44" s="105">
        <v>600000</v>
      </c>
      <c r="F44" s="106" t="e">
        <f>#REF!</f>
        <v>#REF!</v>
      </c>
      <c r="G44" s="106"/>
      <c r="H44" s="844"/>
      <c r="I44" s="845"/>
      <c r="J44" s="610">
        <f>'Rates in Detail'!E47</f>
        <v>5.0500000000000003E-2</v>
      </c>
      <c r="K44" s="612">
        <f>'Rates in Detail'!H47</f>
        <v>0</v>
      </c>
      <c r="L44" s="612">
        <f>'Rates in Detail'!F47</f>
        <v>0</v>
      </c>
      <c r="M44" s="612">
        <f>'Rates in Detail'!I47</f>
        <v>2.1000000000000001E-4</v>
      </c>
      <c r="N44" s="127">
        <f t="shared" si="0"/>
        <v>5.0710000000000005E-2</v>
      </c>
      <c r="O44" s="1245">
        <f>'Rates in Detail'!L47</f>
        <v>4.7400000000000003E-3</v>
      </c>
      <c r="P44" s="1246">
        <f>'Rates in Detail'!P47</f>
        <v>-6.4000000000000005E-4</v>
      </c>
      <c r="Q44" s="1247">
        <f t="shared" si="1"/>
        <v>5.4810000000000005E-2</v>
      </c>
      <c r="R44" s="1245">
        <f>'Rates in Detail'!S47</f>
        <v>0</v>
      </c>
      <c r="S44" s="1246">
        <f>'Rates in Detail'!T47</f>
        <v>-5.8E-4</v>
      </c>
      <c r="T44" s="1246">
        <f>'Rates in Detail'!U47</f>
        <v>2.1000000000000001E-4</v>
      </c>
      <c r="U44" s="1253">
        <f t="shared" si="2"/>
        <v>5.4230000000000007E-2</v>
      </c>
      <c r="V44" s="1245">
        <f>'Rates in Detail'!Y47</f>
        <v>2.1700000000000001E-3</v>
      </c>
      <c r="W44" s="1444">
        <f>'Rates in Detail'!Z47</f>
        <v>-6.0000000000000002E-5</v>
      </c>
      <c r="X44" s="1246">
        <f>'Rates in Detail'!AA47</f>
        <v>0</v>
      </c>
      <c r="Y44" s="1440">
        <f>'Rates in Detail'!AB47</f>
        <v>-5.6999999999999998E-4</v>
      </c>
      <c r="Z44" s="1256">
        <f t="shared" si="3"/>
        <v>5.6140000000000009E-2</v>
      </c>
      <c r="AA44" s="121"/>
    </row>
    <row r="45" spans="2:27" x14ac:dyDescent="0.2">
      <c r="B45" s="100">
        <f t="shared" si="4"/>
        <v>36</v>
      </c>
      <c r="C45" s="101"/>
      <c r="D45" s="101" t="s">
        <v>9</v>
      </c>
      <c r="E45" s="102" t="s">
        <v>59</v>
      </c>
      <c r="F45" s="103" t="e">
        <f>#REF!</f>
        <v>#REF!</v>
      </c>
      <c r="G45" s="103"/>
      <c r="H45" s="839"/>
      <c r="I45" s="841"/>
      <c r="J45" s="609">
        <f>'Rates in Detail'!E48</f>
        <v>1.8929999999999999E-2</v>
      </c>
      <c r="K45" s="613">
        <f>'Rates in Detail'!H48</f>
        <v>0</v>
      </c>
      <c r="L45" s="613">
        <f>'Rates in Detail'!F48</f>
        <v>0</v>
      </c>
      <c r="M45" s="613">
        <f>'Rates in Detail'!I48</f>
        <v>7.9999999999999993E-5</v>
      </c>
      <c r="N45" s="125">
        <f t="shared" si="0"/>
        <v>1.9009999999999999E-2</v>
      </c>
      <c r="O45" s="1244">
        <f>'Rates in Detail'!L48</f>
        <v>1.7799999999999999E-3</v>
      </c>
      <c r="P45" s="1237">
        <f>'Rates in Detail'!P48</f>
        <v>-2.4000000000000001E-4</v>
      </c>
      <c r="Q45" s="1243">
        <f t="shared" si="1"/>
        <v>2.0549999999999999E-2</v>
      </c>
      <c r="R45" s="1244">
        <f>'Rates in Detail'!S48</f>
        <v>0</v>
      </c>
      <c r="S45" s="1237">
        <f>'Rates in Detail'!T48</f>
        <v>-2.2000000000000001E-4</v>
      </c>
      <c r="T45" s="1237">
        <f>'Rates in Detail'!U48</f>
        <v>8.0000000000000007E-5</v>
      </c>
      <c r="U45" s="1252">
        <f t="shared" si="2"/>
        <v>2.0329999999999997E-2</v>
      </c>
      <c r="V45" s="1244">
        <f>'Rates in Detail'!Y48</f>
        <v>8.0999999999999996E-4</v>
      </c>
      <c r="W45" s="1443">
        <f>'Rates in Detail'!Z48</f>
        <v>-2.0000000000000002E-5</v>
      </c>
      <c r="X45" s="1237">
        <f>'Rates in Detail'!AA48</f>
        <v>0</v>
      </c>
      <c r="Y45" s="1439">
        <f>'Rates in Detail'!AB48</f>
        <v>-2.1000000000000001E-4</v>
      </c>
      <c r="Z45" s="1256">
        <f t="shared" si="3"/>
        <v>2.1050000000000003E-2</v>
      </c>
      <c r="AA45" s="121"/>
    </row>
    <row r="46" spans="2:27" x14ac:dyDescent="0.2">
      <c r="B46" s="100">
        <f t="shared" si="4"/>
        <v>37</v>
      </c>
      <c r="C46" s="1226" t="e">
        <f>#REF!</f>
        <v>#REF!</v>
      </c>
      <c r="D46" s="1226" t="s">
        <v>4</v>
      </c>
      <c r="E46" s="105">
        <v>10000</v>
      </c>
      <c r="F46" s="106" t="e">
        <f>#REF!</f>
        <v>#REF!</v>
      </c>
      <c r="G46" s="106" t="e">
        <f>#REF!</f>
        <v>#REF!</v>
      </c>
      <c r="H46" s="844" t="e">
        <f>#REF!</f>
        <v>#REF!</v>
      </c>
      <c r="I46" s="845" t="e">
        <f>#REF!</f>
        <v>#REF!</v>
      </c>
      <c r="J46" s="610">
        <f>'Rates in Detail'!E49</f>
        <v>0.13941000000000001</v>
      </c>
      <c r="K46" s="612">
        <f>'Rates in Detail'!H49</f>
        <v>0</v>
      </c>
      <c r="L46" s="612">
        <f>'Rates in Detail'!F49</f>
        <v>0</v>
      </c>
      <c r="M46" s="612">
        <f>'Rates in Detail'!I49</f>
        <v>5.8999999999999992E-4</v>
      </c>
      <c r="N46" s="127">
        <f t="shared" si="0"/>
        <v>0.14000000000000001</v>
      </c>
      <c r="O46" s="1245">
        <f>'Rates in Detail'!L49</f>
        <v>1.044E-2</v>
      </c>
      <c r="P46" s="1246">
        <f>'Rates in Detail'!P49</f>
        <v>-1.7700000000000001E-3</v>
      </c>
      <c r="Q46" s="1247">
        <f t="shared" si="1"/>
        <v>0.14867000000000002</v>
      </c>
      <c r="R46" s="1245">
        <f>'Rates in Detail'!S49</f>
        <v>0</v>
      </c>
      <c r="S46" s="1246">
        <f>'Rates in Detail'!T49</f>
        <v>-1.5900000000000001E-3</v>
      </c>
      <c r="T46" s="1246">
        <f>'Rates in Detail'!U49</f>
        <v>5.5999999999999995E-4</v>
      </c>
      <c r="U46" s="1253">
        <f t="shared" si="2"/>
        <v>0.14708000000000002</v>
      </c>
      <c r="V46" s="1245">
        <f>'Rates in Detail'!Y49</f>
        <v>3.96E-3</v>
      </c>
      <c r="W46" s="1444">
        <f>'Rates in Detail'!Z49</f>
        <v>-1.6000000000000001E-4</v>
      </c>
      <c r="X46" s="1246">
        <f>'Rates in Detail'!AA49</f>
        <v>0</v>
      </c>
      <c r="Y46" s="1440">
        <f>'Rates in Detail'!AB49</f>
        <v>-1.5399999999999999E-3</v>
      </c>
      <c r="Z46" s="1256">
        <f t="shared" si="3"/>
        <v>0.15037</v>
      </c>
      <c r="AA46" s="121"/>
    </row>
    <row r="47" spans="2:27" x14ac:dyDescent="0.2">
      <c r="B47" s="100">
        <f t="shared" si="4"/>
        <v>38</v>
      </c>
      <c r="C47" s="1226"/>
      <c r="D47" s="1226" t="s">
        <v>5</v>
      </c>
      <c r="E47" s="105">
        <v>20000</v>
      </c>
      <c r="F47" s="106" t="e">
        <f>#REF!</f>
        <v>#REF!</v>
      </c>
      <c r="G47" s="106"/>
      <c r="H47" s="844"/>
      <c r="I47" s="845"/>
      <c r="J47" s="610">
        <f>'Rates in Detail'!E50</f>
        <v>0.12478999999999997</v>
      </c>
      <c r="K47" s="612">
        <f>'Rates in Detail'!H50</f>
        <v>0</v>
      </c>
      <c r="L47" s="612">
        <f>'Rates in Detail'!F50</f>
        <v>0</v>
      </c>
      <c r="M47" s="612">
        <f>'Rates in Detail'!I50</f>
        <v>5.2000000000000006E-4</v>
      </c>
      <c r="N47" s="127">
        <f t="shared" si="0"/>
        <v>0.12530999999999998</v>
      </c>
      <c r="O47" s="1245">
        <f>'Rates in Detail'!L50</f>
        <v>9.3500000000000007E-3</v>
      </c>
      <c r="P47" s="1246">
        <f>'Rates in Detail'!P50</f>
        <v>-1.5900000000000001E-3</v>
      </c>
      <c r="Q47" s="1247">
        <f t="shared" si="1"/>
        <v>0.13306999999999997</v>
      </c>
      <c r="R47" s="1245">
        <f>'Rates in Detail'!S50</f>
        <v>0</v>
      </c>
      <c r="S47" s="1246">
        <f>'Rates in Detail'!T50</f>
        <v>-1.4300000000000001E-3</v>
      </c>
      <c r="T47" s="1246">
        <f>'Rates in Detail'!U50</f>
        <v>5.0000000000000001E-4</v>
      </c>
      <c r="U47" s="1253">
        <f t="shared" si="2"/>
        <v>0.13163999999999998</v>
      </c>
      <c r="V47" s="1245">
        <f>'Rates in Detail'!Y50</f>
        <v>3.5400000000000002E-3</v>
      </c>
      <c r="W47" s="1444">
        <f>'Rates in Detail'!Z50</f>
        <v>-1.3999999999999999E-4</v>
      </c>
      <c r="X47" s="1246">
        <f>'Rates in Detail'!AA50</f>
        <v>0</v>
      </c>
      <c r="Y47" s="1440">
        <f>'Rates in Detail'!AB50</f>
        <v>-1.3799999999999999E-3</v>
      </c>
      <c r="Z47" s="1256">
        <f t="shared" si="3"/>
        <v>0.13458999999999996</v>
      </c>
      <c r="AA47" s="121"/>
    </row>
    <row r="48" spans="2:27" x14ac:dyDescent="0.2">
      <c r="B48" s="100">
        <f t="shared" si="4"/>
        <v>39</v>
      </c>
      <c r="C48" s="1226"/>
      <c r="D48" s="1226" t="s">
        <v>6</v>
      </c>
      <c r="E48" s="105">
        <v>20000</v>
      </c>
      <c r="F48" s="106" t="e">
        <f>#REF!</f>
        <v>#REF!</v>
      </c>
      <c r="G48" s="106"/>
      <c r="H48" s="844"/>
      <c r="I48" s="845"/>
      <c r="J48" s="610">
        <f>'Rates in Detail'!E51</f>
        <v>9.5690000000000011E-2</v>
      </c>
      <c r="K48" s="612">
        <f>'Rates in Detail'!H51</f>
        <v>0</v>
      </c>
      <c r="L48" s="612">
        <f>'Rates in Detail'!F51</f>
        <v>0</v>
      </c>
      <c r="M48" s="612">
        <f>'Rates in Detail'!I51</f>
        <v>4.1000000000000005E-4</v>
      </c>
      <c r="N48" s="127">
        <f t="shared" si="0"/>
        <v>9.6100000000000005E-2</v>
      </c>
      <c r="O48" s="1245">
        <f>'Rates in Detail'!L51</f>
        <v>7.1700000000000002E-3</v>
      </c>
      <c r="P48" s="1246">
        <f>'Rates in Detail'!P51</f>
        <v>-1.2199999999999999E-3</v>
      </c>
      <c r="Q48" s="1247">
        <f t="shared" si="1"/>
        <v>0.10205</v>
      </c>
      <c r="R48" s="1245">
        <f>'Rates in Detail'!S51</f>
        <v>0</v>
      </c>
      <c r="S48" s="1246">
        <f>'Rates in Detail'!T51</f>
        <v>-1.09E-3</v>
      </c>
      <c r="T48" s="1246">
        <f>'Rates in Detail'!U51</f>
        <v>3.8999999999999999E-4</v>
      </c>
      <c r="U48" s="1253">
        <f t="shared" si="2"/>
        <v>0.10096000000000001</v>
      </c>
      <c r="V48" s="1245">
        <f>'Rates in Detail'!Y51</f>
        <v>2.7200000000000002E-3</v>
      </c>
      <c r="W48" s="1444">
        <f>'Rates in Detail'!Z51</f>
        <v>-1.1E-4</v>
      </c>
      <c r="X48" s="1246">
        <f>'Rates in Detail'!AA51</f>
        <v>0</v>
      </c>
      <c r="Y48" s="1440">
        <f>'Rates in Detail'!AB51</f>
        <v>-1.06E-3</v>
      </c>
      <c r="Z48" s="1256">
        <f t="shared" si="3"/>
        <v>0.10321000000000001</v>
      </c>
      <c r="AA48" s="121"/>
    </row>
    <row r="49" spans="2:27" x14ac:dyDescent="0.2">
      <c r="B49" s="100">
        <f t="shared" si="4"/>
        <v>40</v>
      </c>
      <c r="C49" s="1226"/>
      <c r="D49" s="1226" t="s">
        <v>7</v>
      </c>
      <c r="E49" s="105">
        <v>100000</v>
      </c>
      <c r="F49" s="106" t="e">
        <f>#REF!</f>
        <v>#REF!</v>
      </c>
      <c r="G49" s="106"/>
      <c r="H49" s="844"/>
      <c r="I49" s="845"/>
      <c r="J49" s="610">
        <f>'Rates in Detail'!E52</f>
        <v>7.6560000000000017E-2</v>
      </c>
      <c r="K49" s="612">
        <f>'Rates in Detail'!H52</f>
        <v>0</v>
      </c>
      <c r="L49" s="612">
        <f>'Rates in Detail'!F52</f>
        <v>0</v>
      </c>
      <c r="M49" s="612">
        <f>'Rates in Detail'!I52</f>
        <v>3.1999999999999997E-4</v>
      </c>
      <c r="N49" s="127">
        <f t="shared" si="0"/>
        <v>7.6880000000000018E-2</v>
      </c>
      <c r="O49" s="1245">
        <f>'Rates in Detail'!L52</f>
        <v>5.7299999999999999E-3</v>
      </c>
      <c r="P49" s="1246">
        <f>'Rates in Detail'!P52</f>
        <v>-9.7000000000000005E-4</v>
      </c>
      <c r="Q49" s="1247">
        <f t="shared" si="1"/>
        <v>8.1640000000000018E-2</v>
      </c>
      <c r="R49" s="1245">
        <f>'Rates in Detail'!S52</f>
        <v>0</v>
      </c>
      <c r="S49" s="1246">
        <f>'Rates in Detail'!T52</f>
        <v>-8.7000000000000001E-4</v>
      </c>
      <c r="T49" s="1246">
        <f>'Rates in Detail'!U52</f>
        <v>3.1E-4</v>
      </c>
      <c r="U49" s="1253">
        <f t="shared" si="2"/>
        <v>8.0770000000000022E-2</v>
      </c>
      <c r="V49" s="1245">
        <f>'Rates in Detail'!Y52</f>
        <v>2.1700000000000001E-3</v>
      </c>
      <c r="W49" s="1444">
        <f>'Rates in Detail'!Z52</f>
        <v>-9.0000000000000006E-5</v>
      </c>
      <c r="X49" s="1246">
        <f>'Rates in Detail'!AA52</f>
        <v>0</v>
      </c>
      <c r="Y49" s="1440">
        <f>'Rates in Detail'!AB52</f>
        <v>-8.4999999999999995E-4</v>
      </c>
      <c r="Z49" s="1256">
        <f t="shared" si="3"/>
        <v>8.2560000000000022E-2</v>
      </c>
      <c r="AA49" s="121"/>
    </row>
    <row r="50" spans="2:27" x14ac:dyDescent="0.2">
      <c r="B50" s="100">
        <f t="shared" si="4"/>
        <v>41</v>
      </c>
      <c r="C50" s="1226"/>
      <c r="D50" s="1226" t="s">
        <v>8</v>
      </c>
      <c r="E50" s="105">
        <v>600000</v>
      </c>
      <c r="F50" s="106" t="e">
        <f>#REF!</f>
        <v>#REF!</v>
      </c>
      <c r="G50" s="106"/>
      <c r="H50" s="844"/>
      <c r="I50" s="845"/>
      <c r="J50" s="610">
        <f>'Rates in Detail'!E53</f>
        <v>5.1040000000000002E-2</v>
      </c>
      <c r="K50" s="612">
        <f>'Rates in Detail'!H53</f>
        <v>0</v>
      </c>
      <c r="L50" s="612">
        <f>'Rates in Detail'!F53</f>
        <v>0</v>
      </c>
      <c r="M50" s="612">
        <f>'Rates in Detail'!I53</f>
        <v>2.1000000000000001E-4</v>
      </c>
      <c r="N50" s="127">
        <f t="shared" si="0"/>
        <v>5.1250000000000004E-2</v>
      </c>
      <c r="O50" s="1245">
        <f>'Rates in Detail'!L53</f>
        <v>3.82E-3</v>
      </c>
      <c r="P50" s="1246">
        <f>'Rates in Detail'!P53</f>
        <v>-6.4999999999999997E-4</v>
      </c>
      <c r="Q50" s="1247">
        <f t="shared" si="1"/>
        <v>5.4420000000000003E-2</v>
      </c>
      <c r="R50" s="1245">
        <f>'Rates in Detail'!S53</f>
        <v>0</v>
      </c>
      <c r="S50" s="1246">
        <f>'Rates in Detail'!T53</f>
        <v>-5.8E-4</v>
      </c>
      <c r="T50" s="1246">
        <f>'Rates in Detail'!U53</f>
        <v>2.1000000000000001E-4</v>
      </c>
      <c r="U50" s="1253">
        <f t="shared" si="2"/>
        <v>5.3840000000000006E-2</v>
      </c>
      <c r="V50" s="1245">
        <f>'Rates in Detail'!Y53</f>
        <v>1.4499999999999999E-3</v>
      </c>
      <c r="W50" s="1444">
        <f>'Rates in Detail'!Z53</f>
        <v>-6.0000000000000002E-5</v>
      </c>
      <c r="X50" s="1246">
        <f>'Rates in Detail'!AA53</f>
        <v>0</v>
      </c>
      <c r="Y50" s="1440">
        <f>'Rates in Detail'!AB53</f>
        <v>-5.5999999999999995E-4</v>
      </c>
      <c r="Z50" s="1256">
        <f t="shared" si="3"/>
        <v>5.5040000000000013E-2</v>
      </c>
      <c r="AA50" s="121"/>
    </row>
    <row r="51" spans="2:27" x14ac:dyDescent="0.2">
      <c r="B51" s="100">
        <f t="shared" si="4"/>
        <v>42</v>
      </c>
      <c r="C51" s="101"/>
      <c r="D51" s="101" t="s">
        <v>9</v>
      </c>
      <c r="E51" s="102" t="s">
        <v>59</v>
      </c>
      <c r="F51" s="103" t="e">
        <f>#REF!</f>
        <v>#REF!</v>
      </c>
      <c r="G51" s="103"/>
      <c r="H51" s="839"/>
      <c r="I51" s="841"/>
      <c r="J51" s="609">
        <f>'Rates in Detail'!E54</f>
        <v>1.9140000000000001E-2</v>
      </c>
      <c r="K51" s="613">
        <f>'Rates in Detail'!H54</f>
        <v>0</v>
      </c>
      <c r="L51" s="613">
        <f>'Rates in Detail'!F54</f>
        <v>0</v>
      </c>
      <c r="M51" s="613">
        <f>'Rates in Detail'!I54</f>
        <v>7.9999999999999993E-5</v>
      </c>
      <c r="N51" s="125">
        <f t="shared" si="0"/>
        <v>1.9220000000000001E-2</v>
      </c>
      <c r="O51" s="1244">
        <f>'Rates in Detail'!L54</f>
        <v>1.4300000000000001E-3</v>
      </c>
      <c r="P51" s="1237">
        <f>'Rates in Detail'!P54</f>
        <v>-2.4000000000000001E-4</v>
      </c>
      <c r="Q51" s="1243">
        <f t="shared" si="1"/>
        <v>2.0410000000000001E-2</v>
      </c>
      <c r="R51" s="1244">
        <f>'Rates in Detail'!S54</f>
        <v>0</v>
      </c>
      <c r="S51" s="1237">
        <f>'Rates in Detail'!T54</f>
        <v>-2.2000000000000001E-4</v>
      </c>
      <c r="T51" s="1237">
        <f>'Rates in Detail'!U54</f>
        <v>8.0000000000000007E-5</v>
      </c>
      <c r="U51" s="1252">
        <f t="shared" si="2"/>
        <v>2.019E-2</v>
      </c>
      <c r="V51" s="1244">
        <f>'Rates in Detail'!Y54</f>
        <v>5.4000000000000001E-4</v>
      </c>
      <c r="W51" s="1443">
        <f>'Rates in Detail'!Z54</f>
        <v>-2.0000000000000002E-5</v>
      </c>
      <c r="X51" s="1237">
        <f>'Rates in Detail'!AA54</f>
        <v>0</v>
      </c>
      <c r="Y51" s="1439">
        <f>'Rates in Detail'!AB54</f>
        <v>-2.1000000000000001E-4</v>
      </c>
      <c r="Z51" s="1256">
        <f t="shared" si="3"/>
        <v>2.0640000000000002E-2</v>
      </c>
      <c r="AA51" s="121"/>
    </row>
    <row r="52" spans="2:27" x14ac:dyDescent="0.2">
      <c r="B52" s="100">
        <f t="shared" si="4"/>
        <v>43</v>
      </c>
      <c r="C52" s="1226" t="e">
        <f>#REF!</f>
        <v>#REF!</v>
      </c>
      <c r="D52" s="1226" t="s">
        <v>4</v>
      </c>
      <c r="E52" s="105">
        <v>10000</v>
      </c>
      <c r="F52" s="106" t="e">
        <f>#REF!</f>
        <v>#REF!</v>
      </c>
      <c r="G52" s="106" t="e">
        <f>#REF!</f>
        <v>#REF!</v>
      </c>
      <c r="H52" s="844" t="e">
        <f>#REF!</f>
        <v>#REF!</v>
      </c>
      <c r="I52" s="845" t="e">
        <f>#REF!</f>
        <v>#REF!</v>
      </c>
      <c r="J52" s="610">
        <f>'Rates in Detail'!E55</f>
        <v>0.13682000000000002</v>
      </c>
      <c r="K52" s="612">
        <f>'Rates in Detail'!H55</f>
        <v>0</v>
      </c>
      <c r="L52" s="612">
        <f>'Rates in Detail'!F55</f>
        <v>0.26333000000000001</v>
      </c>
      <c r="M52" s="612">
        <f>'Rates in Detail'!I55</f>
        <v>2.334E-2</v>
      </c>
      <c r="N52" s="127">
        <f t="shared" si="0"/>
        <v>0.42349000000000003</v>
      </c>
      <c r="O52" s="1245">
        <f>'Rates in Detail'!L55</f>
        <v>2.2440000000000002E-2</v>
      </c>
      <c r="P52" s="1246">
        <f>'Rates in Detail'!P55</f>
        <v>-1.8400000000000001E-3</v>
      </c>
      <c r="Q52" s="1247">
        <f t="shared" si="1"/>
        <v>0.44409000000000004</v>
      </c>
      <c r="R52" s="1245">
        <f>'Rates in Detail'!S55</f>
        <v>-3.2799999999999999E-3</v>
      </c>
      <c r="S52" s="1246">
        <f>'Rates in Detail'!T55</f>
        <v>-1.75E-3</v>
      </c>
      <c r="T52" s="1246">
        <f>'Rates in Detail'!U55</f>
        <v>6.2E-4</v>
      </c>
      <c r="U52" s="1253">
        <f t="shared" si="2"/>
        <v>0.43906000000000006</v>
      </c>
      <c r="V52" s="1245">
        <f>'Rates in Detail'!Y55</f>
        <v>1.2449999999999999E-2</v>
      </c>
      <c r="W52" s="1444">
        <f>'Rates in Detail'!Z55</f>
        <v>-1.8000000000000001E-4</v>
      </c>
      <c r="X52" s="1246">
        <f>'Rates in Detail'!AA55</f>
        <v>-3.2799999999999999E-3</v>
      </c>
      <c r="Y52" s="1440">
        <f>'Rates in Detail'!AB55</f>
        <v>-1.75E-3</v>
      </c>
      <c r="Z52" s="1256">
        <f t="shared" si="3"/>
        <v>0.45071000000000011</v>
      </c>
      <c r="AA52" s="121"/>
    </row>
    <row r="53" spans="2:27" x14ac:dyDescent="0.2">
      <c r="B53" s="100">
        <f t="shared" si="4"/>
        <v>44</v>
      </c>
      <c r="C53" s="1226"/>
      <c r="D53" s="1226" t="s">
        <v>5</v>
      </c>
      <c r="E53" s="105">
        <v>20000</v>
      </c>
      <c r="F53" s="106" t="e">
        <f>#REF!</f>
        <v>#REF!</v>
      </c>
      <c r="G53" s="106"/>
      <c r="H53" s="844"/>
      <c r="I53" s="845"/>
      <c r="J53" s="610">
        <f>'Rates in Detail'!E56</f>
        <v>0.12246999999999988</v>
      </c>
      <c r="K53" s="612">
        <f>'Rates in Detail'!H56</f>
        <v>0</v>
      </c>
      <c r="L53" s="612">
        <f>'Rates in Detail'!F56</f>
        <v>0.26333000000000001</v>
      </c>
      <c r="M53" s="612">
        <f>'Rates in Detail'!I56</f>
        <v>2.0999999999999998E-2</v>
      </c>
      <c r="N53" s="127">
        <f t="shared" si="0"/>
        <v>0.40679999999999994</v>
      </c>
      <c r="O53" s="1245">
        <f>'Rates in Detail'!L56</f>
        <v>2.009E-2</v>
      </c>
      <c r="P53" s="1246">
        <f>'Rates in Detail'!P56</f>
        <v>-1.64E-3</v>
      </c>
      <c r="Q53" s="1247">
        <f t="shared" si="1"/>
        <v>0.42524999999999996</v>
      </c>
      <c r="R53" s="1245">
        <f>'Rates in Detail'!S56</f>
        <v>-2.9399999999999999E-3</v>
      </c>
      <c r="S53" s="1246">
        <f>'Rates in Detail'!T56</f>
        <v>-1.56E-3</v>
      </c>
      <c r="T53" s="1246">
        <f>'Rates in Detail'!U56</f>
        <v>5.5000000000000003E-4</v>
      </c>
      <c r="U53" s="1253">
        <f t="shared" si="2"/>
        <v>0.42074999999999996</v>
      </c>
      <c r="V53" s="1245">
        <f>'Rates in Detail'!Y56</f>
        <v>1.1140000000000001E-2</v>
      </c>
      <c r="W53" s="1444">
        <f>'Rates in Detail'!Z56</f>
        <v>-1.6000000000000001E-4</v>
      </c>
      <c r="X53" s="1246">
        <f>'Rates in Detail'!AA56</f>
        <v>-2.9399999999999999E-3</v>
      </c>
      <c r="Y53" s="1440">
        <f>'Rates in Detail'!AB56</f>
        <v>-1.57E-3</v>
      </c>
      <c r="Z53" s="1256">
        <f t="shared" si="3"/>
        <v>0.43116999999999994</v>
      </c>
      <c r="AA53" s="121"/>
    </row>
    <row r="54" spans="2:27" x14ac:dyDescent="0.2">
      <c r="B54" s="100">
        <f t="shared" si="4"/>
        <v>45</v>
      </c>
      <c r="C54" s="1226"/>
      <c r="D54" s="1226" t="s">
        <v>6</v>
      </c>
      <c r="E54" s="105">
        <v>20000</v>
      </c>
      <c r="F54" s="106" t="e">
        <f>#REF!</f>
        <v>#REF!</v>
      </c>
      <c r="G54" s="106"/>
      <c r="H54" s="844"/>
      <c r="I54" s="845"/>
      <c r="J54" s="610">
        <f>'Rates in Detail'!E57</f>
        <v>9.3909999999999993E-2</v>
      </c>
      <c r="K54" s="612">
        <f>'Rates in Detail'!H57</f>
        <v>0</v>
      </c>
      <c r="L54" s="612">
        <f>'Rates in Detail'!F57</f>
        <v>0.26333000000000001</v>
      </c>
      <c r="M54" s="612">
        <f>'Rates in Detail'!I57</f>
        <v>1.6370000000000003E-2</v>
      </c>
      <c r="N54" s="127">
        <f t="shared" si="0"/>
        <v>0.37361</v>
      </c>
      <c r="O54" s="1245">
        <f>'Rates in Detail'!L57</f>
        <v>1.54E-2</v>
      </c>
      <c r="P54" s="1246">
        <f>'Rates in Detail'!P57</f>
        <v>-1.2600000000000001E-3</v>
      </c>
      <c r="Q54" s="1247">
        <f t="shared" si="1"/>
        <v>0.38775000000000004</v>
      </c>
      <c r="R54" s="1245">
        <f>'Rates in Detail'!S57</f>
        <v>-2.2499999999999998E-3</v>
      </c>
      <c r="S54" s="1246">
        <f>'Rates in Detail'!T57</f>
        <v>-1.1999999999999999E-3</v>
      </c>
      <c r="T54" s="1246">
        <f>'Rates in Detail'!U57</f>
        <v>4.2000000000000002E-4</v>
      </c>
      <c r="U54" s="1253">
        <f t="shared" si="2"/>
        <v>0.38430000000000009</v>
      </c>
      <c r="V54" s="1245">
        <f>'Rates in Detail'!Y57</f>
        <v>8.5400000000000007E-3</v>
      </c>
      <c r="W54" s="1444">
        <f>'Rates in Detail'!Z57</f>
        <v>-1.2E-4</v>
      </c>
      <c r="X54" s="1246">
        <f>'Rates in Detail'!AA57</f>
        <v>-2.2499999999999998E-3</v>
      </c>
      <c r="Y54" s="1440">
        <f>'Rates in Detail'!AB57</f>
        <v>-1.1999999999999999E-3</v>
      </c>
      <c r="Z54" s="1256">
        <f t="shared" si="3"/>
        <v>0.39230000000000009</v>
      </c>
      <c r="AA54" s="121"/>
    </row>
    <row r="55" spans="2:27" x14ac:dyDescent="0.2">
      <c r="B55" s="100">
        <f t="shared" si="4"/>
        <v>46</v>
      </c>
      <c r="C55" s="1226"/>
      <c r="D55" s="1226" t="s">
        <v>7</v>
      </c>
      <c r="E55" s="105">
        <v>100000</v>
      </c>
      <c r="F55" s="106" t="e">
        <f>#REF!</f>
        <v>#REF!</v>
      </c>
      <c r="G55" s="106"/>
      <c r="H55" s="844"/>
      <c r="I55" s="845"/>
      <c r="J55" s="610">
        <f>'Rates in Detail'!E58</f>
        <v>7.5130000000000044E-2</v>
      </c>
      <c r="K55" s="612">
        <f>'Rates in Detail'!H58</f>
        <v>0</v>
      </c>
      <c r="L55" s="612">
        <f>'Rates in Detail'!F58</f>
        <v>0.26333000000000001</v>
      </c>
      <c r="M55" s="612">
        <f>'Rates in Detail'!I58</f>
        <v>1.3339999999999999E-2</v>
      </c>
      <c r="N55" s="127">
        <f t="shared" si="0"/>
        <v>0.35180000000000006</v>
      </c>
      <c r="O55" s="1245">
        <f>'Rates in Detail'!L58</f>
        <v>1.2319999999999999E-2</v>
      </c>
      <c r="P55" s="1246">
        <f>'Rates in Detail'!P58</f>
        <v>-1.01E-3</v>
      </c>
      <c r="Q55" s="1247">
        <f t="shared" si="1"/>
        <v>0.36311000000000004</v>
      </c>
      <c r="R55" s="1245">
        <f>'Rates in Detail'!S58</f>
        <v>-1.8E-3</v>
      </c>
      <c r="S55" s="1246">
        <f>'Rates in Detail'!T58</f>
        <v>-9.6000000000000002E-4</v>
      </c>
      <c r="T55" s="1246">
        <f>'Rates in Detail'!U58</f>
        <v>3.4000000000000002E-4</v>
      </c>
      <c r="U55" s="1253">
        <f t="shared" si="2"/>
        <v>0.36035</v>
      </c>
      <c r="V55" s="1245">
        <f>'Rates in Detail'!Y58</f>
        <v>6.8300000000000001E-3</v>
      </c>
      <c r="W55" s="1444">
        <f>'Rates in Detail'!Z58</f>
        <v>-1E-4</v>
      </c>
      <c r="X55" s="1246">
        <f>'Rates in Detail'!AA58</f>
        <v>-1.8E-3</v>
      </c>
      <c r="Y55" s="1440">
        <f>'Rates in Detail'!AB58</f>
        <v>-9.6000000000000002E-4</v>
      </c>
      <c r="Z55" s="1256">
        <f t="shared" si="3"/>
        <v>0.36673999999999995</v>
      </c>
      <c r="AA55" s="121"/>
    </row>
    <row r="56" spans="2:27" x14ac:dyDescent="0.2">
      <c r="B56" s="100">
        <f t="shared" si="4"/>
        <v>47</v>
      </c>
      <c r="C56" s="1226"/>
      <c r="D56" s="1226" t="s">
        <v>8</v>
      </c>
      <c r="E56" s="105">
        <v>600000</v>
      </c>
      <c r="F56" s="106" t="e">
        <f>#REF!</f>
        <v>#REF!</v>
      </c>
      <c r="G56" s="106"/>
      <c r="H56" s="844"/>
      <c r="I56" s="845"/>
      <c r="J56" s="610">
        <f>'Rates in Detail'!E59</f>
        <v>5.0089999999999968E-2</v>
      </c>
      <c r="K56" s="612">
        <f>'Rates in Detail'!H59</f>
        <v>0</v>
      </c>
      <c r="L56" s="612">
        <f>'Rates in Detail'!F59</f>
        <v>0.26333000000000001</v>
      </c>
      <c r="M56" s="612">
        <f>'Rates in Detail'!I59</f>
        <v>9.2699999999999987E-3</v>
      </c>
      <c r="N56" s="127">
        <f t="shared" si="0"/>
        <v>0.32268999999999998</v>
      </c>
      <c r="O56" s="1245">
        <f>'Rates in Detail'!L59</f>
        <v>8.2199999999999999E-3</v>
      </c>
      <c r="P56" s="1246">
        <f>'Rates in Detail'!P59</f>
        <v>-6.7000000000000002E-4</v>
      </c>
      <c r="Q56" s="1247">
        <f t="shared" si="1"/>
        <v>0.33023999999999998</v>
      </c>
      <c r="R56" s="1245">
        <f>'Rates in Detail'!S59</f>
        <v>-1.1999999999999999E-3</v>
      </c>
      <c r="S56" s="1246">
        <f>'Rates in Detail'!T59</f>
        <v>-6.4000000000000005E-4</v>
      </c>
      <c r="T56" s="1246">
        <f>'Rates in Detail'!U59</f>
        <v>2.3000000000000001E-4</v>
      </c>
      <c r="U56" s="1253">
        <f t="shared" si="2"/>
        <v>0.32840000000000003</v>
      </c>
      <c r="V56" s="1245">
        <f>'Rates in Detail'!Y59</f>
        <v>4.5599999999999998E-3</v>
      </c>
      <c r="W56" s="1444">
        <f>'Rates in Detail'!Z59</f>
        <v>-6.9999999999999994E-5</v>
      </c>
      <c r="X56" s="1246">
        <f>'Rates in Detail'!AA59</f>
        <v>-1.1999999999999999E-3</v>
      </c>
      <c r="Y56" s="1440">
        <f>'Rates in Detail'!AB59</f>
        <v>-6.4000000000000005E-4</v>
      </c>
      <c r="Z56" s="1256">
        <f t="shared" si="3"/>
        <v>0.33266000000000007</v>
      </c>
      <c r="AA56" s="121"/>
    </row>
    <row r="57" spans="2:27" x14ac:dyDescent="0.2">
      <c r="B57" s="100">
        <f t="shared" si="4"/>
        <v>48</v>
      </c>
      <c r="C57" s="101"/>
      <c r="D57" s="101" t="s">
        <v>9</v>
      </c>
      <c r="E57" s="102" t="s">
        <v>59</v>
      </c>
      <c r="F57" s="103" t="e">
        <f>#REF!</f>
        <v>#REF!</v>
      </c>
      <c r="G57" s="103"/>
      <c r="H57" s="839"/>
      <c r="I57" s="841"/>
      <c r="J57" s="609">
        <f>'Rates in Detail'!E60</f>
        <v>1.8790000000000001E-2</v>
      </c>
      <c r="K57" s="613">
        <f>'Rates in Detail'!H60</f>
        <v>0</v>
      </c>
      <c r="L57" s="613">
        <f>'Rates in Detail'!F60</f>
        <v>0.26333000000000001</v>
      </c>
      <c r="M57" s="613">
        <f>'Rates in Detail'!I60</f>
        <v>4.1999999999999989E-3</v>
      </c>
      <c r="N57" s="125">
        <f t="shared" si="0"/>
        <v>0.28632000000000002</v>
      </c>
      <c r="O57" s="1244">
        <f>'Rates in Detail'!L60</f>
        <v>3.0799999999999998E-3</v>
      </c>
      <c r="P57" s="1237">
        <f>'Rates in Detail'!P60</f>
        <v>-2.5000000000000001E-4</v>
      </c>
      <c r="Q57" s="1243">
        <f t="shared" si="1"/>
        <v>0.28915000000000007</v>
      </c>
      <c r="R57" s="1244">
        <f>'Rates in Detail'!S60</f>
        <v>-4.4999999999999999E-4</v>
      </c>
      <c r="S57" s="1237">
        <f>'Rates in Detail'!T60</f>
        <v>-2.4000000000000001E-4</v>
      </c>
      <c r="T57" s="1237">
        <f>'Rates in Detail'!U60</f>
        <v>8.0000000000000007E-5</v>
      </c>
      <c r="U57" s="1252">
        <f t="shared" si="2"/>
        <v>0.28846000000000005</v>
      </c>
      <c r="V57" s="1244">
        <f>'Rates in Detail'!Y60</f>
        <v>1.7099999999999999E-3</v>
      </c>
      <c r="W57" s="1443">
        <f>'Rates in Detail'!Z60</f>
        <v>-2.0000000000000002E-5</v>
      </c>
      <c r="X57" s="1237">
        <f>'Rates in Detail'!AA60</f>
        <v>-4.4999999999999999E-4</v>
      </c>
      <c r="Y57" s="1439">
        <f>'Rates in Detail'!AB60</f>
        <v>-2.4000000000000001E-4</v>
      </c>
      <c r="Z57" s="1256">
        <f t="shared" si="3"/>
        <v>0.29006999999999999</v>
      </c>
      <c r="AA57" s="121"/>
    </row>
    <row r="58" spans="2:27" x14ac:dyDescent="0.2">
      <c r="B58" s="100">
        <f t="shared" si="4"/>
        <v>49</v>
      </c>
      <c r="C58" s="1226" t="e">
        <f>#REF!</f>
        <v>#REF!</v>
      </c>
      <c r="D58" s="1226" t="s">
        <v>4</v>
      </c>
      <c r="E58" s="105">
        <v>10000</v>
      </c>
      <c r="F58" s="106" t="e">
        <f>#REF!</f>
        <v>#REF!</v>
      </c>
      <c r="G58" s="106" t="e">
        <f>#REF!</f>
        <v>#REF!</v>
      </c>
      <c r="H58" s="844" t="e">
        <f>#REF!</f>
        <v>#REF!</v>
      </c>
      <c r="I58" s="845" t="e">
        <f>#REF!</f>
        <v>#REF!</v>
      </c>
      <c r="J58" s="610">
        <f>'Rates in Detail'!E61</f>
        <v>0.14583999999999989</v>
      </c>
      <c r="K58" s="612">
        <f>'Rates in Detail'!H61</f>
        <v>0</v>
      </c>
      <c r="L58" s="612">
        <f>'Rates in Detail'!F61</f>
        <v>0.26333000000000001</v>
      </c>
      <c r="M58" s="612">
        <f>'Rates in Detail'!I61</f>
        <v>6.9699999999999996E-3</v>
      </c>
      <c r="N58" s="127">
        <f t="shared" si="0"/>
        <v>0.4161399999999999</v>
      </c>
      <c r="O58" s="1245">
        <f>'Rates in Detail'!L61</f>
        <v>1.495E-2</v>
      </c>
      <c r="P58" s="1246">
        <f>'Rates in Detail'!P61</f>
        <v>-2.5400000000000002E-3</v>
      </c>
      <c r="Q58" s="1247">
        <f t="shared" si="1"/>
        <v>0.42854999999999993</v>
      </c>
      <c r="R58" s="1245">
        <f>'Rates in Detail'!S61</f>
        <v>0</v>
      </c>
      <c r="S58" s="1246">
        <f>'Rates in Detail'!T61</f>
        <v>-2.2799999999999999E-3</v>
      </c>
      <c r="T58" s="1246">
        <f>'Rates in Detail'!U61</f>
        <v>8.0000000000000004E-4</v>
      </c>
      <c r="U58" s="1253">
        <f t="shared" si="2"/>
        <v>0.42626999999999993</v>
      </c>
      <c r="V58" s="1245">
        <f>'Rates in Detail'!Y61</f>
        <v>5.6600000000000001E-3</v>
      </c>
      <c r="W58" s="1444">
        <f>'Rates in Detail'!Z61</f>
        <v>-2.2000000000000001E-4</v>
      </c>
      <c r="X58" s="1246">
        <f>'Rates in Detail'!AA61</f>
        <v>0</v>
      </c>
      <c r="Y58" s="1440">
        <f>'Rates in Detail'!AB61</f>
        <v>-2.2100000000000002E-3</v>
      </c>
      <c r="Z58" s="1256">
        <f t="shared" si="3"/>
        <v>0.43097999999999992</v>
      </c>
      <c r="AA58" s="121"/>
    </row>
    <row r="59" spans="2:27" x14ac:dyDescent="0.2">
      <c r="B59" s="100">
        <f t="shared" si="4"/>
        <v>50</v>
      </c>
      <c r="C59" s="1226"/>
      <c r="D59" s="1226" t="s">
        <v>5</v>
      </c>
      <c r="E59" s="105">
        <v>20000</v>
      </c>
      <c r="F59" s="106" t="e">
        <f>#REF!</f>
        <v>#REF!</v>
      </c>
      <c r="G59" s="106"/>
      <c r="H59" s="844"/>
      <c r="I59" s="845"/>
      <c r="J59" s="610">
        <f>'Rates in Detail'!E62</f>
        <v>0.13054999999999992</v>
      </c>
      <c r="K59" s="612">
        <f>'Rates in Detail'!H62</f>
        <v>0</v>
      </c>
      <c r="L59" s="612">
        <f>'Rates in Detail'!F62</f>
        <v>0.26333000000000001</v>
      </c>
      <c r="M59" s="612">
        <f>'Rates in Detail'!I62</f>
        <v>6.3499999999999997E-3</v>
      </c>
      <c r="N59" s="127">
        <f t="shared" si="0"/>
        <v>0.40022999999999992</v>
      </c>
      <c r="O59" s="1245">
        <f>'Rates in Detail'!L62</f>
        <v>1.338E-2</v>
      </c>
      <c r="P59" s="1246">
        <f>'Rates in Detail'!P62</f>
        <v>-2.2699999999999999E-3</v>
      </c>
      <c r="Q59" s="1247">
        <f t="shared" si="1"/>
        <v>0.41133999999999993</v>
      </c>
      <c r="R59" s="1245">
        <f>'Rates in Detail'!S62</f>
        <v>0</v>
      </c>
      <c r="S59" s="1246">
        <f>'Rates in Detail'!T62</f>
        <v>-2.0400000000000001E-3</v>
      </c>
      <c r="T59" s="1246">
        <f>'Rates in Detail'!U62</f>
        <v>7.2000000000000005E-4</v>
      </c>
      <c r="U59" s="1253">
        <f t="shared" si="2"/>
        <v>0.40929999999999994</v>
      </c>
      <c r="V59" s="1245">
        <f>'Rates in Detail'!Y62</f>
        <v>5.0699999999999999E-3</v>
      </c>
      <c r="W59" s="1444">
        <f>'Rates in Detail'!Z62</f>
        <v>-2.0000000000000001E-4</v>
      </c>
      <c r="X59" s="1246">
        <f>'Rates in Detail'!AA62</f>
        <v>0</v>
      </c>
      <c r="Y59" s="1440">
        <f>'Rates in Detail'!AB62</f>
        <v>-1.97E-3</v>
      </c>
      <c r="Z59" s="1256">
        <f t="shared" si="3"/>
        <v>0.41351999999999994</v>
      </c>
      <c r="AA59" s="121"/>
    </row>
    <row r="60" spans="2:27" x14ac:dyDescent="0.2">
      <c r="B60" s="100">
        <f t="shared" si="4"/>
        <v>51</v>
      </c>
      <c r="C60" s="1226"/>
      <c r="D60" s="1226" t="s">
        <v>6</v>
      </c>
      <c r="E60" s="105">
        <v>20000</v>
      </c>
      <c r="F60" s="106" t="e">
        <f>#REF!</f>
        <v>#REF!</v>
      </c>
      <c r="G60" s="106"/>
      <c r="H60" s="844"/>
      <c r="I60" s="845"/>
      <c r="J60" s="610">
        <f>'Rates in Detail'!E63</f>
        <v>0.10011</v>
      </c>
      <c r="K60" s="612">
        <f>'Rates in Detail'!H63</f>
        <v>0</v>
      </c>
      <c r="L60" s="612">
        <f>'Rates in Detail'!F63</f>
        <v>0.26333000000000001</v>
      </c>
      <c r="M60" s="612">
        <f>'Rates in Detail'!I63</f>
        <v>5.1399999999999996E-3</v>
      </c>
      <c r="N60" s="127">
        <f t="shared" si="0"/>
        <v>0.36857999999999996</v>
      </c>
      <c r="O60" s="1245">
        <f>'Rates in Detail'!L63</f>
        <v>1.026E-2</v>
      </c>
      <c r="P60" s="1246">
        <f>'Rates in Detail'!P63</f>
        <v>-1.74E-3</v>
      </c>
      <c r="Q60" s="1247">
        <f t="shared" si="1"/>
        <v>0.37709999999999994</v>
      </c>
      <c r="R60" s="1245">
        <f>'Rates in Detail'!S63</f>
        <v>0</v>
      </c>
      <c r="S60" s="1246">
        <f>'Rates in Detail'!T63</f>
        <v>-1.56E-3</v>
      </c>
      <c r="T60" s="1246">
        <f>'Rates in Detail'!U63</f>
        <v>5.5000000000000003E-4</v>
      </c>
      <c r="U60" s="1253">
        <f t="shared" si="2"/>
        <v>0.37553999999999993</v>
      </c>
      <c r="V60" s="1245">
        <f>'Rates in Detail'!Y63</f>
        <v>3.8899999999999998E-3</v>
      </c>
      <c r="W60" s="1444">
        <f>'Rates in Detail'!Z63</f>
        <v>-1.4999999999999999E-4</v>
      </c>
      <c r="X60" s="1246">
        <f>'Rates in Detail'!AA63</f>
        <v>0</v>
      </c>
      <c r="Y60" s="1440">
        <f>'Rates in Detail'!AB63</f>
        <v>-1.5100000000000001E-3</v>
      </c>
      <c r="Z60" s="1256">
        <f t="shared" si="3"/>
        <v>0.37877999999999995</v>
      </c>
      <c r="AA60" s="121"/>
    </row>
    <row r="61" spans="2:27" x14ac:dyDescent="0.2">
      <c r="B61" s="100">
        <f t="shared" si="4"/>
        <v>52</v>
      </c>
      <c r="C61" s="1226"/>
      <c r="D61" s="1226" t="s">
        <v>7</v>
      </c>
      <c r="E61" s="105">
        <v>100000</v>
      </c>
      <c r="F61" s="106" t="e">
        <f>#REF!</f>
        <v>#REF!</v>
      </c>
      <c r="G61" s="106"/>
      <c r="H61" s="844"/>
      <c r="I61" s="845"/>
      <c r="J61" s="610">
        <f>'Rates in Detail'!E64</f>
        <v>8.0089999999999995E-2</v>
      </c>
      <c r="K61" s="612">
        <f>'Rates in Detail'!H64</f>
        <v>0</v>
      </c>
      <c r="L61" s="612">
        <f>'Rates in Detail'!F64</f>
        <v>0.26333000000000001</v>
      </c>
      <c r="M61" s="612">
        <f>'Rates in Detail'!I64</f>
        <v>4.3499999999999997E-3</v>
      </c>
      <c r="N61" s="127">
        <f t="shared" si="0"/>
        <v>0.34777000000000002</v>
      </c>
      <c r="O61" s="1245">
        <f>'Rates in Detail'!L64</f>
        <v>8.2100000000000003E-3</v>
      </c>
      <c r="P61" s="1246">
        <f>'Rates in Detail'!P64</f>
        <v>-1.39E-3</v>
      </c>
      <c r="Q61" s="1247">
        <f t="shared" si="1"/>
        <v>0.35459000000000002</v>
      </c>
      <c r="R61" s="1245">
        <f>'Rates in Detail'!S64</f>
        <v>0</v>
      </c>
      <c r="S61" s="1246">
        <f>'Rates in Detail'!T64</f>
        <v>-1.25E-3</v>
      </c>
      <c r="T61" s="1246">
        <f>'Rates in Detail'!U64</f>
        <v>4.4000000000000002E-4</v>
      </c>
      <c r="U61" s="1253">
        <f t="shared" si="2"/>
        <v>0.35334000000000004</v>
      </c>
      <c r="V61" s="1245">
        <f>'Rates in Detail'!Y64</f>
        <v>3.1099999999999999E-3</v>
      </c>
      <c r="W61" s="1444">
        <f>'Rates in Detail'!Z64</f>
        <v>-1.2E-4</v>
      </c>
      <c r="X61" s="1246">
        <f>'Rates in Detail'!AA64</f>
        <v>0</v>
      </c>
      <c r="Y61" s="1440">
        <f>'Rates in Detail'!AB64</f>
        <v>-1.2099999999999999E-3</v>
      </c>
      <c r="Z61" s="1256">
        <f t="shared" si="3"/>
        <v>0.35593000000000002</v>
      </c>
      <c r="AA61" s="121"/>
    </row>
    <row r="62" spans="2:27" x14ac:dyDescent="0.2">
      <c r="B62" s="100">
        <f t="shared" si="4"/>
        <v>53</v>
      </c>
      <c r="C62" s="1226"/>
      <c r="D62" s="1226" t="s">
        <v>8</v>
      </c>
      <c r="E62" s="105">
        <v>600000</v>
      </c>
      <c r="F62" s="106" t="e">
        <f>#REF!</f>
        <v>#REF!</v>
      </c>
      <c r="G62" s="106"/>
      <c r="H62" s="844"/>
      <c r="I62" s="845"/>
      <c r="J62" s="610">
        <f>'Rates in Detail'!E65</f>
        <v>5.339E-2</v>
      </c>
      <c r="K62" s="612">
        <f>'Rates in Detail'!H65</f>
        <v>0</v>
      </c>
      <c r="L62" s="612">
        <f>'Rates in Detail'!F65</f>
        <v>0.26333000000000001</v>
      </c>
      <c r="M62" s="612">
        <f>'Rates in Detail'!I65</f>
        <v>3.2999999999999995E-3</v>
      </c>
      <c r="N62" s="127">
        <f t="shared" si="0"/>
        <v>0.32002000000000003</v>
      </c>
      <c r="O62" s="1245">
        <f>'Rates in Detail'!L65</f>
        <v>5.47E-3</v>
      </c>
      <c r="P62" s="1246">
        <f>'Rates in Detail'!P65</f>
        <v>-9.3000000000000005E-4</v>
      </c>
      <c r="Q62" s="1247">
        <f t="shared" si="1"/>
        <v>0.32456000000000002</v>
      </c>
      <c r="R62" s="1245">
        <f>'Rates in Detail'!S65</f>
        <v>0</v>
      </c>
      <c r="S62" s="1246">
        <f>'Rates in Detail'!T65</f>
        <v>-8.3000000000000001E-4</v>
      </c>
      <c r="T62" s="1246">
        <f>'Rates in Detail'!U65</f>
        <v>2.9E-4</v>
      </c>
      <c r="U62" s="1253">
        <f t="shared" si="2"/>
        <v>0.32373000000000002</v>
      </c>
      <c r="V62" s="1245">
        <f>'Rates in Detail'!Y65</f>
        <v>2.0699999999999998E-3</v>
      </c>
      <c r="W62" s="1444">
        <f>'Rates in Detail'!Z65</f>
        <v>-8.0000000000000007E-5</v>
      </c>
      <c r="X62" s="1246">
        <f>'Rates in Detail'!AA65</f>
        <v>0</v>
      </c>
      <c r="Y62" s="1440">
        <f>'Rates in Detail'!AB65</f>
        <v>-8.0999999999999996E-4</v>
      </c>
      <c r="Z62" s="1256">
        <f t="shared" si="3"/>
        <v>0.32545000000000002</v>
      </c>
      <c r="AA62" s="121"/>
    </row>
    <row r="63" spans="2:27" x14ac:dyDescent="0.2">
      <c r="B63" s="100">
        <f t="shared" si="4"/>
        <v>54</v>
      </c>
      <c r="C63" s="101"/>
      <c r="D63" s="101" t="s">
        <v>9</v>
      </c>
      <c r="E63" s="102" t="s">
        <v>59</v>
      </c>
      <c r="F63" s="103" t="e">
        <f>#REF!</f>
        <v>#REF!</v>
      </c>
      <c r="G63" s="103"/>
      <c r="H63" s="839"/>
      <c r="I63" s="841"/>
      <c r="J63" s="609">
        <f>'Rates in Detail'!E66</f>
        <v>2.002E-2</v>
      </c>
      <c r="K63" s="613">
        <f>'Rates in Detail'!H66</f>
        <v>0</v>
      </c>
      <c r="L63" s="613">
        <f>'Rates in Detail'!F66</f>
        <v>0.26333000000000001</v>
      </c>
      <c r="M63" s="613">
        <f>'Rates in Detail'!I66</f>
        <v>1.9499999999999995E-3</v>
      </c>
      <c r="N63" s="125">
        <f t="shared" si="0"/>
        <v>0.2853</v>
      </c>
      <c r="O63" s="1244">
        <f>'Rates in Detail'!L66</f>
        <v>2.0500000000000002E-3</v>
      </c>
      <c r="P63" s="1237">
        <f>'Rates in Detail'!P66</f>
        <v>-3.5E-4</v>
      </c>
      <c r="Q63" s="1243">
        <f t="shared" si="1"/>
        <v>0.28699999999999998</v>
      </c>
      <c r="R63" s="1244">
        <f>'Rates in Detail'!S66</f>
        <v>0</v>
      </c>
      <c r="S63" s="1237">
        <f>'Rates in Detail'!T66</f>
        <v>-3.1E-4</v>
      </c>
      <c r="T63" s="1237">
        <f>'Rates in Detail'!U66</f>
        <v>1.1E-4</v>
      </c>
      <c r="U63" s="1252">
        <f t="shared" si="2"/>
        <v>0.28669</v>
      </c>
      <c r="V63" s="1244">
        <f>'Rates in Detail'!Y66</f>
        <v>7.7999999999999999E-4</v>
      </c>
      <c r="W63" s="1443">
        <f>'Rates in Detail'!Z66</f>
        <v>-3.0000000000000001E-5</v>
      </c>
      <c r="X63" s="1237">
        <f>'Rates in Detail'!AA66</f>
        <v>0</v>
      </c>
      <c r="Y63" s="1439">
        <f>'Rates in Detail'!AB66</f>
        <v>-2.9999999999999997E-4</v>
      </c>
      <c r="Z63" s="1256">
        <f t="shared" si="3"/>
        <v>0.28733999999999998</v>
      </c>
      <c r="AA63" s="121"/>
    </row>
    <row r="64" spans="2:27" x14ac:dyDescent="0.2">
      <c r="B64" s="100">
        <f t="shared" si="4"/>
        <v>55</v>
      </c>
      <c r="C64" s="1226" t="e">
        <f>#REF!</f>
        <v>#REF!</v>
      </c>
      <c r="D64" s="1226" t="s">
        <v>4</v>
      </c>
      <c r="E64" s="105">
        <v>10000</v>
      </c>
      <c r="F64" s="106" t="e">
        <f>#REF!</f>
        <v>#REF!</v>
      </c>
      <c r="G64" s="106" t="e">
        <f>#REF!</f>
        <v>#REF!</v>
      </c>
      <c r="H64" s="844" t="e">
        <f>#REF!</f>
        <v>#REF!</v>
      </c>
      <c r="I64" s="845" t="e">
        <f>#REF!</f>
        <v>#REF!</v>
      </c>
      <c r="J64" s="610">
        <f>'Rates in Detail'!E67</f>
        <v>0.13402999999999998</v>
      </c>
      <c r="K64" s="612">
        <f>'Rates in Detail'!H67</f>
        <v>0</v>
      </c>
      <c r="L64" s="612">
        <f>'Rates in Detail'!F67</f>
        <v>0</v>
      </c>
      <c r="M64" s="612">
        <f>'Rates in Detail'!I67</f>
        <v>5.6999999999999998E-4</v>
      </c>
      <c r="N64" s="127">
        <f t="shared" si="0"/>
        <v>0.13459999999999997</v>
      </c>
      <c r="O64" s="1245">
        <f>'Rates in Detail'!L67</f>
        <v>6.1399999999999996E-3</v>
      </c>
      <c r="P64" s="1246">
        <f>'Rates in Detail'!P67</f>
        <v>-1.2600000000000001E-3</v>
      </c>
      <c r="Q64" s="1247">
        <f t="shared" si="1"/>
        <v>0.13947999999999997</v>
      </c>
      <c r="R64" s="1245">
        <f>'Rates in Detail'!S67</f>
        <v>0</v>
      </c>
      <c r="S64" s="1246">
        <f>'Rates in Detail'!T67</f>
        <v>-1.1199999999999999E-3</v>
      </c>
      <c r="T64" s="1246">
        <f>'Rates in Detail'!U67</f>
        <v>5.1000000000000004E-4</v>
      </c>
      <c r="U64" s="1253">
        <f t="shared" si="2"/>
        <v>0.13835999999999996</v>
      </c>
      <c r="V64" s="1245">
        <f>'Rates in Detail'!Y67</f>
        <v>2.7799999999999999E-3</v>
      </c>
      <c r="W64" s="1444">
        <f>'Rates in Detail'!Z67</f>
        <v>-1.1E-4</v>
      </c>
      <c r="X64" s="1246">
        <f>'Rates in Detail'!AA67</f>
        <v>0</v>
      </c>
      <c r="Y64" s="1440">
        <f>'Rates in Detail'!AB67</f>
        <v>-1.08E-3</v>
      </c>
      <c r="Z64" s="1256">
        <f t="shared" si="3"/>
        <v>0.14055999999999996</v>
      </c>
      <c r="AA64" s="121"/>
    </row>
    <row r="65" spans="2:27" x14ac:dyDescent="0.2">
      <c r="B65" s="100">
        <f t="shared" si="4"/>
        <v>56</v>
      </c>
      <c r="C65" s="1226"/>
      <c r="D65" s="1226" t="s">
        <v>5</v>
      </c>
      <c r="E65" s="105">
        <v>20000</v>
      </c>
      <c r="F65" s="106" t="e">
        <f>#REF!</f>
        <v>#REF!</v>
      </c>
      <c r="G65" s="106"/>
      <c r="H65" s="844"/>
      <c r="I65" s="845"/>
      <c r="J65" s="610">
        <f>'Rates in Detail'!E68</f>
        <v>0.11997999999999999</v>
      </c>
      <c r="K65" s="612">
        <f>'Rates in Detail'!H68</f>
        <v>0</v>
      </c>
      <c r="L65" s="612">
        <f>'Rates in Detail'!F68</f>
        <v>0</v>
      </c>
      <c r="M65" s="612">
        <f>'Rates in Detail'!I68</f>
        <v>5.1000000000000004E-4</v>
      </c>
      <c r="N65" s="127">
        <f t="shared" si="0"/>
        <v>0.12048999999999999</v>
      </c>
      <c r="O65" s="1245">
        <f>'Rates in Detail'!L68</f>
        <v>5.4999999999999997E-3</v>
      </c>
      <c r="P65" s="1246">
        <f>'Rates in Detail'!P68</f>
        <v>-1.1199999999999999E-3</v>
      </c>
      <c r="Q65" s="1247">
        <f t="shared" si="1"/>
        <v>0.12486999999999999</v>
      </c>
      <c r="R65" s="1245">
        <f>'Rates in Detail'!S68</f>
        <v>0</v>
      </c>
      <c r="S65" s="1246">
        <f>'Rates in Detail'!T68</f>
        <v>-1E-3</v>
      </c>
      <c r="T65" s="1246">
        <f>'Rates in Detail'!U68</f>
        <v>4.4999999999999999E-4</v>
      </c>
      <c r="U65" s="1253">
        <f t="shared" si="2"/>
        <v>0.12386999999999999</v>
      </c>
      <c r="V65" s="1245">
        <f>'Rates in Detail'!Y68</f>
        <v>2.49E-3</v>
      </c>
      <c r="W65" s="1444">
        <f>'Rates in Detail'!Z68</f>
        <v>-1E-4</v>
      </c>
      <c r="X65" s="1246">
        <f>'Rates in Detail'!AA68</f>
        <v>0</v>
      </c>
      <c r="Y65" s="1440">
        <f>'Rates in Detail'!AB68</f>
        <v>-9.7000000000000005E-4</v>
      </c>
      <c r="Z65" s="1256">
        <f t="shared" si="3"/>
        <v>0.12584000000000001</v>
      </c>
      <c r="AA65" s="121"/>
    </row>
    <row r="66" spans="2:27" x14ac:dyDescent="0.2">
      <c r="B66" s="100">
        <f t="shared" si="4"/>
        <v>57</v>
      </c>
      <c r="C66" s="1226"/>
      <c r="D66" s="1226" t="s">
        <v>6</v>
      </c>
      <c r="E66" s="105">
        <v>20000</v>
      </c>
      <c r="F66" s="106" t="e">
        <f>#REF!</f>
        <v>#REF!</v>
      </c>
      <c r="G66" s="106"/>
      <c r="H66" s="844"/>
      <c r="I66" s="845"/>
      <c r="J66" s="610">
        <f>'Rates in Detail'!E69</f>
        <v>9.1999999999999998E-2</v>
      </c>
      <c r="K66" s="612">
        <f>'Rates in Detail'!H69</f>
        <v>0</v>
      </c>
      <c r="L66" s="612">
        <f>'Rates in Detail'!F69</f>
        <v>0</v>
      </c>
      <c r="M66" s="612">
        <f>'Rates in Detail'!I69</f>
        <v>3.7999999999999997E-4</v>
      </c>
      <c r="N66" s="127">
        <f t="shared" si="0"/>
        <v>9.2380000000000004E-2</v>
      </c>
      <c r="O66" s="1245">
        <f>'Rates in Detail'!L69</f>
        <v>4.2199999999999998E-3</v>
      </c>
      <c r="P66" s="1246">
        <f>'Rates in Detail'!P69</f>
        <v>-8.5999999999999998E-4</v>
      </c>
      <c r="Q66" s="1247">
        <f t="shared" si="1"/>
        <v>9.5740000000000006E-2</v>
      </c>
      <c r="R66" s="1245">
        <f>'Rates in Detail'!S69</f>
        <v>0</v>
      </c>
      <c r="S66" s="1246">
        <f>'Rates in Detail'!T69</f>
        <v>-7.6999999999999996E-4</v>
      </c>
      <c r="T66" s="1246">
        <f>'Rates in Detail'!U69</f>
        <v>3.5E-4</v>
      </c>
      <c r="U66" s="1253">
        <f t="shared" si="2"/>
        <v>9.4969999999999999E-2</v>
      </c>
      <c r="V66" s="1245">
        <f>'Rates in Detail'!Y69</f>
        <v>1.91E-3</v>
      </c>
      <c r="W66" s="1444">
        <f>'Rates in Detail'!Z69</f>
        <v>-8.0000000000000007E-5</v>
      </c>
      <c r="X66" s="1246">
        <f>'Rates in Detail'!AA69</f>
        <v>0</v>
      </c>
      <c r="Y66" s="1440">
        <f>'Rates in Detail'!AB69</f>
        <v>-7.3999999999999999E-4</v>
      </c>
      <c r="Z66" s="1256">
        <f t="shared" si="3"/>
        <v>9.6479999999999996E-2</v>
      </c>
      <c r="AA66" s="121"/>
    </row>
    <row r="67" spans="2:27" x14ac:dyDescent="0.2">
      <c r="B67" s="100">
        <f t="shared" si="4"/>
        <v>58</v>
      </c>
      <c r="C67" s="1226"/>
      <c r="D67" s="1226" t="s">
        <v>7</v>
      </c>
      <c r="E67" s="105">
        <v>100000</v>
      </c>
      <c r="F67" s="106" t="e">
        <f>#REF!</f>
        <v>#REF!</v>
      </c>
      <c r="G67" s="106"/>
      <c r="H67" s="844"/>
      <c r="I67" s="845"/>
      <c r="J67" s="610">
        <f>'Rates in Detail'!E70</f>
        <v>7.3609999999999995E-2</v>
      </c>
      <c r="K67" s="612">
        <f>'Rates in Detail'!H70</f>
        <v>0</v>
      </c>
      <c r="L67" s="612">
        <f>'Rates in Detail'!F70</f>
        <v>0</v>
      </c>
      <c r="M67" s="612">
        <f>'Rates in Detail'!I70</f>
        <v>3.0999999999999995E-4</v>
      </c>
      <c r="N67" s="127">
        <f t="shared" si="0"/>
        <v>7.392E-2</v>
      </c>
      <c r="O67" s="1245">
        <f>'Rates in Detail'!L70</f>
        <v>3.3700000000000002E-3</v>
      </c>
      <c r="P67" s="1246">
        <f>'Rates in Detail'!P70</f>
        <v>-6.8999999999999997E-4</v>
      </c>
      <c r="Q67" s="1247">
        <f t="shared" si="1"/>
        <v>7.6600000000000001E-2</v>
      </c>
      <c r="R67" s="1245">
        <f>'Rates in Detail'!S70</f>
        <v>0</v>
      </c>
      <c r="S67" s="1246">
        <f>'Rates in Detail'!T70</f>
        <v>-6.0999999999999997E-4</v>
      </c>
      <c r="T67" s="1246">
        <f>'Rates in Detail'!U70</f>
        <v>2.7999999999999998E-4</v>
      </c>
      <c r="U67" s="1253">
        <f t="shared" si="2"/>
        <v>7.5990000000000002E-2</v>
      </c>
      <c r="V67" s="1245">
        <f>'Rates in Detail'!Y70</f>
        <v>1.5299999999999999E-3</v>
      </c>
      <c r="W67" s="1444">
        <f>'Rates in Detail'!Z70</f>
        <v>-6.0000000000000002E-5</v>
      </c>
      <c r="X67" s="1246">
        <f>'Rates in Detail'!AA70</f>
        <v>0</v>
      </c>
      <c r="Y67" s="1440">
        <f>'Rates in Detail'!AB70</f>
        <v>-5.9000000000000003E-4</v>
      </c>
      <c r="Z67" s="1256">
        <f t="shared" si="3"/>
        <v>7.7200000000000005E-2</v>
      </c>
      <c r="AA67" s="121"/>
    </row>
    <row r="68" spans="2:27" x14ac:dyDescent="0.2">
      <c r="B68" s="100">
        <f t="shared" si="4"/>
        <v>59</v>
      </c>
      <c r="C68" s="1226"/>
      <c r="D68" s="1226" t="s">
        <v>8</v>
      </c>
      <c r="E68" s="105">
        <v>600000</v>
      </c>
      <c r="F68" s="106" t="e">
        <f>#REF!</f>
        <v>#REF!</v>
      </c>
      <c r="G68" s="106"/>
      <c r="H68" s="844"/>
      <c r="I68" s="845"/>
      <c r="J68" s="610">
        <f>'Rates in Detail'!E71</f>
        <v>4.9079999999999999E-2</v>
      </c>
      <c r="K68" s="612">
        <f>'Rates in Detail'!H71</f>
        <v>0</v>
      </c>
      <c r="L68" s="612">
        <f>'Rates in Detail'!F71</f>
        <v>0</v>
      </c>
      <c r="M68" s="612">
        <f>'Rates in Detail'!I71</f>
        <v>2.0999999999999998E-4</v>
      </c>
      <c r="N68" s="127">
        <f t="shared" si="0"/>
        <v>4.929E-2</v>
      </c>
      <c r="O68" s="1245">
        <f>'Rates in Detail'!L71</f>
        <v>2.2499999999999998E-3</v>
      </c>
      <c r="P68" s="1246">
        <f>'Rates in Detail'!P71</f>
        <v>-4.6000000000000001E-4</v>
      </c>
      <c r="Q68" s="1247">
        <f t="shared" si="1"/>
        <v>5.108E-2</v>
      </c>
      <c r="R68" s="1245">
        <f>'Rates in Detail'!S71</f>
        <v>0</v>
      </c>
      <c r="S68" s="1246">
        <f>'Rates in Detail'!T71</f>
        <v>-4.0999999999999999E-4</v>
      </c>
      <c r="T68" s="1246">
        <f>'Rates in Detail'!U71</f>
        <v>1.9000000000000001E-4</v>
      </c>
      <c r="U68" s="1253">
        <f t="shared" si="2"/>
        <v>5.067E-2</v>
      </c>
      <c r="V68" s="1245">
        <f>'Rates in Detail'!Y71</f>
        <v>1.0200000000000001E-3</v>
      </c>
      <c r="W68" s="1444">
        <f>'Rates in Detail'!Z71</f>
        <v>-4.0000000000000003E-5</v>
      </c>
      <c r="X68" s="1246">
        <f>'Rates in Detail'!AA71</f>
        <v>0</v>
      </c>
      <c r="Y68" s="1440">
        <f>'Rates in Detail'!AB71</f>
        <v>-4.0000000000000002E-4</v>
      </c>
      <c r="Z68" s="1256">
        <f t="shared" si="3"/>
        <v>5.1470000000000002E-2</v>
      </c>
      <c r="AA68" s="121"/>
    </row>
    <row r="69" spans="2:27" x14ac:dyDescent="0.2">
      <c r="B69" s="100">
        <f t="shared" si="4"/>
        <v>60</v>
      </c>
      <c r="C69" s="101"/>
      <c r="D69" s="101" t="s">
        <v>9</v>
      </c>
      <c r="E69" s="102" t="s">
        <v>59</v>
      </c>
      <c r="F69" s="103" t="e">
        <f>#REF!</f>
        <v>#REF!</v>
      </c>
      <c r="G69" s="103"/>
      <c r="H69" s="839"/>
      <c r="I69" s="841"/>
      <c r="J69" s="609">
        <f>'Rates in Detail'!E72</f>
        <v>1.839E-2</v>
      </c>
      <c r="K69" s="613">
        <f>'Rates in Detail'!H72</f>
        <v>0</v>
      </c>
      <c r="L69" s="613">
        <f>'Rates in Detail'!F72</f>
        <v>0</v>
      </c>
      <c r="M69" s="613">
        <f>'Rates in Detail'!I72</f>
        <v>6.9999999999999994E-5</v>
      </c>
      <c r="N69" s="125">
        <f t="shared" si="0"/>
        <v>1.8460000000000001E-2</v>
      </c>
      <c r="O69" s="1244">
        <f>'Rates in Detail'!L72</f>
        <v>8.4000000000000003E-4</v>
      </c>
      <c r="P69" s="1237">
        <f>'Rates in Detail'!P72</f>
        <v>-1.7000000000000001E-4</v>
      </c>
      <c r="Q69" s="1243">
        <f t="shared" si="1"/>
        <v>1.9130000000000001E-2</v>
      </c>
      <c r="R69" s="1244">
        <f>'Rates in Detail'!S72</f>
        <v>0</v>
      </c>
      <c r="S69" s="1237">
        <f>'Rates in Detail'!T72</f>
        <v>-1.4999999999999999E-4</v>
      </c>
      <c r="T69" s="1237">
        <f>'Rates in Detail'!U72</f>
        <v>6.9999999999999994E-5</v>
      </c>
      <c r="U69" s="1252">
        <f t="shared" si="2"/>
        <v>1.898E-2</v>
      </c>
      <c r="V69" s="1244">
        <f>'Rates in Detail'!Y72</f>
        <v>3.8000000000000002E-4</v>
      </c>
      <c r="W69" s="1443">
        <f>'Rates in Detail'!Z72</f>
        <v>-2.0000000000000002E-5</v>
      </c>
      <c r="X69" s="1237">
        <f>'Rates in Detail'!AA72</f>
        <v>0</v>
      </c>
      <c r="Y69" s="1439">
        <f>'Rates in Detail'!AB72</f>
        <v>-1.4999999999999999E-4</v>
      </c>
      <c r="Z69" s="1256">
        <f t="shared" si="3"/>
        <v>1.9269999999999999E-2</v>
      </c>
      <c r="AA69" s="121"/>
    </row>
    <row r="70" spans="2:27" x14ac:dyDescent="0.2">
      <c r="B70" s="100">
        <f t="shared" si="4"/>
        <v>61</v>
      </c>
      <c r="C70" s="1226" t="e">
        <f>#REF!</f>
        <v>#REF!</v>
      </c>
      <c r="D70" s="1226" t="s">
        <v>4</v>
      </c>
      <c r="E70" s="105">
        <v>10000</v>
      </c>
      <c r="F70" s="106" t="e">
        <f>#REF!</f>
        <v>#REF!</v>
      </c>
      <c r="G70" s="106" t="e">
        <f>#REF!</f>
        <v>#REF!</v>
      </c>
      <c r="H70" s="844" t="e">
        <f>#REF!</f>
        <v>#REF!</v>
      </c>
      <c r="I70" s="845" t="e">
        <f>#REF!</f>
        <v>#REF!</v>
      </c>
      <c r="J70" s="610">
        <f>'Rates in Detail'!E73</f>
        <v>0.13402999999999998</v>
      </c>
      <c r="K70" s="612">
        <f>'Rates in Detail'!H73</f>
        <v>0</v>
      </c>
      <c r="L70" s="612">
        <f>'Rates in Detail'!F73</f>
        <v>0</v>
      </c>
      <c r="M70" s="612">
        <f>'Rates in Detail'!I73</f>
        <v>5.6999999999999998E-4</v>
      </c>
      <c r="N70" s="127">
        <f t="shared" si="0"/>
        <v>0.13459999999999997</v>
      </c>
      <c r="O70" s="1245">
        <f>'Rates in Detail'!L73</f>
        <v>8.7899999999999992E-3</v>
      </c>
      <c r="P70" s="1246">
        <f>'Rates in Detail'!P73</f>
        <v>-1.49E-3</v>
      </c>
      <c r="Q70" s="1247">
        <f t="shared" si="1"/>
        <v>0.14189999999999997</v>
      </c>
      <c r="R70" s="1245">
        <f>'Rates in Detail'!S73</f>
        <v>0</v>
      </c>
      <c r="S70" s="1246">
        <f>'Rates in Detail'!T73</f>
        <v>-1.34E-3</v>
      </c>
      <c r="T70" s="1246">
        <f>'Rates in Detail'!U73</f>
        <v>4.6999999999999999E-4</v>
      </c>
      <c r="U70" s="1253">
        <f t="shared" si="2"/>
        <v>0.14055999999999996</v>
      </c>
      <c r="V70" s="1245">
        <f>'Rates in Detail'!Y73</f>
        <v>3.3300000000000001E-3</v>
      </c>
      <c r="W70" s="1444">
        <f>'Rates in Detail'!Z73</f>
        <v>-1.2999999999999999E-4</v>
      </c>
      <c r="X70" s="1246">
        <f>'Rates in Detail'!AA73</f>
        <v>0</v>
      </c>
      <c r="Y70" s="1440">
        <f>'Rates in Detail'!AB73</f>
        <v>-1.2999999999999999E-3</v>
      </c>
      <c r="Z70" s="1256">
        <f t="shared" si="3"/>
        <v>0.14332999999999999</v>
      </c>
      <c r="AA70" s="121"/>
    </row>
    <row r="71" spans="2:27" x14ac:dyDescent="0.2">
      <c r="B71" s="100">
        <f t="shared" si="4"/>
        <v>62</v>
      </c>
      <c r="C71" s="1226"/>
      <c r="D71" s="1226" t="s">
        <v>5</v>
      </c>
      <c r="E71" s="105">
        <v>20000</v>
      </c>
      <c r="F71" s="106" t="e">
        <f>#REF!</f>
        <v>#REF!</v>
      </c>
      <c r="G71" s="106"/>
      <c r="H71" s="844"/>
      <c r="I71" s="845"/>
      <c r="J71" s="610">
        <f>'Rates in Detail'!E74</f>
        <v>0.11997999999999999</v>
      </c>
      <c r="K71" s="612">
        <f>'Rates in Detail'!H74</f>
        <v>0</v>
      </c>
      <c r="L71" s="612">
        <f>'Rates in Detail'!F74</f>
        <v>0</v>
      </c>
      <c r="M71" s="612">
        <f>'Rates in Detail'!I74</f>
        <v>5.1000000000000004E-4</v>
      </c>
      <c r="N71" s="127">
        <f t="shared" si="0"/>
        <v>0.12048999999999999</v>
      </c>
      <c r="O71" s="1245">
        <f>'Rates in Detail'!L74</f>
        <v>7.8600000000000007E-3</v>
      </c>
      <c r="P71" s="1246">
        <f>'Rates in Detail'!P74</f>
        <v>-1.33E-3</v>
      </c>
      <c r="Q71" s="1247">
        <f t="shared" si="1"/>
        <v>0.12701999999999999</v>
      </c>
      <c r="R71" s="1245">
        <f>'Rates in Detail'!S74</f>
        <v>0</v>
      </c>
      <c r="S71" s="1246">
        <f>'Rates in Detail'!T74</f>
        <v>-1.1999999999999999E-3</v>
      </c>
      <c r="T71" s="1246">
        <f>'Rates in Detail'!U74</f>
        <v>4.2000000000000002E-4</v>
      </c>
      <c r="U71" s="1253">
        <f t="shared" si="2"/>
        <v>0.12581999999999999</v>
      </c>
      <c r="V71" s="1245">
        <f>'Rates in Detail'!Y74</f>
        <v>2.98E-3</v>
      </c>
      <c r="W71" s="1444">
        <f>'Rates in Detail'!Z74</f>
        <v>-1.2E-4</v>
      </c>
      <c r="X71" s="1246">
        <f>'Rates in Detail'!AA74</f>
        <v>0</v>
      </c>
      <c r="Y71" s="1440">
        <f>'Rates in Detail'!AB74</f>
        <v>-1.16E-3</v>
      </c>
      <c r="Z71" s="1256">
        <f t="shared" si="3"/>
        <v>0.1283</v>
      </c>
      <c r="AA71" s="121"/>
    </row>
    <row r="72" spans="2:27" x14ac:dyDescent="0.2">
      <c r="B72" s="100">
        <f t="shared" si="4"/>
        <v>63</v>
      </c>
      <c r="C72" s="1226"/>
      <c r="D72" s="1226" t="s">
        <v>6</v>
      </c>
      <c r="E72" s="105">
        <v>20000</v>
      </c>
      <c r="F72" s="106" t="e">
        <f>#REF!</f>
        <v>#REF!</v>
      </c>
      <c r="G72" s="106"/>
      <c r="H72" s="844"/>
      <c r="I72" s="845"/>
      <c r="J72" s="610">
        <f>'Rates in Detail'!E75</f>
        <v>9.1999999999999998E-2</v>
      </c>
      <c r="K72" s="612">
        <f>'Rates in Detail'!H75</f>
        <v>0</v>
      </c>
      <c r="L72" s="612">
        <f>'Rates in Detail'!F75</f>
        <v>0</v>
      </c>
      <c r="M72" s="612">
        <f>'Rates in Detail'!I75</f>
        <v>3.7999999999999997E-4</v>
      </c>
      <c r="N72" s="127">
        <f t="shared" si="0"/>
        <v>9.2380000000000004E-2</v>
      </c>
      <c r="O72" s="1245">
        <f>'Rates in Detail'!L75</f>
        <v>6.0299999999999998E-3</v>
      </c>
      <c r="P72" s="1246">
        <f>'Rates in Detail'!P75</f>
        <v>-1.0200000000000001E-3</v>
      </c>
      <c r="Q72" s="1247">
        <f t="shared" si="1"/>
        <v>9.7390000000000004E-2</v>
      </c>
      <c r="R72" s="1245">
        <f>'Rates in Detail'!S75</f>
        <v>0</v>
      </c>
      <c r="S72" s="1246">
        <f>'Rates in Detail'!T75</f>
        <v>-9.2000000000000003E-4</v>
      </c>
      <c r="T72" s="1246">
        <f>'Rates in Detail'!U75</f>
        <v>3.2000000000000003E-4</v>
      </c>
      <c r="U72" s="1253">
        <f t="shared" si="2"/>
        <v>9.647E-2</v>
      </c>
      <c r="V72" s="1245">
        <f>'Rates in Detail'!Y75</f>
        <v>2.2799999999999999E-3</v>
      </c>
      <c r="W72" s="1444">
        <f>'Rates in Detail'!Z75</f>
        <v>-9.0000000000000006E-5</v>
      </c>
      <c r="X72" s="1246">
        <f>'Rates in Detail'!AA75</f>
        <v>0</v>
      </c>
      <c r="Y72" s="1440">
        <f>'Rates in Detail'!AB75</f>
        <v>-8.8999999999999995E-4</v>
      </c>
      <c r="Z72" s="1256">
        <f t="shared" si="3"/>
        <v>9.8369999999999999E-2</v>
      </c>
      <c r="AA72" s="121"/>
    </row>
    <row r="73" spans="2:27" x14ac:dyDescent="0.2">
      <c r="B73" s="100">
        <f t="shared" si="4"/>
        <v>64</v>
      </c>
      <c r="C73" s="1226"/>
      <c r="D73" s="1226" t="s">
        <v>7</v>
      </c>
      <c r="E73" s="105">
        <v>100000</v>
      </c>
      <c r="F73" s="106" t="e">
        <f>#REF!</f>
        <v>#REF!</v>
      </c>
      <c r="G73" s="106"/>
      <c r="H73" s="844"/>
      <c r="I73" s="845"/>
      <c r="J73" s="610">
        <f>'Rates in Detail'!E76</f>
        <v>7.3609999999999995E-2</v>
      </c>
      <c r="K73" s="612">
        <f>'Rates in Detail'!H76</f>
        <v>0</v>
      </c>
      <c r="L73" s="612">
        <f>'Rates in Detail'!F76</f>
        <v>0</v>
      </c>
      <c r="M73" s="612">
        <f>'Rates in Detail'!I76</f>
        <v>3.0999999999999995E-4</v>
      </c>
      <c r="N73" s="127">
        <f t="shared" si="0"/>
        <v>7.392E-2</v>
      </c>
      <c r="O73" s="1245">
        <f>'Rates in Detail'!L76</f>
        <v>4.8300000000000001E-3</v>
      </c>
      <c r="P73" s="1246">
        <f>'Rates in Detail'!P76</f>
        <v>-8.1999999999999998E-4</v>
      </c>
      <c r="Q73" s="1247">
        <f t="shared" si="1"/>
        <v>7.7929999999999999E-2</v>
      </c>
      <c r="R73" s="1245">
        <f>'Rates in Detail'!S76</f>
        <v>0</v>
      </c>
      <c r="S73" s="1246">
        <f>'Rates in Detail'!T76</f>
        <v>-7.3999999999999999E-4</v>
      </c>
      <c r="T73" s="1246">
        <f>'Rates in Detail'!U76</f>
        <v>2.5999999999999998E-4</v>
      </c>
      <c r="U73" s="1253">
        <f t="shared" si="2"/>
        <v>7.7189999999999995E-2</v>
      </c>
      <c r="V73" s="1245">
        <f>'Rates in Detail'!Y76</f>
        <v>1.83E-3</v>
      </c>
      <c r="W73" s="1444">
        <f>'Rates in Detail'!Z76</f>
        <v>-6.9999999999999994E-5</v>
      </c>
      <c r="X73" s="1246">
        <f>'Rates in Detail'!AA76</f>
        <v>0</v>
      </c>
      <c r="Y73" s="1440">
        <f>'Rates in Detail'!AB76</f>
        <v>-7.1000000000000002E-4</v>
      </c>
      <c r="Z73" s="1256">
        <f t="shared" si="3"/>
        <v>7.8719999999999984E-2</v>
      </c>
      <c r="AA73" s="121"/>
    </row>
    <row r="74" spans="2:27" x14ac:dyDescent="0.2">
      <c r="B74" s="100">
        <f t="shared" si="4"/>
        <v>65</v>
      </c>
      <c r="C74" s="1226"/>
      <c r="D74" s="1226" t="s">
        <v>8</v>
      </c>
      <c r="E74" s="105">
        <v>600000</v>
      </c>
      <c r="F74" s="106" t="e">
        <f>#REF!</f>
        <v>#REF!</v>
      </c>
      <c r="G74" s="106"/>
      <c r="H74" s="844"/>
      <c r="I74" s="845"/>
      <c r="J74" s="610">
        <f>'Rates in Detail'!E77</f>
        <v>4.9079999999999999E-2</v>
      </c>
      <c r="K74" s="612">
        <f>'Rates in Detail'!H77</f>
        <v>0</v>
      </c>
      <c r="L74" s="612">
        <f>'Rates in Detail'!F77</f>
        <v>0</v>
      </c>
      <c r="M74" s="612">
        <f>'Rates in Detail'!I77</f>
        <v>2.0999999999999998E-4</v>
      </c>
      <c r="N74" s="127">
        <f t="shared" si="0"/>
        <v>4.929E-2</v>
      </c>
      <c r="O74" s="1245">
        <f>'Rates in Detail'!L77</f>
        <v>3.2200000000000002E-3</v>
      </c>
      <c r="P74" s="1246">
        <f>'Rates in Detail'!P77</f>
        <v>-5.5000000000000003E-4</v>
      </c>
      <c r="Q74" s="1247">
        <f t="shared" si="1"/>
        <v>5.1959999999999999E-2</v>
      </c>
      <c r="R74" s="1245">
        <f>'Rates in Detail'!S77</f>
        <v>0</v>
      </c>
      <c r="S74" s="1246">
        <f>'Rates in Detail'!T77</f>
        <v>-4.8999999999999998E-4</v>
      </c>
      <c r="T74" s="1246">
        <f>'Rates in Detail'!U77</f>
        <v>1.7000000000000001E-4</v>
      </c>
      <c r="U74" s="1253">
        <f t="shared" si="2"/>
        <v>5.1470000000000002E-2</v>
      </c>
      <c r="V74" s="1245">
        <f>'Rates in Detail'!Y77</f>
        <v>1.2199999999999999E-3</v>
      </c>
      <c r="W74" s="1444">
        <f>'Rates in Detail'!Z77</f>
        <v>-5.0000000000000002E-5</v>
      </c>
      <c r="X74" s="1246">
        <f>'Rates in Detail'!AA77</f>
        <v>0</v>
      </c>
      <c r="Y74" s="1440">
        <f>'Rates in Detail'!AB77</f>
        <v>-4.6999999999999999E-4</v>
      </c>
      <c r="Z74" s="1256">
        <f t="shared" si="3"/>
        <v>5.2490000000000002E-2</v>
      </c>
      <c r="AA74" s="121"/>
    </row>
    <row r="75" spans="2:27" x14ac:dyDescent="0.2">
      <c r="B75" s="100">
        <f t="shared" si="4"/>
        <v>66</v>
      </c>
      <c r="C75" s="101"/>
      <c r="D75" s="101" t="s">
        <v>9</v>
      </c>
      <c r="E75" s="102" t="s">
        <v>59</v>
      </c>
      <c r="F75" s="103" t="e">
        <f>#REF!</f>
        <v>#REF!</v>
      </c>
      <c r="G75" s="103"/>
      <c r="H75" s="839"/>
      <c r="I75" s="841"/>
      <c r="J75" s="610">
        <f>'Rates in Detail'!E78</f>
        <v>1.839E-2</v>
      </c>
      <c r="K75" s="612">
        <f>'Rates in Detail'!H78</f>
        <v>0</v>
      </c>
      <c r="L75" s="612">
        <f>'Rates in Detail'!F78</f>
        <v>0</v>
      </c>
      <c r="M75" s="612">
        <f>'Rates in Detail'!I78</f>
        <v>6.9999999999999994E-5</v>
      </c>
      <c r="N75" s="611">
        <f t="shared" ref="N75:N78" si="5">SUM(J75:M75)</f>
        <v>1.8460000000000001E-2</v>
      </c>
      <c r="O75" s="1245">
        <f>'Rates in Detail'!L78</f>
        <v>1.2099999999999999E-3</v>
      </c>
      <c r="P75" s="1246">
        <f>'Rates in Detail'!P78</f>
        <v>-2.0000000000000001E-4</v>
      </c>
      <c r="Q75" s="1247">
        <f t="shared" ref="Q75:Q78" si="6">SUM(N75:P75)</f>
        <v>1.9470000000000001E-2</v>
      </c>
      <c r="R75" s="1245">
        <f>'Rates in Detail'!S78</f>
        <v>0</v>
      </c>
      <c r="S75" s="1246">
        <f>'Rates in Detail'!T78</f>
        <v>-1.8000000000000001E-4</v>
      </c>
      <c r="T75" s="1246">
        <f>'Rates in Detail'!U78</f>
        <v>6.0000000000000002E-5</v>
      </c>
      <c r="U75" s="1253">
        <f t="shared" ref="U75:U78" si="7">SUM(Q75:S75)</f>
        <v>1.9290000000000002E-2</v>
      </c>
      <c r="V75" s="1245">
        <f>'Rates in Detail'!Y78</f>
        <v>4.6000000000000001E-4</v>
      </c>
      <c r="W75" s="1444">
        <f>'Rates in Detail'!Z78</f>
        <v>-2.0000000000000002E-5</v>
      </c>
      <c r="X75" s="1246">
        <f>'Rates in Detail'!AA78</f>
        <v>0</v>
      </c>
      <c r="Y75" s="1440">
        <f>'Rates in Detail'!AB78</f>
        <v>-1.8000000000000001E-4</v>
      </c>
      <c r="Z75" s="1256">
        <f t="shared" ref="Z75:Z78" si="8">SUM(U75:Y75)-(R75+S75+T75)</f>
        <v>1.967E-2</v>
      </c>
      <c r="AA75" s="121"/>
    </row>
    <row r="76" spans="2:27" x14ac:dyDescent="0.2">
      <c r="B76" s="100">
        <f t="shared" ref="B76:B78" si="9">B75+1</f>
        <v>67</v>
      </c>
      <c r="C76" s="1225" t="e">
        <f>#REF!</f>
        <v>#REF!</v>
      </c>
      <c r="D76" s="101" t="s">
        <v>248</v>
      </c>
      <c r="E76" s="101" t="s">
        <v>248</v>
      </c>
      <c r="F76" s="103" t="e">
        <f>#REF!</f>
        <v>#REF!</v>
      </c>
      <c r="G76" s="103" t="e">
        <f>#REF!</f>
        <v>#REF!</v>
      </c>
      <c r="H76" s="839" t="e">
        <f>#REF!</f>
        <v>#REF!</v>
      </c>
      <c r="I76" s="841" t="e">
        <f>#REF!</f>
        <v>#REF!</v>
      </c>
      <c r="J76" s="607">
        <f>'Rates in Detail'!E79</f>
        <v>4.9099999999999994E-3</v>
      </c>
      <c r="K76" s="608">
        <f>'Rates in Detail'!H79</f>
        <v>0</v>
      </c>
      <c r="L76" s="608">
        <f>'Rates in Detail'!F79</f>
        <v>0</v>
      </c>
      <c r="M76" s="608">
        <f>'Rates in Detail'!I79</f>
        <v>1.0000000000000001E-5</v>
      </c>
      <c r="N76" s="125">
        <f t="shared" si="5"/>
        <v>4.919999999999999E-3</v>
      </c>
      <c r="O76" s="108">
        <f>'Rates in Detail'!L79</f>
        <v>0</v>
      </c>
      <c r="P76" s="1248">
        <f>'Rates in Detail'!P79</f>
        <v>0</v>
      </c>
      <c r="Q76" s="1249">
        <f t="shared" si="6"/>
        <v>4.919999999999999E-3</v>
      </c>
      <c r="R76" s="108">
        <f>'Rates in Detail'!S79</f>
        <v>0</v>
      </c>
      <c r="S76" s="1248">
        <f>'Rates in Detail'!T79</f>
        <v>-4.0000000000000003E-5</v>
      </c>
      <c r="T76" s="1248">
        <f>'Rates in Detail'!U79</f>
        <v>2.0000000000000002E-5</v>
      </c>
      <c r="U76" s="1254">
        <f t="shared" si="7"/>
        <v>4.8799999999999989E-3</v>
      </c>
      <c r="V76" s="108">
        <f>'Rates in Detail'!Y79</f>
        <v>0</v>
      </c>
      <c r="W76" s="1445">
        <f>'Rates in Detail'!Z79</f>
        <v>0</v>
      </c>
      <c r="X76" s="1248">
        <f>'Rates in Detail'!AA79</f>
        <v>0</v>
      </c>
      <c r="Y76" s="1441">
        <f>'Rates in Detail'!AB79</f>
        <v>-4.0000000000000003E-5</v>
      </c>
      <c r="Z76" s="1256">
        <f t="shared" si="8"/>
        <v>4.8599999999999989E-3</v>
      </c>
      <c r="AA76" s="121"/>
    </row>
    <row r="77" spans="2:27" x14ac:dyDescent="0.2">
      <c r="B77" s="100">
        <f t="shared" si="9"/>
        <v>68</v>
      </c>
      <c r="C77" s="1225" t="e">
        <f>#REF!</f>
        <v>#REF!</v>
      </c>
      <c r="D77" s="101" t="s">
        <v>248</v>
      </c>
      <c r="E77" s="101" t="s">
        <v>248</v>
      </c>
      <c r="F77" s="103" t="e">
        <f>#REF!</f>
        <v>#REF!</v>
      </c>
      <c r="G77" s="103" t="e">
        <f>#REF!</f>
        <v>#REF!</v>
      </c>
      <c r="H77" s="839" t="e">
        <f>#REF!</f>
        <v>#REF!</v>
      </c>
      <c r="I77" s="841" t="e">
        <f>#REF!</f>
        <v>#REF!</v>
      </c>
      <c r="J77" s="607">
        <f>'Rates in Detail'!E80</f>
        <v>4.9099999999999994E-3</v>
      </c>
      <c r="K77" s="608">
        <f>'Rates in Detail'!H80</f>
        <v>0</v>
      </c>
      <c r="L77" s="608">
        <f>'Rates in Detail'!F80</f>
        <v>0</v>
      </c>
      <c r="M77" s="608">
        <f>'Rates in Detail'!I80</f>
        <v>1.0000000000000001E-5</v>
      </c>
      <c r="N77" s="125">
        <f t="shared" si="5"/>
        <v>4.919999999999999E-3</v>
      </c>
      <c r="O77" s="108">
        <f>'Rates in Detail'!L80</f>
        <v>0</v>
      </c>
      <c r="P77" s="1248">
        <f>'Rates in Detail'!P80</f>
        <v>0</v>
      </c>
      <c r="Q77" s="1249">
        <f t="shared" si="6"/>
        <v>4.919999999999999E-3</v>
      </c>
      <c r="R77" s="108">
        <f>'Rates in Detail'!S80</f>
        <v>0</v>
      </c>
      <c r="S77" s="1248">
        <f>'Rates in Detail'!T80</f>
        <v>-4.0000000000000003E-5</v>
      </c>
      <c r="T77" s="1248">
        <f>'Rates in Detail'!U80</f>
        <v>2.0000000000000002E-5</v>
      </c>
      <c r="U77" s="1254">
        <f t="shared" si="7"/>
        <v>4.8799999999999989E-3</v>
      </c>
      <c r="V77" s="108">
        <f>'Rates in Detail'!Y80</f>
        <v>0</v>
      </c>
      <c r="W77" s="1445">
        <f>'Rates in Detail'!Z80</f>
        <v>0</v>
      </c>
      <c r="X77" s="1248">
        <f>'Rates in Detail'!AA80</f>
        <v>0</v>
      </c>
      <c r="Y77" s="1441">
        <f>'Rates in Detail'!AB80</f>
        <v>-4.0000000000000003E-5</v>
      </c>
      <c r="Z77" s="1256">
        <f t="shared" si="8"/>
        <v>4.8599999999999989E-3</v>
      </c>
      <c r="AA77" s="121"/>
    </row>
    <row r="78" spans="2:27" ht="13.5" thickBot="1" x14ac:dyDescent="0.25">
      <c r="B78" s="1299">
        <f t="shared" si="9"/>
        <v>69</v>
      </c>
      <c r="C78" s="1225" t="e">
        <f>#REF!</f>
        <v>#REF!</v>
      </c>
      <c r="D78" s="101" t="s">
        <v>248</v>
      </c>
      <c r="E78" s="101" t="s">
        <v>248</v>
      </c>
      <c r="F78" s="103" t="e">
        <f>#REF!</f>
        <v>#REF!</v>
      </c>
      <c r="G78" s="103" t="e">
        <f>#REF!</f>
        <v>#REF!</v>
      </c>
      <c r="H78" s="839" t="e">
        <f>#REF!</f>
        <v>#REF!</v>
      </c>
      <c r="I78" s="841" t="e">
        <f>#REF!</f>
        <v>#REF!</v>
      </c>
      <c r="J78" s="607">
        <f>'Rates in Detail'!E81</f>
        <v>0</v>
      </c>
      <c r="K78" s="608">
        <f>'Rates in Detail'!H81</f>
        <v>0</v>
      </c>
      <c r="L78" s="608">
        <f>'Rates in Detail'!F81</f>
        <v>0</v>
      </c>
      <c r="M78" s="608">
        <f>'Rates in Detail'!I81</f>
        <v>0</v>
      </c>
      <c r="N78" s="125">
        <f t="shared" si="5"/>
        <v>0</v>
      </c>
      <c r="O78" s="108">
        <f>'Rates in Detail'!L81</f>
        <v>0</v>
      </c>
      <c r="P78" s="1248">
        <f>'Rates in Detail'!P81</f>
        <v>0</v>
      </c>
      <c r="Q78" s="1250">
        <f t="shared" si="6"/>
        <v>0</v>
      </c>
      <c r="R78" s="108">
        <f>'Rates in Detail'!S81</f>
        <v>0</v>
      </c>
      <c r="S78" s="1248">
        <f>'Rates in Detail'!T81</f>
        <v>0</v>
      </c>
      <c r="T78" s="1248">
        <f>'Rates in Detail'!U81</f>
        <v>0</v>
      </c>
      <c r="U78" s="1255">
        <f t="shared" si="7"/>
        <v>0</v>
      </c>
      <c r="V78" s="108">
        <f>'Rates in Detail'!Y81</f>
        <v>0</v>
      </c>
      <c r="W78" s="1446">
        <f>'Rates in Detail'!Z81</f>
        <v>0</v>
      </c>
      <c r="X78" s="1448">
        <f>'Rates in Detail'!AA81</f>
        <v>0</v>
      </c>
      <c r="Y78" s="1442">
        <f>'Rates in Detail'!AB81</f>
        <v>0</v>
      </c>
      <c r="Z78" s="1256">
        <f t="shared" si="8"/>
        <v>0</v>
      </c>
      <c r="AA78" s="121"/>
    </row>
  </sheetData>
  <mergeCells count="3">
    <mergeCell ref="J7:N7"/>
    <mergeCell ref="V6:Z6"/>
    <mergeCell ref="O6:U6"/>
  </mergeCells>
  <printOptions verticalCentered="1"/>
  <pageMargins left="0.5" right="0.5" top="0.5" bottom="0.5" header="0.25" footer="0.25"/>
  <pageSetup scale="43" orientation="landscape" r:id="rId1"/>
  <headerFooter alignWithMargins="0">
    <oddHeader>&amp;RUG 388 - NW Natural/2500
Wyman/WP02</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rgb="FFFFFF99"/>
  </sheetPr>
  <dimension ref="A1:BQ105"/>
  <sheetViews>
    <sheetView zoomScale="90" zoomScaleNormal="90" workbookViewId="0">
      <pane xSplit="3" ySplit="13" topLeftCell="D35" activePane="bottomRight" state="frozen"/>
      <selection activeCell="F1" sqref="A1:XFD1048576"/>
      <selection pane="topRight" activeCell="F1" sqref="A1:XFD1048576"/>
      <selection pane="bottomLeft" activeCell="F1" sqref="A1:XFD1048576"/>
      <selection pane="bottomRight" activeCell="AS76" sqref="AS76"/>
    </sheetView>
  </sheetViews>
  <sheetFormatPr defaultColWidth="9.33203125" defaultRowHeight="12.75" x14ac:dyDescent="0.2"/>
  <cols>
    <col min="1" max="1" width="5.6640625" style="45" customWidth="1"/>
    <col min="2" max="2" width="17.83203125" style="46" customWidth="1"/>
    <col min="3" max="3" width="8.33203125" style="46" customWidth="1"/>
    <col min="4" max="4" width="17.83203125" style="46" customWidth="1"/>
    <col min="5" max="6" width="12.6640625" style="46" bestFit="1" customWidth="1"/>
    <col min="7" max="9" width="12.5" style="46" customWidth="1"/>
    <col min="10" max="10" width="17.83203125" style="46" bestFit="1" customWidth="1"/>
    <col min="11" max="12" width="17.83203125" style="46" customWidth="1"/>
    <col min="13" max="13" width="15" style="46" customWidth="1"/>
    <col min="14" max="14" width="11.33203125" style="46" customWidth="1"/>
    <col min="15" max="15" width="19.83203125" style="46" bestFit="1" customWidth="1"/>
    <col min="16" max="17" width="19.83203125" style="46" customWidth="1"/>
    <col min="18" max="18" width="27.1640625" style="46" customWidth="1"/>
    <col min="19" max="19" width="16.33203125" style="51" customWidth="1"/>
    <col min="20" max="20" width="15.6640625" style="46" customWidth="1"/>
    <col min="21" max="21" width="15.6640625" style="130" customWidth="1"/>
    <col min="22" max="22" width="16.33203125" style="51" customWidth="1"/>
    <col min="23" max="23" width="15.6640625" style="46" customWidth="1"/>
    <col min="24" max="24" width="15.6640625" style="130" customWidth="1"/>
    <col min="25" max="25" width="16.33203125" style="51" customWidth="1"/>
    <col min="26" max="26" width="15.6640625" style="46" customWidth="1"/>
    <col min="27" max="27" width="15.6640625" style="130" customWidth="1"/>
    <col min="28" max="28" width="16.33203125" style="51" customWidth="1"/>
    <col min="29" max="29" width="15.6640625" style="46" customWidth="1"/>
    <col min="30" max="30" width="15.6640625" style="130" customWidth="1"/>
    <col min="31" max="31" width="16.33203125" style="51" customWidth="1"/>
    <col min="32" max="32" width="15.6640625" style="46" customWidth="1"/>
    <col min="33" max="33" width="15.6640625" style="130" customWidth="1"/>
    <col min="34" max="34" width="16.33203125" style="51" customWidth="1"/>
    <col min="35" max="35" width="15.6640625" style="46" customWidth="1"/>
    <col min="36" max="36" width="15.6640625" style="130" customWidth="1"/>
    <col min="37" max="37" width="16.33203125" style="51" customWidth="1"/>
    <col min="38" max="38" width="15.6640625" style="46" customWidth="1"/>
    <col min="39" max="39" width="15.6640625" style="130" customWidth="1"/>
    <col min="40" max="40" width="16.5" style="144" customWidth="1"/>
    <col min="41" max="41" width="15.6640625" style="45" customWidth="1"/>
    <col min="42" max="65" width="9.33203125" style="45" customWidth="1"/>
    <col min="66" max="16384" width="9.33203125" style="45"/>
  </cols>
  <sheetData>
    <row r="1" spans="1:69" ht="14.1" customHeight="1" x14ac:dyDescent="0.2">
      <c r="A1" s="129" t="s">
        <v>0</v>
      </c>
      <c r="F1" s="1616"/>
      <c r="G1" s="1616"/>
      <c r="H1" s="1616"/>
      <c r="I1" s="1616"/>
      <c r="J1" s="1616"/>
      <c r="K1" s="1568"/>
      <c r="L1" s="1568"/>
    </row>
    <row r="2" spans="1:69" ht="14.1" customHeight="1" x14ac:dyDescent="0.2">
      <c r="A2" s="129" t="s">
        <v>1</v>
      </c>
      <c r="F2" s="1617"/>
      <c r="G2" s="1617"/>
      <c r="H2" s="1617"/>
      <c r="I2" s="1617"/>
      <c r="J2" s="1617"/>
      <c r="K2" s="1569"/>
      <c r="L2" s="1569"/>
      <c r="O2" s="422"/>
      <c r="P2" s="422"/>
      <c r="Q2" s="422"/>
      <c r="S2" s="51" t="s">
        <v>630</v>
      </c>
    </row>
    <row r="3" spans="1:69" ht="14.1" customHeight="1" thickBot="1" x14ac:dyDescent="0.25">
      <c r="A3" s="129" t="s">
        <v>241</v>
      </c>
      <c r="S3" s="1570">
        <v>-1477338.8772829899</v>
      </c>
      <c r="T3" s="1373" t="s">
        <v>476</v>
      </c>
      <c r="V3" s="1571">
        <v>-839327</v>
      </c>
      <c r="W3" s="1373" t="s">
        <v>476</v>
      </c>
      <c r="Y3" s="46"/>
      <c r="AB3" s="46"/>
      <c r="AE3" s="288"/>
      <c r="AF3" s="1400"/>
      <c r="AG3" s="147"/>
      <c r="AH3" s="1572"/>
      <c r="AI3" s="1373"/>
      <c r="AK3" s="46"/>
    </row>
    <row r="4" spans="1:69" ht="14.1" customHeight="1" thickBot="1" x14ac:dyDescent="0.25">
      <c r="A4" s="423" t="s">
        <v>174</v>
      </c>
      <c r="M4" s="1616"/>
      <c r="N4" s="1616"/>
      <c r="O4" s="1616"/>
      <c r="P4" s="1568"/>
      <c r="Q4" s="1568"/>
      <c r="S4" s="46"/>
      <c r="V4" s="46"/>
      <c r="Y4" s="46"/>
      <c r="AB4" s="46"/>
      <c r="AE4" s="46"/>
      <c r="AH4" s="46"/>
      <c r="AK4" s="46"/>
    </row>
    <row r="5" spans="1:69" ht="14.1" customHeight="1" thickBot="1" x14ac:dyDescent="0.25">
      <c r="F5" s="131"/>
      <c r="G5" s="272"/>
      <c r="H5" s="131"/>
      <c r="I5" s="272"/>
      <c r="M5" s="1617"/>
      <c r="N5" s="1617"/>
      <c r="O5" s="1617"/>
      <c r="P5" s="1569"/>
      <c r="Q5" s="1569"/>
      <c r="S5" s="46"/>
      <c r="V5" s="46"/>
      <c r="Y5" s="1621"/>
      <c r="Z5" s="1621"/>
      <c r="AA5" s="1621"/>
      <c r="AB5" s="1621" t="s">
        <v>551</v>
      </c>
      <c r="AC5" s="1621"/>
      <c r="AD5" s="1621"/>
      <c r="AE5" s="46"/>
      <c r="AH5" s="46"/>
      <c r="AK5" s="46"/>
    </row>
    <row r="6" spans="1:69" ht="14.1" customHeight="1" thickBot="1" x14ac:dyDescent="0.25">
      <c r="F6" s="411" t="s">
        <v>332</v>
      </c>
      <c r="G6" s="720" t="s">
        <v>332</v>
      </c>
      <c r="H6" s="411" t="s">
        <v>327</v>
      </c>
      <c r="I6" s="720" t="s">
        <v>327</v>
      </c>
      <c r="J6" s="51"/>
      <c r="K6" s="51" t="s">
        <v>332</v>
      </c>
      <c r="L6" s="51" t="s">
        <v>327</v>
      </c>
      <c r="P6" s="51" t="s">
        <v>332</v>
      </c>
      <c r="Q6" s="51" t="s">
        <v>327</v>
      </c>
      <c r="S6" s="1598" t="s">
        <v>332</v>
      </c>
      <c r="T6" s="1599"/>
      <c r="U6" s="1599"/>
      <c r="V6" s="1599"/>
      <c r="W6" s="1599"/>
      <c r="X6" s="1599"/>
      <c r="Y6" s="1599"/>
      <c r="Z6" s="1599"/>
      <c r="AA6" s="1599"/>
      <c r="AB6" s="1599"/>
      <c r="AC6" s="1599"/>
      <c r="AD6" s="1600"/>
      <c r="AE6" s="1618" t="s">
        <v>327</v>
      </c>
      <c r="AF6" s="1619"/>
      <c r="AG6" s="1619"/>
      <c r="AH6" s="1619"/>
      <c r="AI6" s="1619"/>
      <c r="AJ6" s="1619"/>
      <c r="AK6" s="1619"/>
      <c r="AL6" s="1619"/>
      <c r="AM6" s="1620"/>
    </row>
    <row r="7" spans="1:69" s="46" customFormat="1" ht="15" customHeight="1" thickBot="1" x14ac:dyDescent="0.25">
      <c r="A7" s="76">
        <v>1</v>
      </c>
      <c r="E7" s="342"/>
      <c r="F7" s="1573" t="s">
        <v>495</v>
      </c>
      <c r="G7" s="1380" t="s">
        <v>495</v>
      </c>
      <c r="H7" s="1573" t="s">
        <v>496</v>
      </c>
      <c r="I7" s="1380" t="s">
        <v>496</v>
      </c>
      <c r="K7" s="429" t="s">
        <v>495</v>
      </c>
      <c r="L7" s="429" t="s">
        <v>496</v>
      </c>
      <c r="N7" s="51"/>
      <c r="P7" s="429" t="s">
        <v>495</v>
      </c>
      <c r="Q7" s="429" t="s">
        <v>496</v>
      </c>
      <c r="S7" s="1610" t="s">
        <v>311</v>
      </c>
      <c r="T7" s="1611"/>
      <c r="U7" s="1612"/>
      <c r="V7" s="1610" t="s">
        <v>317</v>
      </c>
      <c r="W7" s="1611"/>
      <c r="X7" s="1612"/>
      <c r="Y7" s="1610" t="s">
        <v>554</v>
      </c>
      <c r="Z7" s="1611"/>
      <c r="AA7" s="1612"/>
      <c r="AB7" s="1610" t="s">
        <v>374</v>
      </c>
      <c r="AC7" s="1611"/>
      <c r="AD7" s="1612"/>
      <c r="AE7" s="1610" t="s">
        <v>311</v>
      </c>
      <c r="AF7" s="1611"/>
      <c r="AG7" s="1612"/>
      <c r="AH7" s="1610" t="s">
        <v>317</v>
      </c>
      <c r="AI7" s="1611"/>
      <c r="AJ7" s="1612"/>
      <c r="AK7" s="1613" t="s">
        <v>375</v>
      </c>
      <c r="AL7" s="1614"/>
      <c r="AM7" s="1615"/>
      <c r="AN7" s="831"/>
      <c r="AO7" s="45"/>
    </row>
    <row r="8" spans="1:69" s="46" customFormat="1" ht="15" customHeight="1" thickBot="1" x14ac:dyDescent="0.25">
      <c r="A8" s="76">
        <v>2</v>
      </c>
      <c r="D8" s="51" t="s">
        <v>494</v>
      </c>
      <c r="E8" s="51" t="s">
        <v>18</v>
      </c>
      <c r="F8" s="1381" t="s">
        <v>494</v>
      </c>
      <c r="G8" s="938" t="s">
        <v>494</v>
      </c>
      <c r="H8" s="1381" t="s">
        <v>494</v>
      </c>
      <c r="I8" s="938" t="s">
        <v>494</v>
      </c>
      <c r="J8" s="429" t="s">
        <v>18</v>
      </c>
      <c r="K8" s="506" t="s">
        <v>494</v>
      </c>
      <c r="L8" s="506" t="s">
        <v>494</v>
      </c>
      <c r="M8" s="506"/>
      <c r="N8" s="506"/>
      <c r="O8" s="342" t="s">
        <v>18</v>
      </c>
      <c r="P8" s="506" t="s">
        <v>494</v>
      </c>
      <c r="Q8" s="506" t="s">
        <v>494</v>
      </c>
      <c r="R8" s="592" t="s">
        <v>29</v>
      </c>
      <c r="S8" s="1570">
        <v>-738669.43864149495</v>
      </c>
      <c r="T8" s="854" t="s">
        <v>159</v>
      </c>
      <c r="U8" s="433"/>
      <c r="V8" s="1571">
        <v>-419663.5</v>
      </c>
      <c r="W8" s="854" t="s">
        <v>159</v>
      </c>
      <c r="X8" s="433"/>
      <c r="Y8" s="1570">
        <v>148000</v>
      </c>
      <c r="Z8" s="509" t="s">
        <v>72</v>
      </c>
      <c r="AA8" s="433"/>
      <c r="AB8" s="1570">
        <v>-462252</v>
      </c>
      <c r="AC8" s="509" t="s">
        <v>72</v>
      </c>
      <c r="AD8" s="433"/>
      <c r="AE8" s="1570">
        <v>-738669.43864149495</v>
      </c>
      <c r="AF8" s="854" t="s">
        <v>159</v>
      </c>
      <c r="AG8" s="433"/>
      <c r="AH8" s="1571">
        <v>-419663.5</v>
      </c>
      <c r="AI8" s="854" t="s">
        <v>159</v>
      </c>
      <c r="AJ8" s="433"/>
      <c r="AK8" s="1570">
        <v>-42692</v>
      </c>
      <c r="AL8" s="854" t="s">
        <v>159</v>
      </c>
      <c r="AM8" s="433"/>
      <c r="AN8" s="831"/>
      <c r="AO8" s="1606"/>
    </row>
    <row r="9" spans="1:69" s="46" customFormat="1" ht="15" customHeight="1" thickBot="1" x14ac:dyDescent="0.25">
      <c r="A9" s="76">
        <v>3</v>
      </c>
      <c r="D9" s="51" t="s">
        <v>244</v>
      </c>
      <c r="E9" s="49" t="s">
        <v>27</v>
      </c>
      <c r="F9" s="1382" t="s">
        <v>27</v>
      </c>
      <c r="G9" s="1383" t="s">
        <v>27</v>
      </c>
      <c r="H9" s="1382" t="s">
        <v>27</v>
      </c>
      <c r="I9" s="1383" t="s">
        <v>27</v>
      </c>
      <c r="J9" s="51" t="s">
        <v>69</v>
      </c>
      <c r="K9" s="51" t="s">
        <v>69</v>
      </c>
      <c r="L9" s="51" t="s">
        <v>69</v>
      </c>
      <c r="M9" s="76" t="s">
        <v>66</v>
      </c>
      <c r="N9" s="51" t="s">
        <v>66</v>
      </c>
      <c r="O9" s="49" t="s">
        <v>32</v>
      </c>
      <c r="P9" s="49" t="s">
        <v>32</v>
      </c>
      <c r="Q9" s="49" t="s">
        <v>32</v>
      </c>
      <c r="R9" s="592" t="s">
        <v>24</v>
      </c>
      <c r="S9" s="435">
        <v>4.1579999999999999E-2</v>
      </c>
      <c r="T9" s="436" t="s">
        <v>640</v>
      </c>
      <c r="U9" s="437"/>
      <c r="V9" s="435">
        <v>4.1579999999999999E-2</v>
      </c>
      <c r="W9" s="436" t="s">
        <v>640</v>
      </c>
      <c r="X9" s="437"/>
      <c r="Y9" s="435">
        <v>4.1579999999999999E-2</v>
      </c>
      <c r="Z9" s="436" t="s">
        <v>640</v>
      </c>
      <c r="AA9" s="437"/>
      <c r="AB9" s="1401" t="s">
        <v>318</v>
      </c>
      <c r="AC9" s="436" t="s">
        <v>641</v>
      </c>
      <c r="AD9" s="437"/>
      <c r="AE9" s="435">
        <v>4.1579999999999999E-2</v>
      </c>
      <c r="AF9" s="436" t="s">
        <v>640</v>
      </c>
      <c r="AG9" s="437"/>
      <c r="AH9" s="435">
        <v>4.1579999999999999E-2</v>
      </c>
      <c r="AI9" s="436" t="s">
        <v>640</v>
      </c>
      <c r="AJ9" s="437"/>
      <c r="AK9" s="435">
        <v>4.1579999999999999E-2</v>
      </c>
      <c r="AL9" s="436" t="s">
        <v>640</v>
      </c>
      <c r="AM9" s="437"/>
      <c r="AN9" s="831"/>
      <c r="AO9" s="1606"/>
    </row>
    <row r="10" spans="1:69" s="47" customFormat="1" ht="15" customHeight="1" thickBot="1" x14ac:dyDescent="0.25">
      <c r="A10" s="76">
        <v>4</v>
      </c>
      <c r="B10" s="46"/>
      <c r="C10" s="46"/>
      <c r="D10" s="347" t="s">
        <v>153</v>
      </c>
      <c r="E10" s="162" t="s">
        <v>28</v>
      </c>
      <c r="F10" s="1384" t="s">
        <v>79</v>
      </c>
      <c r="G10" s="1385" t="s">
        <v>28</v>
      </c>
      <c r="H10" s="1384" t="s">
        <v>79</v>
      </c>
      <c r="I10" s="1385" t="s">
        <v>28</v>
      </c>
      <c r="J10" s="347" t="s">
        <v>31</v>
      </c>
      <c r="K10" s="347" t="s">
        <v>31</v>
      </c>
      <c r="L10" s="347" t="s">
        <v>31</v>
      </c>
      <c r="M10" s="347" t="s">
        <v>56</v>
      </c>
      <c r="N10" s="347" t="s">
        <v>287</v>
      </c>
      <c r="O10" s="162" t="s">
        <v>31</v>
      </c>
      <c r="P10" s="162" t="s">
        <v>31</v>
      </c>
      <c r="Q10" s="162" t="s">
        <v>31</v>
      </c>
      <c r="R10" s="593" t="s">
        <v>25</v>
      </c>
      <c r="S10" s="440">
        <v>-770716</v>
      </c>
      <c r="T10" s="855" t="s">
        <v>314</v>
      </c>
      <c r="U10" s="441"/>
      <c r="V10" s="440">
        <v>-437870</v>
      </c>
      <c r="W10" s="856" t="s">
        <v>316</v>
      </c>
      <c r="X10" s="441"/>
      <c r="Y10" s="440">
        <v>154421</v>
      </c>
      <c r="Z10" s="856" t="s">
        <v>349</v>
      </c>
      <c r="AA10" s="441"/>
      <c r="AB10" s="440">
        <v>-462252</v>
      </c>
      <c r="AC10" s="856" t="s">
        <v>349</v>
      </c>
      <c r="AD10" s="441"/>
      <c r="AE10" s="440">
        <v>-770716</v>
      </c>
      <c r="AF10" s="855" t="s">
        <v>314</v>
      </c>
      <c r="AG10" s="441"/>
      <c r="AH10" s="440">
        <v>-437870</v>
      </c>
      <c r="AI10" s="856" t="s">
        <v>316</v>
      </c>
      <c r="AJ10" s="441"/>
      <c r="AK10" s="440">
        <v>-44544</v>
      </c>
      <c r="AL10" s="856" t="s">
        <v>316</v>
      </c>
      <c r="AM10" s="441"/>
      <c r="AN10" s="1134"/>
      <c r="AO10" s="1606"/>
      <c r="AQ10" s="1601" t="s">
        <v>332</v>
      </c>
      <c r="AR10" s="1601"/>
      <c r="AU10" s="1601" t="s">
        <v>332</v>
      </c>
      <c r="AV10" s="1601"/>
      <c r="AY10" s="1601" t="s">
        <v>332</v>
      </c>
      <c r="AZ10" s="1601"/>
      <c r="BC10" s="1601" t="s">
        <v>332</v>
      </c>
      <c r="BD10" s="1601"/>
      <c r="BG10" s="1601" t="s">
        <v>327</v>
      </c>
      <c r="BH10" s="1601"/>
      <c r="BK10" s="1601" t="s">
        <v>327</v>
      </c>
      <c r="BL10" s="1601"/>
      <c r="BO10" s="1601" t="s">
        <v>327</v>
      </c>
      <c r="BP10" s="1601"/>
    </row>
    <row r="11" spans="1:69" s="47" customFormat="1" ht="13.5" thickBot="1" x14ac:dyDescent="0.25">
      <c r="A11" s="76">
        <v>5</v>
      </c>
      <c r="B11" s="46"/>
      <c r="C11" s="46"/>
      <c r="D11" s="140"/>
      <c r="E11" s="49"/>
      <c r="F11" s="138"/>
      <c r="G11" s="286" t="s">
        <v>154</v>
      </c>
      <c r="H11" s="138"/>
      <c r="I11" s="286" t="s">
        <v>497</v>
      </c>
      <c r="J11" s="1533" t="s">
        <v>545</v>
      </c>
      <c r="K11" s="1533" t="s">
        <v>546</v>
      </c>
      <c r="L11" s="1533" t="s">
        <v>547</v>
      </c>
      <c r="M11" s="49"/>
      <c r="N11" s="140"/>
      <c r="O11" s="1409" t="s">
        <v>550</v>
      </c>
      <c r="P11" s="1409" t="s">
        <v>549</v>
      </c>
      <c r="Q11" s="1046" t="s">
        <v>548</v>
      </c>
      <c r="R11" s="443"/>
      <c r="S11" s="486" t="s">
        <v>22</v>
      </c>
      <c r="T11" s="76" t="s">
        <v>70</v>
      </c>
      <c r="U11" s="487" t="s">
        <v>23</v>
      </c>
      <c r="V11" s="486" t="s">
        <v>22</v>
      </c>
      <c r="W11" s="76" t="s">
        <v>70</v>
      </c>
      <c r="X11" s="487" t="s">
        <v>23</v>
      </c>
      <c r="Y11" s="486" t="s">
        <v>22</v>
      </c>
      <c r="Z11" s="76" t="s">
        <v>70</v>
      </c>
      <c r="AA11" s="487" t="s">
        <v>23</v>
      </c>
      <c r="AB11" s="486" t="s">
        <v>22</v>
      </c>
      <c r="AC11" s="76" t="s">
        <v>70</v>
      </c>
      <c r="AD11" s="487" t="s">
        <v>23</v>
      </c>
      <c r="AE11" s="486" t="s">
        <v>22</v>
      </c>
      <c r="AF11" s="76" t="s">
        <v>70</v>
      </c>
      <c r="AG11" s="487" t="s">
        <v>23</v>
      </c>
      <c r="AH11" s="486" t="s">
        <v>22</v>
      </c>
      <c r="AI11" s="76" t="s">
        <v>70</v>
      </c>
      <c r="AJ11" s="487" t="s">
        <v>23</v>
      </c>
      <c r="AK11" s="486" t="s">
        <v>22</v>
      </c>
      <c r="AL11" s="76" t="s">
        <v>70</v>
      </c>
      <c r="AM11" s="487" t="s">
        <v>23</v>
      </c>
      <c r="AN11" s="1134"/>
      <c r="AO11" s="1606"/>
      <c r="AP11" s="1602" t="s">
        <v>311</v>
      </c>
      <c r="AQ11" s="1603"/>
      <c r="AR11" s="1603"/>
      <c r="AS11" s="1604"/>
      <c r="AT11" s="1602" t="s">
        <v>317</v>
      </c>
      <c r="AU11" s="1603"/>
      <c r="AV11" s="1603"/>
      <c r="AW11" s="1604"/>
      <c r="AX11" s="1602" t="s">
        <v>554</v>
      </c>
      <c r="AY11" s="1603"/>
      <c r="AZ11" s="1603"/>
      <c r="BA11" s="1604"/>
      <c r="BB11" s="1602" t="s">
        <v>315</v>
      </c>
      <c r="BC11" s="1603"/>
      <c r="BD11" s="1603"/>
      <c r="BE11" s="1604"/>
      <c r="BF11" s="1602" t="s">
        <v>311</v>
      </c>
      <c r="BG11" s="1603"/>
      <c r="BH11" s="1603"/>
      <c r="BI11" s="1604"/>
      <c r="BJ11" s="1602" t="s">
        <v>317</v>
      </c>
      <c r="BK11" s="1603"/>
      <c r="BL11" s="1603"/>
      <c r="BM11" s="1604"/>
      <c r="BN11" s="1602" t="s">
        <v>328</v>
      </c>
      <c r="BO11" s="1603"/>
      <c r="BP11" s="1603"/>
      <c r="BQ11" s="1604"/>
    </row>
    <row r="12" spans="1:69" s="47" customFormat="1" ht="12.6" customHeight="1" x14ac:dyDescent="0.2">
      <c r="A12" s="76">
        <v>6</v>
      </c>
      <c r="B12" s="685" t="s">
        <v>2</v>
      </c>
      <c r="C12" s="685" t="s">
        <v>3</v>
      </c>
      <c r="D12" s="667" t="s">
        <v>35</v>
      </c>
      <c r="E12" s="667" t="s">
        <v>36</v>
      </c>
      <c r="F12" s="142" t="s">
        <v>13</v>
      </c>
      <c r="G12" s="1386" t="s">
        <v>37</v>
      </c>
      <c r="H12" s="142" t="s">
        <v>38</v>
      </c>
      <c r="I12" s="1386" t="s">
        <v>39</v>
      </c>
      <c r="J12" s="48" t="s">
        <v>40</v>
      </c>
      <c r="K12" s="667" t="s">
        <v>41</v>
      </c>
      <c r="L12" s="667" t="s">
        <v>42</v>
      </c>
      <c r="M12" s="667" t="s">
        <v>109</v>
      </c>
      <c r="N12" s="667" t="s">
        <v>110</v>
      </c>
      <c r="O12" s="667" t="s">
        <v>43</v>
      </c>
      <c r="P12" s="667" t="s">
        <v>111</v>
      </c>
      <c r="Q12" s="667" t="s">
        <v>112</v>
      </c>
      <c r="R12" s="446"/>
      <c r="S12" s="447" t="s">
        <v>113</v>
      </c>
      <c r="T12" s="667" t="s">
        <v>114</v>
      </c>
      <c r="U12" s="488" t="s">
        <v>115</v>
      </c>
      <c r="V12" s="447" t="s">
        <v>71</v>
      </c>
      <c r="W12" s="667" t="s">
        <v>74</v>
      </c>
      <c r="X12" s="488" t="s">
        <v>75</v>
      </c>
      <c r="Y12" s="447" t="s">
        <v>76</v>
      </c>
      <c r="Z12" s="667" t="s">
        <v>165</v>
      </c>
      <c r="AA12" s="488" t="s">
        <v>208</v>
      </c>
      <c r="AB12" s="447" t="s">
        <v>203</v>
      </c>
      <c r="AC12" s="667" t="s">
        <v>209</v>
      </c>
      <c r="AD12" s="488" t="s">
        <v>210</v>
      </c>
      <c r="AE12" s="447" t="s">
        <v>211</v>
      </c>
      <c r="AF12" s="667" t="s">
        <v>226</v>
      </c>
      <c r="AG12" s="488" t="s">
        <v>341</v>
      </c>
      <c r="AH12" s="447" t="s">
        <v>227</v>
      </c>
      <c r="AI12" s="667" t="s">
        <v>228</v>
      </c>
      <c r="AJ12" s="488" t="s">
        <v>465</v>
      </c>
      <c r="AK12" s="447" t="s">
        <v>232</v>
      </c>
      <c r="AL12" s="667" t="s">
        <v>387</v>
      </c>
      <c r="AM12" s="488" t="s">
        <v>466</v>
      </c>
      <c r="AN12" s="1134"/>
      <c r="AO12" s="1107"/>
      <c r="AP12" s="1605" t="s">
        <v>362</v>
      </c>
      <c r="AQ12" s="1605"/>
      <c r="AR12" s="1605"/>
      <c r="AS12" s="1605"/>
      <c r="AT12" s="1605" t="s">
        <v>362</v>
      </c>
      <c r="AU12" s="1605"/>
      <c r="AV12" s="1605"/>
      <c r="AW12" s="1605"/>
      <c r="AX12" s="1605" t="s">
        <v>362</v>
      </c>
      <c r="AY12" s="1605"/>
      <c r="AZ12" s="1605"/>
      <c r="BA12" s="1605"/>
      <c r="BB12" s="1605" t="s">
        <v>362</v>
      </c>
      <c r="BC12" s="1605"/>
      <c r="BD12" s="1605"/>
      <c r="BE12" s="1605"/>
      <c r="BF12" s="1605" t="s">
        <v>362</v>
      </c>
      <c r="BG12" s="1605"/>
      <c r="BH12" s="1605"/>
      <c r="BI12" s="1605"/>
      <c r="BJ12" s="1605" t="s">
        <v>362</v>
      </c>
      <c r="BK12" s="1605"/>
      <c r="BL12" s="1605"/>
      <c r="BM12" s="1605"/>
      <c r="BN12" s="1605" t="s">
        <v>362</v>
      </c>
      <c r="BO12" s="1605"/>
      <c r="BP12" s="1605"/>
      <c r="BQ12" s="1605"/>
    </row>
    <row r="13" spans="1:69" s="47" customFormat="1" ht="12.6" customHeight="1" x14ac:dyDescent="0.2">
      <c r="A13" s="76">
        <v>7</v>
      </c>
      <c r="B13" s="678"/>
      <c r="C13" s="678"/>
      <c r="D13" s="667"/>
      <c r="E13" s="667"/>
      <c r="F13" s="1574"/>
      <c r="G13" s="1575"/>
      <c r="H13" s="1574"/>
      <c r="I13" s="1575"/>
      <c r="J13" s="489"/>
      <c r="K13" s="667"/>
      <c r="L13" s="667"/>
      <c r="M13" s="667"/>
      <c r="N13" s="151"/>
      <c r="O13" s="667"/>
      <c r="P13" s="667"/>
      <c r="Q13" s="667"/>
      <c r="R13" s="446"/>
      <c r="S13" s="447"/>
      <c r="T13" s="667"/>
      <c r="U13" s="488"/>
      <c r="V13" s="447"/>
      <c r="W13" s="667"/>
      <c r="X13" s="488"/>
      <c r="Y13" s="447"/>
      <c r="Z13" s="667"/>
      <c r="AA13" s="488"/>
      <c r="AB13" s="447"/>
      <c r="AC13" s="667"/>
      <c r="AD13" s="488"/>
      <c r="AE13" s="447"/>
      <c r="AF13" s="667"/>
      <c r="AG13" s="488"/>
      <c r="AH13" s="447"/>
      <c r="AI13" s="667"/>
      <c r="AJ13" s="488"/>
      <c r="AK13" s="447"/>
      <c r="AL13" s="667"/>
      <c r="AM13" s="488"/>
      <c r="AN13" s="1134"/>
      <c r="AQ13" s="48" t="s">
        <v>237</v>
      </c>
      <c r="AR13" s="48" t="s">
        <v>69</v>
      </c>
      <c r="AU13" s="48" t="s">
        <v>237</v>
      </c>
      <c r="AV13" s="48" t="s">
        <v>69</v>
      </c>
      <c r="AY13" s="48" t="s">
        <v>237</v>
      </c>
      <c r="AZ13" s="48" t="s">
        <v>69</v>
      </c>
      <c r="BC13" s="48" t="s">
        <v>237</v>
      </c>
      <c r="BD13" s="48" t="s">
        <v>69</v>
      </c>
      <c r="BG13" s="48" t="s">
        <v>237</v>
      </c>
      <c r="BH13" s="48" t="s">
        <v>69</v>
      </c>
      <c r="BK13" s="48" t="s">
        <v>237</v>
      </c>
      <c r="BL13" s="48" t="s">
        <v>69</v>
      </c>
      <c r="BO13" s="48" t="s">
        <v>237</v>
      </c>
      <c r="BP13" s="48" t="s">
        <v>69</v>
      </c>
    </row>
    <row r="14" spans="1:69" s="46" customFormat="1" x14ac:dyDescent="0.2">
      <c r="A14" s="76">
        <v>8</v>
      </c>
      <c r="B14" s="677" t="s">
        <v>246</v>
      </c>
      <c r="C14" s="677" t="s">
        <v>248</v>
      </c>
      <c r="D14" s="353">
        <v>214704.20066131229</v>
      </c>
      <c r="E14" s="451">
        <v>0.67652999999999996</v>
      </c>
      <c r="F14" s="1387">
        <v>0.10204000000000001</v>
      </c>
      <c r="G14" s="1388">
        <v>0.77856999999999998</v>
      </c>
      <c r="H14" s="1387">
        <v>6.1650000000000003E-2</v>
      </c>
      <c r="I14" s="1388">
        <v>0.84021999999999997</v>
      </c>
      <c r="J14" s="39">
        <v>145254</v>
      </c>
      <c r="K14" s="39">
        <v>167162</v>
      </c>
      <c r="L14" s="39">
        <v>180399</v>
      </c>
      <c r="M14" s="603">
        <v>5.5</v>
      </c>
      <c r="N14" s="684">
        <v>911</v>
      </c>
      <c r="O14" s="39">
        <v>208635.2992440185</v>
      </c>
      <c r="P14" s="455">
        <v>230543.2992440185</v>
      </c>
      <c r="Q14" s="39">
        <v>243780.2992440185</v>
      </c>
      <c r="R14" s="450"/>
      <c r="S14" s="1576">
        <v>1</v>
      </c>
      <c r="T14" s="453">
        <v>-3493</v>
      </c>
      <c r="U14" s="458">
        <v>-1.627E-2</v>
      </c>
      <c r="V14" s="1576">
        <v>1</v>
      </c>
      <c r="W14" s="453">
        <v>-1857</v>
      </c>
      <c r="X14" s="458">
        <v>-8.6499999999999997E-3</v>
      </c>
      <c r="Y14" s="1576">
        <v>1</v>
      </c>
      <c r="Z14" s="453">
        <v>655</v>
      </c>
      <c r="AA14" s="458">
        <v>3.0500000000000002E-3</v>
      </c>
      <c r="AB14" s="1576">
        <v>1</v>
      </c>
      <c r="AC14" s="453">
        <v>-1954</v>
      </c>
      <c r="AD14" s="458">
        <v>-9.1000000000000004E-3</v>
      </c>
      <c r="AE14" s="1576">
        <v>1</v>
      </c>
      <c r="AF14" s="453">
        <v>-3493</v>
      </c>
      <c r="AG14" s="458">
        <v>-1.627E-2</v>
      </c>
      <c r="AH14" s="1576">
        <v>1</v>
      </c>
      <c r="AI14" s="453">
        <v>-1861</v>
      </c>
      <c r="AJ14" s="458">
        <v>-8.6700000000000006E-3</v>
      </c>
      <c r="AK14" s="1576">
        <v>1</v>
      </c>
      <c r="AL14" s="453">
        <v>-189</v>
      </c>
      <c r="AM14" s="458">
        <v>-8.8000000000000003E-4</v>
      </c>
      <c r="AN14" s="831"/>
      <c r="AO14" s="831"/>
      <c r="AQ14" s="421">
        <v>-1.5151166880382131E-2</v>
      </c>
      <c r="AR14" s="421">
        <v>-2.0895897392948157E-2</v>
      </c>
      <c r="AU14" s="421">
        <v>-8.0548860283050725E-3</v>
      </c>
      <c r="AV14" s="421">
        <v>-1.1108984099257008E-2</v>
      </c>
      <c r="AY14" s="421">
        <v>2.8411148888205827E-3</v>
      </c>
      <c r="AZ14" s="421">
        <v>3.9183546499802586E-3</v>
      </c>
      <c r="BC14" s="421">
        <v>-9.3656251223078711E-3</v>
      </c>
      <c r="BD14" s="421">
        <v>-1.3452297354978176E-2</v>
      </c>
      <c r="BG14" s="421">
        <v>-1.4328475314994945E-2</v>
      </c>
      <c r="BH14" s="421">
        <v>-1.936263504786612E-2</v>
      </c>
      <c r="BK14" s="421">
        <v>-7.6339228632137397E-3</v>
      </c>
      <c r="BL14" s="421">
        <v>-1.0316021707437402E-2</v>
      </c>
      <c r="BO14" s="421">
        <v>-7.7528824349672046E-4</v>
      </c>
      <c r="BP14" s="421">
        <v>-1.0476776478805315E-3</v>
      </c>
    </row>
    <row r="15" spans="1:69" s="46" customFormat="1" x14ac:dyDescent="0.2">
      <c r="A15" s="76">
        <v>9</v>
      </c>
      <c r="B15" s="677" t="s">
        <v>247</v>
      </c>
      <c r="C15" s="677" t="s">
        <v>248</v>
      </c>
      <c r="D15" s="353">
        <v>46539.057144390383</v>
      </c>
      <c r="E15" s="451">
        <v>0.73148999999999997</v>
      </c>
      <c r="F15" s="1389">
        <v>8.4850000000000009E-2</v>
      </c>
      <c r="G15" s="1388">
        <v>0.81633999999999995</v>
      </c>
      <c r="H15" s="1389">
        <v>5.126E-2</v>
      </c>
      <c r="I15" s="1388">
        <v>0.86759999999999993</v>
      </c>
      <c r="J15" s="39">
        <v>34043</v>
      </c>
      <c r="K15" s="39">
        <v>37992</v>
      </c>
      <c r="L15" s="39">
        <v>40377</v>
      </c>
      <c r="M15" s="603">
        <v>7</v>
      </c>
      <c r="N15" s="684">
        <v>34</v>
      </c>
      <c r="O15" s="39">
        <v>37604.525911352161</v>
      </c>
      <c r="P15" s="455">
        <v>41553.525911352161</v>
      </c>
      <c r="Q15" s="39">
        <v>43938.525911352161</v>
      </c>
      <c r="R15" s="450"/>
      <c r="S15" s="1582">
        <v>1</v>
      </c>
      <c r="T15" s="1039">
        <v>-630</v>
      </c>
      <c r="U15" s="1583">
        <v>-1.354E-2</v>
      </c>
      <c r="V15" s="1582">
        <v>1</v>
      </c>
      <c r="W15" s="1039">
        <v>-335</v>
      </c>
      <c r="X15" s="1583">
        <v>-7.1999999999999998E-3</v>
      </c>
      <c r="Y15" s="1582">
        <v>1</v>
      </c>
      <c r="Z15" s="1039">
        <v>118</v>
      </c>
      <c r="AA15" s="1583">
        <v>2.5400000000000002E-3</v>
      </c>
      <c r="AB15" s="1582">
        <v>1</v>
      </c>
      <c r="AC15" s="1039">
        <v>-352</v>
      </c>
      <c r="AD15" s="1583">
        <v>-7.5599999999999999E-3</v>
      </c>
      <c r="AE15" s="1582">
        <v>1</v>
      </c>
      <c r="AF15" s="1039">
        <v>-630</v>
      </c>
      <c r="AG15" s="1583">
        <v>-1.354E-2</v>
      </c>
      <c r="AH15" s="1582">
        <v>1</v>
      </c>
      <c r="AI15" s="1039">
        <v>-335</v>
      </c>
      <c r="AJ15" s="1583">
        <v>-7.1999999999999998E-3</v>
      </c>
      <c r="AK15" s="1582">
        <v>1</v>
      </c>
      <c r="AL15" s="1039">
        <v>-34</v>
      </c>
      <c r="AM15" s="1583">
        <v>-7.2999999999999996E-4</v>
      </c>
      <c r="AN15" s="831"/>
      <c r="AO15" s="831"/>
      <c r="AQ15" s="421">
        <v>-1.5161168304802937E-2</v>
      </c>
      <c r="AR15" s="421">
        <v>-1.6582438408085914E-2</v>
      </c>
      <c r="AU15" s="421">
        <v>-8.0618910827126734E-3</v>
      </c>
      <c r="AV15" s="421">
        <v>-8.8176458201726683E-3</v>
      </c>
      <c r="AY15" s="421">
        <v>2.8397108888361059E-3</v>
      </c>
      <c r="AZ15" s="421">
        <v>3.1059170351652979E-3</v>
      </c>
      <c r="BC15" s="421">
        <v>-9.3605753953605163E-3</v>
      </c>
      <c r="BD15" s="421">
        <v>-1.0339864289281204E-2</v>
      </c>
      <c r="BG15" s="421">
        <v>-1.433821428764023E-2</v>
      </c>
      <c r="BH15" s="421">
        <v>-1.5602942269113605E-2</v>
      </c>
      <c r="BK15" s="421">
        <v>-7.6242885497769478E-3</v>
      </c>
      <c r="BL15" s="421">
        <v>-8.2968026351635839E-3</v>
      </c>
      <c r="BO15" s="421">
        <v>-7.7380839012661554E-4</v>
      </c>
      <c r="BP15" s="421">
        <v>-8.420635510315278E-4</v>
      </c>
    </row>
    <row r="16" spans="1:69" s="46" customFormat="1" x14ac:dyDescent="0.2">
      <c r="A16" s="76">
        <v>10</v>
      </c>
      <c r="B16" s="677" t="s">
        <v>12</v>
      </c>
      <c r="C16" s="677" t="s">
        <v>248</v>
      </c>
      <c r="D16" s="454">
        <v>54953515.785084128</v>
      </c>
      <c r="E16" s="451">
        <v>0.45815999999999979</v>
      </c>
      <c r="F16" s="1389">
        <v>6.4579999999999999E-2</v>
      </c>
      <c r="G16" s="1388">
        <v>0.52273999999999976</v>
      </c>
      <c r="H16" s="1389">
        <v>3.9019999999999999E-2</v>
      </c>
      <c r="I16" s="1388">
        <v>0.56175999999999982</v>
      </c>
      <c r="J16" s="39">
        <v>25177503</v>
      </c>
      <c r="K16" s="39">
        <v>28726401</v>
      </c>
      <c r="L16" s="39">
        <v>30870687</v>
      </c>
      <c r="M16" s="603">
        <v>8</v>
      </c>
      <c r="N16" s="684">
        <v>81119</v>
      </c>
      <c r="O16" s="39">
        <v>33798099.797603399</v>
      </c>
      <c r="P16" s="455">
        <v>37346997.797603399</v>
      </c>
      <c r="Q16" s="39">
        <v>39491283.797603399</v>
      </c>
      <c r="R16" s="450"/>
      <c r="S16" s="1582">
        <v>1</v>
      </c>
      <c r="T16" s="1039">
        <v>-565846</v>
      </c>
      <c r="U16" s="1583">
        <v>-1.03E-2</v>
      </c>
      <c r="V16" s="1582">
        <v>1</v>
      </c>
      <c r="W16" s="1039">
        <v>-300820</v>
      </c>
      <c r="X16" s="1583">
        <v>-5.47E-3</v>
      </c>
      <c r="Y16" s="1582">
        <v>1</v>
      </c>
      <c r="Z16" s="1039">
        <v>106088</v>
      </c>
      <c r="AA16" s="1583">
        <v>1.9300000000000001E-3</v>
      </c>
      <c r="AB16" s="1582">
        <v>1</v>
      </c>
      <c r="AC16" s="1039">
        <v>-316504</v>
      </c>
      <c r="AD16" s="1583">
        <v>-5.7600000000000004E-3</v>
      </c>
      <c r="AE16" s="1582">
        <v>1</v>
      </c>
      <c r="AF16" s="1039">
        <v>-565847</v>
      </c>
      <c r="AG16" s="1583">
        <v>-1.03E-2</v>
      </c>
      <c r="AH16" s="1582">
        <v>1</v>
      </c>
      <c r="AI16" s="1039">
        <v>-301455</v>
      </c>
      <c r="AJ16" s="1583">
        <v>-5.4900000000000001E-3</v>
      </c>
      <c r="AK16" s="1582">
        <v>1</v>
      </c>
      <c r="AL16" s="1039">
        <v>-30667</v>
      </c>
      <c r="AM16" s="1583">
        <v>-5.5999999999999995E-4</v>
      </c>
      <c r="AN16" s="831"/>
      <c r="AO16" s="831"/>
      <c r="AQ16" s="421">
        <v>-1.5151043815262468E-2</v>
      </c>
      <c r="AR16" s="421">
        <v>-1.9697768613617835E-2</v>
      </c>
      <c r="AU16" s="421">
        <v>-8.0547304399205006E-3</v>
      </c>
      <c r="AV16" s="421">
        <v>-1.0471900047625179E-2</v>
      </c>
      <c r="AY16" s="421">
        <v>2.8406031610607209E-3</v>
      </c>
      <c r="AZ16" s="421">
        <v>3.693048774192075E-3</v>
      </c>
      <c r="BC16" s="421">
        <v>-9.3645501343375247E-3</v>
      </c>
      <c r="BD16" s="421">
        <v>-1.2570905065526156E-2</v>
      </c>
      <c r="BG16" s="421">
        <v>-1.4328402259597837E-2</v>
      </c>
      <c r="BH16" s="421">
        <v>-1.8329588842645451E-2</v>
      </c>
      <c r="BK16" s="421">
        <v>-7.6334565760127135E-3</v>
      </c>
      <c r="BL16" s="421">
        <v>-9.7650888041461471E-3</v>
      </c>
      <c r="BO16" s="421">
        <v>-7.7655110320473003E-4</v>
      </c>
      <c r="BP16" s="421">
        <v>-9.9340192850259543E-4</v>
      </c>
    </row>
    <row r="17" spans="1:68" s="46" customFormat="1" x14ac:dyDescent="0.2">
      <c r="A17" s="76">
        <v>11</v>
      </c>
      <c r="B17" s="677" t="s">
        <v>10</v>
      </c>
      <c r="C17" s="677" t="s">
        <v>248</v>
      </c>
      <c r="D17" s="454">
        <v>17867210.60654201</v>
      </c>
      <c r="E17" s="451">
        <v>0.44368000000000019</v>
      </c>
      <c r="F17" s="1389">
        <v>5.7989999999999993E-2</v>
      </c>
      <c r="G17" s="1388">
        <v>0.50167000000000017</v>
      </c>
      <c r="H17" s="1389">
        <v>3.5029999999999999E-2</v>
      </c>
      <c r="I17" s="1388">
        <v>0.53670000000000018</v>
      </c>
      <c r="J17" s="39">
        <v>7927324</v>
      </c>
      <c r="K17" s="39">
        <v>8963444</v>
      </c>
      <c r="L17" s="39">
        <v>9589332</v>
      </c>
      <c r="M17" s="603">
        <v>22</v>
      </c>
      <c r="N17" s="684">
        <v>6318</v>
      </c>
      <c r="O17" s="39">
        <v>9866168.066922849</v>
      </c>
      <c r="P17" s="455">
        <v>10902288.066922849</v>
      </c>
      <c r="Q17" s="39">
        <v>11528176.066922849</v>
      </c>
      <c r="R17" s="450"/>
      <c r="S17" s="1582">
        <v>1</v>
      </c>
      <c r="T17" s="1039">
        <v>-165181</v>
      </c>
      <c r="U17" s="1583">
        <v>-9.2399999999999999E-3</v>
      </c>
      <c r="V17" s="1582">
        <v>1</v>
      </c>
      <c r="W17" s="1039">
        <v>-87815</v>
      </c>
      <c r="X17" s="1583">
        <v>-4.9100000000000003E-3</v>
      </c>
      <c r="Y17" s="1582">
        <v>1</v>
      </c>
      <c r="Z17" s="1039">
        <v>30969</v>
      </c>
      <c r="AA17" s="1583">
        <v>1.73E-3</v>
      </c>
      <c r="AB17" s="1582">
        <v>1</v>
      </c>
      <c r="AC17" s="1039">
        <v>-92392</v>
      </c>
      <c r="AD17" s="1583">
        <v>-5.1700000000000001E-3</v>
      </c>
      <c r="AE17" s="1582">
        <v>1</v>
      </c>
      <c r="AF17" s="1039">
        <v>-165180</v>
      </c>
      <c r="AG17" s="1583">
        <v>-9.2399999999999999E-3</v>
      </c>
      <c r="AH17" s="1582">
        <v>1</v>
      </c>
      <c r="AI17" s="1039">
        <v>-88000</v>
      </c>
      <c r="AJ17" s="1583">
        <v>-4.9300000000000004E-3</v>
      </c>
      <c r="AK17" s="1582">
        <v>1</v>
      </c>
      <c r="AL17" s="1039">
        <v>-8952</v>
      </c>
      <c r="AM17" s="1583">
        <v>-5.0000000000000001E-4</v>
      </c>
      <c r="AN17" s="831"/>
      <c r="AO17" s="831"/>
      <c r="AQ17" s="421">
        <v>-1.5151039762116838E-2</v>
      </c>
      <c r="AR17" s="421">
        <v>-1.8428296087976897E-2</v>
      </c>
      <c r="AU17" s="421">
        <v>-8.054731214306065E-3</v>
      </c>
      <c r="AV17" s="421">
        <v>-9.7970155221586697E-3</v>
      </c>
      <c r="AY17" s="421">
        <v>2.8405963784757108E-3</v>
      </c>
      <c r="AZ17" s="421">
        <v>3.4550335786110785E-3</v>
      </c>
      <c r="BC17" s="421">
        <v>-9.3645272788076533E-3</v>
      </c>
      <c r="BD17" s="421">
        <v>-1.1654878745967745E-2</v>
      </c>
      <c r="BG17" s="421">
        <v>-1.4328372419115087E-2</v>
      </c>
      <c r="BH17" s="421">
        <v>-1.722539171654501E-2</v>
      </c>
      <c r="BK17" s="421">
        <v>-7.6334712004003371E-3</v>
      </c>
      <c r="BL17" s="421">
        <v>-9.1768644572948355E-3</v>
      </c>
      <c r="BO17" s="421">
        <v>-7.7653220665890703E-4</v>
      </c>
      <c r="BP17" s="421">
        <v>-9.3353739342844739E-4</v>
      </c>
    </row>
    <row r="18" spans="1:68" s="46" customFormat="1" x14ac:dyDescent="0.2">
      <c r="A18" s="76">
        <v>12</v>
      </c>
      <c r="B18" s="677" t="s">
        <v>11</v>
      </c>
      <c r="C18" s="677" t="s">
        <v>248</v>
      </c>
      <c r="D18" s="454">
        <v>283651.99999999994</v>
      </c>
      <c r="E18" s="451">
        <v>0.46249000000000001</v>
      </c>
      <c r="F18" s="1389">
        <v>5.2519999999999997E-2</v>
      </c>
      <c r="G18" s="1388">
        <v>0.51500999999999997</v>
      </c>
      <c r="H18" s="1389">
        <v>3.1730000000000001E-2</v>
      </c>
      <c r="I18" s="1388">
        <v>0.54674</v>
      </c>
      <c r="J18" s="39">
        <v>131186</v>
      </c>
      <c r="K18" s="39">
        <v>146084</v>
      </c>
      <c r="L18" s="39">
        <v>155084</v>
      </c>
      <c r="M18" s="603">
        <v>22</v>
      </c>
      <c r="N18" s="684">
        <v>24.25</v>
      </c>
      <c r="O18" s="39">
        <v>141888.51157190159</v>
      </c>
      <c r="P18" s="455">
        <v>156786.51157190159</v>
      </c>
      <c r="Q18" s="39">
        <v>165786.51157190159</v>
      </c>
      <c r="R18" s="450"/>
      <c r="S18" s="1582">
        <v>0</v>
      </c>
      <c r="T18" s="1039">
        <v>0</v>
      </c>
      <c r="U18" s="1583">
        <v>0</v>
      </c>
      <c r="V18" s="1582">
        <v>1</v>
      </c>
      <c r="W18" s="1039">
        <v>-1263</v>
      </c>
      <c r="X18" s="1583">
        <v>-4.45E-3</v>
      </c>
      <c r="Y18" s="1582">
        <v>1</v>
      </c>
      <c r="Z18" s="1039">
        <v>445</v>
      </c>
      <c r="AA18" s="1583">
        <v>1.57E-3</v>
      </c>
      <c r="AB18" s="1582">
        <v>1</v>
      </c>
      <c r="AC18" s="1039">
        <v>-1329</v>
      </c>
      <c r="AD18" s="1583">
        <v>-4.6899999999999997E-3</v>
      </c>
      <c r="AE18" s="1582">
        <v>0</v>
      </c>
      <c r="AF18" s="1039">
        <v>0</v>
      </c>
      <c r="AG18" s="1583">
        <v>0</v>
      </c>
      <c r="AH18" s="1582">
        <v>1</v>
      </c>
      <c r="AI18" s="1039">
        <v>-1266</v>
      </c>
      <c r="AJ18" s="1583">
        <v>-4.4600000000000004E-3</v>
      </c>
      <c r="AK18" s="1582">
        <v>1</v>
      </c>
      <c r="AL18" s="1039">
        <v>-129</v>
      </c>
      <c r="AM18" s="1583">
        <v>-4.4999999999999999E-4</v>
      </c>
      <c r="AN18" s="831"/>
      <c r="AO18" s="831"/>
      <c r="AQ18" s="421">
        <v>0</v>
      </c>
      <c r="AR18" s="421">
        <v>0</v>
      </c>
      <c r="AU18" s="421">
        <v>-8.0555399015992124E-3</v>
      </c>
      <c r="AV18" s="421">
        <v>-8.6457106870019996E-3</v>
      </c>
      <c r="AY18" s="421">
        <v>2.8382543596291764E-3</v>
      </c>
      <c r="AZ18" s="421">
        <v>3.0461926015169353E-3</v>
      </c>
      <c r="BC18" s="421">
        <v>-9.3665088545701828E-3</v>
      </c>
      <c r="BD18" s="421">
        <v>-1.0130654185660054E-2</v>
      </c>
      <c r="BG18" s="421">
        <v>0</v>
      </c>
      <c r="BH18" s="421">
        <v>0</v>
      </c>
      <c r="BK18" s="421">
        <v>-7.6363269122225056E-3</v>
      </c>
      <c r="BL18" s="421">
        <v>-8.1633179438239927E-3</v>
      </c>
      <c r="BO18" s="421">
        <v>-7.7810914034494728E-4</v>
      </c>
      <c r="BP18" s="421">
        <v>-8.3180727863609396E-4</v>
      </c>
    </row>
    <row r="19" spans="1:68" s="46" customFormat="1" x14ac:dyDescent="0.2">
      <c r="A19" s="76">
        <v>13</v>
      </c>
      <c r="B19" s="669" t="s">
        <v>365</v>
      </c>
      <c r="C19" s="669" t="s">
        <v>248</v>
      </c>
      <c r="D19" s="454">
        <v>461371.76933137607</v>
      </c>
      <c r="E19" s="451">
        <v>0.24087999999999973</v>
      </c>
      <c r="F19" s="1387">
        <v>4.5960000000000001E-2</v>
      </c>
      <c r="G19" s="1390">
        <v>0.28683999999999976</v>
      </c>
      <c r="H19" s="1387">
        <v>2.777E-2</v>
      </c>
      <c r="I19" s="1390">
        <v>0.31460999999999978</v>
      </c>
      <c r="J19" s="455">
        <v>111135</v>
      </c>
      <c r="K19" s="455">
        <v>132340</v>
      </c>
      <c r="L19" s="455">
        <v>145152</v>
      </c>
      <c r="M19" s="603">
        <v>9</v>
      </c>
      <c r="N19" s="684">
        <v>776</v>
      </c>
      <c r="O19" s="455">
        <v>201937.97258147644</v>
      </c>
      <c r="P19" s="455">
        <v>223142.97258147644</v>
      </c>
      <c r="Q19" s="455">
        <v>235954.97258147644</v>
      </c>
      <c r="R19" s="450"/>
      <c r="S19" s="1582">
        <v>1</v>
      </c>
      <c r="T19" s="1039">
        <v>-3381</v>
      </c>
      <c r="U19" s="1583">
        <v>-7.3299999999999997E-3</v>
      </c>
      <c r="V19" s="1582">
        <v>1</v>
      </c>
      <c r="W19" s="1039">
        <v>-1797</v>
      </c>
      <c r="X19" s="1583">
        <v>-3.8899999999999998E-3</v>
      </c>
      <c r="Y19" s="1582">
        <v>1</v>
      </c>
      <c r="Z19" s="1039">
        <v>634</v>
      </c>
      <c r="AA19" s="1583">
        <v>1.3699999999999999E-3</v>
      </c>
      <c r="AB19" s="1582">
        <v>1</v>
      </c>
      <c r="AC19" s="1039">
        <v>-1891</v>
      </c>
      <c r="AD19" s="1583">
        <v>-4.1000000000000003E-3</v>
      </c>
      <c r="AE19" s="1582">
        <v>1</v>
      </c>
      <c r="AF19" s="1039">
        <v>-3381</v>
      </c>
      <c r="AG19" s="1583">
        <v>-7.3299999999999997E-3</v>
      </c>
      <c r="AH19" s="1582">
        <v>1</v>
      </c>
      <c r="AI19" s="1039">
        <v>-1801</v>
      </c>
      <c r="AJ19" s="1583">
        <v>-3.8999999999999998E-3</v>
      </c>
      <c r="AK19" s="1582">
        <v>1</v>
      </c>
      <c r="AL19" s="1039">
        <v>-183</v>
      </c>
      <c r="AM19" s="1583">
        <v>-4.0000000000000002E-4</v>
      </c>
      <c r="AN19" s="831"/>
      <c r="AO19" s="831"/>
      <c r="AQ19" s="421">
        <v>-1.5151720714688838E-2</v>
      </c>
      <c r="AR19" s="421">
        <v>-2.5547831343509145E-2</v>
      </c>
      <c r="AU19" s="421">
        <v>-8.053132837709507E-3</v>
      </c>
      <c r="AV19" s="421">
        <v>-1.357866102463352E-2</v>
      </c>
      <c r="AY19" s="421">
        <v>2.8412277234879397E-3</v>
      </c>
      <c r="AZ19" s="421">
        <v>4.7906906453075411E-3</v>
      </c>
      <c r="BC19" s="421">
        <v>-9.3642615889739777E-3</v>
      </c>
      <c r="BD19" s="421">
        <v>-1.7015341701534171E-2</v>
      </c>
      <c r="BG19" s="421">
        <v>-1.4329005076731424E-2</v>
      </c>
      <c r="BH19" s="421">
        <v>-2.3292824074074073E-2</v>
      </c>
      <c r="BK19" s="421">
        <v>-7.632812228096213E-3</v>
      </c>
      <c r="BL19" s="421">
        <v>-1.2407682980599648E-2</v>
      </c>
      <c r="BO19" s="421">
        <v>-7.7557170335458461E-4</v>
      </c>
      <c r="BP19" s="421">
        <v>-1.2607473544973544E-3</v>
      </c>
    </row>
    <row r="20" spans="1:68" s="46" customFormat="1" x14ac:dyDescent="0.2">
      <c r="A20" s="76">
        <v>14</v>
      </c>
      <c r="B20" s="670" t="s">
        <v>249</v>
      </c>
      <c r="C20" s="671" t="s">
        <v>4</v>
      </c>
      <c r="D20" s="460">
        <v>1777065.1510316674</v>
      </c>
      <c r="E20" s="461">
        <v>0.34474000000000016</v>
      </c>
      <c r="F20" s="1391">
        <v>4.6050000000000001E-2</v>
      </c>
      <c r="G20" s="1392">
        <v>0.39079000000000014</v>
      </c>
      <c r="H20" s="1391">
        <v>2.7820000000000001E-2</v>
      </c>
      <c r="I20" s="1392">
        <v>0.41861000000000015</v>
      </c>
      <c r="J20" s="270">
        <v>612625</v>
      </c>
      <c r="K20" s="270">
        <v>694459</v>
      </c>
      <c r="L20" s="270">
        <v>743897</v>
      </c>
      <c r="M20" s="144">
        <v>250</v>
      </c>
      <c r="N20" s="360">
        <v>91</v>
      </c>
      <c r="O20" s="462">
        <v>1542347.3405315941</v>
      </c>
      <c r="P20" s="462">
        <v>1704313.3405315941</v>
      </c>
      <c r="Q20" s="462">
        <v>1802150.3405315941</v>
      </c>
      <c r="R20" s="463"/>
      <c r="S20" s="1584">
        <v>1</v>
      </c>
      <c r="T20" s="1585">
        <v>-25822</v>
      </c>
      <c r="U20" s="1586">
        <v>-7.3400000000000002E-3</v>
      </c>
      <c r="V20" s="1584">
        <v>1</v>
      </c>
      <c r="W20" s="1585">
        <v>-13728</v>
      </c>
      <c r="X20" s="1586">
        <v>-3.8999999999999998E-3</v>
      </c>
      <c r="Y20" s="1584">
        <v>1</v>
      </c>
      <c r="Z20" s="1585">
        <v>4841</v>
      </c>
      <c r="AA20" s="1586">
        <v>1.3799999999999999E-3</v>
      </c>
      <c r="AB20" s="1584">
        <v>1</v>
      </c>
      <c r="AC20" s="1585">
        <v>-14443</v>
      </c>
      <c r="AD20" s="1586">
        <v>-4.1099999999999999E-3</v>
      </c>
      <c r="AE20" s="1584">
        <v>1</v>
      </c>
      <c r="AF20" s="1585">
        <v>-25822</v>
      </c>
      <c r="AG20" s="1586">
        <v>-7.3400000000000002E-3</v>
      </c>
      <c r="AH20" s="1584">
        <v>1</v>
      </c>
      <c r="AI20" s="1585">
        <v>-13757</v>
      </c>
      <c r="AJ20" s="1586">
        <v>-3.9100000000000003E-3</v>
      </c>
      <c r="AK20" s="1584">
        <v>1</v>
      </c>
      <c r="AL20" s="1585">
        <v>-1399</v>
      </c>
      <c r="AM20" s="1586">
        <v>-4.0000000000000002E-4</v>
      </c>
      <c r="AN20" s="831"/>
      <c r="AO20" s="831"/>
      <c r="AQ20" s="421">
        <v>-1.5150969828086796E-2</v>
      </c>
      <c r="AR20" s="421">
        <v>-1.8787397266652697E-2</v>
      </c>
      <c r="AU20" s="421">
        <v>-8.0548568584918115E-3</v>
      </c>
      <c r="AV20" s="421">
        <v>-9.9881260040511274E-3</v>
      </c>
      <c r="AW20" s="421"/>
      <c r="AY20" s="421">
        <v>2.8404401261625041E-3</v>
      </c>
      <c r="AZ20" s="421">
        <v>3.5221822541966425E-3</v>
      </c>
      <c r="BC20" s="421">
        <v>-9.3642979246309037E-3</v>
      </c>
      <c r="BD20" s="421">
        <v>-1.1912086606964649E-2</v>
      </c>
      <c r="BG20" s="421">
        <v>-1.4328438321290712E-2</v>
      </c>
      <c r="BH20" s="421">
        <v>-1.7538914423926605E-2</v>
      </c>
      <c r="BK20" s="421">
        <v>-7.6336583527997961E-3</v>
      </c>
      <c r="BL20" s="421">
        <v>-9.3440804635565918E-3</v>
      </c>
      <c r="BM20" s="421"/>
      <c r="BO20" s="421">
        <v>-7.7629483430740091E-4</v>
      </c>
      <c r="BP20" s="421">
        <v>-9.5023395860403229E-4</v>
      </c>
    </row>
    <row r="21" spans="1:68" s="46" customFormat="1" x14ac:dyDescent="0.2">
      <c r="A21" s="76">
        <v>15</v>
      </c>
      <c r="B21" s="668"/>
      <c r="C21" s="672" t="s">
        <v>5</v>
      </c>
      <c r="D21" s="454">
        <v>1974656.4658023661</v>
      </c>
      <c r="E21" s="451">
        <v>0.30376999999999998</v>
      </c>
      <c r="F21" s="1389">
        <v>4.0580000000000005E-2</v>
      </c>
      <c r="G21" s="1388">
        <v>0.34434999999999999</v>
      </c>
      <c r="H21" s="1389">
        <v>2.4510000000000001E-2</v>
      </c>
      <c r="I21" s="1388">
        <v>0.36885999999999997</v>
      </c>
      <c r="J21" s="455">
        <v>599841</v>
      </c>
      <c r="K21" s="455">
        <v>679973</v>
      </c>
      <c r="L21" s="455">
        <v>728372</v>
      </c>
      <c r="M21" s="456"/>
      <c r="N21" s="684"/>
      <c r="O21" s="455"/>
      <c r="P21" s="455"/>
      <c r="Q21" s="455"/>
      <c r="R21" s="450"/>
      <c r="S21" s="1582">
        <v>1</v>
      </c>
      <c r="T21" s="1039"/>
      <c r="U21" s="1583">
        <v>-6.4700000000000001E-3</v>
      </c>
      <c r="V21" s="1582">
        <v>1</v>
      </c>
      <c r="W21" s="1039"/>
      <c r="X21" s="1583">
        <v>-3.4399999999999999E-3</v>
      </c>
      <c r="Y21" s="1582">
        <v>1</v>
      </c>
      <c r="Z21" s="1039"/>
      <c r="AA21" s="1583">
        <v>1.2099999999999999E-3</v>
      </c>
      <c r="AB21" s="1582">
        <v>1</v>
      </c>
      <c r="AC21" s="1039"/>
      <c r="AD21" s="1583">
        <v>-3.62E-3</v>
      </c>
      <c r="AE21" s="1582">
        <v>1</v>
      </c>
      <c r="AF21" s="1039"/>
      <c r="AG21" s="1583">
        <v>-6.4700000000000001E-3</v>
      </c>
      <c r="AH21" s="1582">
        <v>1</v>
      </c>
      <c r="AI21" s="1039"/>
      <c r="AJ21" s="1583">
        <v>-3.4499999999999999E-3</v>
      </c>
      <c r="AK21" s="1582">
        <v>1</v>
      </c>
      <c r="AL21" s="1039"/>
      <c r="AM21" s="1583">
        <v>-3.5E-4</v>
      </c>
      <c r="AN21" s="831"/>
      <c r="AO21" s="831"/>
      <c r="AU21" s="421"/>
      <c r="AV21" s="421"/>
      <c r="AW21" s="421"/>
      <c r="BK21" s="421"/>
      <c r="BL21" s="421"/>
      <c r="BM21" s="421"/>
    </row>
    <row r="22" spans="1:68" s="46" customFormat="1" x14ac:dyDescent="0.2">
      <c r="A22" s="76">
        <v>16</v>
      </c>
      <c r="B22" s="670" t="s">
        <v>253</v>
      </c>
      <c r="C22" s="671" t="s">
        <v>4</v>
      </c>
      <c r="D22" s="460">
        <v>392890.20000000007</v>
      </c>
      <c r="E22" s="461">
        <v>0.34416000000000024</v>
      </c>
      <c r="F22" s="1391">
        <v>1.9130000000000001E-2</v>
      </c>
      <c r="G22" s="1392">
        <v>0.36329000000000022</v>
      </c>
      <c r="H22" s="1391">
        <v>8.7299999999999999E-3</v>
      </c>
      <c r="I22" s="1392">
        <v>0.37202000000000024</v>
      </c>
      <c r="J22" s="270">
        <v>135217</v>
      </c>
      <c r="K22" s="270">
        <v>142733</v>
      </c>
      <c r="L22" s="270">
        <v>146163</v>
      </c>
      <c r="M22" s="144">
        <v>250</v>
      </c>
      <c r="N22" s="360">
        <v>17.833333333333332</v>
      </c>
      <c r="O22" s="462">
        <v>392613.82673589932</v>
      </c>
      <c r="P22" s="462">
        <v>410610.82673589932</v>
      </c>
      <c r="Q22" s="462">
        <v>418821.82673589932</v>
      </c>
      <c r="R22" s="463"/>
      <c r="S22" s="1584">
        <v>0</v>
      </c>
      <c r="T22" s="1585">
        <v>0</v>
      </c>
      <c r="U22" s="1586">
        <v>0</v>
      </c>
      <c r="V22" s="1584">
        <v>1</v>
      </c>
      <c r="W22" s="1585">
        <v>-3307</v>
      </c>
      <c r="X22" s="1586">
        <v>-3.5200000000000001E-3</v>
      </c>
      <c r="Y22" s="1584">
        <v>1</v>
      </c>
      <c r="Z22" s="1585">
        <v>1166</v>
      </c>
      <c r="AA22" s="1586">
        <v>1.24E-3</v>
      </c>
      <c r="AB22" s="1584">
        <v>1</v>
      </c>
      <c r="AC22" s="1585">
        <v>-3677</v>
      </c>
      <c r="AD22" s="1586">
        <v>-3.9100000000000003E-3</v>
      </c>
      <c r="AE22" s="1584">
        <v>0</v>
      </c>
      <c r="AF22" s="1585">
        <v>0</v>
      </c>
      <c r="AG22" s="1586">
        <v>0</v>
      </c>
      <c r="AH22" s="1584">
        <v>1</v>
      </c>
      <c r="AI22" s="1585">
        <v>-3197</v>
      </c>
      <c r="AJ22" s="1586">
        <v>-3.3999999999999998E-3</v>
      </c>
      <c r="AK22" s="1584">
        <v>1</v>
      </c>
      <c r="AL22" s="1585">
        <v>-325</v>
      </c>
      <c r="AM22" s="1586">
        <v>-3.5E-4</v>
      </c>
      <c r="AN22" s="831"/>
      <c r="AO22" s="831"/>
      <c r="AQ22" s="421">
        <v>0</v>
      </c>
      <c r="AR22" s="421">
        <v>0</v>
      </c>
      <c r="AU22" s="421">
        <v>-8.0538548539710788E-3</v>
      </c>
      <c r="AV22" s="421">
        <v>-9.6772588805749578E-3</v>
      </c>
      <c r="AW22" s="1041"/>
      <c r="AY22" s="421">
        <v>2.8396718354188923E-3</v>
      </c>
      <c r="AZ22" s="421">
        <v>3.4120604338525556E-3</v>
      </c>
      <c r="BC22" s="421">
        <v>-9.3654368481358094E-3</v>
      </c>
      <c r="BD22" s="421">
        <v>-1.1358160453708624E-2</v>
      </c>
      <c r="BG22" s="421">
        <v>0</v>
      </c>
      <c r="BH22" s="421">
        <v>0</v>
      </c>
      <c r="BK22" s="421">
        <v>-7.6333175491733966E-3</v>
      </c>
      <c r="BL22" s="421">
        <v>-9.135851860318912E-3</v>
      </c>
      <c r="BM22" s="1041"/>
      <c r="BO22" s="421">
        <v>-7.7598630074487138E-4</v>
      </c>
      <c r="BP22" s="421">
        <v>-9.2873063953820658E-4</v>
      </c>
    </row>
    <row r="23" spans="1:68" s="46" customFormat="1" x14ac:dyDescent="0.2">
      <c r="A23" s="76">
        <v>17</v>
      </c>
      <c r="B23" s="668"/>
      <c r="C23" s="672" t="s">
        <v>5</v>
      </c>
      <c r="D23" s="454">
        <v>621650.00000000012</v>
      </c>
      <c r="E23" s="451">
        <v>0.30325000000000002</v>
      </c>
      <c r="F23" s="1389">
        <v>1.686E-2</v>
      </c>
      <c r="G23" s="1388">
        <v>0.32011000000000001</v>
      </c>
      <c r="H23" s="1389">
        <v>7.6899999999999998E-3</v>
      </c>
      <c r="I23" s="1388">
        <v>0.32779999999999998</v>
      </c>
      <c r="J23" s="455">
        <v>188515</v>
      </c>
      <c r="K23" s="455">
        <v>198996</v>
      </c>
      <c r="L23" s="455">
        <v>203777</v>
      </c>
      <c r="M23" s="456"/>
      <c r="N23" s="684"/>
      <c r="O23" s="455"/>
      <c r="P23" s="455"/>
      <c r="Q23" s="455"/>
      <c r="R23" s="450"/>
      <c r="S23" s="1582">
        <v>0</v>
      </c>
      <c r="T23" s="1039"/>
      <c r="U23" s="1583">
        <v>0</v>
      </c>
      <c r="V23" s="1582">
        <v>1</v>
      </c>
      <c r="W23" s="1039"/>
      <c r="X23" s="1583">
        <v>-3.0999999999999999E-3</v>
      </c>
      <c r="Y23" s="1582">
        <v>1</v>
      </c>
      <c r="Z23" s="1039"/>
      <c r="AA23" s="1583">
        <v>1.09E-3</v>
      </c>
      <c r="AB23" s="1582">
        <v>1</v>
      </c>
      <c r="AC23" s="1039"/>
      <c r="AD23" s="1583">
        <v>-3.4399999999999999E-3</v>
      </c>
      <c r="AE23" s="1582">
        <v>0</v>
      </c>
      <c r="AF23" s="1039"/>
      <c r="AG23" s="1583">
        <v>0</v>
      </c>
      <c r="AH23" s="1582">
        <v>1</v>
      </c>
      <c r="AI23" s="1039"/>
      <c r="AJ23" s="1583">
        <v>-2.99E-3</v>
      </c>
      <c r="AK23" s="1582">
        <v>1</v>
      </c>
      <c r="AL23" s="1039"/>
      <c r="AM23" s="1583">
        <v>-2.9999999999999997E-4</v>
      </c>
      <c r="AN23" s="831"/>
      <c r="AO23" s="831"/>
    </row>
    <row r="24" spans="1:68" s="46" customFormat="1" x14ac:dyDescent="0.2">
      <c r="A24" s="76">
        <v>18</v>
      </c>
      <c r="B24" s="670" t="s">
        <v>251</v>
      </c>
      <c r="C24" s="671" t="s">
        <v>4</v>
      </c>
      <c r="D24" s="467">
        <v>0</v>
      </c>
      <c r="E24" s="461">
        <v>0.34372999999999987</v>
      </c>
      <c r="F24" s="1391">
        <v>3.2869999999999996E-2</v>
      </c>
      <c r="G24" s="1392">
        <v>0.37659999999999988</v>
      </c>
      <c r="H24" s="1391">
        <v>2.162E-2</v>
      </c>
      <c r="I24" s="1392">
        <v>0.39821999999999991</v>
      </c>
      <c r="J24" s="462">
        <v>0</v>
      </c>
      <c r="K24" s="462">
        <v>0</v>
      </c>
      <c r="L24" s="462">
        <v>0</v>
      </c>
      <c r="M24" s="144">
        <v>250</v>
      </c>
      <c r="N24" s="360">
        <v>0</v>
      </c>
      <c r="O24" s="462">
        <v>0</v>
      </c>
      <c r="P24" s="462">
        <v>0</v>
      </c>
      <c r="Q24" s="462">
        <v>0</v>
      </c>
      <c r="R24" s="463"/>
      <c r="S24" s="1584">
        <v>1</v>
      </c>
      <c r="T24" s="1585">
        <v>0</v>
      </c>
      <c r="U24" s="1586">
        <v>-6.8599999999999998E-3</v>
      </c>
      <c r="V24" s="1584">
        <v>1</v>
      </c>
      <c r="W24" s="1585">
        <v>0</v>
      </c>
      <c r="X24" s="1586">
        <v>-3.0300000000000001E-3</v>
      </c>
      <c r="Y24" s="1584">
        <v>1</v>
      </c>
      <c r="Z24" s="1585">
        <v>0</v>
      </c>
      <c r="AA24" s="1586">
        <v>1.3799999999999999E-3</v>
      </c>
      <c r="AB24" s="1584">
        <v>1</v>
      </c>
      <c r="AC24" s="1585">
        <v>0</v>
      </c>
      <c r="AD24" s="1586">
        <v>-3.2200000000000002E-3</v>
      </c>
      <c r="AE24" s="1584">
        <v>1</v>
      </c>
      <c r="AF24" s="1585">
        <v>0</v>
      </c>
      <c r="AG24" s="1586">
        <v>-6.7799999999999996E-3</v>
      </c>
      <c r="AH24" s="1584">
        <v>1</v>
      </c>
      <c r="AI24" s="1585">
        <v>0</v>
      </c>
      <c r="AJ24" s="1586">
        <v>-3.0400000000000002E-3</v>
      </c>
      <c r="AK24" s="1584">
        <v>1</v>
      </c>
      <c r="AL24" s="1585">
        <v>0</v>
      </c>
      <c r="AM24" s="1586">
        <v>-3.1E-4</v>
      </c>
      <c r="AN24" s="831"/>
      <c r="AO24" s="831"/>
      <c r="AQ24" s="421">
        <v>0</v>
      </c>
      <c r="AR24" s="421">
        <v>0</v>
      </c>
      <c r="AU24" s="421">
        <v>-8.0548568584918115E-3</v>
      </c>
      <c r="AV24" s="421">
        <v>-8.0548568584918115E-3</v>
      </c>
      <c r="AY24" s="421">
        <v>0</v>
      </c>
      <c r="AZ24" s="421">
        <v>0</v>
      </c>
      <c r="BC24" s="421">
        <v>-9.3642979246309037E-3</v>
      </c>
      <c r="BD24" s="421">
        <v>-9.3642979246309037E-3</v>
      </c>
      <c r="BG24" s="421">
        <v>0</v>
      </c>
      <c r="BH24" s="421">
        <v>0</v>
      </c>
      <c r="BK24" s="421">
        <v>-7.6336583527997961E-3</v>
      </c>
      <c r="BL24" s="421">
        <v>-7.6336583527997961E-3</v>
      </c>
      <c r="BO24" s="421">
        <v>-7.7629483430740091E-4</v>
      </c>
      <c r="BP24" s="421">
        <v>-7.7629483430740091E-4</v>
      </c>
    </row>
    <row r="25" spans="1:68" s="46" customFormat="1" x14ac:dyDescent="0.2">
      <c r="A25" s="76">
        <v>19</v>
      </c>
      <c r="B25" s="668"/>
      <c r="C25" s="672" t="s">
        <v>5</v>
      </c>
      <c r="D25" s="454">
        <v>0</v>
      </c>
      <c r="E25" s="451">
        <v>0.30284999999999984</v>
      </c>
      <c r="F25" s="1389">
        <v>2.8960000000000003E-2</v>
      </c>
      <c r="G25" s="1388">
        <v>0.33180999999999983</v>
      </c>
      <c r="H25" s="1389">
        <v>1.9050000000000001E-2</v>
      </c>
      <c r="I25" s="1388">
        <v>0.35085999999999984</v>
      </c>
      <c r="J25" s="455">
        <v>0</v>
      </c>
      <c r="K25" s="455">
        <v>0</v>
      </c>
      <c r="L25" s="455">
        <v>0</v>
      </c>
      <c r="M25" s="456"/>
      <c r="N25" s="684"/>
      <c r="O25" s="455"/>
      <c r="P25" s="455"/>
      <c r="Q25" s="455"/>
      <c r="R25" s="450"/>
      <c r="S25" s="1582">
        <v>1</v>
      </c>
      <c r="T25" s="1039"/>
      <c r="U25" s="1583">
        <v>-6.0499999999999998E-3</v>
      </c>
      <c r="V25" s="1582">
        <v>1</v>
      </c>
      <c r="W25" s="1039"/>
      <c r="X25" s="1583">
        <v>-2.6700000000000001E-3</v>
      </c>
      <c r="Y25" s="1582">
        <v>1</v>
      </c>
      <c r="Z25" s="1039"/>
      <c r="AA25" s="1583">
        <v>1.2099999999999999E-3</v>
      </c>
      <c r="AB25" s="1582">
        <v>1</v>
      </c>
      <c r="AC25" s="1039"/>
      <c r="AD25" s="1583">
        <v>-2.8400000000000001E-3</v>
      </c>
      <c r="AE25" s="1582">
        <v>1</v>
      </c>
      <c r="AF25" s="1039"/>
      <c r="AG25" s="1586">
        <v>-5.9699999999999996E-3</v>
      </c>
      <c r="AH25" s="1582">
        <v>1</v>
      </c>
      <c r="AI25" s="1039"/>
      <c r="AJ25" s="1583">
        <v>-2.6800000000000001E-3</v>
      </c>
      <c r="AK25" s="1582">
        <v>1</v>
      </c>
      <c r="AL25" s="1039"/>
      <c r="AM25" s="1583">
        <v>-2.7E-4</v>
      </c>
      <c r="AN25" s="831"/>
      <c r="AO25" s="831"/>
    </row>
    <row r="26" spans="1:68" s="46" customFormat="1" x14ac:dyDescent="0.2">
      <c r="A26" s="76">
        <v>20</v>
      </c>
      <c r="B26" s="670" t="s">
        <v>257</v>
      </c>
      <c r="C26" s="671" t="s">
        <v>4</v>
      </c>
      <c r="D26" s="467">
        <v>0</v>
      </c>
      <c r="E26" s="461">
        <v>0.34372999999999987</v>
      </c>
      <c r="F26" s="1391">
        <v>1.2539999999999999E-2</v>
      </c>
      <c r="G26" s="1392">
        <v>0.35626999999999986</v>
      </c>
      <c r="H26" s="1391">
        <v>7.1300000000000001E-3</v>
      </c>
      <c r="I26" s="1392">
        <v>0.36339999999999989</v>
      </c>
      <c r="J26" s="462">
        <v>0</v>
      </c>
      <c r="K26" s="462">
        <v>0</v>
      </c>
      <c r="L26" s="462">
        <v>0</v>
      </c>
      <c r="M26" s="144">
        <v>250</v>
      </c>
      <c r="N26" s="360">
        <v>0</v>
      </c>
      <c r="O26" s="462">
        <v>0</v>
      </c>
      <c r="P26" s="462">
        <v>0</v>
      </c>
      <c r="Q26" s="462">
        <v>0</v>
      </c>
      <c r="R26" s="463"/>
      <c r="S26" s="1584">
        <v>0</v>
      </c>
      <c r="T26" s="1585">
        <v>0</v>
      </c>
      <c r="U26" s="1586">
        <v>0</v>
      </c>
      <c r="V26" s="1584">
        <v>1</v>
      </c>
      <c r="W26" s="1585">
        <v>0</v>
      </c>
      <c r="X26" s="1586">
        <v>-2.8700000000000002E-3</v>
      </c>
      <c r="Y26" s="1584">
        <v>1</v>
      </c>
      <c r="Z26" s="1585">
        <v>0</v>
      </c>
      <c r="AA26" s="1586">
        <v>1.2999999999999999E-3</v>
      </c>
      <c r="AB26" s="1584">
        <v>1</v>
      </c>
      <c r="AC26" s="1585">
        <v>0</v>
      </c>
      <c r="AD26" s="1586">
        <v>-3.2200000000000002E-3</v>
      </c>
      <c r="AE26" s="1584">
        <v>0</v>
      </c>
      <c r="AF26" s="1585">
        <v>0</v>
      </c>
      <c r="AG26" s="1586">
        <v>0</v>
      </c>
      <c r="AH26" s="1584">
        <v>1</v>
      </c>
      <c r="AI26" s="1585">
        <v>0</v>
      </c>
      <c r="AJ26" s="1586">
        <v>-2.7699999999999999E-3</v>
      </c>
      <c r="AK26" s="1584">
        <v>1</v>
      </c>
      <c r="AL26" s="1585">
        <v>0</v>
      </c>
      <c r="AM26" s="1586">
        <v>-2.7999999999999998E-4</v>
      </c>
      <c r="AN26" s="831"/>
      <c r="AO26" s="831"/>
      <c r="AQ26" s="421">
        <v>0</v>
      </c>
      <c r="AR26" s="421">
        <v>0</v>
      </c>
      <c r="AU26" s="421">
        <v>-8.0548568584918115E-3</v>
      </c>
      <c r="AV26" s="421">
        <v>-8.0548568584918115E-3</v>
      </c>
      <c r="AY26" s="421">
        <v>0</v>
      </c>
      <c r="AZ26" s="421">
        <v>0</v>
      </c>
      <c r="BC26" s="421">
        <v>-9.3642979246309037E-3</v>
      </c>
      <c r="BD26" s="421">
        <v>-9.3642979246309037E-3</v>
      </c>
      <c r="BG26" s="421">
        <v>0</v>
      </c>
      <c r="BH26" s="421">
        <v>0</v>
      </c>
      <c r="BK26" s="421">
        <v>-7.6336583527997961E-3</v>
      </c>
      <c r="BL26" s="421">
        <v>-7.6336583527997961E-3</v>
      </c>
      <c r="BO26" s="421">
        <v>-7.7629483430740091E-4</v>
      </c>
      <c r="BP26" s="421">
        <v>-7.7629483430740091E-4</v>
      </c>
    </row>
    <row r="27" spans="1:68" s="46" customFormat="1" x14ac:dyDescent="0.2">
      <c r="A27" s="76">
        <v>21</v>
      </c>
      <c r="B27" s="668"/>
      <c r="C27" s="672" t="s">
        <v>5</v>
      </c>
      <c r="D27" s="454">
        <v>0</v>
      </c>
      <c r="E27" s="451">
        <v>0.30284999999999984</v>
      </c>
      <c r="F27" s="1389">
        <v>1.1039999999999999E-2</v>
      </c>
      <c r="G27" s="1388">
        <v>0.31388999999999984</v>
      </c>
      <c r="H27" s="1389">
        <v>6.28E-3</v>
      </c>
      <c r="I27" s="1388">
        <v>0.32016999999999984</v>
      </c>
      <c r="J27" s="455">
        <v>0</v>
      </c>
      <c r="K27" s="455">
        <v>0</v>
      </c>
      <c r="L27" s="455">
        <v>0</v>
      </c>
      <c r="M27" s="456"/>
      <c r="N27" s="684"/>
      <c r="O27" s="455"/>
      <c r="P27" s="455"/>
      <c r="Q27" s="455"/>
      <c r="R27" s="450"/>
      <c r="S27" s="1582">
        <v>0</v>
      </c>
      <c r="T27" s="1039"/>
      <c r="U27" s="1583">
        <v>0</v>
      </c>
      <c r="V27" s="1582">
        <v>1</v>
      </c>
      <c r="W27" s="1039"/>
      <c r="X27" s="1583">
        <v>-2.5300000000000001E-3</v>
      </c>
      <c r="Y27" s="1582">
        <v>1</v>
      </c>
      <c r="Z27" s="1039"/>
      <c r="AA27" s="1583">
        <v>1.15E-3</v>
      </c>
      <c r="AB27" s="1582">
        <v>1</v>
      </c>
      <c r="AC27" s="1039"/>
      <c r="AD27" s="1583">
        <v>-2.8400000000000001E-3</v>
      </c>
      <c r="AE27" s="1582">
        <v>0</v>
      </c>
      <c r="AF27" s="1039"/>
      <c r="AG27" s="1583">
        <v>0</v>
      </c>
      <c r="AH27" s="1582">
        <v>1</v>
      </c>
      <c r="AI27" s="1039"/>
      <c r="AJ27" s="1583">
        <v>-2.4399999999999999E-3</v>
      </c>
      <c r="AK27" s="1582">
        <v>1</v>
      </c>
      <c r="AL27" s="1039"/>
      <c r="AM27" s="1583">
        <v>-2.5000000000000001E-4</v>
      </c>
      <c r="AN27" s="831"/>
      <c r="AO27" s="831"/>
    </row>
    <row r="28" spans="1:68" s="46" customFormat="1" x14ac:dyDescent="0.2">
      <c r="A28" s="76">
        <v>22</v>
      </c>
      <c r="B28" s="670" t="s">
        <v>260</v>
      </c>
      <c r="C28" s="671" t="s">
        <v>4</v>
      </c>
      <c r="D28" s="467">
        <v>168721</v>
      </c>
      <c r="E28" s="461">
        <v>0.34791</v>
      </c>
      <c r="F28" s="1391">
        <v>2.1270000000000001E-2</v>
      </c>
      <c r="G28" s="1392">
        <v>0.36918000000000001</v>
      </c>
      <c r="H28" s="1391">
        <v>9.7099999999999999E-3</v>
      </c>
      <c r="I28" s="1392">
        <v>0.37889</v>
      </c>
      <c r="J28" s="462">
        <v>58700</v>
      </c>
      <c r="K28" s="462">
        <v>62288</v>
      </c>
      <c r="L28" s="462">
        <v>63927</v>
      </c>
      <c r="M28" s="144">
        <v>500</v>
      </c>
      <c r="N28" s="360">
        <v>7.916666666666667</v>
      </c>
      <c r="O28" s="462">
        <v>189842</v>
      </c>
      <c r="P28" s="462">
        <v>198543</v>
      </c>
      <c r="Q28" s="462">
        <v>202515</v>
      </c>
      <c r="R28" s="463"/>
      <c r="S28" s="1584">
        <v>0</v>
      </c>
      <c r="T28" s="1585">
        <v>0</v>
      </c>
      <c r="U28" s="1586">
        <v>0</v>
      </c>
      <c r="V28" s="1584">
        <v>1</v>
      </c>
      <c r="W28" s="1585">
        <v>-1599</v>
      </c>
      <c r="X28" s="1586">
        <v>-3.9100000000000003E-3</v>
      </c>
      <c r="Y28" s="1584">
        <v>1</v>
      </c>
      <c r="Z28" s="1585">
        <v>564</v>
      </c>
      <c r="AA28" s="1586">
        <v>1.3799999999999999E-3</v>
      </c>
      <c r="AB28" s="1584">
        <v>1</v>
      </c>
      <c r="AC28" s="1585">
        <v>-1778</v>
      </c>
      <c r="AD28" s="1586">
        <v>-4.3499999999999997E-3</v>
      </c>
      <c r="AE28" s="1584">
        <v>0</v>
      </c>
      <c r="AF28" s="1585">
        <v>0</v>
      </c>
      <c r="AG28" s="1586">
        <v>0</v>
      </c>
      <c r="AH28" s="1584">
        <v>1</v>
      </c>
      <c r="AI28" s="1585">
        <v>-1546</v>
      </c>
      <c r="AJ28" s="1586">
        <v>-3.7799999999999999E-3</v>
      </c>
      <c r="AK28" s="1584">
        <v>1</v>
      </c>
      <c r="AL28" s="1585">
        <v>-157</v>
      </c>
      <c r="AM28" s="1586">
        <v>-3.8000000000000002E-4</v>
      </c>
      <c r="AN28" s="831"/>
      <c r="AO28" s="831"/>
      <c r="AQ28" s="421">
        <v>0</v>
      </c>
      <c r="AR28" s="421">
        <v>0</v>
      </c>
      <c r="AU28" s="421">
        <v>-8.0536709931853558E-3</v>
      </c>
      <c r="AV28" s="421">
        <v>-1.0586389306356468E-2</v>
      </c>
      <c r="AY28" s="421">
        <v>2.840694459134797E-3</v>
      </c>
      <c r="AZ28" s="421">
        <v>3.7340360029925251E-3</v>
      </c>
      <c r="BC28" s="421">
        <v>-9.3656830416872974E-3</v>
      </c>
      <c r="BD28" s="421">
        <v>-1.2491042699976114E-2</v>
      </c>
      <c r="BG28" s="421">
        <v>0</v>
      </c>
      <c r="BH28" s="421">
        <v>0</v>
      </c>
      <c r="BK28" s="421">
        <v>-7.6340024195738591E-3</v>
      </c>
      <c r="BL28" s="421">
        <v>-9.9732283972518796E-3</v>
      </c>
      <c r="BO28" s="421">
        <v>-7.7525121595931165E-4</v>
      </c>
      <c r="BP28" s="421">
        <v>-1.0128052123988E-3</v>
      </c>
    </row>
    <row r="29" spans="1:68" s="46" customFormat="1" x14ac:dyDescent="0.2">
      <c r="A29" s="76">
        <v>23</v>
      </c>
      <c r="B29" s="668"/>
      <c r="C29" s="672" t="s">
        <v>5</v>
      </c>
      <c r="D29" s="454">
        <v>272866</v>
      </c>
      <c r="E29" s="451">
        <v>0.30653000000000008</v>
      </c>
      <c r="F29" s="1389">
        <v>1.874E-2</v>
      </c>
      <c r="G29" s="1388">
        <v>0.32527000000000006</v>
      </c>
      <c r="H29" s="1389">
        <v>8.5500000000000003E-3</v>
      </c>
      <c r="I29" s="1388">
        <v>0.33382000000000006</v>
      </c>
      <c r="J29" s="455">
        <v>83642</v>
      </c>
      <c r="K29" s="455">
        <v>88755</v>
      </c>
      <c r="L29" s="455">
        <v>91088</v>
      </c>
      <c r="M29" s="456"/>
      <c r="N29" s="684"/>
      <c r="O29" s="455"/>
      <c r="P29" s="455"/>
      <c r="Q29" s="455"/>
      <c r="R29" s="450"/>
      <c r="S29" s="1582">
        <v>0</v>
      </c>
      <c r="T29" s="1039"/>
      <c r="U29" s="1583">
        <v>0</v>
      </c>
      <c r="V29" s="1582">
        <v>1</v>
      </c>
      <c r="W29" s="1039"/>
      <c r="X29" s="1583">
        <v>-3.4399999999999999E-3</v>
      </c>
      <c r="Y29" s="1582">
        <v>1</v>
      </c>
      <c r="Z29" s="1039"/>
      <c r="AA29" s="1583">
        <v>1.2099999999999999E-3</v>
      </c>
      <c r="AB29" s="1582">
        <v>1</v>
      </c>
      <c r="AC29" s="1039"/>
      <c r="AD29" s="1583">
        <v>-3.8300000000000001E-3</v>
      </c>
      <c r="AE29" s="1582">
        <v>0</v>
      </c>
      <c r="AF29" s="1039"/>
      <c r="AG29" s="1583">
        <v>0</v>
      </c>
      <c r="AH29" s="1582">
        <v>1</v>
      </c>
      <c r="AI29" s="1039"/>
      <c r="AJ29" s="1583">
        <v>-3.3300000000000001E-3</v>
      </c>
      <c r="AK29" s="1582">
        <v>1</v>
      </c>
      <c r="AL29" s="1039"/>
      <c r="AM29" s="1583">
        <v>-3.4000000000000002E-4</v>
      </c>
      <c r="AN29" s="831"/>
      <c r="AO29" s="831"/>
    </row>
    <row r="30" spans="1:68" s="46" customFormat="1" x14ac:dyDescent="0.2">
      <c r="A30" s="76">
        <v>24</v>
      </c>
      <c r="B30" s="670" t="s">
        <v>254</v>
      </c>
      <c r="C30" s="671" t="s">
        <v>4</v>
      </c>
      <c r="D30" s="467">
        <v>0</v>
      </c>
      <c r="E30" s="461">
        <v>0.34791</v>
      </c>
      <c r="F30" s="1391">
        <v>1.269E-2</v>
      </c>
      <c r="G30" s="1392">
        <v>0.36059999999999998</v>
      </c>
      <c r="H30" s="1391">
        <v>7.2100000000000003E-3</v>
      </c>
      <c r="I30" s="1392">
        <v>0.36780999999999997</v>
      </c>
      <c r="J30" s="462">
        <v>0</v>
      </c>
      <c r="K30" s="462">
        <v>0</v>
      </c>
      <c r="L30" s="462">
        <v>0</v>
      </c>
      <c r="M30" s="144">
        <v>500</v>
      </c>
      <c r="N30" s="360">
        <v>0</v>
      </c>
      <c r="O30" s="462">
        <v>0</v>
      </c>
      <c r="P30" s="462">
        <v>0</v>
      </c>
      <c r="Q30" s="462">
        <v>0</v>
      </c>
      <c r="R30" s="463"/>
      <c r="S30" s="1584">
        <v>0</v>
      </c>
      <c r="T30" s="1585">
        <v>0</v>
      </c>
      <c r="U30" s="1586">
        <v>0</v>
      </c>
      <c r="V30" s="1584">
        <v>1</v>
      </c>
      <c r="W30" s="1585">
        <v>0</v>
      </c>
      <c r="X30" s="1586">
        <v>-2.8999999999999998E-3</v>
      </c>
      <c r="Y30" s="1584">
        <v>1</v>
      </c>
      <c r="Z30" s="1585">
        <v>0</v>
      </c>
      <c r="AA30" s="1586">
        <v>1.32E-3</v>
      </c>
      <c r="AB30" s="1584">
        <v>1</v>
      </c>
      <c r="AC30" s="1585">
        <v>0</v>
      </c>
      <c r="AD30" s="1586">
        <v>-3.2599999999999999E-3</v>
      </c>
      <c r="AE30" s="1584">
        <v>0</v>
      </c>
      <c r="AF30" s="1585">
        <v>0</v>
      </c>
      <c r="AG30" s="1586">
        <v>0</v>
      </c>
      <c r="AH30" s="1584">
        <v>1</v>
      </c>
      <c r="AI30" s="1585">
        <v>0</v>
      </c>
      <c r="AJ30" s="1586">
        <v>-2.81E-3</v>
      </c>
      <c r="AK30" s="1584">
        <v>1</v>
      </c>
      <c r="AL30" s="1585">
        <v>0</v>
      </c>
      <c r="AM30" s="1586">
        <v>-2.9E-4</v>
      </c>
      <c r="AN30" s="831"/>
      <c r="AO30" s="831"/>
      <c r="AQ30" s="421">
        <v>0</v>
      </c>
      <c r="AR30" s="421">
        <v>0</v>
      </c>
      <c r="AU30" s="421">
        <v>-8.0548568584918115E-3</v>
      </c>
      <c r="AV30" s="421">
        <v>-8.0548568584918115E-3</v>
      </c>
      <c r="AY30" s="421">
        <v>0</v>
      </c>
      <c r="AZ30" s="421">
        <v>0</v>
      </c>
      <c r="BC30" s="421">
        <v>-9.3642979246309037E-3</v>
      </c>
      <c r="BD30" s="421">
        <v>-9.3642979246309037E-3</v>
      </c>
      <c r="BG30" s="421">
        <v>0</v>
      </c>
      <c r="BH30" s="421">
        <v>0</v>
      </c>
      <c r="BK30" s="421">
        <v>-7.6336583527997961E-3</v>
      </c>
      <c r="BL30" s="421">
        <v>-7.6336583527997961E-3</v>
      </c>
      <c r="BO30" s="421">
        <v>-7.7629483430740091E-4</v>
      </c>
      <c r="BP30" s="421">
        <v>-7.7629483430740091E-4</v>
      </c>
    </row>
    <row r="31" spans="1:68" s="46" customFormat="1" x14ac:dyDescent="0.2">
      <c r="A31" s="76">
        <v>25</v>
      </c>
      <c r="B31" s="668"/>
      <c r="C31" s="672" t="s">
        <v>5</v>
      </c>
      <c r="D31" s="454">
        <v>0</v>
      </c>
      <c r="E31" s="451">
        <v>0.30653000000000008</v>
      </c>
      <c r="F31" s="1389">
        <v>1.1179999999999999E-2</v>
      </c>
      <c r="G31" s="1388">
        <v>0.3177100000000001</v>
      </c>
      <c r="H31" s="1389">
        <v>6.3499999999999997E-3</v>
      </c>
      <c r="I31" s="1388">
        <v>0.32406000000000013</v>
      </c>
      <c r="J31" s="455">
        <v>0</v>
      </c>
      <c r="K31" s="455">
        <v>0</v>
      </c>
      <c r="L31" s="455">
        <v>0</v>
      </c>
      <c r="M31" s="456"/>
      <c r="N31" s="684"/>
      <c r="O31" s="455"/>
      <c r="P31" s="455"/>
      <c r="Q31" s="455"/>
      <c r="R31" s="450"/>
      <c r="S31" s="1582">
        <v>0</v>
      </c>
      <c r="T31" s="1039"/>
      <c r="U31" s="1583">
        <v>0</v>
      </c>
      <c r="V31" s="1582">
        <v>1</v>
      </c>
      <c r="W31" s="1039"/>
      <c r="X31" s="1583">
        <v>-2.5600000000000002E-3</v>
      </c>
      <c r="Y31" s="1582">
        <v>1</v>
      </c>
      <c r="Z31" s="1039"/>
      <c r="AA31" s="1583">
        <v>1.16E-3</v>
      </c>
      <c r="AB31" s="1582">
        <v>1</v>
      </c>
      <c r="AC31" s="1039"/>
      <c r="AD31" s="1583">
        <v>-2.8700000000000002E-3</v>
      </c>
      <c r="AE31" s="1582">
        <v>0</v>
      </c>
      <c r="AF31" s="1039"/>
      <c r="AG31" s="1583">
        <v>0</v>
      </c>
      <c r="AH31" s="1582">
        <v>1</v>
      </c>
      <c r="AI31" s="1039"/>
      <c r="AJ31" s="1583">
        <v>-2.47E-3</v>
      </c>
      <c r="AK31" s="1582">
        <v>1</v>
      </c>
      <c r="AL31" s="1039"/>
      <c r="AM31" s="1583">
        <v>-2.5000000000000001E-4</v>
      </c>
      <c r="AN31" s="831"/>
      <c r="AO31" s="831"/>
    </row>
    <row r="32" spans="1:68" s="46" customFormat="1" x14ac:dyDescent="0.2">
      <c r="A32" s="76">
        <v>26</v>
      </c>
      <c r="B32" s="670" t="s">
        <v>250</v>
      </c>
      <c r="C32" s="671" t="s">
        <v>4</v>
      </c>
      <c r="D32" s="467">
        <v>350769.66174469434</v>
      </c>
      <c r="E32" s="461">
        <v>0.15245999999999996</v>
      </c>
      <c r="F32" s="1391">
        <v>3.4679999999999996E-2</v>
      </c>
      <c r="G32" s="1392">
        <v>0.18713999999999995</v>
      </c>
      <c r="H32" s="1391">
        <v>2.095E-2</v>
      </c>
      <c r="I32" s="1392">
        <v>0.20808999999999994</v>
      </c>
      <c r="J32" s="462">
        <v>53478</v>
      </c>
      <c r="K32" s="462">
        <v>65643</v>
      </c>
      <c r="L32" s="462">
        <v>72992</v>
      </c>
      <c r="M32" s="144">
        <v>1300</v>
      </c>
      <c r="N32" s="360">
        <v>5</v>
      </c>
      <c r="O32" s="462">
        <v>219575.29677293496</v>
      </c>
      <c r="P32" s="462">
        <v>242630.29677293496</v>
      </c>
      <c r="Q32" s="462">
        <v>256559.29677293496</v>
      </c>
      <c r="R32" s="463"/>
      <c r="S32" s="1584">
        <v>1</v>
      </c>
      <c r="T32" s="1587">
        <v>-3676</v>
      </c>
      <c r="U32" s="1586">
        <v>-5.5300000000000002E-3</v>
      </c>
      <c r="V32" s="1584">
        <v>1</v>
      </c>
      <c r="W32" s="1587">
        <v>-1954</v>
      </c>
      <c r="X32" s="1586">
        <v>-2.9399999999999999E-3</v>
      </c>
      <c r="Y32" s="1584">
        <v>1</v>
      </c>
      <c r="Z32" s="1587">
        <v>689</v>
      </c>
      <c r="AA32" s="1586">
        <v>1.0399999999999999E-3</v>
      </c>
      <c r="AB32" s="1584">
        <v>1</v>
      </c>
      <c r="AC32" s="1587">
        <v>-2056</v>
      </c>
      <c r="AD32" s="1586">
        <v>-3.0899999999999999E-3</v>
      </c>
      <c r="AE32" s="1584">
        <v>1</v>
      </c>
      <c r="AF32" s="1587">
        <v>-3676</v>
      </c>
      <c r="AG32" s="1586">
        <v>-5.5300000000000002E-3</v>
      </c>
      <c r="AH32" s="1584">
        <v>1</v>
      </c>
      <c r="AI32" s="1587">
        <v>-1958</v>
      </c>
      <c r="AJ32" s="1586">
        <v>-2.9399999999999999E-3</v>
      </c>
      <c r="AK32" s="1584">
        <v>1</v>
      </c>
      <c r="AL32" s="1587">
        <v>-199</v>
      </c>
      <c r="AM32" s="1586">
        <v>-2.9999999999999997E-4</v>
      </c>
      <c r="AN32" s="831"/>
      <c r="AO32" s="831"/>
      <c r="AQ32" s="421">
        <v>-1.5150622362054713E-2</v>
      </c>
      <c r="AR32" s="421">
        <v>-2.9544851753321385E-2</v>
      </c>
      <c r="AU32" s="421">
        <v>-8.0534048137798995E-3</v>
      </c>
      <c r="AV32" s="421">
        <v>-1.5704744375949396E-2</v>
      </c>
      <c r="AY32" s="421">
        <v>2.8397113186767403E-3</v>
      </c>
      <c r="AZ32" s="421">
        <v>5.5376503966372238E-3</v>
      </c>
      <c r="BC32" s="421">
        <v>-9.3635305529206712E-3</v>
      </c>
      <c r="BD32" s="421">
        <v>-2.0282935106445948E-2</v>
      </c>
      <c r="BG32" s="421">
        <v>-1.4328071702088442E-2</v>
      </c>
      <c r="BH32" s="421">
        <v>-2.6570292735814963E-2</v>
      </c>
      <c r="BK32" s="421">
        <v>-7.6317639806009708E-3</v>
      </c>
      <c r="BL32" s="421">
        <v>-1.4152511745572822E-2</v>
      </c>
      <c r="BO32" s="421">
        <v>-7.7564914818161043E-4</v>
      </c>
      <c r="BP32" s="421">
        <v>-1.4383809179616914E-3</v>
      </c>
    </row>
    <row r="33" spans="1:68" s="46" customFormat="1" x14ac:dyDescent="0.2">
      <c r="A33" s="76">
        <v>27</v>
      </c>
      <c r="B33" s="670"/>
      <c r="C33" s="671" t="s">
        <v>5</v>
      </c>
      <c r="D33" s="467">
        <v>303088.75426472601</v>
      </c>
      <c r="E33" s="461">
        <v>0.1364699999999997</v>
      </c>
      <c r="F33" s="1391">
        <v>3.1039999999999998E-2</v>
      </c>
      <c r="G33" s="1392">
        <v>0.16750999999999971</v>
      </c>
      <c r="H33" s="1391">
        <v>1.8749999999999999E-2</v>
      </c>
      <c r="I33" s="1392">
        <v>0.1862599999999997</v>
      </c>
      <c r="J33" s="462">
        <v>41363</v>
      </c>
      <c r="K33" s="462">
        <v>50770</v>
      </c>
      <c r="L33" s="462">
        <v>56453</v>
      </c>
      <c r="M33" s="144"/>
      <c r="N33" s="360"/>
      <c r="O33" s="462"/>
      <c r="P33" s="462"/>
      <c r="Q33" s="462"/>
      <c r="R33" s="463"/>
      <c r="S33" s="1584">
        <v>1</v>
      </c>
      <c r="T33" s="1588"/>
      <c r="U33" s="1586">
        <v>-4.9500000000000004E-3</v>
      </c>
      <c r="V33" s="1584">
        <v>1</v>
      </c>
      <c r="W33" s="1588"/>
      <c r="X33" s="1586">
        <v>-2.63E-3</v>
      </c>
      <c r="Y33" s="1584">
        <v>1</v>
      </c>
      <c r="Z33" s="1588"/>
      <c r="AA33" s="1586">
        <v>9.3000000000000005E-4</v>
      </c>
      <c r="AB33" s="1584">
        <v>1</v>
      </c>
      <c r="AC33" s="1588"/>
      <c r="AD33" s="1586">
        <v>-2.7699999999999999E-3</v>
      </c>
      <c r="AE33" s="1584">
        <v>1</v>
      </c>
      <c r="AF33" s="1588"/>
      <c r="AG33" s="1586">
        <v>-4.9500000000000004E-3</v>
      </c>
      <c r="AH33" s="1584">
        <v>1</v>
      </c>
      <c r="AI33" s="1588"/>
      <c r="AJ33" s="1586">
        <v>-2.64E-3</v>
      </c>
      <c r="AK33" s="1584">
        <v>1</v>
      </c>
      <c r="AL33" s="1588"/>
      <c r="AM33" s="1586">
        <v>-2.7E-4</v>
      </c>
      <c r="AN33" s="831"/>
      <c r="AO33" s="831"/>
      <c r="AQ33" s="421"/>
      <c r="AR33" s="421"/>
      <c r="BG33" s="421"/>
      <c r="BH33" s="421"/>
    </row>
    <row r="34" spans="1:68" s="46" customFormat="1" x14ac:dyDescent="0.2">
      <c r="A34" s="76">
        <v>28</v>
      </c>
      <c r="B34" s="670"/>
      <c r="C34" s="671" t="s">
        <v>6</v>
      </c>
      <c r="D34" s="467">
        <v>59441.942130257296</v>
      </c>
      <c r="E34" s="461">
        <v>0.1046699999999999</v>
      </c>
      <c r="F34" s="1391">
        <v>2.3810000000000001E-2</v>
      </c>
      <c r="G34" s="1392">
        <v>0.1284799999999999</v>
      </c>
      <c r="H34" s="1391">
        <v>1.438E-2</v>
      </c>
      <c r="I34" s="1392">
        <v>0.1428599999999999</v>
      </c>
      <c r="J34" s="462">
        <v>6222</v>
      </c>
      <c r="K34" s="462">
        <v>7637</v>
      </c>
      <c r="L34" s="462">
        <v>8492</v>
      </c>
      <c r="M34" s="144"/>
      <c r="N34" s="360"/>
      <c r="O34" s="462"/>
      <c r="P34" s="462"/>
      <c r="Q34" s="462"/>
      <c r="R34" s="463"/>
      <c r="S34" s="1584">
        <v>1</v>
      </c>
      <c r="T34" s="1588"/>
      <c r="U34" s="1586">
        <v>-3.8E-3</v>
      </c>
      <c r="V34" s="1584">
        <v>1</v>
      </c>
      <c r="W34" s="1588"/>
      <c r="X34" s="1586">
        <v>-2.0200000000000001E-3</v>
      </c>
      <c r="Y34" s="1584">
        <v>1</v>
      </c>
      <c r="Z34" s="1588"/>
      <c r="AA34" s="1586">
        <v>7.1000000000000002E-4</v>
      </c>
      <c r="AB34" s="1584">
        <v>1</v>
      </c>
      <c r="AC34" s="1588"/>
      <c r="AD34" s="1586">
        <v>-2.1199999999999999E-3</v>
      </c>
      <c r="AE34" s="1584">
        <v>1</v>
      </c>
      <c r="AF34" s="1588"/>
      <c r="AG34" s="1586">
        <v>-3.8E-3</v>
      </c>
      <c r="AH34" s="1584">
        <v>1</v>
      </c>
      <c r="AI34" s="1588"/>
      <c r="AJ34" s="1586">
        <v>-2.0200000000000001E-3</v>
      </c>
      <c r="AK34" s="1584">
        <v>1</v>
      </c>
      <c r="AL34" s="1588"/>
      <c r="AM34" s="1586">
        <v>-2.1000000000000001E-4</v>
      </c>
      <c r="AN34" s="831"/>
      <c r="AO34" s="831"/>
    </row>
    <row r="35" spans="1:68" s="46" customFormat="1" x14ac:dyDescent="0.2">
      <c r="A35" s="76">
        <v>29</v>
      </c>
      <c r="B35" s="670"/>
      <c r="C35" s="671" t="s">
        <v>7</v>
      </c>
      <c r="D35" s="467">
        <v>3614.6071898605187</v>
      </c>
      <c r="E35" s="461">
        <v>8.3729999999999999E-2</v>
      </c>
      <c r="F35" s="1393">
        <v>1.9040000000000001E-2</v>
      </c>
      <c r="G35" s="1392">
        <v>0.10277</v>
      </c>
      <c r="H35" s="1393">
        <v>1.1509999999999999E-2</v>
      </c>
      <c r="I35" s="1392">
        <v>0.11427999999999999</v>
      </c>
      <c r="J35" s="462">
        <v>303</v>
      </c>
      <c r="K35" s="462">
        <v>371</v>
      </c>
      <c r="L35" s="462">
        <v>413</v>
      </c>
      <c r="M35" s="144"/>
      <c r="N35" s="360"/>
      <c r="O35" s="462"/>
      <c r="P35" s="462"/>
      <c r="Q35" s="462"/>
      <c r="R35" s="463"/>
      <c r="S35" s="1584">
        <v>1</v>
      </c>
      <c r="T35" s="1588"/>
      <c r="U35" s="1586">
        <v>-3.0400000000000002E-3</v>
      </c>
      <c r="V35" s="1584">
        <v>1</v>
      </c>
      <c r="W35" s="1588"/>
      <c r="X35" s="1586">
        <v>-1.6100000000000001E-3</v>
      </c>
      <c r="Y35" s="1584">
        <v>1</v>
      </c>
      <c r="Z35" s="1588"/>
      <c r="AA35" s="1586">
        <v>5.6999999999999998E-4</v>
      </c>
      <c r="AB35" s="1584">
        <v>1</v>
      </c>
      <c r="AC35" s="1588"/>
      <c r="AD35" s="1586">
        <v>-1.6999999999999999E-3</v>
      </c>
      <c r="AE35" s="1584">
        <v>1</v>
      </c>
      <c r="AF35" s="1588"/>
      <c r="AG35" s="1586">
        <v>-3.0400000000000002E-3</v>
      </c>
      <c r="AH35" s="1584">
        <v>1</v>
      </c>
      <c r="AI35" s="1588"/>
      <c r="AJ35" s="1586">
        <v>-1.6199999999999999E-3</v>
      </c>
      <c r="AK35" s="1584">
        <v>1</v>
      </c>
      <c r="AL35" s="1588"/>
      <c r="AM35" s="1586">
        <v>-1.6000000000000001E-4</v>
      </c>
      <c r="AN35" s="831"/>
      <c r="AO35" s="831"/>
    </row>
    <row r="36" spans="1:68" s="46" customFormat="1" x14ac:dyDescent="0.2">
      <c r="A36" s="76">
        <v>30</v>
      </c>
      <c r="B36" s="670"/>
      <c r="C36" s="671" t="s">
        <v>8</v>
      </c>
      <c r="D36" s="467">
        <v>0</v>
      </c>
      <c r="E36" s="461">
        <v>5.5809999999999992E-2</v>
      </c>
      <c r="F36" s="1393">
        <v>1.2699999999999999E-2</v>
      </c>
      <c r="G36" s="1392">
        <v>6.8509999999999988E-2</v>
      </c>
      <c r="H36" s="1393">
        <v>7.6699999999999997E-3</v>
      </c>
      <c r="I36" s="1392">
        <v>7.6179999999999984E-2</v>
      </c>
      <c r="J36" s="462">
        <v>0</v>
      </c>
      <c r="K36" s="462">
        <v>0</v>
      </c>
      <c r="L36" s="462">
        <v>0</v>
      </c>
      <c r="M36" s="144"/>
      <c r="N36" s="360"/>
      <c r="O36" s="462"/>
      <c r="P36" s="462"/>
      <c r="Q36" s="462"/>
      <c r="R36" s="463"/>
      <c r="S36" s="1584">
        <v>1</v>
      </c>
      <c r="T36" s="1588"/>
      <c r="U36" s="1586">
        <v>-2.0200000000000001E-3</v>
      </c>
      <c r="V36" s="1584">
        <v>1</v>
      </c>
      <c r="W36" s="1588"/>
      <c r="X36" s="1586">
        <v>-1.08E-3</v>
      </c>
      <c r="Y36" s="1584">
        <v>1</v>
      </c>
      <c r="Z36" s="1588"/>
      <c r="AA36" s="1586">
        <v>3.8000000000000002E-4</v>
      </c>
      <c r="AB36" s="1584">
        <v>1</v>
      </c>
      <c r="AC36" s="1588"/>
      <c r="AD36" s="1586">
        <v>-1.1299999999999999E-3</v>
      </c>
      <c r="AE36" s="1584">
        <v>1</v>
      </c>
      <c r="AF36" s="1588"/>
      <c r="AG36" s="1586">
        <v>-2.0200000000000001E-3</v>
      </c>
      <c r="AH36" s="1584">
        <v>1</v>
      </c>
      <c r="AI36" s="1588"/>
      <c r="AJ36" s="1586">
        <v>-1.08E-3</v>
      </c>
      <c r="AK36" s="1584">
        <v>1</v>
      </c>
      <c r="AL36" s="1588"/>
      <c r="AM36" s="1586">
        <v>-1.1E-4</v>
      </c>
      <c r="AN36" s="831"/>
      <c r="AO36" s="831"/>
    </row>
    <row r="37" spans="1:68" s="46" customFormat="1" x14ac:dyDescent="0.2">
      <c r="A37" s="76">
        <v>31</v>
      </c>
      <c r="B37" s="668"/>
      <c r="C37" s="672" t="s">
        <v>9</v>
      </c>
      <c r="D37" s="454">
        <v>0</v>
      </c>
      <c r="E37" s="451">
        <v>2.0920000000000029E-2</v>
      </c>
      <c r="F37" s="1387">
        <v>4.7599999999999995E-3</v>
      </c>
      <c r="G37" s="1388">
        <v>2.5680000000000029E-2</v>
      </c>
      <c r="H37" s="1387">
        <v>2.8800000000000002E-3</v>
      </c>
      <c r="I37" s="1388">
        <v>2.856000000000003E-2</v>
      </c>
      <c r="J37" s="455">
        <v>0</v>
      </c>
      <c r="K37" s="455">
        <v>0</v>
      </c>
      <c r="L37" s="455">
        <v>0</v>
      </c>
      <c r="M37" s="456"/>
      <c r="N37" s="684"/>
      <c r="O37" s="455"/>
      <c r="P37" s="455"/>
      <c r="Q37" s="455"/>
      <c r="R37" s="450"/>
      <c r="S37" s="1582">
        <v>1</v>
      </c>
      <c r="T37" s="1039"/>
      <c r="U37" s="1583">
        <v>-7.6000000000000004E-4</v>
      </c>
      <c r="V37" s="1582">
        <v>1</v>
      </c>
      <c r="W37" s="1039"/>
      <c r="X37" s="1583">
        <v>-4.0000000000000002E-4</v>
      </c>
      <c r="Y37" s="1582">
        <v>1</v>
      </c>
      <c r="Z37" s="1039"/>
      <c r="AA37" s="1583">
        <v>1.3999999999999999E-4</v>
      </c>
      <c r="AB37" s="1582">
        <v>1</v>
      </c>
      <c r="AC37" s="1039"/>
      <c r="AD37" s="1583">
        <v>-4.2000000000000002E-4</v>
      </c>
      <c r="AE37" s="1582">
        <v>1</v>
      </c>
      <c r="AF37" s="1039"/>
      <c r="AG37" s="1583">
        <v>-7.6000000000000004E-4</v>
      </c>
      <c r="AH37" s="1582">
        <v>1</v>
      </c>
      <c r="AI37" s="1039"/>
      <c r="AJ37" s="1583">
        <v>-4.0000000000000002E-4</v>
      </c>
      <c r="AK37" s="1582">
        <v>1</v>
      </c>
      <c r="AL37" s="1039"/>
      <c r="AM37" s="1583">
        <v>-4.0000000000000003E-5</v>
      </c>
      <c r="AN37" s="831"/>
      <c r="AO37" s="831"/>
    </row>
    <row r="38" spans="1:68" s="46" customFormat="1" x14ac:dyDescent="0.2">
      <c r="A38" s="76">
        <v>32</v>
      </c>
      <c r="B38" s="670" t="s">
        <v>259</v>
      </c>
      <c r="C38" s="671" t="s">
        <v>4</v>
      </c>
      <c r="D38" s="467">
        <v>1093724.2000000002</v>
      </c>
      <c r="E38" s="461">
        <v>0.14721000000000001</v>
      </c>
      <c r="F38" s="1393">
        <v>1.3469999999999999E-2</v>
      </c>
      <c r="G38" s="1392">
        <v>0.16068000000000002</v>
      </c>
      <c r="H38" s="1393">
        <v>6.1399999999999996E-3</v>
      </c>
      <c r="I38" s="1392">
        <v>0.16682000000000002</v>
      </c>
      <c r="J38" s="462">
        <v>161007</v>
      </c>
      <c r="K38" s="462">
        <v>175740</v>
      </c>
      <c r="L38" s="462">
        <v>182455</v>
      </c>
      <c r="M38" s="144">
        <v>1300</v>
      </c>
      <c r="N38" s="360">
        <v>11.916666666666666</v>
      </c>
      <c r="O38" s="462">
        <v>511671.18216089124</v>
      </c>
      <c r="P38" s="462">
        <v>535135.18216089124</v>
      </c>
      <c r="Q38" s="462">
        <v>545832.18216089124</v>
      </c>
      <c r="R38" s="463"/>
      <c r="S38" s="1584">
        <v>0</v>
      </c>
      <c r="T38" s="1587">
        <v>0</v>
      </c>
      <c r="U38" s="1586">
        <v>0</v>
      </c>
      <c r="V38" s="1584">
        <v>1</v>
      </c>
      <c r="W38" s="1587">
        <v>-4310</v>
      </c>
      <c r="X38" s="1586">
        <v>-2.47E-3</v>
      </c>
      <c r="Y38" s="1584">
        <v>1</v>
      </c>
      <c r="Z38" s="1587">
        <v>1520</v>
      </c>
      <c r="AA38" s="1586">
        <v>8.7000000000000001E-4</v>
      </c>
      <c r="AB38" s="1584">
        <v>1</v>
      </c>
      <c r="AC38" s="1587">
        <v>-4792</v>
      </c>
      <c r="AD38" s="1586">
        <v>-2.7499999999999998E-3</v>
      </c>
      <c r="AE38" s="1584">
        <v>0</v>
      </c>
      <c r="AF38" s="1587">
        <v>0</v>
      </c>
      <c r="AG38" s="1586">
        <v>0</v>
      </c>
      <c r="AH38" s="1584">
        <v>1</v>
      </c>
      <c r="AI38" s="1587">
        <v>-4167</v>
      </c>
      <c r="AJ38" s="1586">
        <v>-2.3900000000000002E-3</v>
      </c>
      <c r="AK38" s="1584">
        <v>1</v>
      </c>
      <c r="AL38" s="1587">
        <v>-424</v>
      </c>
      <c r="AM38" s="1586">
        <v>-2.4000000000000001E-4</v>
      </c>
      <c r="AN38" s="831"/>
      <c r="AO38" s="831"/>
      <c r="AQ38" s="421">
        <v>0</v>
      </c>
      <c r="AR38" s="421">
        <v>0</v>
      </c>
      <c r="AU38" s="421">
        <v>-8.0540396962802858E-3</v>
      </c>
      <c r="AV38" s="421">
        <v>-1.5400227251613273E-2</v>
      </c>
      <c r="AY38" s="421">
        <v>2.8404037907995439E-3</v>
      </c>
      <c r="AZ38" s="421">
        <v>5.4311706316594374E-3</v>
      </c>
      <c r="BC38" s="421">
        <v>-9.3653896624828689E-3</v>
      </c>
      <c r="BD38" s="421">
        <v>-1.8689401798737921E-2</v>
      </c>
      <c r="BG38" s="421">
        <v>0</v>
      </c>
      <c r="BH38" s="421">
        <v>0</v>
      </c>
      <c r="BK38" s="421">
        <v>-7.6342145739800331E-3</v>
      </c>
      <c r="BL38" s="421">
        <v>-1.4341123955906292E-2</v>
      </c>
      <c r="BO38" s="421">
        <v>-7.7679553140569564E-4</v>
      </c>
      <c r="BP38" s="421">
        <v>-1.4592360348702348E-3</v>
      </c>
    </row>
    <row r="39" spans="1:68" s="46" customFormat="1" x14ac:dyDescent="0.2">
      <c r="A39" s="76">
        <v>33</v>
      </c>
      <c r="B39" s="670"/>
      <c r="C39" s="671" t="s">
        <v>5</v>
      </c>
      <c r="D39" s="467">
        <v>655939.80000000005</v>
      </c>
      <c r="E39" s="461">
        <v>0.13177</v>
      </c>
      <c r="F39" s="1393">
        <v>1.206E-2</v>
      </c>
      <c r="G39" s="1392">
        <v>0.14382999999999999</v>
      </c>
      <c r="H39" s="1393">
        <v>5.4999999999999997E-3</v>
      </c>
      <c r="I39" s="1392">
        <v>0.14932999999999999</v>
      </c>
      <c r="J39" s="462">
        <v>86433</v>
      </c>
      <c r="K39" s="462">
        <v>94344</v>
      </c>
      <c r="L39" s="462">
        <v>97951</v>
      </c>
      <c r="M39" s="144"/>
      <c r="N39" s="360"/>
      <c r="O39" s="462"/>
      <c r="P39" s="462"/>
      <c r="Q39" s="462"/>
      <c r="R39" s="463"/>
      <c r="S39" s="1584">
        <v>0</v>
      </c>
      <c r="T39" s="1588"/>
      <c r="U39" s="1586">
        <v>0</v>
      </c>
      <c r="V39" s="1584">
        <v>1</v>
      </c>
      <c r="W39" s="1588"/>
      <c r="X39" s="1586">
        <v>-2.2200000000000002E-3</v>
      </c>
      <c r="Y39" s="1584">
        <v>1</v>
      </c>
      <c r="Z39" s="1588"/>
      <c r="AA39" s="1586">
        <v>7.7999999999999999E-4</v>
      </c>
      <c r="AB39" s="1584">
        <v>1</v>
      </c>
      <c r="AC39" s="1588"/>
      <c r="AD39" s="1586">
        <v>-2.4599999999999999E-3</v>
      </c>
      <c r="AE39" s="1584">
        <v>0</v>
      </c>
      <c r="AF39" s="1588"/>
      <c r="AG39" s="1586">
        <v>0</v>
      </c>
      <c r="AH39" s="1584">
        <v>1</v>
      </c>
      <c r="AI39" s="1588"/>
      <c r="AJ39" s="1586">
        <v>-2.14E-3</v>
      </c>
      <c r="AK39" s="1584">
        <v>1</v>
      </c>
      <c r="AL39" s="1588"/>
      <c r="AM39" s="1586">
        <v>-2.2000000000000001E-4</v>
      </c>
      <c r="AN39" s="831"/>
      <c r="AO39" s="831"/>
    </row>
    <row r="40" spans="1:68" s="46" customFormat="1" x14ac:dyDescent="0.2">
      <c r="A40" s="76">
        <v>34</v>
      </c>
      <c r="B40" s="670"/>
      <c r="C40" s="671" t="s">
        <v>6</v>
      </c>
      <c r="D40" s="467">
        <v>81241.3</v>
      </c>
      <c r="E40" s="461">
        <v>0.10104999999999985</v>
      </c>
      <c r="F40" s="1393">
        <v>9.2399999999999999E-3</v>
      </c>
      <c r="G40" s="1392">
        <v>0.11028999999999985</v>
      </c>
      <c r="H40" s="1393">
        <v>4.2199999999999998E-3</v>
      </c>
      <c r="I40" s="1392">
        <v>0.11450999999999985</v>
      </c>
      <c r="J40" s="462">
        <v>8209</v>
      </c>
      <c r="K40" s="462">
        <v>8960</v>
      </c>
      <c r="L40" s="462">
        <v>9303</v>
      </c>
      <c r="M40" s="144"/>
      <c r="N40" s="360"/>
      <c r="O40" s="462"/>
      <c r="P40" s="462"/>
      <c r="Q40" s="462"/>
      <c r="R40" s="463"/>
      <c r="S40" s="1584">
        <v>0</v>
      </c>
      <c r="T40" s="1588"/>
      <c r="U40" s="1586">
        <v>0</v>
      </c>
      <c r="V40" s="1584">
        <v>1</v>
      </c>
      <c r="W40" s="1588"/>
      <c r="X40" s="1586">
        <v>-1.6999999999999999E-3</v>
      </c>
      <c r="Y40" s="1584">
        <v>1</v>
      </c>
      <c r="Z40" s="1588"/>
      <c r="AA40" s="1586">
        <v>5.9999999999999995E-4</v>
      </c>
      <c r="AB40" s="1584">
        <v>1</v>
      </c>
      <c r="AC40" s="1588"/>
      <c r="AD40" s="1586">
        <v>-1.89E-3</v>
      </c>
      <c r="AE40" s="1584">
        <v>0</v>
      </c>
      <c r="AF40" s="1588"/>
      <c r="AG40" s="1586">
        <v>0</v>
      </c>
      <c r="AH40" s="1584">
        <v>1</v>
      </c>
      <c r="AI40" s="1588"/>
      <c r="AJ40" s="1586">
        <v>-1.64E-3</v>
      </c>
      <c r="AK40" s="1584">
        <v>1</v>
      </c>
      <c r="AL40" s="1588"/>
      <c r="AM40" s="1586">
        <v>-1.7000000000000001E-4</v>
      </c>
      <c r="AN40" s="831"/>
      <c r="AO40" s="831"/>
    </row>
    <row r="41" spans="1:68" s="46" customFormat="1" x14ac:dyDescent="0.2">
      <c r="A41" s="76">
        <v>35</v>
      </c>
      <c r="B41" s="670"/>
      <c r="C41" s="671" t="s">
        <v>7</v>
      </c>
      <c r="D41" s="467">
        <v>9320.1</v>
      </c>
      <c r="E41" s="461">
        <v>8.0839999999999995E-2</v>
      </c>
      <c r="F41" s="1393">
        <v>7.3999999999999995E-3</v>
      </c>
      <c r="G41" s="1392">
        <v>8.8239999999999999E-2</v>
      </c>
      <c r="H41" s="1393">
        <v>3.3700000000000002E-3</v>
      </c>
      <c r="I41" s="1392">
        <v>9.1609999999999997E-2</v>
      </c>
      <c r="J41" s="462">
        <v>753</v>
      </c>
      <c r="K41" s="462">
        <v>822</v>
      </c>
      <c r="L41" s="462">
        <v>854</v>
      </c>
      <c r="M41" s="144"/>
      <c r="N41" s="360"/>
      <c r="O41" s="462"/>
      <c r="P41" s="462"/>
      <c r="Q41" s="462"/>
      <c r="R41" s="463"/>
      <c r="S41" s="1584">
        <v>0</v>
      </c>
      <c r="T41" s="1588"/>
      <c r="U41" s="1586">
        <v>0</v>
      </c>
      <c r="V41" s="1584">
        <v>1</v>
      </c>
      <c r="W41" s="1588"/>
      <c r="X41" s="1586">
        <v>-1.3600000000000001E-3</v>
      </c>
      <c r="Y41" s="1584">
        <v>1</v>
      </c>
      <c r="Z41" s="1588"/>
      <c r="AA41" s="1586">
        <v>4.8000000000000001E-4</v>
      </c>
      <c r="AB41" s="1584">
        <v>1</v>
      </c>
      <c r="AC41" s="1588"/>
      <c r="AD41" s="1586">
        <v>-1.5100000000000001E-3</v>
      </c>
      <c r="AE41" s="1584">
        <v>0</v>
      </c>
      <c r="AF41" s="1588"/>
      <c r="AG41" s="1586">
        <v>0</v>
      </c>
      <c r="AH41" s="1584">
        <v>1</v>
      </c>
      <c r="AI41" s="1588"/>
      <c r="AJ41" s="1586">
        <v>-1.31E-3</v>
      </c>
      <c r="AK41" s="1584">
        <v>1</v>
      </c>
      <c r="AL41" s="1588"/>
      <c r="AM41" s="1586">
        <v>-1.2999999999999999E-4</v>
      </c>
      <c r="AN41" s="831"/>
      <c r="AO41" s="831"/>
    </row>
    <row r="42" spans="1:68" s="46" customFormat="1" x14ac:dyDescent="0.2">
      <c r="A42" s="76">
        <v>36</v>
      </c>
      <c r="B42" s="670"/>
      <c r="C42" s="671" t="s">
        <v>8</v>
      </c>
      <c r="D42" s="467">
        <v>0</v>
      </c>
      <c r="E42" s="461">
        <v>5.391E-2</v>
      </c>
      <c r="F42" s="1391">
        <v>4.9300000000000004E-3</v>
      </c>
      <c r="G42" s="1392">
        <v>5.8840000000000003E-2</v>
      </c>
      <c r="H42" s="1391">
        <v>2.2499999999999998E-3</v>
      </c>
      <c r="I42" s="1392">
        <v>6.1090000000000005E-2</v>
      </c>
      <c r="J42" s="462">
        <v>0</v>
      </c>
      <c r="K42" s="462">
        <v>0</v>
      </c>
      <c r="L42" s="462">
        <v>0</v>
      </c>
      <c r="M42" s="144"/>
      <c r="N42" s="360"/>
      <c r="O42" s="462"/>
      <c r="P42" s="462"/>
      <c r="Q42" s="462"/>
      <c r="R42" s="463"/>
      <c r="S42" s="1584">
        <v>0</v>
      </c>
      <c r="T42" s="1588"/>
      <c r="U42" s="1586">
        <v>0</v>
      </c>
      <c r="V42" s="1584">
        <v>1</v>
      </c>
      <c r="W42" s="1588"/>
      <c r="X42" s="1586">
        <v>-9.1E-4</v>
      </c>
      <c r="Y42" s="1584">
        <v>1</v>
      </c>
      <c r="Z42" s="1588"/>
      <c r="AA42" s="1586">
        <v>3.2000000000000003E-4</v>
      </c>
      <c r="AB42" s="1584">
        <v>1</v>
      </c>
      <c r="AC42" s="1588"/>
      <c r="AD42" s="1586">
        <v>-1.01E-3</v>
      </c>
      <c r="AE42" s="1584">
        <v>0</v>
      </c>
      <c r="AF42" s="1588"/>
      <c r="AG42" s="1586">
        <v>0</v>
      </c>
      <c r="AH42" s="1584">
        <v>1</v>
      </c>
      <c r="AI42" s="1588"/>
      <c r="AJ42" s="1586">
        <v>-8.8000000000000003E-4</v>
      </c>
      <c r="AK42" s="1584">
        <v>1</v>
      </c>
      <c r="AL42" s="1588"/>
      <c r="AM42" s="1586">
        <v>-9.0000000000000006E-5</v>
      </c>
      <c r="AN42" s="831"/>
      <c r="AO42" s="831"/>
    </row>
    <row r="43" spans="1:68" s="46" customFormat="1" x14ac:dyDescent="0.2">
      <c r="A43" s="76">
        <v>37</v>
      </c>
      <c r="B43" s="668"/>
      <c r="C43" s="672" t="s">
        <v>9</v>
      </c>
      <c r="D43" s="454">
        <v>0</v>
      </c>
      <c r="E43" s="451">
        <v>2.0199999999999999E-2</v>
      </c>
      <c r="F43" s="1389">
        <v>1.8500000000000001E-3</v>
      </c>
      <c r="G43" s="1388">
        <v>2.205E-2</v>
      </c>
      <c r="H43" s="1389">
        <v>8.4000000000000003E-4</v>
      </c>
      <c r="I43" s="1388">
        <v>2.2890000000000001E-2</v>
      </c>
      <c r="J43" s="455">
        <v>0</v>
      </c>
      <c r="K43" s="455">
        <v>0</v>
      </c>
      <c r="L43" s="455">
        <v>0</v>
      </c>
      <c r="M43" s="456"/>
      <c r="N43" s="684"/>
      <c r="O43" s="455"/>
      <c r="P43" s="455"/>
      <c r="Q43" s="455"/>
      <c r="R43" s="450"/>
      <c r="S43" s="1582">
        <v>0</v>
      </c>
      <c r="T43" s="1039"/>
      <c r="U43" s="1583">
        <v>0</v>
      </c>
      <c r="V43" s="1582">
        <v>1</v>
      </c>
      <c r="W43" s="1039"/>
      <c r="X43" s="1583">
        <v>-3.4000000000000002E-4</v>
      </c>
      <c r="Y43" s="1582">
        <v>1</v>
      </c>
      <c r="Z43" s="1039"/>
      <c r="AA43" s="1583">
        <v>1.2E-4</v>
      </c>
      <c r="AB43" s="1582">
        <v>1</v>
      </c>
      <c r="AC43" s="1039"/>
      <c r="AD43" s="1583">
        <v>-3.8000000000000002E-4</v>
      </c>
      <c r="AE43" s="1582">
        <v>0</v>
      </c>
      <c r="AF43" s="1039"/>
      <c r="AG43" s="1583">
        <v>0</v>
      </c>
      <c r="AH43" s="1582">
        <v>1</v>
      </c>
      <c r="AI43" s="1039"/>
      <c r="AJ43" s="1583">
        <v>-3.3E-4</v>
      </c>
      <c r="AK43" s="1582">
        <v>1</v>
      </c>
      <c r="AL43" s="1039"/>
      <c r="AM43" s="1583">
        <v>-3.0000000000000001E-5</v>
      </c>
      <c r="AN43" s="831"/>
      <c r="AO43" s="831"/>
    </row>
    <row r="44" spans="1:68" s="46" customFormat="1" x14ac:dyDescent="0.2">
      <c r="A44" s="76">
        <v>38</v>
      </c>
      <c r="B44" s="670" t="s">
        <v>255</v>
      </c>
      <c r="C44" s="671" t="s">
        <v>4</v>
      </c>
      <c r="D44" s="467">
        <v>480000</v>
      </c>
      <c r="E44" s="461">
        <v>0.13791999999999999</v>
      </c>
      <c r="F44" s="1391">
        <v>1.12E-2</v>
      </c>
      <c r="G44" s="1392">
        <v>0.14911999999999997</v>
      </c>
      <c r="H44" s="1391">
        <v>5.94E-3</v>
      </c>
      <c r="I44" s="1392">
        <v>0.15505999999999998</v>
      </c>
      <c r="J44" s="462">
        <v>66202</v>
      </c>
      <c r="K44" s="462">
        <v>71578</v>
      </c>
      <c r="L44" s="462">
        <v>74429</v>
      </c>
      <c r="M44" s="144">
        <v>1550</v>
      </c>
      <c r="N44" s="360">
        <v>4</v>
      </c>
      <c r="O44" s="462">
        <v>360784.79504</v>
      </c>
      <c r="P44" s="462">
        <v>382428.79504</v>
      </c>
      <c r="Q44" s="462">
        <v>393897.79504</v>
      </c>
      <c r="R44" s="463"/>
      <c r="S44" s="1584">
        <v>0</v>
      </c>
      <c r="T44" s="1587">
        <v>0</v>
      </c>
      <c r="U44" s="1586">
        <v>0</v>
      </c>
      <c r="V44" s="1584">
        <v>1</v>
      </c>
      <c r="W44" s="1587">
        <v>-3080</v>
      </c>
      <c r="X44" s="1586">
        <v>-1.5900000000000001E-3</v>
      </c>
      <c r="Y44" s="1584">
        <v>1</v>
      </c>
      <c r="Z44" s="1587">
        <v>1086</v>
      </c>
      <c r="AA44" s="1586">
        <v>5.5999999999999995E-4</v>
      </c>
      <c r="AB44" s="1584">
        <v>1</v>
      </c>
      <c r="AC44" s="1587">
        <v>-3379</v>
      </c>
      <c r="AD44" s="1586">
        <v>-1.75E-3</v>
      </c>
      <c r="AE44" s="1584">
        <v>0</v>
      </c>
      <c r="AF44" s="1587">
        <v>0</v>
      </c>
      <c r="AG44" s="1586">
        <v>0</v>
      </c>
      <c r="AH44" s="1584">
        <v>1</v>
      </c>
      <c r="AI44" s="1587">
        <v>-3007</v>
      </c>
      <c r="AJ44" s="1586">
        <v>-1.56E-3</v>
      </c>
      <c r="AK44" s="1584">
        <v>1</v>
      </c>
      <c r="AL44" s="1587">
        <v>-306</v>
      </c>
      <c r="AM44" s="1586">
        <v>-1.6000000000000001E-4</v>
      </c>
      <c r="AN44" s="831"/>
      <c r="AO44" s="831"/>
      <c r="AQ44" s="421">
        <v>0</v>
      </c>
      <c r="AR44" s="421">
        <v>0</v>
      </c>
      <c r="AU44" s="421">
        <v>-8.0537868485500638E-3</v>
      </c>
      <c r="AV44" s="421">
        <v>-1.0686058856591702E-2</v>
      </c>
      <c r="AY44" s="421">
        <v>2.8397443238718733E-3</v>
      </c>
      <c r="AZ44" s="421">
        <v>3.7678765968372041E-3</v>
      </c>
      <c r="BC44" s="421">
        <v>-9.365694027170331E-3</v>
      </c>
      <c r="BD44" s="421">
        <v>-1.2675274399621879E-2</v>
      </c>
      <c r="BG44" s="421">
        <v>0</v>
      </c>
      <c r="BH44" s="421">
        <v>0</v>
      </c>
      <c r="BK44" s="421">
        <v>-7.6339599709986739E-3</v>
      </c>
      <c r="BL44" s="421">
        <v>-1.0033534092994545E-2</v>
      </c>
      <c r="BO44" s="421">
        <v>-7.76851264092316E-4</v>
      </c>
      <c r="BP44" s="421">
        <v>-1.021038055356279E-3</v>
      </c>
    </row>
    <row r="45" spans="1:68" s="46" customFormat="1" x14ac:dyDescent="0.2">
      <c r="A45" s="76">
        <v>39</v>
      </c>
      <c r="B45" s="670"/>
      <c r="C45" s="671" t="s">
        <v>5</v>
      </c>
      <c r="D45" s="467">
        <v>807846</v>
      </c>
      <c r="E45" s="461">
        <v>0.12346999999999998</v>
      </c>
      <c r="F45" s="1391">
        <v>1.0019999999999999E-2</v>
      </c>
      <c r="G45" s="1392">
        <v>0.13348999999999997</v>
      </c>
      <c r="H45" s="1391">
        <v>5.3099999999999996E-3</v>
      </c>
      <c r="I45" s="1392">
        <v>0.13879999999999998</v>
      </c>
      <c r="J45" s="462">
        <v>99745</v>
      </c>
      <c r="K45" s="462">
        <v>107839</v>
      </c>
      <c r="L45" s="462">
        <v>112129</v>
      </c>
      <c r="M45" s="144"/>
      <c r="N45" s="360"/>
      <c r="O45" s="462"/>
      <c r="P45" s="462"/>
      <c r="Q45" s="462"/>
      <c r="R45" s="463"/>
      <c r="S45" s="1584">
        <v>0</v>
      </c>
      <c r="T45" s="1588"/>
      <c r="U45" s="1586">
        <v>0</v>
      </c>
      <c r="V45" s="1584">
        <v>1</v>
      </c>
      <c r="W45" s="1588"/>
      <c r="X45" s="1586">
        <v>-1.4300000000000001E-3</v>
      </c>
      <c r="Y45" s="1584">
        <v>1</v>
      </c>
      <c r="Z45" s="1588"/>
      <c r="AA45" s="1586">
        <v>5.0000000000000001E-4</v>
      </c>
      <c r="AB45" s="1584">
        <v>1</v>
      </c>
      <c r="AC45" s="1588"/>
      <c r="AD45" s="1586">
        <v>-1.57E-3</v>
      </c>
      <c r="AE45" s="1584">
        <v>0</v>
      </c>
      <c r="AF45" s="1588"/>
      <c r="AG45" s="1586">
        <v>0</v>
      </c>
      <c r="AH45" s="1584">
        <v>1</v>
      </c>
      <c r="AI45" s="1588"/>
      <c r="AJ45" s="1586">
        <v>-1.39E-3</v>
      </c>
      <c r="AK45" s="1584">
        <v>1</v>
      </c>
      <c r="AL45" s="1588"/>
      <c r="AM45" s="1586">
        <v>-1.3999999999999999E-4</v>
      </c>
      <c r="AN45" s="831"/>
      <c r="AO45" s="831"/>
    </row>
    <row r="46" spans="1:68" s="46" customFormat="1" x14ac:dyDescent="0.2">
      <c r="A46" s="76">
        <v>40</v>
      </c>
      <c r="B46" s="670"/>
      <c r="C46" s="671" t="s">
        <v>6</v>
      </c>
      <c r="D46" s="467">
        <v>583779</v>
      </c>
      <c r="E46" s="461">
        <v>9.4670000000000004E-2</v>
      </c>
      <c r="F46" s="1391">
        <v>7.6900000000000007E-3</v>
      </c>
      <c r="G46" s="1392">
        <v>0.10236000000000001</v>
      </c>
      <c r="H46" s="1391">
        <v>4.0699999999999998E-3</v>
      </c>
      <c r="I46" s="1392">
        <v>0.10643000000000001</v>
      </c>
      <c r="J46" s="462">
        <v>55266</v>
      </c>
      <c r="K46" s="462">
        <v>59756</v>
      </c>
      <c r="L46" s="462">
        <v>62132</v>
      </c>
      <c r="M46" s="144"/>
      <c r="N46" s="360"/>
      <c r="O46" s="462"/>
      <c r="P46" s="462"/>
      <c r="Q46" s="462"/>
      <c r="R46" s="463"/>
      <c r="S46" s="1584">
        <v>0</v>
      </c>
      <c r="T46" s="1588"/>
      <c r="U46" s="1586">
        <v>0</v>
      </c>
      <c r="V46" s="1584">
        <v>1</v>
      </c>
      <c r="W46" s="1588"/>
      <c r="X46" s="1586">
        <v>-1.09E-3</v>
      </c>
      <c r="Y46" s="1584">
        <v>1</v>
      </c>
      <c r="Z46" s="1588"/>
      <c r="AA46" s="1586">
        <v>3.8999999999999999E-4</v>
      </c>
      <c r="AB46" s="1584">
        <v>1</v>
      </c>
      <c r="AC46" s="1588"/>
      <c r="AD46" s="1586">
        <v>-1.1999999999999999E-3</v>
      </c>
      <c r="AE46" s="1584">
        <v>0</v>
      </c>
      <c r="AF46" s="1588"/>
      <c r="AG46" s="1586">
        <v>0</v>
      </c>
      <c r="AH46" s="1584">
        <v>1</v>
      </c>
      <c r="AI46" s="1588"/>
      <c r="AJ46" s="1586">
        <v>-1.07E-3</v>
      </c>
      <c r="AK46" s="1584">
        <v>1</v>
      </c>
      <c r="AL46" s="1588"/>
      <c r="AM46" s="1586">
        <v>-1.1E-4</v>
      </c>
      <c r="AN46" s="831"/>
      <c r="AO46" s="831"/>
    </row>
    <row r="47" spans="1:68" s="46" customFormat="1" x14ac:dyDescent="0.2">
      <c r="A47" s="76">
        <v>41</v>
      </c>
      <c r="B47" s="670"/>
      <c r="C47" s="671" t="s">
        <v>7</v>
      </c>
      <c r="D47" s="467">
        <v>598933</v>
      </c>
      <c r="E47" s="461">
        <v>7.5750000000000012E-2</v>
      </c>
      <c r="F47" s="1391">
        <v>6.1500000000000001E-3</v>
      </c>
      <c r="G47" s="1392">
        <v>8.1900000000000014E-2</v>
      </c>
      <c r="H47" s="1391">
        <v>3.2599999999999999E-3</v>
      </c>
      <c r="I47" s="1392">
        <v>8.5160000000000013E-2</v>
      </c>
      <c r="J47" s="462">
        <v>45369</v>
      </c>
      <c r="K47" s="462">
        <v>49053</v>
      </c>
      <c r="L47" s="462">
        <v>51005</v>
      </c>
      <c r="M47" s="144"/>
      <c r="N47" s="360"/>
      <c r="O47" s="462"/>
      <c r="P47" s="462"/>
      <c r="Q47" s="462"/>
      <c r="R47" s="463"/>
      <c r="S47" s="1584">
        <v>0</v>
      </c>
      <c r="T47" s="1588"/>
      <c r="U47" s="1586">
        <v>0</v>
      </c>
      <c r="V47" s="1584">
        <v>1</v>
      </c>
      <c r="W47" s="1588"/>
      <c r="X47" s="1586">
        <v>-8.8000000000000003E-4</v>
      </c>
      <c r="Y47" s="1584">
        <v>1</v>
      </c>
      <c r="Z47" s="1588"/>
      <c r="AA47" s="1586">
        <v>3.1E-4</v>
      </c>
      <c r="AB47" s="1584">
        <v>1</v>
      </c>
      <c r="AC47" s="1588"/>
      <c r="AD47" s="1586">
        <v>-9.6000000000000002E-4</v>
      </c>
      <c r="AE47" s="1584">
        <v>0</v>
      </c>
      <c r="AF47" s="1588"/>
      <c r="AG47" s="1586">
        <v>0</v>
      </c>
      <c r="AH47" s="1584">
        <v>1</v>
      </c>
      <c r="AI47" s="1588"/>
      <c r="AJ47" s="1586">
        <v>-8.4999999999999995E-4</v>
      </c>
      <c r="AK47" s="1584">
        <v>1</v>
      </c>
      <c r="AL47" s="1588"/>
      <c r="AM47" s="1586">
        <v>-9.0000000000000006E-5</v>
      </c>
      <c r="AN47" s="831"/>
      <c r="AO47" s="831"/>
    </row>
    <row r="48" spans="1:68" s="46" customFormat="1" x14ac:dyDescent="0.2">
      <c r="A48" s="76">
        <v>42</v>
      </c>
      <c r="B48" s="670"/>
      <c r="C48" s="671" t="s">
        <v>8</v>
      </c>
      <c r="D48" s="467">
        <v>0</v>
      </c>
      <c r="E48" s="461">
        <v>5.0500000000000003E-2</v>
      </c>
      <c r="F48" s="1391">
        <v>4.1000000000000003E-3</v>
      </c>
      <c r="G48" s="1392">
        <v>5.4600000000000003E-2</v>
      </c>
      <c r="H48" s="1391">
        <v>2.1700000000000001E-3</v>
      </c>
      <c r="I48" s="1392">
        <v>5.6770000000000001E-2</v>
      </c>
      <c r="J48" s="462">
        <v>0</v>
      </c>
      <c r="K48" s="462">
        <v>0</v>
      </c>
      <c r="L48" s="462">
        <v>0</v>
      </c>
      <c r="M48" s="144"/>
      <c r="N48" s="360"/>
      <c r="O48" s="462"/>
      <c r="P48" s="462"/>
      <c r="Q48" s="462"/>
      <c r="R48" s="463"/>
      <c r="S48" s="1584">
        <v>0</v>
      </c>
      <c r="T48" s="1588"/>
      <c r="U48" s="1586">
        <v>0</v>
      </c>
      <c r="V48" s="1584">
        <v>1</v>
      </c>
      <c r="W48" s="1588"/>
      <c r="X48" s="1586">
        <v>-5.8E-4</v>
      </c>
      <c r="Y48" s="1584">
        <v>1</v>
      </c>
      <c r="Z48" s="1588"/>
      <c r="AA48" s="1586">
        <v>2.1000000000000001E-4</v>
      </c>
      <c r="AB48" s="1584">
        <v>1</v>
      </c>
      <c r="AC48" s="1588"/>
      <c r="AD48" s="1586">
        <v>-6.4000000000000005E-4</v>
      </c>
      <c r="AE48" s="1584">
        <v>0</v>
      </c>
      <c r="AF48" s="1588"/>
      <c r="AG48" s="1586">
        <v>0</v>
      </c>
      <c r="AH48" s="1584">
        <v>1</v>
      </c>
      <c r="AI48" s="1588"/>
      <c r="AJ48" s="1586">
        <v>-5.6999999999999998E-4</v>
      </c>
      <c r="AK48" s="1584">
        <v>1</v>
      </c>
      <c r="AL48" s="1588"/>
      <c r="AM48" s="1586">
        <v>-6.0000000000000002E-5</v>
      </c>
      <c r="AN48" s="831"/>
      <c r="AO48" s="831"/>
    </row>
    <row r="49" spans="1:68" s="46" customFormat="1" x14ac:dyDescent="0.2">
      <c r="A49" s="76">
        <v>43</v>
      </c>
      <c r="B49" s="668"/>
      <c r="C49" s="672" t="s">
        <v>9</v>
      </c>
      <c r="D49" s="454">
        <v>0</v>
      </c>
      <c r="E49" s="451">
        <v>1.8929999999999999E-2</v>
      </c>
      <c r="F49" s="1389">
        <v>1.5399999999999999E-3</v>
      </c>
      <c r="G49" s="1388">
        <v>2.0469999999999999E-2</v>
      </c>
      <c r="H49" s="1389">
        <v>8.0999999999999996E-4</v>
      </c>
      <c r="I49" s="1388">
        <v>2.128E-2</v>
      </c>
      <c r="J49" s="455">
        <v>0</v>
      </c>
      <c r="K49" s="455">
        <v>0</v>
      </c>
      <c r="L49" s="455">
        <v>0</v>
      </c>
      <c r="M49" s="456"/>
      <c r="N49" s="684"/>
      <c r="O49" s="455"/>
      <c r="P49" s="455"/>
      <c r="Q49" s="455"/>
      <c r="R49" s="450"/>
      <c r="S49" s="1582">
        <v>0</v>
      </c>
      <c r="T49" s="1039"/>
      <c r="U49" s="1583">
        <v>0</v>
      </c>
      <c r="V49" s="1582">
        <v>1</v>
      </c>
      <c r="W49" s="1039"/>
      <c r="X49" s="1583">
        <v>-2.2000000000000001E-4</v>
      </c>
      <c r="Y49" s="1582">
        <v>1</v>
      </c>
      <c r="Z49" s="1039"/>
      <c r="AA49" s="1583">
        <v>8.0000000000000007E-5</v>
      </c>
      <c r="AB49" s="1582">
        <v>1</v>
      </c>
      <c r="AC49" s="1039"/>
      <c r="AD49" s="1583">
        <v>-2.4000000000000001E-4</v>
      </c>
      <c r="AE49" s="1582">
        <v>0</v>
      </c>
      <c r="AF49" s="1039"/>
      <c r="AG49" s="1583">
        <v>0</v>
      </c>
      <c r="AH49" s="1582">
        <v>1</v>
      </c>
      <c r="AI49" s="1039"/>
      <c r="AJ49" s="1583">
        <v>-2.1000000000000001E-4</v>
      </c>
      <c r="AK49" s="1582">
        <v>1</v>
      </c>
      <c r="AL49" s="1039"/>
      <c r="AM49" s="1583">
        <v>-2.0000000000000002E-5</v>
      </c>
      <c r="AN49" s="831"/>
      <c r="AO49" s="831"/>
    </row>
    <row r="50" spans="1:68" s="46" customFormat="1" x14ac:dyDescent="0.2">
      <c r="A50" s="76">
        <v>44</v>
      </c>
      <c r="B50" s="670" t="s">
        <v>256</v>
      </c>
      <c r="C50" s="671" t="s">
        <v>4</v>
      </c>
      <c r="D50" s="467">
        <v>924395</v>
      </c>
      <c r="E50" s="461">
        <v>0.13941000000000001</v>
      </c>
      <c r="F50" s="1391">
        <v>8.6699999999999989E-3</v>
      </c>
      <c r="G50" s="1392">
        <v>0.14808000000000002</v>
      </c>
      <c r="H50" s="1391">
        <v>3.96E-3</v>
      </c>
      <c r="I50" s="1392">
        <v>0.15204000000000001</v>
      </c>
      <c r="J50" s="462">
        <v>128870</v>
      </c>
      <c r="K50" s="462">
        <v>136884</v>
      </c>
      <c r="L50" s="462">
        <v>140545</v>
      </c>
      <c r="M50" s="144">
        <v>1550</v>
      </c>
      <c r="N50" s="360">
        <v>8.9166666666666661</v>
      </c>
      <c r="O50" s="462">
        <v>823616.4656</v>
      </c>
      <c r="P50" s="462">
        <v>861360.4656</v>
      </c>
      <c r="Q50" s="462">
        <v>878592.4656</v>
      </c>
      <c r="R50" s="463"/>
      <c r="S50" s="1584">
        <v>0</v>
      </c>
      <c r="T50" s="1587">
        <v>0</v>
      </c>
      <c r="U50" s="1586">
        <v>0</v>
      </c>
      <c r="V50" s="1584">
        <v>1</v>
      </c>
      <c r="W50" s="1587">
        <v>-6938</v>
      </c>
      <c r="X50" s="1586">
        <v>-1.5900000000000001E-3</v>
      </c>
      <c r="Y50" s="1584">
        <v>1</v>
      </c>
      <c r="Z50" s="1587">
        <v>2447</v>
      </c>
      <c r="AA50" s="1586">
        <v>5.5999999999999995E-4</v>
      </c>
      <c r="AB50" s="1584">
        <v>1</v>
      </c>
      <c r="AC50" s="1587">
        <v>-7713</v>
      </c>
      <c r="AD50" s="1586">
        <v>-1.7700000000000001E-3</v>
      </c>
      <c r="AE50" s="1584">
        <v>0</v>
      </c>
      <c r="AF50" s="1587">
        <v>0</v>
      </c>
      <c r="AG50" s="1586">
        <v>0</v>
      </c>
      <c r="AH50" s="1584">
        <v>1</v>
      </c>
      <c r="AI50" s="1587">
        <v>-6707</v>
      </c>
      <c r="AJ50" s="1586">
        <v>-1.5399999999999999E-3</v>
      </c>
      <c r="AK50" s="1584">
        <v>1</v>
      </c>
      <c r="AL50" s="1587">
        <v>-682</v>
      </c>
      <c r="AM50" s="1586">
        <v>-1.6000000000000001E-4</v>
      </c>
      <c r="AN50" s="831"/>
      <c r="AO50" s="831"/>
      <c r="AQ50" s="421">
        <v>0</v>
      </c>
      <c r="AR50" s="421">
        <v>0</v>
      </c>
      <c r="AU50" s="421">
        <v>-8.054699834833005E-3</v>
      </c>
      <c r="AV50" s="421">
        <v>-1.0759158000514852E-2</v>
      </c>
      <c r="AY50" s="421">
        <v>2.8408547846405828E-3</v>
      </c>
      <c r="AZ50" s="421">
        <v>3.7947044720755031E-3</v>
      </c>
      <c r="BC50" s="421">
        <v>-9.364795778313055E-3</v>
      </c>
      <c r="BD50" s="421">
        <v>-1.270461965205188E-2</v>
      </c>
      <c r="BG50" s="421">
        <v>0</v>
      </c>
      <c r="BH50" s="421">
        <v>0</v>
      </c>
      <c r="BK50" s="421">
        <v>-7.6338009516388463E-3</v>
      </c>
      <c r="BL50" s="421">
        <v>-1.0130226347952961E-2</v>
      </c>
      <c r="BO50" s="421">
        <v>-7.7624157581894927E-4</v>
      </c>
      <c r="BP50" s="421">
        <v>-1.0300901102287042E-3</v>
      </c>
    </row>
    <row r="51" spans="1:68" s="46" customFormat="1" x14ac:dyDescent="0.2">
      <c r="A51" s="76">
        <v>45</v>
      </c>
      <c r="B51" s="670"/>
      <c r="C51" s="671" t="s">
        <v>5</v>
      </c>
      <c r="D51" s="467">
        <v>1036796</v>
      </c>
      <c r="E51" s="461">
        <v>0.12478999999999997</v>
      </c>
      <c r="F51" s="1391">
        <v>7.7600000000000004E-3</v>
      </c>
      <c r="G51" s="1392">
        <v>0.13254999999999997</v>
      </c>
      <c r="H51" s="1391">
        <v>3.5400000000000002E-3</v>
      </c>
      <c r="I51" s="1392">
        <v>0.13608999999999996</v>
      </c>
      <c r="J51" s="462">
        <v>129382</v>
      </c>
      <c r="K51" s="462">
        <v>137427</v>
      </c>
      <c r="L51" s="462">
        <v>141098</v>
      </c>
      <c r="M51" s="144"/>
      <c r="N51" s="360"/>
      <c r="O51" s="462"/>
      <c r="P51" s="462"/>
      <c r="Q51" s="462"/>
      <c r="R51" s="463"/>
      <c r="S51" s="1584">
        <v>0</v>
      </c>
      <c r="T51" s="1588"/>
      <c r="U51" s="1586">
        <v>0</v>
      </c>
      <c r="V51" s="1584">
        <v>1</v>
      </c>
      <c r="W51" s="1588"/>
      <c r="X51" s="1586">
        <v>-1.4300000000000001E-3</v>
      </c>
      <c r="Y51" s="1584">
        <v>1</v>
      </c>
      <c r="Z51" s="1588"/>
      <c r="AA51" s="1586">
        <v>5.0000000000000001E-4</v>
      </c>
      <c r="AB51" s="1584">
        <v>1</v>
      </c>
      <c r="AC51" s="1588"/>
      <c r="AD51" s="1586">
        <v>-1.5900000000000001E-3</v>
      </c>
      <c r="AE51" s="1584">
        <v>0</v>
      </c>
      <c r="AF51" s="1588"/>
      <c r="AG51" s="1586">
        <v>0</v>
      </c>
      <c r="AH51" s="1584">
        <v>1</v>
      </c>
      <c r="AI51" s="1588"/>
      <c r="AJ51" s="1586">
        <v>-1.3799999999999999E-3</v>
      </c>
      <c r="AK51" s="1584">
        <v>1</v>
      </c>
      <c r="AL51" s="1588"/>
      <c r="AM51" s="1586">
        <v>-1.3999999999999999E-4</v>
      </c>
      <c r="AN51" s="831"/>
      <c r="AO51" s="831"/>
    </row>
    <row r="52" spans="1:68" s="46" customFormat="1" x14ac:dyDescent="0.2">
      <c r="A52" s="76">
        <v>46</v>
      </c>
      <c r="B52" s="670"/>
      <c r="C52" s="671" t="s">
        <v>6</v>
      </c>
      <c r="D52" s="467">
        <v>937215</v>
      </c>
      <c r="E52" s="461">
        <v>9.5690000000000011E-2</v>
      </c>
      <c r="F52" s="1391">
        <v>5.9500000000000004E-3</v>
      </c>
      <c r="G52" s="1392">
        <v>0.10164000000000001</v>
      </c>
      <c r="H52" s="1391">
        <v>2.7200000000000002E-3</v>
      </c>
      <c r="I52" s="1392">
        <v>0.10436000000000001</v>
      </c>
      <c r="J52" s="462">
        <v>89682</v>
      </c>
      <c r="K52" s="462">
        <v>95259</v>
      </c>
      <c r="L52" s="462">
        <v>97808</v>
      </c>
      <c r="M52" s="144"/>
      <c r="N52" s="360"/>
      <c r="O52" s="462"/>
      <c r="P52" s="462"/>
      <c r="Q52" s="462"/>
      <c r="R52" s="463"/>
      <c r="S52" s="1584">
        <v>0</v>
      </c>
      <c r="T52" s="1588"/>
      <c r="U52" s="1586">
        <v>0</v>
      </c>
      <c r="V52" s="1584">
        <v>1</v>
      </c>
      <c r="W52" s="1588"/>
      <c r="X52" s="1586">
        <v>-1.09E-3</v>
      </c>
      <c r="Y52" s="1584">
        <v>1</v>
      </c>
      <c r="Z52" s="1588"/>
      <c r="AA52" s="1586">
        <v>3.8999999999999999E-4</v>
      </c>
      <c r="AB52" s="1584">
        <v>1</v>
      </c>
      <c r="AC52" s="1588"/>
      <c r="AD52" s="1586">
        <v>-1.2199999999999999E-3</v>
      </c>
      <c r="AE52" s="1584">
        <v>0</v>
      </c>
      <c r="AF52" s="1588"/>
      <c r="AG52" s="1586">
        <v>0</v>
      </c>
      <c r="AH52" s="1584">
        <v>1</v>
      </c>
      <c r="AI52" s="1588"/>
      <c r="AJ52" s="1586">
        <v>-1.06E-3</v>
      </c>
      <c r="AK52" s="1584">
        <v>1</v>
      </c>
      <c r="AL52" s="1588"/>
      <c r="AM52" s="1586">
        <v>-1.1E-4</v>
      </c>
      <c r="AN52" s="831"/>
      <c r="AO52" s="831"/>
    </row>
    <row r="53" spans="1:68" s="46" customFormat="1" x14ac:dyDescent="0.2">
      <c r="A53" s="76">
        <v>47</v>
      </c>
      <c r="B53" s="670"/>
      <c r="C53" s="671" t="s">
        <v>7</v>
      </c>
      <c r="D53" s="467">
        <v>2390318</v>
      </c>
      <c r="E53" s="461">
        <v>7.6560000000000017E-2</v>
      </c>
      <c r="F53" s="1391">
        <v>4.7599999999999995E-3</v>
      </c>
      <c r="G53" s="1392">
        <v>8.1320000000000017E-2</v>
      </c>
      <c r="H53" s="1391">
        <v>2.1700000000000001E-3</v>
      </c>
      <c r="I53" s="1392">
        <v>8.3490000000000023E-2</v>
      </c>
      <c r="J53" s="462">
        <v>183003</v>
      </c>
      <c r="K53" s="462">
        <v>194381</v>
      </c>
      <c r="L53" s="462">
        <v>199568</v>
      </c>
      <c r="M53" s="144"/>
      <c r="N53" s="360"/>
      <c r="O53" s="462"/>
      <c r="P53" s="462"/>
      <c r="Q53" s="462"/>
      <c r="R53" s="463"/>
      <c r="S53" s="1584">
        <v>0</v>
      </c>
      <c r="T53" s="1588"/>
      <c r="U53" s="1586">
        <v>0</v>
      </c>
      <c r="V53" s="1584">
        <v>1</v>
      </c>
      <c r="W53" s="1588"/>
      <c r="X53" s="1586">
        <v>-8.7000000000000001E-4</v>
      </c>
      <c r="Y53" s="1584">
        <v>1</v>
      </c>
      <c r="Z53" s="1588"/>
      <c r="AA53" s="1586">
        <v>3.1E-4</v>
      </c>
      <c r="AB53" s="1584">
        <v>1</v>
      </c>
      <c r="AC53" s="1588"/>
      <c r="AD53" s="1586">
        <v>-9.7000000000000005E-4</v>
      </c>
      <c r="AE53" s="1584">
        <v>0</v>
      </c>
      <c r="AF53" s="1588"/>
      <c r="AG53" s="1586">
        <v>0</v>
      </c>
      <c r="AH53" s="1584">
        <v>1</v>
      </c>
      <c r="AI53" s="1588"/>
      <c r="AJ53" s="1586">
        <v>-8.4999999999999995E-4</v>
      </c>
      <c r="AK53" s="1584">
        <v>1</v>
      </c>
      <c r="AL53" s="1588"/>
      <c r="AM53" s="1586">
        <v>-9.0000000000000006E-5</v>
      </c>
      <c r="AN53" s="831"/>
      <c r="AO53" s="831"/>
    </row>
    <row r="54" spans="1:68" s="46" customFormat="1" x14ac:dyDescent="0.2">
      <c r="A54" s="76">
        <v>48</v>
      </c>
      <c r="B54" s="670"/>
      <c r="C54" s="671" t="s">
        <v>8</v>
      </c>
      <c r="D54" s="467">
        <v>1492257</v>
      </c>
      <c r="E54" s="461">
        <v>5.1040000000000002E-2</v>
      </c>
      <c r="F54" s="1391">
        <v>3.1700000000000001E-3</v>
      </c>
      <c r="G54" s="1392">
        <v>5.4210000000000001E-2</v>
      </c>
      <c r="H54" s="1391">
        <v>1.4499999999999999E-3</v>
      </c>
      <c r="I54" s="1392">
        <v>5.5660000000000001E-2</v>
      </c>
      <c r="J54" s="462">
        <v>76165</v>
      </c>
      <c r="K54" s="462">
        <v>80895</v>
      </c>
      <c r="L54" s="462">
        <v>83059</v>
      </c>
      <c r="M54" s="144"/>
      <c r="N54" s="360"/>
      <c r="O54" s="462"/>
      <c r="P54" s="462"/>
      <c r="Q54" s="462"/>
      <c r="R54" s="463"/>
      <c r="S54" s="1584">
        <v>0</v>
      </c>
      <c r="T54" s="1588"/>
      <c r="U54" s="1586">
        <v>0</v>
      </c>
      <c r="V54" s="1584">
        <v>1</v>
      </c>
      <c r="W54" s="1588"/>
      <c r="X54" s="1586">
        <v>-5.8E-4</v>
      </c>
      <c r="Y54" s="1584">
        <v>1</v>
      </c>
      <c r="Z54" s="1588"/>
      <c r="AA54" s="1586">
        <v>2.1000000000000001E-4</v>
      </c>
      <c r="AB54" s="1584">
        <v>1</v>
      </c>
      <c r="AC54" s="1588"/>
      <c r="AD54" s="1586">
        <v>-6.4999999999999997E-4</v>
      </c>
      <c r="AE54" s="1584">
        <v>0</v>
      </c>
      <c r="AF54" s="1588"/>
      <c r="AG54" s="1586">
        <v>0</v>
      </c>
      <c r="AH54" s="1584">
        <v>1</v>
      </c>
      <c r="AI54" s="1588"/>
      <c r="AJ54" s="1586">
        <v>-5.5999999999999995E-4</v>
      </c>
      <c r="AK54" s="1584">
        <v>1</v>
      </c>
      <c r="AL54" s="1588"/>
      <c r="AM54" s="1586">
        <v>-6.0000000000000002E-5</v>
      </c>
      <c r="AN54" s="831"/>
      <c r="AO54" s="831"/>
    </row>
    <row r="55" spans="1:68" s="46" customFormat="1" x14ac:dyDescent="0.2">
      <c r="A55" s="76">
        <v>49</v>
      </c>
      <c r="B55" s="668"/>
      <c r="C55" s="672" t="s">
        <v>9</v>
      </c>
      <c r="D55" s="454">
        <v>0</v>
      </c>
      <c r="E55" s="451">
        <v>1.9140000000000001E-2</v>
      </c>
      <c r="F55" s="1389">
        <v>1.1900000000000001E-3</v>
      </c>
      <c r="G55" s="1388">
        <v>2.0330000000000001E-2</v>
      </c>
      <c r="H55" s="1389">
        <v>5.4000000000000001E-4</v>
      </c>
      <c r="I55" s="1388">
        <v>2.087E-2</v>
      </c>
      <c r="J55" s="455">
        <v>0</v>
      </c>
      <c r="K55" s="455">
        <v>0</v>
      </c>
      <c r="L55" s="455">
        <v>0</v>
      </c>
      <c r="M55" s="456"/>
      <c r="N55" s="684"/>
      <c r="O55" s="455"/>
      <c r="P55" s="455"/>
      <c r="Q55" s="455"/>
      <c r="R55" s="450"/>
      <c r="S55" s="1582">
        <v>0</v>
      </c>
      <c r="T55" s="1039"/>
      <c r="U55" s="1583">
        <v>0</v>
      </c>
      <c r="V55" s="1582">
        <v>1</v>
      </c>
      <c r="W55" s="1039"/>
      <c r="X55" s="1583">
        <v>-2.2000000000000001E-4</v>
      </c>
      <c r="Y55" s="1582">
        <v>1</v>
      </c>
      <c r="Z55" s="1039"/>
      <c r="AA55" s="1583">
        <v>8.0000000000000007E-5</v>
      </c>
      <c r="AB55" s="1582">
        <v>1</v>
      </c>
      <c r="AC55" s="1039"/>
      <c r="AD55" s="1583">
        <v>-2.4000000000000001E-4</v>
      </c>
      <c r="AE55" s="1582">
        <v>0</v>
      </c>
      <c r="AF55" s="1039"/>
      <c r="AG55" s="1583">
        <v>0</v>
      </c>
      <c r="AH55" s="1582">
        <v>1</v>
      </c>
      <c r="AI55" s="1039"/>
      <c r="AJ55" s="1583">
        <v>-2.1000000000000001E-4</v>
      </c>
      <c r="AK55" s="1582">
        <v>1</v>
      </c>
      <c r="AL55" s="1039"/>
      <c r="AM55" s="1583">
        <v>-2.0000000000000002E-5</v>
      </c>
      <c r="AN55" s="831"/>
      <c r="AO55" s="831"/>
    </row>
    <row r="56" spans="1:68" s="46" customFormat="1" x14ac:dyDescent="0.2">
      <c r="A56" s="76">
        <v>50</v>
      </c>
      <c r="B56" s="670" t="s">
        <v>252</v>
      </c>
      <c r="C56" s="671" t="s">
        <v>4</v>
      </c>
      <c r="D56" s="467">
        <v>240000</v>
      </c>
      <c r="E56" s="461">
        <v>0.13682000000000002</v>
      </c>
      <c r="F56" s="1391">
        <v>2.06E-2</v>
      </c>
      <c r="G56" s="1392">
        <v>0.15742000000000003</v>
      </c>
      <c r="H56" s="1391">
        <v>1.2449999999999999E-2</v>
      </c>
      <c r="I56" s="1392">
        <v>0.16987000000000002</v>
      </c>
      <c r="J56" s="462">
        <v>32837</v>
      </c>
      <c r="K56" s="462">
        <v>37781</v>
      </c>
      <c r="L56" s="462">
        <v>40769</v>
      </c>
      <c r="M56" s="144">
        <v>1300</v>
      </c>
      <c r="N56" s="360">
        <v>2</v>
      </c>
      <c r="O56" s="462">
        <v>160513.01702958997</v>
      </c>
      <c r="P56" s="462">
        <v>177371.01702958997</v>
      </c>
      <c r="Q56" s="462">
        <v>187553.01702958997</v>
      </c>
      <c r="R56" s="463"/>
      <c r="S56" s="1584">
        <v>1</v>
      </c>
      <c r="T56" s="1587">
        <v>-2687</v>
      </c>
      <c r="U56" s="1586">
        <v>-3.2799999999999999E-3</v>
      </c>
      <c r="V56" s="1584">
        <v>1</v>
      </c>
      <c r="W56" s="1587">
        <v>-1429</v>
      </c>
      <c r="X56" s="1586">
        <v>-1.75E-3</v>
      </c>
      <c r="Y56" s="1584">
        <v>1</v>
      </c>
      <c r="Z56" s="1587">
        <v>504</v>
      </c>
      <c r="AA56" s="1586">
        <v>6.2E-4</v>
      </c>
      <c r="AB56" s="1584">
        <v>1</v>
      </c>
      <c r="AC56" s="1587">
        <v>-1503</v>
      </c>
      <c r="AD56" s="1586">
        <v>-1.8400000000000001E-3</v>
      </c>
      <c r="AE56" s="1584">
        <v>1</v>
      </c>
      <c r="AF56" s="1587">
        <v>-2687</v>
      </c>
      <c r="AG56" s="1586">
        <v>-3.2799999999999999E-3</v>
      </c>
      <c r="AH56" s="1584">
        <v>1</v>
      </c>
      <c r="AI56" s="1587">
        <v>-1432</v>
      </c>
      <c r="AJ56" s="1586">
        <v>-1.75E-3</v>
      </c>
      <c r="AK56" s="1584">
        <v>1</v>
      </c>
      <c r="AL56" s="1587">
        <v>-146</v>
      </c>
      <c r="AM56" s="1586">
        <v>-1.8000000000000001E-4</v>
      </c>
      <c r="AN56" s="831"/>
      <c r="AO56" s="831"/>
      <c r="AQ56" s="421">
        <v>-1.5149036437851289E-2</v>
      </c>
      <c r="AR56" s="421">
        <v>-2.0863097086775577E-2</v>
      </c>
      <c r="AU56" s="421">
        <v>-8.0565586414921824E-3</v>
      </c>
      <c r="AV56" s="421">
        <v>-1.1095409652773464E-2</v>
      </c>
      <c r="AY56" s="421">
        <v>2.8415014382869555E-3</v>
      </c>
      <c r="AZ56" s="421">
        <v>3.913286539536617E-3</v>
      </c>
      <c r="BC56" s="421">
        <v>-9.3637265551050446E-3</v>
      </c>
      <c r="BD56" s="421">
        <v>-1.3427555523790805E-2</v>
      </c>
      <c r="BG56" s="421">
        <v>-1.432661570875224E-2</v>
      </c>
      <c r="BH56" s="421">
        <v>-1.9334551786665131E-2</v>
      </c>
      <c r="BK56" s="421">
        <v>-7.6351744305668805E-3</v>
      </c>
      <c r="BL56" s="421">
        <v>-1.0304085656309813E-2</v>
      </c>
      <c r="BO56" s="421">
        <v>-7.7844655507176288E-4</v>
      </c>
      <c r="BP56" s="421">
        <v>-1.0505562191489056E-3</v>
      </c>
    </row>
    <row r="57" spans="1:68" s="46" customFormat="1" x14ac:dyDescent="0.2">
      <c r="A57" s="76">
        <v>51</v>
      </c>
      <c r="B57" s="670"/>
      <c r="C57" s="671" t="s">
        <v>5</v>
      </c>
      <c r="D57" s="467">
        <v>467511</v>
      </c>
      <c r="E57" s="461">
        <v>0.12246999999999988</v>
      </c>
      <c r="F57" s="1391">
        <v>1.8450000000000001E-2</v>
      </c>
      <c r="G57" s="1392">
        <v>0.14091999999999988</v>
      </c>
      <c r="H57" s="1391">
        <v>1.1140000000000001E-2</v>
      </c>
      <c r="I57" s="1392">
        <v>0.15205999999999989</v>
      </c>
      <c r="J57" s="462">
        <v>57256</v>
      </c>
      <c r="K57" s="462">
        <v>65882</v>
      </c>
      <c r="L57" s="462">
        <v>71090</v>
      </c>
      <c r="M57" s="144"/>
      <c r="N57" s="360"/>
      <c r="O57" s="462"/>
      <c r="P57" s="462"/>
      <c r="Q57" s="462"/>
      <c r="R57" s="463"/>
      <c r="S57" s="1584">
        <v>1</v>
      </c>
      <c r="T57" s="1588"/>
      <c r="U57" s="1586">
        <v>-2.9399999999999999E-3</v>
      </c>
      <c r="V57" s="1584">
        <v>1</v>
      </c>
      <c r="W57" s="1588"/>
      <c r="X57" s="1586">
        <v>-1.56E-3</v>
      </c>
      <c r="Y57" s="1584">
        <v>1</v>
      </c>
      <c r="Z57" s="1588"/>
      <c r="AA57" s="1586">
        <v>5.5000000000000003E-4</v>
      </c>
      <c r="AB57" s="1584">
        <v>1</v>
      </c>
      <c r="AC57" s="1588"/>
      <c r="AD57" s="1586">
        <v>-1.64E-3</v>
      </c>
      <c r="AE57" s="1584">
        <v>1</v>
      </c>
      <c r="AF57" s="1588"/>
      <c r="AG57" s="1586">
        <v>-2.9399999999999999E-3</v>
      </c>
      <c r="AH57" s="1584">
        <v>1</v>
      </c>
      <c r="AI57" s="1588"/>
      <c r="AJ57" s="1586">
        <v>-1.57E-3</v>
      </c>
      <c r="AK57" s="1584">
        <v>1</v>
      </c>
      <c r="AL57" s="1588"/>
      <c r="AM57" s="1586">
        <v>-1.6000000000000001E-4</v>
      </c>
      <c r="AN57" s="831"/>
      <c r="AO57" s="831"/>
      <c r="AQ57" s="421"/>
      <c r="BG57" s="421"/>
    </row>
    <row r="58" spans="1:68" s="46" customFormat="1" x14ac:dyDescent="0.2">
      <c r="A58" s="76">
        <v>52</v>
      </c>
      <c r="B58" s="670"/>
      <c r="C58" s="671" t="s">
        <v>6</v>
      </c>
      <c r="D58" s="467">
        <v>218004</v>
      </c>
      <c r="E58" s="461">
        <v>9.3909999999999993E-2</v>
      </c>
      <c r="F58" s="1391">
        <v>1.414E-2</v>
      </c>
      <c r="G58" s="1392">
        <v>0.10804999999999999</v>
      </c>
      <c r="H58" s="1391">
        <v>8.5400000000000007E-3</v>
      </c>
      <c r="I58" s="1392">
        <v>0.11659</v>
      </c>
      <c r="J58" s="462">
        <v>20473</v>
      </c>
      <c r="K58" s="462">
        <v>23555</v>
      </c>
      <c r="L58" s="462">
        <v>25417</v>
      </c>
      <c r="M58" s="144"/>
      <c r="N58" s="360"/>
      <c r="O58" s="462"/>
      <c r="P58" s="462"/>
      <c r="Q58" s="462"/>
      <c r="R58" s="463"/>
      <c r="S58" s="1584">
        <v>1</v>
      </c>
      <c r="T58" s="1588"/>
      <c r="U58" s="1586">
        <v>-2.2499999999999998E-3</v>
      </c>
      <c r="V58" s="1584">
        <v>1</v>
      </c>
      <c r="W58" s="1588"/>
      <c r="X58" s="1586">
        <v>-1.1999999999999999E-3</v>
      </c>
      <c r="Y58" s="1584">
        <v>1</v>
      </c>
      <c r="Z58" s="1588"/>
      <c r="AA58" s="1586">
        <v>4.2000000000000002E-4</v>
      </c>
      <c r="AB58" s="1584">
        <v>1</v>
      </c>
      <c r="AC58" s="1588"/>
      <c r="AD58" s="1586">
        <v>-1.2600000000000001E-3</v>
      </c>
      <c r="AE58" s="1584">
        <v>1</v>
      </c>
      <c r="AF58" s="1588"/>
      <c r="AG58" s="1586">
        <v>-2.2499999999999998E-3</v>
      </c>
      <c r="AH58" s="1584">
        <v>1</v>
      </c>
      <c r="AI58" s="1588"/>
      <c r="AJ58" s="1586">
        <v>-1.1999999999999999E-3</v>
      </c>
      <c r="AK58" s="1584">
        <v>1</v>
      </c>
      <c r="AL58" s="1588"/>
      <c r="AM58" s="1586">
        <v>-1.2E-4</v>
      </c>
      <c r="AN58" s="831"/>
      <c r="AO58" s="831"/>
    </row>
    <row r="59" spans="1:68" s="46" customFormat="1" x14ac:dyDescent="0.2">
      <c r="A59" s="76">
        <v>53</v>
      </c>
      <c r="B59" s="670"/>
      <c r="C59" s="671" t="s">
        <v>7</v>
      </c>
      <c r="D59" s="467">
        <v>18208</v>
      </c>
      <c r="E59" s="461">
        <v>7.5130000000000044E-2</v>
      </c>
      <c r="F59" s="1391">
        <v>1.1309999999999999E-2</v>
      </c>
      <c r="G59" s="1392">
        <v>8.6440000000000045E-2</v>
      </c>
      <c r="H59" s="1391">
        <v>6.8300000000000001E-3</v>
      </c>
      <c r="I59" s="1392">
        <v>9.3270000000000047E-2</v>
      </c>
      <c r="J59" s="462">
        <v>1368</v>
      </c>
      <c r="K59" s="462">
        <v>1574</v>
      </c>
      <c r="L59" s="462">
        <v>1698</v>
      </c>
      <c r="M59" s="144"/>
      <c r="N59" s="360"/>
      <c r="O59" s="462"/>
      <c r="P59" s="462"/>
      <c r="Q59" s="462"/>
      <c r="R59" s="463"/>
      <c r="S59" s="1584">
        <v>1</v>
      </c>
      <c r="T59" s="1588"/>
      <c r="U59" s="1586">
        <v>-1.8E-3</v>
      </c>
      <c r="V59" s="1584">
        <v>1</v>
      </c>
      <c r="W59" s="1588"/>
      <c r="X59" s="1586">
        <v>-9.6000000000000002E-4</v>
      </c>
      <c r="Y59" s="1584">
        <v>1</v>
      </c>
      <c r="Z59" s="1588"/>
      <c r="AA59" s="1586">
        <v>3.4000000000000002E-4</v>
      </c>
      <c r="AB59" s="1584">
        <v>1</v>
      </c>
      <c r="AC59" s="1588"/>
      <c r="AD59" s="1586">
        <v>-1.01E-3</v>
      </c>
      <c r="AE59" s="1584">
        <v>1</v>
      </c>
      <c r="AF59" s="1588"/>
      <c r="AG59" s="1586">
        <v>-1.8E-3</v>
      </c>
      <c r="AH59" s="1584">
        <v>1</v>
      </c>
      <c r="AI59" s="1588"/>
      <c r="AJ59" s="1586">
        <v>-9.6000000000000002E-4</v>
      </c>
      <c r="AK59" s="1584">
        <v>1</v>
      </c>
      <c r="AL59" s="1588"/>
      <c r="AM59" s="1586">
        <v>-1E-4</v>
      </c>
      <c r="AN59" s="831"/>
      <c r="AO59" s="831"/>
    </row>
    <row r="60" spans="1:68" s="46" customFormat="1" x14ac:dyDescent="0.2">
      <c r="A60" s="76">
        <v>54</v>
      </c>
      <c r="B60" s="670"/>
      <c r="C60" s="671" t="s">
        <v>8</v>
      </c>
      <c r="D60" s="467">
        <v>0</v>
      </c>
      <c r="E60" s="461">
        <v>5.0089999999999968E-2</v>
      </c>
      <c r="F60" s="1391">
        <v>7.5499999999999994E-3</v>
      </c>
      <c r="G60" s="1392">
        <v>5.7639999999999969E-2</v>
      </c>
      <c r="H60" s="1391">
        <v>4.5599999999999998E-3</v>
      </c>
      <c r="I60" s="1392">
        <v>6.2199999999999971E-2</v>
      </c>
      <c r="J60" s="462">
        <v>0</v>
      </c>
      <c r="K60" s="462">
        <v>0</v>
      </c>
      <c r="L60" s="462">
        <v>0</v>
      </c>
      <c r="M60" s="144"/>
      <c r="N60" s="360"/>
      <c r="O60" s="462"/>
      <c r="P60" s="462"/>
      <c r="Q60" s="462"/>
      <c r="R60" s="463"/>
      <c r="S60" s="1584">
        <v>1</v>
      </c>
      <c r="T60" s="1588"/>
      <c r="U60" s="1586">
        <v>-1.1999999999999999E-3</v>
      </c>
      <c r="V60" s="1584">
        <v>1</v>
      </c>
      <c r="W60" s="1588"/>
      <c r="X60" s="1586">
        <v>-6.4000000000000005E-4</v>
      </c>
      <c r="Y60" s="1584">
        <v>1</v>
      </c>
      <c r="Z60" s="1588"/>
      <c r="AA60" s="1586">
        <v>2.3000000000000001E-4</v>
      </c>
      <c r="AB60" s="1584">
        <v>1</v>
      </c>
      <c r="AC60" s="1588"/>
      <c r="AD60" s="1586">
        <v>-6.7000000000000002E-4</v>
      </c>
      <c r="AE60" s="1584">
        <v>1</v>
      </c>
      <c r="AF60" s="1588"/>
      <c r="AG60" s="1586">
        <v>-1.1999999999999999E-3</v>
      </c>
      <c r="AH60" s="1584">
        <v>1</v>
      </c>
      <c r="AI60" s="1588"/>
      <c r="AJ60" s="1586">
        <v>-6.4000000000000005E-4</v>
      </c>
      <c r="AK60" s="1584">
        <v>1</v>
      </c>
      <c r="AL60" s="1588"/>
      <c r="AM60" s="1586">
        <v>-6.9999999999999994E-5</v>
      </c>
      <c r="AN60" s="831"/>
      <c r="AO60" s="831"/>
    </row>
    <row r="61" spans="1:68" s="46" customFormat="1" x14ac:dyDescent="0.2">
      <c r="A61" s="76">
        <v>55</v>
      </c>
      <c r="B61" s="668"/>
      <c r="C61" s="672" t="s">
        <v>9</v>
      </c>
      <c r="D61" s="454">
        <v>0</v>
      </c>
      <c r="E61" s="451">
        <v>1.8790000000000001E-2</v>
      </c>
      <c r="F61" s="1389">
        <v>2.8300000000000001E-3</v>
      </c>
      <c r="G61" s="1388">
        <v>2.162E-2</v>
      </c>
      <c r="H61" s="1389">
        <v>1.7099999999999999E-3</v>
      </c>
      <c r="I61" s="1388">
        <v>2.333E-2</v>
      </c>
      <c r="J61" s="455">
        <v>0</v>
      </c>
      <c r="K61" s="455">
        <v>0</v>
      </c>
      <c r="L61" s="455">
        <v>0</v>
      </c>
      <c r="M61" s="456"/>
      <c r="N61" s="684"/>
      <c r="O61" s="455"/>
      <c r="P61" s="455"/>
      <c r="Q61" s="455"/>
      <c r="R61" s="450"/>
      <c r="S61" s="1582">
        <v>1</v>
      </c>
      <c r="T61" s="1039"/>
      <c r="U61" s="1583">
        <v>-4.4999999999999999E-4</v>
      </c>
      <c r="V61" s="1582">
        <v>1</v>
      </c>
      <c r="W61" s="1039"/>
      <c r="X61" s="1583">
        <v>-2.4000000000000001E-4</v>
      </c>
      <c r="Y61" s="1582">
        <v>1</v>
      </c>
      <c r="Z61" s="1039"/>
      <c r="AA61" s="1583">
        <v>8.0000000000000007E-5</v>
      </c>
      <c r="AB61" s="1582">
        <v>1</v>
      </c>
      <c r="AC61" s="1039"/>
      <c r="AD61" s="1583">
        <v>-2.5000000000000001E-4</v>
      </c>
      <c r="AE61" s="1582">
        <v>1</v>
      </c>
      <c r="AF61" s="1039"/>
      <c r="AG61" s="1583">
        <v>-4.4999999999999999E-4</v>
      </c>
      <c r="AH61" s="1582">
        <v>1</v>
      </c>
      <c r="AI61" s="1039"/>
      <c r="AJ61" s="1583">
        <v>-2.4000000000000001E-4</v>
      </c>
      <c r="AK61" s="1582">
        <v>1</v>
      </c>
      <c r="AL61" s="1039"/>
      <c r="AM61" s="1583">
        <v>-2.0000000000000002E-5</v>
      </c>
      <c r="AN61" s="831"/>
      <c r="AO61" s="831"/>
    </row>
    <row r="62" spans="1:68" s="46" customFormat="1" x14ac:dyDescent="0.2">
      <c r="A62" s="76">
        <v>56</v>
      </c>
      <c r="B62" s="670" t="s">
        <v>258</v>
      </c>
      <c r="C62" s="671" t="s">
        <v>4</v>
      </c>
      <c r="D62" s="467">
        <v>156740</v>
      </c>
      <c r="E62" s="461">
        <v>0.14583999999999989</v>
      </c>
      <c r="F62" s="1391">
        <v>1.2409999999999999E-2</v>
      </c>
      <c r="G62" s="1392">
        <v>0.15824999999999989</v>
      </c>
      <c r="H62" s="1391">
        <v>5.6600000000000001E-3</v>
      </c>
      <c r="I62" s="1392">
        <v>0.16390999999999989</v>
      </c>
      <c r="J62" s="462">
        <v>22859</v>
      </c>
      <c r="K62" s="462">
        <v>24804</v>
      </c>
      <c r="L62" s="462">
        <v>25691</v>
      </c>
      <c r="M62" s="144">
        <v>1300</v>
      </c>
      <c r="N62" s="360">
        <v>1.9166666666666701</v>
      </c>
      <c r="O62" s="462">
        <v>81130.543495991747</v>
      </c>
      <c r="P62" s="462">
        <v>84849.543495991747</v>
      </c>
      <c r="Q62" s="462">
        <v>86545.543495991747</v>
      </c>
      <c r="R62" s="463"/>
      <c r="S62" s="1584">
        <v>0</v>
      </c>
      <c r="T62" s="1587">
        <v>0</v>
      </c>
      <c r="U62" s="1586">
        <v>0</v>
      </c>
      <c r="V62" s="1584">
        <v>1</v>
      </c>
      <c r="W62" s="1587">
        <v>-683</v>
      </c>
      <c r="X62" s="1586">
        <v>-2.2799999999999999E-3</v>
      </c>
      <c r="Y62" s="1584">
        <v>1</v>
      </c>
      <c r="Z62" s="1587">
        <v>241</v>
      </c>
      <c r="AA62" s="1586">
        <v>8.0000000000000004E-4</v>
      </c>
      <c r="AB62" s="1584">
        <v>1</v>
      </c>
      <c r="AC62" s="1587">
        <v>-760</v>
      </c>
      <c r="AD62" s="1586">
        <v>-2.5400000000000002E-3</v>
      </c>
      <c r="AE62" s="1584">
        <v>0</v>
      </c>
      <c r="AF62" s="1587">
        <v>0</v>
      </c>
      <c r="AG62" s="1586">
        <v>0</v>
      </c>
      <c r="AH62" s="1584">
        <v>1</v>
      </c>
      <c r="AI62" s="1587">
        <v>-661</v>
      </c>
      <c r="AJ62" s="1586">
        <v>-2.2100000000000002E-3</v>
      </c>
      <c r="AK62" s="1584">
        <v>1</v>
      </c>
      <c r="AL62" s="1587">
        <v>-67</v>
      </c>
      <c r="AM62" s="1586">
        <v>-2.2000000000000001E-4</v>
      </c>
      <c r="AN62" s="831"/>
      <c r="AO62" s="831"/>
      <c r="AQ62" s="421">
        <v>0</v>
      </c>
      <c r="AR62" s="421">
        <v>0</v>
      </c>
      <c r="AU62" s="421">
        <v>-8.0495424236697814E-3</v>
      </c>
      <c r="AV62" s="421">
        <v>-1.4401383207523299E-2</v>
      </c>
      <c r="AY62" s="421">
        <v>2.8403217043988542E-3</v>
      </c>
      <c r="AZ62" s="421">
        <v>5.0816008096824525E-3</v>
      </c>
      <c r="BC62" s="421">
        <v>-9.3676187444442279E-3</v>
      </c>
      <c r="BD62" s="421">
        <v>-1.7388519001532935E-2</v>
      </c>
      <c r="BG62" s="421">
        <v>0</v>
      </c>
      <c r="BH62" s="421">
        <v>0</v>
      </c>
      <c r="BK62" s="421">
        <v>-7.6375971921721587E-3</v>
      </c>
      <c r="BL62" s="421">
        <v>-1.3456292496233866E-2</v>
      </c>
      <c r="BO62" s="421">
        <v>-7.7415886819294196E-4</v>
      </c>
      <c r="BP62" s="421">
        <v>-1.3639509791946581E-3</v>
      </c>
    </row>
    <row r="63" spans="1:68" s="46" customFormat="1" x14ac:dyDescent="0.2">
      <c r="A63" s="76">
        <v>57</v>
      </c>
      <c r="B63" s="670"/>
      <c r="C63" s="671" t="s">
        <v>5</v>
      </c>
      <c r="D63" s="467">
        <v>159690</v>
      </c>
      <c r="E63" s="461">
        <v>0.13054999999999992</v>
      </c>
      <c r="F63" s="1391">
        <v>1.111E-2</v>
      </c>
      <c r="G63" s="1392">
        <v>0.14165999999999992</v>
      </c>
      <c r="H63" s="1391">
        <v>5.0699999999999999E-3</v>
      </c>
      <c r="I63" s="1392">
        <v>0.14672999999999992</v>
      </c>
      <c r="J63" s="462">
        <v>20848</v>
      </c>
      <c r="K63" s="462">
        <v>22622</v>
      </c>
      <c r="L63" s="462">
        <v>23431</v>
      </c>
      <c r="M63" s="144"/>
      <c r="N63" s="360"/>
      <c r="O63" s="462"/>
      <c r="P63" s="462"/>
      <c r="Q63" s="462"/>
      <c r="R63" s="463"/>
      <c r="S63" s="1584">
        <v>0</v>
      </c>
      <c r="T63" s="1588"/>
      <c r="U63" s="1586">
        <v>0</v>
      </c>
      <c r="V63" s="1584">
        <v>1</v>
      </c>
      <c r="W63" s="1588"/>
      <c r="X63" s="1586">
        <v>-2.0400000000000001E-3</v>
      </c>
      <c r="Y63" s="1584">
        <v>1</v>
      </c>
      <c r="Z63" s="1588"/>
      <c r="AA63" s="1586">
        <v>7.2000000000000005E-4</v>
      </c>
      <c r="AB63" s="1584">
        <v>1</v>
      </c>
      <c r="AC63" s="1588"/>
      <c r="AD63" s="1586">
        <v>-2.2699999999999999E-3</v>
      </c>
      <c r="AE63" s="1584">
        <v>0</v>
      </c>
      <c r="AF63" s="1588"/>
      <c r="AG63" s="1586">
        <v>0</v>
      </c>
      <c r="AH63" s="1584">
        <v>1</v>
      </c>
      <c r="AI63" s="1588"/>
      <c r="AJ63" s="1586">
        <v>-1.97E-3</v>
      </c>
      <c r="AK63" s="1584">
        <v>1</v>
      </c>
      <c r="AL63" s="1588"/>
      <c r="AM63" s="1586">
        <v>-2.0000000000000001E-4</v>
      </c>
      <c r="AN63" s="831"/>
      <c r="AO63" s="831"/>
    </row>
    <row r="64" spans="1:68" s="46" customFormat="1" x14ac:dyDescent="0.2">
      <c r="A64" s="76">
        <v>58</v>
      </c>
      <c r="B64" s="670"/>
      <c r="C64" s="671" t="s">
        <v>6</v>
      </c>
      <c r="D64" s="467">
        <v>0</v>
      </c>
      <c r="E64" s="461">
        <v>0.10011</v>
      </c>
      <c r="F64" s="1391">
        <v>8.5199999999999998E-3</v>
      </c>
      <c r="G64" s="1392">
        <v>0.10863</v>
      </c>
      <c r="H64" s="1391">
        <v>3.8899999999999998E-3</v>
      </c>
      <c r="I64" s="1392">
        <v>0.11252000000000001</v>
      </c>
      <c r="J64" s="462">
        <v>0</v>
      </c>
      <c r="K64" s="462">
        <v>0</v>
      </c>
      <c r="L64" s="462">
        <v>0</v>
      </c>
      <c r="M64" s="144"/>
      <c r="N64" s="360"/>
      <c r="O64" s="462"/>
      <c r="P64" s="462"/>
      <c r="Q64" s="462"/>
      <c r="R64" s="463"/>
      <c r="S64" s="1584">
        <v>0</v>
      </c>
      <c r="T64" s="1588"/>
      <c r="U64" s="1586">
        <v>0</v>
      </c>
      <c r="V64" s="1584">
        <v>1</v>
      </c>
      <c r="W64" s="1588"/>
      <c r="X64" s="1586">
        <v>-1.56E-3</v>
      </c>
      <c r="Y64" s="1584">
        <v>1</v>
      </c>
      <c r="Z64" s="1588"/>
      <c r="AA64" s="1586">
        <v>5.5000000000000003E-4</v>
      </c>
      <c r="AB64" s="1584">
        <v>1</v>
      </c>
      <c r="AC64" s="1588"/>
      <c r="AD64" s="1586">
        <v>-1.74E-3</v>
      </c>
      <c r="AE64" s="1584">
        <v>0</v>
      </c>
      <c r="AF64" s="1588"/>
      <c r="AG64" s="1586">
        <v>0</v>
      </c>
      <c r="AH64" s="1584">
        <v>1</v>
      </c>
      <c r="AI64" s="1588"/>
      <c r="AJ64" s="1586">
        <v>-1.5100000000000001E-3</v>
      </c>
      <c r="AK64" s="1584">
        <v>1</v>
      </c>
      <c r="AL64" s="1588"/>
      <c r="AM64" s="1586">
        <v>-1.4999999999999999E-4</v>
      </c>
      <c r="AN64" s="831"/>
      <c r="AO64" s="831"/>
    </row>
    <row r="65" spans="1:68" s="46" customFormat="1" x14ac:dyDescent="0.2">
      <c r="A65" s="76">
        <v>59</v>
      </c>
      <c r="B65" s="670"/>
      <c r="C65" s="671" t="s">
        <v>7</v>
      </c>
      <c r="D65" s="467">
        <v>0</v>
      </c>
      <c r="E65" s="461">
        <v>8.0089999999999995E-2</v>
      </c>
      <c r="F65" s="1391">
        <v>6.8200000000000005E-3</v>
      </c>
      <c r="G65" s="1392">
        <v>8.6910000000000001E-2</v>
      </c>
      <c r="H65" s="1391">
        <v>3.1099999999999999E-3</v>
      </c>
      <c r="I65" s="1392">
        <v>9.0020000000000003E-2</v>
      </c>
      <c r="J65" s="462">
        <v>0</v>
      </c>
      <c r="K65" s="462">
        <v>0</v>
      </c>
      <c r="L65" s="462">
        <v>0</v>
      </c>
      <c r="M65" s="144"/>
      <c r="N65" s="360"/>
      <c r="O65" s="462"/>
      <c r="P65" s="462"/>
      <c r="Q65" s="462"/>
      <c r="R65" s="463"/>
      <c r="S65" s="1584">
        <v>0</v>
      </c>
      <c r="T65" s="1588"/>
      <c r="U65" s="1586">
        <v>0</v>
      </c>
      <c r="V65" s="1584">
        <v>1</v>
      </c>
      <c r="W65" s="1588"/>
      <c r="X65" s="1586">
        <v>-1.25E-3</v>
      </c>
      <c r="Y65" s="1584">
        <v>1</v>
      </c>
      <c r="Z65" s="1588"/>
      <c r="AA65" s="1586">
        <v>4.4000000000000002E-4</v>
      </c>
      <c r="AB65" s="1584">
        <v>1</v>
      </c>
      <c r="AC65" s="1588"/>
      <c r="AD65" s="1586">
        <v>-1.39E-3</v>
      </c>
      <c r="AE65" s="1584">
        <v>0</v>
      </c>
      <c r="AF65" s="1588"/>
      <c r="AG65" s="1586">
        <v>0</v>
      </c>
      <c r="AH65" s="1584">
        <v>1</v>
      </c>
      <c r="AI65" s="1588"/>
      <c r="AJ65" s="1586">
        <v>-1.2099999999999999E-3</v>
      </c>
      <c r="AK65" s="1584">
        <v>1</v>
      </c>
      <c r="AL65" s="1588"/>
      <c r="AM65" s="1586">
        <v>-1.2E-4</v>
      </c>
      <c r="AN65" s="831"/>
      <c r="AO65" s="831"/>
    </row>
    <row r="66" spans="1:68" s="46" customFormat="1" x14ac:dyDescent="0.2">
      <c r="A66" s="76">
        <v>60</v>
      </c>
      <c r="B66" s="670"/>
      <c r="C66" s="671" t="s">
        <v>8</v>
      </c>
      <c r="D66" s="467">
        <v>0</v>
      </c>
      <c r="E66" s="461">
        <v>5.339E-2</v>
      </c>
      <c r="F66" s="1391">
        <v>4.5399999999999998E-3</v>
      </c>
      <c r="G66" s="1392">
        <v>5.7930000000000002E-2</v>
      </c>
      <c r="H66" s="1391">
        <v>2.0699999999999998E-3</v>
      </c>
      <c r="I66" s="1392">
        <v>6.0000000000000005E-2</v>
      </c>
      <c r="J66" s="462">
        <v>0</v>
      </c>
      <c r="K66" s="462">
        <v>0</v>
      </c>
      <c r="L66" s="462">
        <v>0</v>
      </c>
      <c r="M66" s="144"/>
      <c r="N66" s="360"/>
      <c r="O66" s="462"/>
      <c r="P66" s="462"/>
      <c r="Q66" s="462"/>
      <c r="R66" s="463"/>
      <c r="S66" s="1584">
        <v>0</v>
      </c>
      <c r="T66" s="1588"/>
      <c r="U66" s="1586">
        <v>0</v>
      </c>
      <c r="V66" s="1584">
        <v>1</v>
      </c>
      <c r="W66" s="1588"/>
      <c r="X66" s="1586">
        <v>-8.3000000000000001E-4</v>
      </c>
      <c r="Y66" s="1584">
        <v>1</v>
      </c>
      <c r="Z66" s="1588"/>
      <c r="AA66" s="1586">
        <v>2.9E-4</v>
      </c>
      <c r="AB66" s="1584">
        <v>1</v>
      </c>
      <c r="AC66" s="1588"/>
      <c r="AD66" s="1586">
        <v>-9.3000000000000005E-4</v>
      </c>
      <c r="AE66" s="1584">
        <v>0</v>
      </c>
      <c r="AF66" s="1588"/>
      <c r="AG66" s="1586">
        <v>0</v>
      </c>
      <c r="AH66" s="1584">
        <v>1</v>
      </c>
      <c r="AI66" s="1588"/>
      <c r="AJ66" s="1586">
        <v>-8.0999999999999996E-4</v>
      </c>
      <c r="AK66" s="1584">
        <v>1</v>
      </c>
      <c r="AL66" s="1588"/>
      <c r="AM66" s="1586">
        <v>-8.0000000000000007E-5</v>
      </c>
      <c r="AN66" s="831"/>
      <c r="AO66" s="831"/>
    </row>
    <row r="67" spans="1:68" s="46" customFormat="1" x14ac:dyDescent="0.2">
      <c r="A67" s="76">
        <v>61</v>
      </c>
      <c r="B67" s="668"/>
      <c r="C67" s="672" t="s">
        <v>9</v>
      </c>
      <c r="D67" s="454">
        <v>0</v>
      </c>
      <c r="E67" s="451">
        <v>2.002E-2</v>
      </c>
      <c r="F67" s="1389">
        <v>1.7000000000000001E-3</v>
      </c>
      <c r="G67" s="1388">
        <v>2.172E-2</v>
      </c>
      <c r="H67" s="1389">
        <v>7.7999999999999999E-4</v>
      </c>
      <c r="I67" s="1388">
        <v>2.2499999999999999E-2</v>
      </c>
      <c r="J67" s="455">
        <v>0</v>
      </c>
      <c r="K67" s="455">
        <v>0</v>
      </c>
      <c r="L67" s="455">
        <v>0</v>
      </c>
      <c r="M67" s="456"/>
      <c r="N67" s="684"/>
      <c r="O67" s="455"/>
      <c r="P67" s="455"/>
      <c r="Q67" s="455"/>
      <c r="R67" s="450"/>
      <c r="S67" s="1582">
        <v>0</v>
      </c>
      <c r="T67" s="1039"/>
      <c r="U67" s="1583">
        <v>0</v>
      </c>
      <c r="V67" s="1582">
        <v>1</v>
      </c>
      <c r="W67" s="1039"/>
      <c r="X67" s="1583">
        <v>-3.1E-4</v>
      </c>
      <c r="Y67" s="1582">
        <v>1</v>
      </c>
      <c r="Z67" s="1039"/>
      <c r="AA67" s="1583">
        <v>1.1E-4</v>
      </c>
      <c r="AB67" s="1582">
        <v>1</v>
      </c>
      <c r="AC67" s="1039"/>
      <c r="AD67" s="1583">
        <v>-3.5E-4</v>
      </c>
      <c r="AE67" s="1582">
        <v>0</v>
      </c>
      <c r="AF67" s="1039"/>
      <c r="AG67" s="1583">
        <v>0</v>
      </c>
      <c r="AH67" s="1582">
        <v>1</v>
      </c>
      <c r="AI67" s="1039"/>
      <c r="AJ67" s="1583">
        <v>-2.9999999999999997E-4</v>
      </c>
      <c r="AK67" s="1582">
        <v>1</v>
      </c>
      <c r="AL67" s="1039"/>
      <c r="AM67" s="1583">
        <v>-3.0000000000000001E-5</v>
      </c>
      <c r="AN67" s="831"/>
      <c r="AO67" s="831"/>
    </row>
    <row r="68" spans="1:68" s="46" customFormat="1" x14ac:dyDescent="0.2">
      <c r="A68" s="76">
        <v>62</v>
      </c>
      <c r="B68" s="670" t="s">
        <v>261</v>
      </c>
      <c r="C68" s="671" t="s">
        <v>4</v>
      </c>
      <c r="D68" s="467">
        <v>0</v>
      </c>
      <c r="E68" s="469">
        <v>0.13402999999999998</v>
      </c>
      <c r="F68" s="1394">
        <v>4.8799999999999998E-3</v>
      </c>
      <c r="G68" s="1395">
        <v>0.13890999999999998</v>
      </c>
      <c r="H68" s="1394">
        <v>2.7799999999999999E-3</v>
      </c>
      <c r="I68" s="1395">
        <v>0.14168999999999998</v>
      </c>
      <c r="J68" s="462">
        <v>0</v>
      </c>
      <c r="K68" s="462">
        <v>0</v>
      </c>
      <c r="L68" s="462">
        <v>0</v>
      </c>
      <c r="M68" s="144">
        <v>1550</v>
      </c>
      <c r="N68" s="360">
        <v>0</v>
      </c>
      <c r="O68" s="462">
        <v>0</v>
      </c>
      <c r="P68" s="462">
        <v>0</v>
      </c>
      <c r="Q68" s="462">
        <v>0</v>
      </c>
      <c r="R68" s="470"/>
      <c r="S68" s="1584">
        <v>0</v>
      </c>
      <c r="T68" s="1587">
        <v>0</v>
      </c>
      <c r="U68" s="1586">
        <v>0</v>
      </c>
      <c r="V68" s="1584">
        <v>1</v>
      </c>
      <c r="W68" s="1587">
        <v>0</v>
      </c>
      <c r="X68" s="1586">
        <v>-1.1199999999999999E-3</v>
      </c>
      <c r="Y68" s="1584">
        <v>1</v>
      </c>
      <c r="Z68" s="1587">
        <v>0</v>
      </c>
      <c r="AA68" s="1586">
        <v>5.1000000000000004E-4</v>
      </c>
      <c r="AB68" s="1584">
        <v>1</v>
      </c>
      <c r="AC68" s="1587">
        <v>0</v>
      </c>
      <c r="AD68" s="1586">
        <v>-1.2600000000000001E-3</v>
      </c>
      <c r="AE68" s="1584">
        <v>0</v>
      </c>
      <c r="AF68" s="1587">
        <v>0</v>
      </c>
      <c r="AG68" s="1586">
        <v>0</v>
      </c>
      <c r="AH68" s="1584">
        <v>1</v>
      </c>
      <c r="AI68" s="1587">
        <v>0</v>
      </c>
      <c r="AJ68" s="1586">
        <v>-1.08E-3</v>
      </c>
      <c r="AK68" s="1584">
        <v>1</v>
      </c>
      <c r="AL68" s="1587">
        <v>0</v>
      </c>
      <c r="AM68" s="1586">
        <v>-1.1E-4</v>
      </c>
      <c r="AN68" s="831"/>
      <c r="AO68" s="831"/>
      <c r="AQ68" s="421">
        <v>0</v>
      </c>
      <c r="AR68" s="421">
        <v>0</v>
      </c>
      <c r="AU68" s="421">
        <v>-8.0548568584918115E-3</v>
      </c>
      <c r="AV68" s="421">
        <v>-8.0548568584918115E-3</v>
      </c>
      <c r="AY68" s="421">
        <v>0</v>
      </c>
      <c r="AZ68" s="421">
        <v>0</v>
      </c>
      <c r="BC68" s="421">
        <v>-9.3642979246309037E-3</v>
      </c>
      <c r="BD68" s="421">
        <v>-9.3642979246309037E-3</v>
      </c>
      <c r="BG68" s="421">
        <v>0</v>
      </c>
      <c r="BH68" s="421">
        <v>0</v>
      </c>
      <c r="BK68" s="421">
        <v>-7.6336583527997961E-3</v>
      </c>
      <c r="BL68" s="421">
        <v>-7.6336583527997961E-3</v>
      </c>
      <c r="BO68" s="421">
        <v>-7.7629483430740091E-4</v>
      </c>
      <c r="BP68" s="421">
        <v>-7.7629483430740091E-4</v>
      </c>
    </row>
    <row r="69" spans="1:68" s="46" customFormat="1" x14ac:dyDescent="0.2">
      <c r="A69" s="76">
        <v>63</v>
      </c>
      <c r="B69" s="670"/>
      <c r="C69" s="671" t="s">
        <v>5</v>
      </c>
      <c r="D69" s="467">
        <v>0</v>
      </c>
      <c r="E69" s="469">
        <v>0.11997999999999999</v>
      </c>
      <c r="F69" s="1394">
        <v>4.3800000000000002E-3</v>
      </c>
      <c r="G69" s="1395">
        <v>0.12435999999999998</v>
      </c>
      <c r="H69" s="1394">
        <v>2.49E-3</v>
      </c>
      <c r="I69" s="1395">
        <v>0.12684999999999999</v>
      </c>
      <c r="J69" s="462">
        <v>0</v>
      </c>
      <c r="K69" s="462">
        <v>0</v>
      </c>
      <c r="L69" s="462">
        <v>0</v>
      </c>
      <c r="M69" s="144"/>
      <c r="N69" s="360"/>
      <c r="O69" s="462"/>
      <c r="P69" s="462"/>
      <c r="Q69" s="462"/>
      <c r="R69" s="470"/>
      <c r="S69" s="1584">
        <v>0</v>
      </c>
      <c r="T69" s="1588"/>
      <c r="U69" s="1586">
        <v>0</v>
      </c>
      <c r="V69" s="1584">
        <v>1</v>
      </c>
      <c r="W69" s="1588"/>
      <c r="X69" s="1586">
        <v>-1E-3</v>
      </c>
      <c r="Y69" s="1584">
        <v>1</v>
      </c>
      <c r="Z69" s="1588"/>
      <c r="AA69" s="1586">
        <v>4.4999999999999999E-4</v>
      </c>
      <c r="AB69" s="1584">
        <v>1</v>
      </c>
      <c r="AC69" s="1588"/>
      <c r="AD69" s="1586">
        <v>-1.1199999999999999E-3</v>
      </c>
      <c r="AE69" s="1584">
        <v>0</v>
      </c>
      <c r="AF69" s="1588"/>
      <c r="AG69" s="1586">
        <v>0</v>
      </c>
      <c r="AH69" s="1584">
        <v>1</v>
      </c>
      <c r="AI69" s="1588"/>
      <c r="AJ69" s="1586">
        <v>-9.7000000000000005E-4</v>
      </c>
      <c r="AK69" s="1584">
        <v>1</v>
      </c>
      <c r="AL69" s="1588"/>
      <c r="AM69" s="1586">
        <v>-1E-4</v>
      </c>
      <c r="AN69" s="831"/>
      <c r="AO69" s="831"/>
    </row>
    <row r="70" spans="1:68" s="46" customFormat="1" x14ac:dyDescent="0.2">
      <c r="A70" s="76">
        <v>64</v>
      </c>
      <c r="B70" s="670"/>
      <c r="C70" s="671" t="s">
        <v>6</v>
      </c>
      <c r="D70" s="467">
        <v>0</v>
      </c>
      <c r="E70" s="469">
        <v>9.1999999999999998E-2</v>
      </c>
      <c r="F70" s="1394">
        <v>3.3599999999999997E-3</v>
      </c>
      <c r="G70" s="1395">
        <v>9.536E-2</v>
      </c>
      <c r="H70" s="1394">
        <v>1.91E-3</v>
      </c>
      <c r="I70" s="1395">
        <v>9.7269999999999995E-2</v>
      </c>
      <c r="J70" s="462">
        <v>0</v>
      </c>
      <c r="K70" s="462">
        <v>0</v>
      </c>
      <c r="L70" s="462">
        <v>0</v>
      </c>
      <c r="M70" s="144"/>
      <c r="N70" s="360"/>
      <c r="O70" s="462"/>
      <c r="P70" s="462"/>
      <c r="Q70" s="462"/>
      <c r="R70" s="470"/>
      <c r="S70" s="1584">
        <v>0</v>
      </c>
      <c r="T70" s="1588"/>
      <c r="U70" s="1586">
        <v>0</v>
      </c>
      <c r="V70" s="1584">
        <v>1</v>
      </c>
      <c r="W70" s="1588"/>
      <c r="X70" s="1586">
        <v>-7.6999999999999996E-4</v>
      </c>
      <c r="Y70" s="1584">
        <v>1</v>
      </c>
      <c r="Z70" s="1588"/>
      <c r="AA70" s="1586">
        <v>3.5E-4</v>
      </c>
      <c r="AB70" s="1584">
        <v>1</v>
      </c>
      <c r="AC70" s="1588"/>
      <c r="AD70" s="1586">
        <v>-8.5999999999999998E-4</v>
      </c>
      <c r="AE70" s="1584">
        <v>0</v>
      </c>
      <c r="AF70" s="1588"/>
      <c r="AG70" s="1586">
        <v>0</v>
      </c>
      <c r="AH70" s="1584">
        <v>1</v>
      </c>
      <c r="AI70" s="1588"/>
      <c r="AJ70" s="1586">
        <v>-7.3999999999999999E-4</v>
      </c>
      <c r="AK70" s="1584">
        <v>1</v>
      </c>
      <c r="AL70" s="1588"/>
      <c r="AM70" s="1586">
        <v>-8.0000000000000007E-5</v>
      </c>
      <c r="AN70" s="831"/>
      <c r="AO70" s="831"/>
    </row>
    <row r="71" spans="1:68" s="46" customFormat="1" x14ac:dyDescent="0.2">
      <c r="A71" s="76">
        <v>65</v>
      </c>
      <c r="B71" s="670"/>
      <c r="C71" s="671" t="s">
        <v>7</v>
      </c>
      <c r="D71" s="467">
        <v>0</v>
      </c>
      <c r="E71" s="469">
        <v>7.3609999999999995E-2</v>
      </c>
      <c r="F71" s="1394">
        <v>2.6800000000000001E-3</v>
      </c>
      <c r="G71" s="1395">
        <v>7.6289999999999997E-2</v>
      </c>
      <c r="H71" s="1394">
        <v>1.5299999999999999E-3</v>
      </c>
      <c r="I71" s="1395">
        <v>7.782E-2</v>
      </c>
      <c r="J71" s="462">
        <v>0</v>
      </c>
      <c r="K71" s="462">
        <v>0</v>
      </c>
      <c r="L71" s="462">
        <v>0</v>
      </c>
      <c r="M71" s="144"/>
      <c r="N71" s="360"/>
      <c r="O71" s="462"/>
      <c r="P71" s="462"/>
      <c r="Q71" s="462"/>
      <c r="R71" s="470"/>
      <c r="S71" s="1584">
        <v>0</v>
      </c>
      <c r="T71" s="1588"/>
      <c r="U71" s="1586">
        <v>0</v>
      </c>
      <c r="V71" s="1584">
        <v>1</v>
      </c>
      <c r="W71" s="1588"/>
      <c r="X71" s="1586">
        <v>-6.0999999999999997E-4</v>
      </c>
      <c r="Y71" s="1584">
        <v>1</v>
      </c>
      <c r="Z71" s="1588"/>
      <c r="AA71" s="1586">
        <v>2.7999999999999998E-4</v>
      </c>
      <c r="AB71" s="1584">
        <v>1</v>
      </c>
      <c r="AC71" s="1588"/>
      <c r="AD71" s="1586">
        <v>-6.8999999999999997E-4</v>
      </c>
      <c r="AE71" s="1584">
        <v>0</v>
      </c>
      <c r="AF71" s="1588"/>
      <c r="AG71" s="1586">
        <v>0</v>
      </c>
      <c r="AH71" s="1584">
        <v>1</v>
      </c>
      <c r="AI71" s="1588"/>
      <c r="AJ71" s="1586">
        <v>-5.9000000000000003E-4</v>
      </c>
      <c r="AK71" s="1584">
        <v>1</v>
      </c>
      <c r="AL71" s="1588"/>
      <c r="AM71" s="1586">
        <v>-6.0000000000000002E-5</v>
      </c>
      <c r="AN71" s="831"/>
      <c r="AO71" s="831"/>
    </row>
    <row r="72" spans="1:68" s="46" customFormat="1" x14ac:dyDescent="0.2">
      <c r="A72" s="76">
        <v>66</v>
      </c>
      <c r="B72" s="670"/>
      <c r="C72" s="671" t="s">
        <v>8</v>
      </c>
      <c r="D72" s="467">
        <v>0</v>
      </c>
      <c r="E72" s="469">
        <v>4.9079999999999999E-2</v>
      </c>
      <c r="F72" s="1394">
        <v>1.7899999999999999E-3</v>
      </c>
      <c r="G72" s="1395">
        <v>5.0869999999999999E-2</v>
      </c>
      <c r="H72" s="1394">
        <v>1.0200000000000001E-3</v>
      </c>
      <c r="I72" s="1395">
        <v>5.1889999999999999E-2</v>
      </c>
      <c r="J72" s="462">
        <v>0</v>
      </c>
      <c r="K72" s="462">
        <v>0</v>
      </c>
      <c r="L72" s="462">
        <v>0</v>
      </c>
      <c r="M72" s="144"/>
      <c r="N72" s="360"/>
      <c r="O72" s="462"/>
      <c r="P72" s="462"/>
      <c r="Q72" s="462"/>
      <c r="R72" s="470"/>
      <c r="S72" s="1584">
        <v>0</v>
      </c>
      <c r="T72" s="1588"/>
      <c r="U72" s="1586">
        <v>0</v>
      </c>
      <c r="V72" s="1584">
        <v>1</v>
      </c>
      <c r="W72" s="1588"/>
      <c r="X72" s="1586">
        <v>-4.0999999999999999E-4</v>
      </c>
      <c r="Y72" s="1584">
        <v>1</v>
      </c>
      <c r="Z72" s="1588"/>
      <c r="AA72" s="1586">
        <v>1.9000000000000001E-4</v>
      </c>
      <c r="AB72" s="1584">
        <v>1</v>
      </c>
      <c r="AC72" s="1588"/>
      <c r="AD72" s="1586">
        <v>-4.6000000000000001E-4</v>
      </c>
      <c r="AE72" s="1584">
        <v>0</v>
      </c>
      <c r="AF72" s="1588"/>
      <c r="AG72" s="1586">
        <v>0</v>
      </c>
      <c r="AH72" s="1584">
        <v>1</v>
      </c>
      <c r="AI72" s="1588"/>
      <c r="AJ72" s="1586">
        <v>-4.0000000000000002E-4</v>
      </c>
      <c r="AK72" s="1584">
        <v>1</v>
      </c>
      <c r="AL72" s="1588"/>
      <c r="AM72" s="1586">
        <v>-4.0000000000000003E-5</v>
      </c>
      <c r="AN72" s="831"/>
      <c r="AO72" s="831"/>
    </row>
    <row r="73" spans="1:68" s="46" customFormat="1" x14ac:dyDescent="0.2">
      <c r="A73" s="76">
        <v>67</v>
      </c>
      <c r="B73" s="668"/>
      <c r="C73" s="672" t="s">
        <v>9</v>
      </c>
      <c r="D73" s="454">
        <v>0</v>
      </c>
      <c r="E73" s="471">
        <v>1.839E-2</v>
      </c>
      <c r="F73" s="1396">
        <v>6.7000000000000002E-4</v>
      </c>
      <c r="G73" s="1397">
        <v>1.9060000000000001E-2</v>
      </c>
      <c r="H73" s="1396">
        <v>3.8000000000000002E-4</v>
      </c>
      <c r="I73" s="1397">
        <v>1.9439999999999999E-2</v>
      </c>
      <c r="J73" s="455">
        <v>0</v>
      </c>
      <c r="K73" s="455">
        <v>0</v>
      </c>
      <c r="L73" s="455">
        <v>0</v>
      </c>
      <c r="M73" s="456"/>
      <c r="N73" s="684"/>
      <c r="O73" s="455"/>
      <c r="P73" s="455"/>
      <c r="Q73" s="455"/>
      <c r="R73" s="472"/>
      <c r="S73" s="1582">
        <v>0</v>
      </c>
      <c r="T73" s="1039"/>
      <c r="U73" s="1583">
        <v>0</v>
      </c>
      <c r="V73" s="1582">
        <v>1</v>
      </c>
      <c r="W73" s="1039"/>
      <c r="X73" s="1583">
        <v>-1.4999999999999999E-4</v>
      </c>
      <c r="Y73" s="1582">
        <v>1</v>
      </c>
      <c r="Z73" s="1039"/>
      <c r="AA73" s="1583">
        <v>6.9999999999999994E-5</v>
      </c>
      <c r="AB73" s="1582">
        <v>1</v>
      </c>
      <c r="AC73" s="1039"/>
      <c r="AD73" s="1583">
        <v>-1.7000000000000001E-4</v>
      </c>
      <c r="AE73" s="1582">
        <v>0</v>
      </c>
      <c r="AF73" s="1039"/>
      <c r="AG73" s="1583">
        <v>0</v>
      </c>
      <c r="AH73" s="1582">
        <v>1</v>
      </c>
      <c r="AI73" s="1039"/>
      <c r="AJ73" s="1583">
        <v>-1.4999999999999999E-4</v>
      </c>
      <c r="AK73" s="1582">
        <v>1</v>
      </c>
      <c r="AL73" s="1039"/>
      <c r="AM73" s="1583">
        <v>-2.0000000000000002E-5</v>
      </c>
      <c r="AN73" s="831"/>
      <c r="AO73" s="831"/>
    </row>
    <row r="74" spans="1:68" s="46" customFormat="1" x14ac:dyDescent="0.2">
      <c r="A74" s="76">
        <v>68</v>
      </c>
      <c r="B74" s="670" t="s">
        <v>262</v>
      </c>
      <c r="C74" s="671" t="s">
        <v>4</v>
      </c>
      <c r="D74" s="467">
        <v>844078</v>
      </c>
      <c r="E74" s="469">
        <v>0.13402999999999998</v>
      </c>
      <c r="F74" s="1394">
        <v>7.2999999999999992E-3</v>
      </c>
      <c r="G74" s="1395">
        <v>0.14132999999999998</v>
      </c>
      <c r="H74" s="1394">
        <v>3.3300000000000001E-3</v>
      </c>
      <c r="I74" s="1395">
        <v>0.14465999999999998</v>
      </c>
      <c r="J74" s="462">
        <v>113132</v>
      </c>
      <c r="K74" s="462">
        <v>119294</v>
      </c>
      <c r="L74" s="462">
        <v>122104</v>
      </c>
      <c r="M74" s="144">
        <v>1550</v>
      </c>
      <c r="N74" s="360">
        <v>7</v>
      </c>
      <c r="O74" s="462">
        <v>825480</v>
      </c>
      <c r="P74" s="462">
        <v>863340</v>
      </c>
      <c r="Q74" s="462">
        <v>880611</v>
      </c>
      <c r="R74" s="470"/>
      <c r="S74" s="1584">
        <v>0</v>
      </c>
      <c r="T74" s="1587">
        <v>0</v>
      </c>
      <c r="U74" s="1586">
        <v>0</v>
      </c>
      <c r="V74" s="1584">
        <v>1</v>
      </c>
      <c r="W74" s="1587">
        <v>-6954</v>
      </c>
      <c r="X74" s="1586">
        <v>-1.34E-3</v>
      </c>
      <c r="Y74" s="1584">
        <v>1</v>
      </c>
      <c r="Z74" s="1587">
        <v>2452</v>
      </c>
      <c r="AA74" s="1586">
        <v>4.6999999999999999E-4</v>
      </c>
      <c r="AB74" s="1584">
        <v>1</v>
      </c>
      <c r="AC74" s="1587">
        <v>-7730</v>
      </c>
      <c r="AD74" s="1586">
        <v>-1.49E-3</v>
      </c>
      <c r="AE74" s="1584">
        <v>0</v>
      </c>
      <c r="AF74" s="1587">
        <v>0</v>
      </c>
      <c r="AG74" s="1586">
        <v>0</v>
      </c>
      <c r="AH74" s="1584">
        <v>1</v>
      </c>
      <c r="AI74" s="1587">
        <v>-6722</v>
      </c>
      <c r="AJ74" s="1586">
        <v>-1.2999999999999999E-3</v>
      </c>
      <c r="AK74" s="1584">
        <v>1</v>
      </c>
      <c r="AL74" s="1587">
        <v>-684</v>
      </c>
      <c r="AM74" s="1586">
        <v>-1.2999999999999999E-4</v>
      </c>
      <c r="AN74" s="831"/>
      <c r="AO74" s="831"/>
      <c r="AQ74" s="421">
        <v>0</v>
      </c>
      <c r="AR74" s="421">
        <v>0</v>
      </c>
      <c r="AU74" s="421">
        <v>-8.0547640558760163E-3</v>
      </c>
      <c r="AV74" s="421">
        <v>-9.4852279237253451E-3</v>
      </c>
      <c r="AY74" s="421">
        <v>2.8401325086292771E-3</v>
      </c>
      <c r="AZ74" s="421">
        <v>3.3445181002264234E-3</v>
      </c>
      <c r="BC74" s="421">
        <v>-9.3642486795561374E-3</v>
      </c>
      <c r="BD74" s="421">
        <v>-1.1117823035323899E-2</v>
      </c>
      <c r="BG74" s="421">
        <v>0</v>
      </c>
      <c r="BH74" s="421">
        <v>0</v>
      </c>
      <c r="BK74" s="421">
        <v>-7.6333363993863349E-3</v>
      </c>
      <c r="BL74" s="421">
        <v>-8.9577578153838371E-3</v>
      </c>
      <c r="BO74" s="421">
        <v>-7.7673342713184372E-4</v>
      </c>
      <c r="BP74" s="421">
        <v>-9.1150049772724547E-4</v>
      </c>
    </row>
    <row r="75" spans="1:68" s="46" customFormat="1" x14ac:dyDescent="0.2">
      <c r="A75" s="76">
        <v>69</v>
      </c>
      <c r="B75" s="670"/>
      <c r="C75" s="671" t="s">
        <v>5</v>
      </c>
      <c r="D75" s="467">
        <v>1445175</v>
      </c>
      <c r="E75" s="469">
        <v>0.11997999999999999</v>
      </c>
      <c r="F75" s="1394">
        <v>6.5300000000000011E-3</v>
      </c>
      <c r="G75" s="1395">
        <v>0.12650999999999998</v>
      </c>
      <c r="H75" s="1394">
        <v>2.98E-3</v>
      </c>
      <c r="I75" s="1395">
        <v>0.12948999999999999</v>
      </c>
      <c r="J75" s="462">
        <v>173392</v>
      </c>
      <c r="K75" s="462">
        <v>182829</v>
      </c>
      <c r="L75" s="462">
        <v>187136</v>
      </c>
      <c r="M75" s="144"/>
      <c r="N75" s="360"/>
      <c r="O75" s="462"/>
      <c r="P75" s="462"/>
      <c r="Q75" s="462"/>
      <c r="R75" s="470"/>
      <c r="S75" s="1584">
        <v>0</v>
      </c>
      <c r="T75" s="1588"/>
      <c r="U75" s="1586">
        <v>0</v>
      </c>
      <c r="V75" s="1584">
        <v>1</v>
      </c>
      <c r="W75" s="1588"/>
      <c r="X75" s="1586">
        <v>-1.1999999999999999E-3</v>
      </c>
      <c r="Y75" s="1584">
        <v>1</v>
      </c>
      <c r="Z75" s="1588"/>
      <c r="AA75" s="1586">
        <v>4.2000000000000002E-4</v>
      </c>
      <c r="AB75" s="1584">
        <v>1</v>
      </c>
      <c r="AC75" s="1588"/>
      <c r="AD75" s="1586">
        <v>-1.33E-3</v>
      </c>
      <c r="AE75" s="1584">
        <v>0</v>
      </c>
      <c r="AF75" s="1588"/>
      <c r="AG75" s="1586">
        <v>0</v>
      </c>
      <c r="AH75" s="1584">
        <v>1</v>
      </c>
      <c r="AI75" s="1588"/>
      <c r="AJ75" s="1586">
        <v>-1.16E-3</v>
      </c>
      <c r="AK75" s="1584">
        <v>1</v>
      </c>
      <c r="AL75" s="1588"/>
      <c r="AM75" s="1586">
        <v>-1.2E-4</v>
      </c>
      <c r="AN75" s="831"/>
      <c r="AO75" s="831"/>
    </row>
    <row r="76" spans="1:68" s="46" customFormat="1" x14ac:dyDescent="0.2">
      <c r="A76" s="76">
        <v>70</v>
      </c>
      <c r="B76" s="670"/>
      <c r="C76" s="671" t="s">
        <v>6</v>
      </c>
      <c r="D76" s="467">
        <v>1034978</v>
      </c>
      <c r="E76" s="469">
        <v>9.1999999999999998E-2</v>
      </c>
      <c r="F76" s="1394">
        <v>5.0099999999999997E-3</v>
      </c>
      <c r="G76" s="1395">
        <v>9.7009999999999999E-2</v>
      </c>
      <c r="H76" s="1394">
        <v>2.2799999999999999E-3</v>
      </c>
      <c r="I76" s="1395">
        <v>9.9290000000000003E-2</v>
      </c>
      <c r="J76" s="462">
        <v>95218</v>
      </c>
      <c r="K76" s="462">
        <v>100403</v>
      </c>
      <c r="L76" s="462">
        <v>102763</v>
      </c>
      <c r="M76" s="144"/>
      <c r="N76" s="360"/>
      <c r="O76" s="462"/>
      <c r="P76" s="462"/>
      <c r="Q76" s="462"/>
      <c r="R76" s="470"/>
      <c r="S76" s="1584">
        <v>0</v>
      </c>
      <c r="T76" s="1588"/>
      <c r="U76" s="1586">
        <v>0</v>
      </c>
      <c r="V76" s="1584">
        <v>1</v>
      </c>
      <c r="W76" s="1588"/>
      <c r="X76" s="1586">
        <v>-9.2000000000000003E-4</v>
      </c>
      <c r="Y76" s="1584">
        <v>1</v>
      </c>
      <c r="Z76" s="1588"/>
      <c r="AA76" s="1586">
        <v>3.2000000000000003E-4</v>
      </c>
      <c r="AB76" s="1584">
        <v>1</v>
      </c>
      <c r="AC76" s="1588"/>
      <c r="AD76" s="1586">
        <v>-1.0200000000000001E-3</v>
      </c>
      <c r="AE76" s="1584">
        <v>0</v>
      </c>
      <c r="AF76" s="1588"/>
      <c r="AG76" s="1586">
        <v>0</v>
      </c>
      <c r="AH76" s="1584">
        <v>1</v>
      </c>
      <c r="AI76" s="1588"/>
      <c r="AJ76" s="1586">
        <v>-8.8999999999999995E-4</v>
      </c>
      <c r="AK76" s="1584">
        <v>1</v>
      </c>
      <c r="AL76" s="1588"/>
      <c r="AM76" s="1586">
        <v>-9.0000000000000006E-5</v>
      </c>
      <c r="AN76" s="831"/>
      <c r="AO76" s="831"/>
    </row>
    <row r="77" spans="1:68" s="46" customFormat="1" x14ac:dyDescent="0.2">
      <c r="A77" s="76">
        <v>71</v>
      </c>
      <c r="B77" s="670"/>
      <c r="C77" s="671" t="s">
        <v>7</v>
      </c>
      <c r="D77" s="467">
        <v>3359916</v>
      </c>
      <c r="E77" s="469">
        <v>7.3609999999999995E-2</v>
      </c>
      <c r="F77" s="1394">
        <v>4.0099999999999997E-3</v>
      </c>
      <c r="G77" s="1395">
        <v>7.7619999999999995E-2</v>
      </c>
      <c r="H77" s="1394">
        <v>1.83E-3</v>
      </c>
      <c r="I77" s="1395">
        <v>7.9449999999999993E-2</v>
      </c>
      <c r="J77" s="462">
        <v>247323</v>
      </c>
      <c r="K77" s="462">
        <v>260797</v>
      </c>
      <c r="L77" s="462">
        <v>266945</v>
      </c>
      <c r="M77" s="144"/>
      <c r="N77" s="360"/>
      <c r="O77" s="462"/>
      <c r="P77" s="462"/>
      <c r="Q77" s="462"/>
      <c r="R77" s="470"/>
      <c r="S77" s="1584">
        <v>0</v>
      </c>
      <c r="T77" s="1588"/>
      <c r="U77" s="1586">
        <v>0</v>
      </c>
      <c r="V77" s="1584">
        <v>1</v>
      </c>
      <c r="W77" s="1588"/>
      <c r="X77" s="1586">
        <v>-7.3999999999999999E-4</v>
      </c>
      <c r="Y77" s="1584">
        <v>1</v>
      </c>
      <c r="Z77" s="1588"/>
      <c r="AA77" s="1586">
        <v>2.5999999999999998E-4</v>
      </c>
      <c r="AB77" s="1584">
        <v>1</v>
      </c>
      <c r="AC77" s="1588"/>
      <c r="AD77" s="1586">
        <v>-8.1999999999999998E-4</v>
      </c>
      <c r="AE77" s="1584">
        <v>0</v>
      </c>
      <c r="AF77" s="1588"/>
      <c r="AG77" s="1586">
        <v>0</v>
      </c>
      <c r="AH77" s="1584">
        <v>1</v>
      </c>
      <c r="AI77" s="1588"/>
      <c r="AJ77" s="1586">
        <v>-7.1000000000000002E-4</v>
      </c>
      <c r="AK77" s="1584">
        <v>1</v>
      </c>
      <c r="AL77" s="1588"/>
      <c r="AM77" s="1586">
        <v>-6.9999999999999994E-5</v>
      </c>
      <c r="AN77" s="831"/>
      <c r="AO77" s="831"/>
    </row>
    <row r="78" spans="1:68" s="46" customFormat="1" x14ac:dyDescent="0.2">
      <c r="A78" s="76">
        <v>72</v>
      </c>
      <c r="B78" s="670"/>
      <c r="C78" s="671" t="s">
        <v>8</v>
      </c>
      <c r="D78" s="467">
        <v>1349120</v>
      </c>
      <c r="E78" s="469">
        <v>4.9079999999999999E-2</v>
      </c>
      <c r="F78" s="1394">
        <v>2.6700000000000001E-3</v>
      </c>
      <c r="G78" s="1395">
        <v>5.1749999999999997E-2</v>
      </c>
      <c r="H78" s="1394">
        <v>1.2199999999999999E-3</v>
      </c>
      <c r="I78" s="1395">
        <v>5.2969999999999996E-2</v>
      </c>
      <c r="J78" s="462">
        <v>66215</v>
      </c>
      <c r="K78" s="462">
        <v>69817</v>
      </c>
      <c r="L78" s="462">
        <v>71463</v>
      </c>
      <c r="M78" s="144"/>
      <c r="N78" s="360"/>
      <c r="O78" s="462"/>
      <c r="P78" s="462"/>
      <c r="Q78" s="462"/>
      <c r="R78" s="470"/>
      <c r="S78" s="1584">
        <v>0</v>
      </c>
      <c r="T78" s="1588"/>
      <c r="U78" s="1586">
        <v>0</v>
      </c>
      <c r="V78" s="1584">
        <v>1</v>
      </c>
      <c r="W78" s="1588"/>
      <c r="X78" s="1586">
        <v>-4.8999999999999998E-4</v>
      </c>
      <c r="Y78" s="1584">
        <v>1</v>
      </c>
      <c r="Z78" s="1588"/>
      <c r="AA78" s="1586">
        <v>1.7000000000000001E-4</v>
      </c>
      <c r="AB78" s="1584">
        <v>1</v>
      </c>
      <c r="AC78" s="1588"/>
      <c r="AD78" s="1586">
        <v>-5.5000000000000003E-4</v>
      </c>
      <c r="AE78" s="1584">
        <v>0</v>
      </c>
      <c r="AF78" s="1588"/>
      <c r="AG78" s="1586">
        <v>0</v>
      </c>
      <c r="AH78" s="1584">
        <v>1</v>
      </c>
      <c r="AI78" s="1588"/>
      <c r="AJ78" s="1586">
        <v>-4.6999999999999999E-4</v>
      </c>
      <c r="AK78" s="1584">
        <v>1</v>
      </c>
      <c r="AL78" s="1588"/>
      <c r="AM78" s="1586">
        <v>-5.0000000000000002E-5</v>
      </c>
      <c r="AN78" s="831"/>
      <c r="AO78" s="831"/>
    </row>
    <row r="79" spans="1:68" s="46" customFormat="1" x14ac:dyDescent="0.2">
      <c r="A79" s="76">
        <v>73</v>
      </c>
      <c r="B79" s="668"/>
      <c r="C79" s="672" t="s">
        <v>9</v>
      </c>
      <c r="D79" s="454">
        <v>0</v>
      </c>
      <c r="E79" s="471">
        <v>1.839E-2</v>
      </c>
      <c r="F79" s="1396">
        <v>1.0099999999999998E-3</v>
      </c>
      <c r="G79" s="1397">
        <v>1.9400000000000001E-2</v>
      </c>
      <c r="H79" s="1396">
        <v>4.6000000000000001E-4</v>
      </c>
      <c r="I79" s="1397">
        <v>1.9859999999999999E-2</v>
      </c>
      <c r="J79" s="455">
        <v>0</v>
      </c>
      <c r="K79" s="455">
        <v>0</v>
      </c>
      <c r="L79" s="455">
        <v>0</v>
      </c>
      <c r="M79" s="456"/>
      <c r="N79" s="684"/>
      <c r="O79" s="455"/>
      <c r="P79" s="455"/>
      <c r="Q79" s="455"/>
      <c r="R79" s="472"/>
      <c r="S79" s="1582">
        <v>0</v>
      </c>
      <c r="T79" s="1039"/>
      <c r="U79" s="1583">
        <v>0</v>
      </c>
      <c r="V79" s="1582">
        <v>1</v>
      </c>
      <c r="W79" s="1039"/>
      <c r="X79" s="1583">
        <v>-1.8000000000000001E-4</v>
      </c>
      <c r="Y79" s="1582">
        <v>1</v>
      </c>
      <c r="Z79" s="1039"/>
      <c r="AA79" s="1583">
        <v>6.0000000000000002E-5</v>
      </c>
      <c r="AB79" s="1582">
        <v>1</v>
      </c>
      <c r="AC79" s="1039"/>
      <c r="AD79" s="1583">
        <v>-2.0000000000000001E-4</v>
      </c>
      <c r="AE79" s="1582">
        <v>0</v>
      </c>
      <c r="AF79" s="1039"/>
      <c r="AG79" s="1583">
        <v>0</v>
      </c>
      <c r="AH79" s="1582">
        <v>1</v>
      </c>
      <c r="AI79" s="1039"/>
      <c r="AJ79" s="1583">
        <v>-1.8000000000000001E-4</v>
      </c>
      <c r="AK79" s="1582">
        <v>1</v>
      </c>
      <c r="AL79" s="1039"/>
      <c r="AM79" s="1583">
        <v>-2.0000000000000002E-5</v>
      </c>
      <c r="AN79" s="831"/>
      <c r="AO79" s="831"/>
    </row>
    <row r="80" spans="1:68" s="46" customFormat="1" x14ac:dyDescent="0.2">
      <c r="A80" s="76">
        <v>74</v>
      </c>
      <c r="B80" s="668" t="s">
        <v>263</v>
      </c>
      <c r="C80" s="668" t="s">
        <v>248</v>
      </c>
      <c r="D80" s="1411">
        <v>0</v>
      </c>
      <c r="E80" s="473">
        <v>4.9099999999999994E-3</v>
      </c>
      <c r="F80" s="1398">
        <v>0</v>
      </c>
      <c r="G80" s="1399">
        <v>4.9099999999999994E-3</v>
      </c>
      <c r="H80" s="1398">
        <v>0</v>
      </c>
      <c r="I80" s="1399">
        <v>4.9099999999999994E-3</v>
      </c>
      <c r="J80" s="455">
        <v>0</v>
      </c>
      <c r="K80" s="455">
        <v>0</v>
      </c>
      <c r="L80" s="455">
        <v>0</v>
      </c>
      <c r="M80" s="456">
        <v>38000</v>
      </c>
      <c r="N80" s="684">
        <v>0</v>
      </c>
      <c r="O80" s="455">
        <v>0</v>
      </c>
      <c r="P80" s="455">
        <v>0</v>
      </c>
      <c r="Q80" s="455">
        <v>0</v>
      </c>
      <c r="R80" s="474"/>
      <c r="S80" s="1589">
        <v>0</v>
      </c>
      <c r="T80" s="1039">
        <v>0</v>
      </c>
      <c r="U80" s="1583">
        <v>0</v>
      </c>
      <c r="V80" s="1589">
        <v>1</v>
      </c>
      <c r="W80" s="1039">
        <v>0</v>
      </c>
      <c r="X80" s="1583">
        <v>-4.0000000000000003E-5</v>
      </c>
      <c r="Y80" s="1589">
        <v>1</v>
      </c>
      <c r="Z80" s="1039">
        <v>0</v>
      </c>
      <c r="AA80" s="1583">
        <v>2.0000000000000002E-5</v>
      </c>
      <c r="AB80" s="1589">
        <v>1</v>
      </c>
      <c r="AC80" s="1039">
        <v>0</v>
      </c>
      <c r="AD80" s="1583">
        <v>0</v>
      </c>
      <c r="AE80" s="1589">
        <v>0</v>
      </c>
      <c r="AF80" s="1039">
        <v>0</v>
      </c>
      <c r="AG80" s="1583">
        <v>0</v>
      </c>
      <c r="AH80" s="1589">
        <v>1</v>
      </c>
      <c r="AI80" s="1039">
        <v>0</v>
      </c>
      <c r="AJ80" s="1583">
        <v>-4.0000000000000003E-5</v>
      </c>
      <c r="AK80" s="1589">
        <v>1</v>
      </c>
      <c r="AL80" s="1039">
        <v>0</v>
      </c>
      <c r="AM80" s="1583">
        <v>0</v>
      </c>
      <c r="AN80" s="831"/>
      <c r="AO80" s="831"/>
      <c r="AQ80" s="421">
        <v>0</v>
      </c>
      <c r="AR80" s="421">
        <v>0</v>
      </c>
      <c r="AU80" s="421">
        <v>-8.0548568584918115E-3</v>
      </c>
      <c r="AV80" s="421">
        <v>-8.0548568584918115E-3</v>
      </c>
      <c r="AY80" s="421">
        <v>0</v>
      </c>
      <c r="AZ80" s="421">
        <v>0</v>
      </c>
      <c r="BC80" s="421">
        <v>-9.3642979246309037E-3</v>
      </c>
      <c r="BD80" s="421">
        <v>-9.3642979246309037E-3</v>
      </c>
      <c r="BG80" s="421">
        <v>0</v>
      </c>
      <c r="BH80" s="421">
        <v>0</v>
      </c>
      <c r="BK80" s="421">
        <v>-7.6336583527997961E-3</v>
      </c>
      <c r="BL80" s="421">
        <v>-7.6336583527997961E-3</v>
      </c>
      <c r="BO80" s="421">
        <v>-7.7629483430740091E-4</v>
      </c>
      <c r="BP80" s="421">
        <v>-7.7629483430740091E-4</v>
      </c>
    </row>
    <row r="81" spans="1:68" s="46" customFormat="1" x14ac:dyDescent="0.2">
      <c r="A81" s="76">
        <v>75</v>
      </c>
      <c r="B81" s="669" t="s">
        <v>265</v>
      </c>
      <c r="C81" s="669" t="s">
        <v>248</v>
      </c>
      <c r="D81" s="454">
        <v>0</v>
      </c>
      <c r="E81" s="471">
        <v>4.9099999999999994E-3</v>
      </c>
      <c r="F81" s="1389">
        <v>0</v>
      </c>
      <c r="G81" s="1388">
        <v>4.9099999999999994E-3</v>
      </c>
      <c r="H81" s="1389">
        <v>0</v>
      </c>
      <c r="I81" s="1388">
        <v>4.9099999999999994E-3</v>
      </c>
      <c r="J81" s="455">
        <v>0</v>
      </c>
      <c r="K81" s="455">
        <v>0</v>
      </c>
      <c r="L81" s="455">
        <v>0</v>
      </c>
      <c r="M81" s="456">
        <v>38000</v>
      </c>
      <c r="N81" s="684">
        <v>0</v>
      </c>
      <c r="O81" s="455">
        <v>0</v>
      </c>
      <c r="P81" s="455">
        <v>0</v>
      </c>
      <c r="Q81" s="455">
        <v>0</v>
      </c>
      <c r="R81" s="472"/>
      <c r="S81" s="1589">
        <v>0</v>
      </c>
      <c r="T81" s="1039">
        <v>0</v>
      </c>
      <c r="U81" s="1583">
        <v>0</v>
      </c>
      <c r="V81" s="1589">
        <v>1</v>
      </c>
      <c r="W81" s="1039">
        <v>0</v>
      </c>
      <c r="X81" s="1583">
        <v>-4.0000000000000003E-5</v>
      </c>
      <c r="Y81" s="1589">
        <v>1</v>
      </c>
      <c r="Z81" s="1039">
        <v>0</v>
      </c>
      <c r="AA81" s="1583">
        <v>2.0000000000000002E-5</v>
      </c>
      <c r="AB81" s="1589">
        <v>1</v>
      </c>
      <c r="AC81" s="1039">
        <v>0</v>
      </c>
      <c r="AD81" s="1583">
        <v>0</v>
      </c>
      <c r="AE81" s="1589">
        <v>0</v>
      </c>
      <c r="AF81" s="1039">
        <v>0</v>
      </c>
      <c r="AG81" s="1583">
        <v>0</v>
      </c>
      <c r="AH81" s="1589">
        <v>1</v>
      </c>
      <c r="AI81" s="1039">
        <v>0</v>
      </c>
      <c r="AJ81" s="1583">
        <v>-4.0000000000000003E-5</v>
      </c>
      <c r="AK81" s="1589">
        <v>1</v>
      </c>
      <c r="AL81" s="1039">
        <v>0</v>
      </c>
      <c r="AM81" s="1583">
        <v>0</v>
      </c>
      <c r="AN81" s="831"/>
      <c r="AO81" s="831"/>
      <c r="AQ81" s="421">
        <v>0</v>
      </c>
      <c r="AR81" s="421">
        <v>0</v>
      </c>
      <c r="AU81" s="421">
        <v>-8.0548568584918115E-3</v>
      </c>
      <c r="AV81" s="421">
        <v>-8.0548568584918115E-3</v>
      </c>
      <c r="AY81" s="421">
        <v>0</v>
      </c>
      <c r="AZ81" s="421">
        <v>0</v>
      </c>
      <c r="BC81" s="421">
        <v>-9.3642979246309037E-3</v>
      </c>
      <c r="BD81" s="421">
        <v>-9.3642979246309037E-3</v>
      </c>
      <c r="BG81" s="421">
        <v>0</v>
      </c>
      <c r="BH81" s="421">
        <v>0</v>
      </c>
      <c r="BK81" s="421">
        <v>-7.6336583527997961E-3</v>
      </c>
      <c r="BL81" s="421">
        <v>-7.6336583527997961E-3</v>
      </c>
      <c r="BO81" s="421">
        <v>-7.7629483430740091E-4</v>
      </c>
      <c r="BP81" s="421">
        <v>-7.7629483430740091E-4</v>
      </c>
    </row>
    <row r="82" spans="1:68" s="46" customFormat="1" x14ac:dyDescent="0.2">
      <c r="A82" s="76">
        <v>76</v>
      </c>
      <c r="B82" s="669" t="s">
        <v>282</v>
      </c>
      <c r="C82" s="669" t="s">
        <v>248</v>
      </c>
      <c r="D82" s="353">
        <v>2895114</v>
      </c>
      <c r="E82" s="471">
        <v>0</v>
      </c>
      <c r="F82" s="1396">
        <v>0</v>
      </c>
      <c r="G82" s="1397">
        <v>0</v>
      </c>
      <c r="H82" s="1396">
        <v>0</v>
      </c>
      <c r="I82" s="1397">
        <v>0</v>
      </c>
      <c r="J82" s="455">
        <v>0</v>
      </c>
      <c r="K82" s="455">
        <v>0</v>
      </c>
      <c r="L82" s="455">
        <v>0</v>
      </c>
      <c r="M82" s="456">
        <v>0</v>
      </c>
      <c r="N82" s="684">
        <v>1</v>
      </c>
      <c r="O82" s="455">
        <v>242994.60207180592</v>
      </c>
      <c r="P82" s="455">
        <v>242994.60207180592</v>
      </c>
      <c r="Q82" s="455">
        <v>0</v>
      </c>
      <c r="R82" s="472"/>
      <c r="S82" s="1589">
        <v>0</v>
      </c>
      <c r="T82" s="1039">
        <v>0</v>
      </c>
      <c r="U82" s="1583">
        <v>0</v>
      </c>
      <c r="V82" s="1589">
        <v>0</v>
      </c>
      <c r="W82" s="1039">
        <v>0</v>
      </c>
      <c r="X82" s="1583">
        <v>0</v>
      </c>
      <c r="Y82" s="1589">
        <v>0</v>
      </c>
      <c r="Z82" s="1039">
        <v>0</v>
      </c>
      <c r="AA82" s="1583">
        <v>0</v>
      </c>
      <c r="AB82" s="1589">
        <v>0</v>
      </c>
      <c r="AC82" s="1039">
        <v>0</v>
      </c>
      <c r="AD82" s="1583">
        <v>0</v>
      </c>
      <c r="AE82" s="1589">
        <v>0</v>
      </c>
      <c r="AF82" s="1039">
        <v>0</v>
      </c>
      <c r="AG82" s="1583">
        <v>0</v>
      </c>
      <c r="AH82" s="1589">
        <v>0</v>
      </c>
      <c r="AI82" s="1039">
        <v>0</v>
      </c>
      <c r="AJ82" s="1583">
        <v>0</v>
      </c>
      <c r="AK82" s="1589">
        <v>0</v>
      </c>
      <c r="AL82" s="1039">
        <v>0</v>
      </c>
      <c r="AM82" s="1583">
        <v>0</v>
      </c>
      <c r="AN82" s="831"/>
      <c r="AO82" s="831"/>
      <c r="AQ82" s="421">
        <v>0</v>
      </c>
      <c r="AR82" s="421">
        <v>0</v>
      </c>
      <c r="AU82" s="421">
        <v>0</v>
      </c>
      <c r="AV82" s="421">
        <v>0</v>
      </c>
      <c r="AY82" s="421">
        <v>0</v>
      </c>
      <c r="AZ82" s="421">
        <v>0</v>
      </c>
      <c r="BC82" s="421">
        <v>0</v>
      </c>
      <c r="BD82" s="421">
        <v>0</v>
      </c>
      <c r="BG82" s="421">
        <v>0</v>
      </c>
      <c r="BH82" s="421">
        <v>0</v>
      </c>
      <c r="BK82" s="421">
        <v>0</v>
      </c>
      <c r="BL82" s="421">
        <v>0</v>
      </c>
      <c r="BO82" s="421">
        <v>0</v>
      </c>
      <c r="BP82" s="421">
        <v>0</v>
      </c>
    </row>
    <row r="83" spans="1:68" s="46" customFormat="1" ht="13.5" thickBot="1" x14ac:dyDescent="0.25">
      <c r="A83" s="76">
        <v>77</v>
      </c>
      <c r="E83" s="424"/>
      <c r="F83" s="1577"/>
      <c r="G83" s="1578"/>
      <c r="H83" s="1577"/>
      <c r="I83" s="1578"/>
      <c r="J83" s="781"/>
      <c r="K83" s="781"/>
      <c r="L83" s="781"/>
      <c r="O83" s="781"/>
      <c r="P83" s="781"/>
      <c r="Q83" s="781"/>
      <c r="S83" s="1579"/>
      <c r="U83" s="130"/>
      <c r="V83" s="1579"/>
      <c r="X83" s="130"/>
      <c r="Y83" s="1579"/>
      <c r="AA83" s="130"/>
      <c r="AB83" s="1579"/>
      <c r="AD83" s="130"/>
      <c r="AE83" s="1579"/>
      <c r="AG83" s="130"/>
      <c r="AH83" s="1579"/>
      <c r="AJ83" s="130"/>
      <c r="AK83" s="1579"/>
      <c r="AM83" s="130"/>
      <c r="AN83" s="831"/>
      <c r="AO83" s="831"/>
    </row>
    <row r="84" spans="1:68" s="46" customFormat="1" x14ac:dyDescent="0.2">
      <c r="A84" s="76">
        <v>78</v>
      </c>
      <c r="B84" s="50" t="s">
        <v>48</v>
      </c>
      <c r="C84" s="50"/>
      <c r="D84" s="679">
        <v>103032055.6009268</v>
      </c>
      <c r="E84" s="1580"/>
      <c r="F84" s="1580"/>
      <c r="G84" s="1580"/>
      <c r="H84" s="1580"/>
      <c r="I84" s="1580"/>
      <c r="J84" s="596">
        <v>37287358</v>
      </c>
      <c r="K84" s="596">
        <v>42287344</v>
      </c>
      <c r="L84" s="596">
        <v>45287448</v>
      </c>
      <c r="M84" s="596"/>
      <c r="N84" s="679">
        <v>89340.750000000015</v>
      </c>
      <c r="O84" s="596">
        <v>49361908.641201891</v>
      </c>
      <c r="P84" s="596">
        <v>54361894.641201891</v>
      </c>
      <c r="Q84" s="596">
        <v>57361998.641201891</v>
      </c>
      <c r="R84" s="50"/>
      <c r="S84" s="1581">
        <v>50868840</v>
      </c>
      <c r="T84" s="683">
        <v>-770716</v>
      </c>
      <c r="U84" s="532"/>
      <c r="V84" s="1581">
        <v>54361895</v>
      </c>
      <c r="W84" s="683">
        <v>-437869</v>
      </c>
      <c r="X84" s="532"/>
      <c r="Y84" s="1581">
        <v>54361895</v>
      </c>
      <c r="Z84" s="683">
        <v>154419</v>
      </c>
      <c r="AA84" s="532"/>
      <c r="AB84" s="1581">
        <v>49361909</v>
      </c>
      <c r="AC84" s="683">
        <v>-462253</v>
      </c>
      <c r="AD84" s="532"/>
      <c r="AE84" s="1581">
        <v>53789396</v>
      </c>
      <c r="AF84" s="683">
        <v>-770716</v>
      </c>
      <c r="AG84" s="532"/>
      <c r="AH84" s="1581">
        <v>57361999</v>
      </c>
      <c r="AI84" s="683">
        <v>-437872</v>
      </c>
      <c r="AJ84" s="532"/>
      <c r="AK84" s="1581">
        <v>57361999</v>
      </c>
      <c r="AL84" s="683">
        <v>-44543</v>
      </c>
      <c r="AM84" s="532"/>
      <c r="AN84" s="831"/>
      <c r="AO84" s="1135"/>
    </row>
    <row r="85" spans="1:68" s="46" customFormat="1" x14ac:dyDescent="0.2">
      <c r="A85" s="76">
        <v>79</v>
      </c>
      <c r="J85" s="269"/>
      <c r="K85" s="422">
        <v>4999986</v>
      </c>
      <c r="L85" s="422">
        <v>3000104</v>
      </c>
      <c r="O85" s="422"/>
      <c r="P85" s="422">
        <v>4999986</v>
      </c>
      <c r="Q85" s="422">
        <v>3000104</v>
      </c>
      <c r="R85" s="316"/>
      <c r="S85" s="1127"/>
      <c r="U85" s="130"/>
      <c r="V85" s="1127"/>
      <c r="X85" s="130"/>
      <c r="Y85" s="1127"/>
      <c r="AA85" s="130"/>
      <c r="AB85" s="1127"/>
      <c r="AD85" s="130"/>
      <c r="AE85" s="1127"/>
      <c r="AG85" s="130"/>
      <c r="AH85" s="1127"/>
      <c r="AJ85" s="130"/>
      <c r="AK85" s="1127"/>
      <c r="AM85" s="130"/>
      <c r="AN85" s="831"/>
      <c r="AO85" s="45"/>
    </row>
    <row r="86" spans="1:68" s="46" customFormat="1" x14ac:dyDescent="0.2">
      <c r="A86" s="76">
        <v>80</v>
      </c>
      <c r="B86" s="158" t="s">
        <v>63</v>
      </c>
      <c r="O86" s="422"/>
      <c r="P86" s="422"/>
      <c r="Q86" s="422"/>
      <c r="U86" s="130"/>
      <c r="X86" s="130"/>
      <c r="AA86" s="130"/>
      <c r="AD86" s="130"/>
      <c r="AG86" s="130"/>
      <c r="AJ86" s="130"/>
      <c r="AM86" s="130"/>
      <c r="AN86" s="831"/>
      <c r="AO86" s="45"/>
    </row>
    <row r="87" spans="1:68" s="46" customFormat="1" x14ac:dyDescent="0.2">
      <c r="A87" s="76">
        <v>81</v>
      </c>
      <c r="B87" s="1607" t="s">
        <v>64</v>
      </c>
      <c r="C87" s="1608"/>
      <c r="D87" s="1608"/>
      <c r="E87" s="1608"/>
      <c r="F87" s="1608"/>
      <c r="G87" s="1608"/>
      <c r="H87" s="1608"/>
      <c r="I87" s="1608"/>
      <c r="J87" s="1608"/>
      <c r="K87" s="1608"/>
      <c r="L87" s="1608"/>
      <c r="M87" s="1608"/>
      <c r="N87" s="1608"/>
      <c r="O87" s="1608"/>
      <c r="P87" s="1608"/>
      <c r="Q87" s="1608"/>
      <c r="R87" s="1608"/>
      <c r="S87" s="1608"/>
      <c r="T87" s="1608"/>
      <c r="U87" s="1608"/>
      <c r="V87" s="1608"/>
      <c r="W87" s="1608"/>
      <c r="X87" s="1608"/>
      <c r="Y87" s="1608"/>
      <c r="Z87" s="1608"/>
      <c r="AA87" s="1608"/>
      <c r="AB87" s="1608"/>
      <c r="AC87" s="1608"/>
      <c r="AD87" s="1608"/>
      <c r="AE87" s="1608"/>
      <c r="AF87" s="1608"/>
      <c r="AG87" s="1608"/>
      <c r="AH87" s="1608"/>
      <c r="AI87" s="1608"/>
      <c r="AJ87" s="1608"/>
      <c r="AK87" s="1608"/>
      <c r="AL87" s="1608"/>
      <c r="AM87" s="1609"/>
      <c r="AN87" s="831"/>
      <c r="AO87" s="45"/>
    </row>
    <row r="88" spans="1:68" s="46" customFormat="1" x14ac:dyDescent="0.2">
      <c r="A88" s="76">
        <v>82</v>
      </c>
      <c r="B88" s="158" t="s">
        <v>77</v>
      </c>
      <c r="U88" s="130"/>
      <c r="X88" s="130"/>
      <c r="AA88" s="130"/>
      <c r="AD88" s="130"/>
      <c r="AG88" s="130"/>
      <c r="AJ88" s="130"/>
      <c r="AM88" s="130"/>
      <c r="AN88" s="831"/>
      <c r="AO88" s="45"/>
    </row>
    <row r="89" spans="1:68" s="46" customFormat="1" x14ac:dyDescent="0.2">
      <c r="A89" s="76">
        <v>83</v>
      </c>
      <c r="B89" s="1607" t="s">
        <v>78</v>
      </c>
      <c r="C89" s="1608"/>
      <c r="D89" s="1608"/>
      <c r="E89" s="1608"/>
      <c r="F89" s="1608"/>
      <c r="G89" s="1608"/>
      <c r="H89" s="1608"/>
      <c r="I89" s="1608"/>
      <c r="J89" s="1608"/>
      <c r="K89" s="1608"/>
      <c r="L89" s="1608"/>
      <c r="M89" s="1608"/>
      <c r="N89" s="1608"/>
      <c r="O89" s="1608"/>
      <c r="P89" s="1608"/>
      <c r="Q89" s="1608"/>
      <c r="R89" s="1608"/>
      <c r="S89" s="1608"/>
      <c r="T89" s="1608"/>
      <c r="U89" s="1608"/>
      <c r="V89" s="1608"/>
      <c r="W89" s="1608"/>
      <c r="X89" s="1608"/>
      <c r="Y89" s="1608"/>
      <c r="Z89" s="1608"/>
      <c r="AA89" s="1608"/>
      <c r="AB89" s="1608"/>
      <c r="AC89" s="1608"/>
      <c r="AD89" s="1608"/>
      <c r="AE89" s="1608"/>
      <c r="AF89" s="1608"/>
      <c r="AG89" s="1608"/>
      <c r="AH89" s="1608"/>
      <c r="AI89" s="1608"/>
      <c r="AJ89" s="1608"/>
      <c r="AK89" s="1608"/>
      <c r="AL89" s="1608"/>
      <c r="AM89" s="1609"/>
      <c r="AN89" s="831"/>
      <c r="AO89" s="45"/>
    </row>
    <row r="90" spans="1:68" x14ac:dyDescent="0.2">
      <c r="A90" s="76">
        <v>84</v>
      </c>
      <c r="S90" s="1579"/>
      <c r="V90" s="1579"/>
      <c r="Y90" s="1579"/>
      <c r="AB90" s="1579"/>
      <c r="AE90" s="1579"/>
      <c r="AH90" s="1579"/>
      <c r="AK90" s="1579"/>
    </row>
    <row r="91" spans="1:68" x14ac:dyDescent="0.2">
      <c r="A91" s="76">
        <v>85</v>
      </c>
      <c r="B91" s="46" t="s">
        <v>67</v>
      </c>
      <c r="S91" s="1579"/>
      <c r="V91" s="1579"/>
      <c r="Y91" s="1579"/>
      <c r="AB91" s="1579"/>
      <c r="AE91" s="1579"/>
      <c r="AH91" s="1579"/>
      <c r="AK91" s="1579"/>
    </row>
    <row r="92" spans="1:68" x14ac:dyDescent="0.2">
      <c r="A92" s="76"/>
    </row>
    <row r="95" spans="1:68" x14ac:dyDescent="0.2">
      <c r="T95" s="481"/>
      <c r="W95" s="481"/>
      <c r="Z95" s="481"/>
      <c r="AC95" s="481"/>
      <c r="AF95" s="481"/>
      <c r="AI95" s="481"/>
      <c r="AL95" s="481"/>
    </row>
    <row r="96" spans="1:68" x14ac:dyDescent="0.2">
      <c r="B96" s="45"/>
      <c r="C96" s="45"/>
      <c r="D96" s="45"/>
      <c r="E96" s="45"/>
      <c r="F96" s="45"/>
      <c r="G96" s="45"/>
      <c r="H96" s="45"/>
      <c r="I96" s="45"/>
      <c r="J96" s="45"/>
      <c r="K96" s="45"/>
      <c r="L96" s="45"/>
      <c r="M96" s="45"/>
      <c r="N96" s="45"/>
      <c r="O96" s="45"/>
      <c r="P96" s="45"/>
      <c r="Q96" s="45"/>
      <c r="R96" s="45"/>
      <c r="T96" s="482"/>
      <c r="U96" s="45"/>
      <c r="W96" s="482"/>
      <c r="X96" s="45"/>
      <c r="Z96" s="482"/>
      <c r="AA96" s="45"/>
      <c r="AC96" s="482"/>
      <c r="AD96" s="45"/>
      <c r="AF96" s="482"/>
      <c r="AG96" s="45"/>
      <c r="AI96" s="482"/>
      <c r="AJ96" s="45"/>
      <c r="AL96" s="482"/>
      <c r="AM96" s="45"/>
    </row>
    <row r="97" spans="2:39" x14ac:dyDescent="0.2">
      <c r="B97" s="45"/>
      <c r="C97" s="45"/>
      <c r="D97" s="45"/>
      <c r="E97" s="45"/>
      <c r="F97" s="45"/>
      <c r="G97" s="45"/>
      <c r="H97" s="45"/>
      <c r="I97" s="45"/>
      <c r="J97" s="45"/>
      <c r="K97" s="45"/>
      <c r="L97" s="45"/>
      <c r="M97" s="45"/>
      <c r="N97" s="45"/>
      <c r="O97" s="45"/>
      <c r="P97" s="45"/>
      <c r="Q97" s="45"/>
      <c r="R97" s="45"/>
      <c r="T97" s="289"/>
      <c r="U97" s="45"/>
      <c r="W97" s="289"/>
      <c r="X97" s="45"/>
      <c r="Z97" s="289"/>
      <c r="AA97" s="45"/>
      <c r="AC97" s="289"/>
      <c r="AD97" s="45"/>
      <c r="AF97" s="289"/>
      <c r="AG97" s="45"/>
      <c r="AI97" s="289"/>
      <c r="AJ97" s="45"/>
      <c r="AL97" s="289"/>
      <c r="AM97" s="45"/>
    </row>
    <row r="98" spans="2:39" x14ac:dyDescent="0.2">
      <c r="B98" s="45"/>
      <c r="C98" s="45"/>
      <c r="D98" s="45"/>
      <c r="E98" s="45"/>
      <c r="F98" s="45"/>
      <c r="G98" s="45"/>
      <c r="H98" s="45"/>
      <c r="I98" s="45"/>
      <c r="J98" s="45"/>
      <c r="K98" s="45"/>
      <c r="L98" s="45"/>
      <c r="M98" s="45"/>
      <c r="N98" s="45"/>
      <c r="O98" s="45"/>
      <c r="P98" s="45"/>
      <c r="Q98" s="45"/>
      <c r="R98" s="45"/>
      <c r="T98" s="289"/>
      <c r="U98" s="45"/>
      <c r="W98" s="289"/>
      <c r="X98" s="45"/>
      <c r="Z98" s="289"/>
      <c r="AA98" s="45"/>
      <c r="AC98" s="289"/>
      <c r="AD98" s="45"/>
      <c r="AF98" s="289"/>
      <c r="AG98" s="45"/>
      <c r="AI98" s="289"/>
      <c r="AJ98" s="45"/>
      <c r="AL98" s="289"/>
      <c r="AM98" s="45"/>
    </row>
    <row r="99" spans="2:39" x14ac:dyDescent="0.2">
      <c r="B99" s="45"/>
      <c r="C99" s="45"/>
      <c r="D99" s="45"/>
      <c r="E99" s="45"/>
      <c r="F99" s="45"/>
      <c r="G99" s="45"/>
      <c r="H99" s="45"/>
      <c r="I99" s="45"/>
      <c r="J99" s="45"/>
      <c r="K99" s="45"/>
      <c r="L99" s="45"/>
      <c r="M99" s="45"/>
      <c r="N99" s="45"/>
      <c r="O99" s="45"/>
      <c r="P99" s="45"/>
      <c r="Q99" s="45"/>
      <c r="R99" s="45"/>
      <c r="T99" s="481"/>
      <c r="U99" s="45"/>
      <c r="W99" s="481"/>
      <c r="X99" s="45"/>
      <c r="Z99" s="481"/>
      <c r="AA99" s="45"/>
      <c r="AC99" s="481"/>
      <c r="AD99" s="45"/>
      <c r="AF99" s="481"/>
      <c r="AG99" s="45"/>
      <c r="AI99" s="481"/>
      <c r="AJ99" s="45"/>
      <c r="AL99" s="481"/>
      <c r="AM99" s="45"/>
    </row>
    <row r="100" spans="2:39" x14ac:dyDescent="0.2">
      <c r="B100" s="45"/>
      <c r="C100" s="45"/>
      <c r="D100" s="45"/>
      <c r="E100" s="45"/>
      <c r="F100" s="45"/>
      <c r="G100" s="45"/>
      <c r="H100" s="45"/>
      <c r="I100" s="45"/>
      <c r="J100" s="45"/>
      <c r="K100" s="45"/>
      <c r="L100" s="45"/>
      <c r="M100" s="45"/>
      <c r="N100" s="45"/>
      <c r="O100" s="45"/>
      <c r="P100" s="45"/>
      <c r="Q100" s="45"/>
      <c r="R100" s="45"/>
      <c r="T100" s="316"/>
      <c r="U100" s="45"/>
      <c r="W100" s="316"/>
      <c r="X100" s="45"/>
      <c r="Z100" s="316"/>
      <c r="AA100" s="45"/>
      <c r="AC100" s="316"/>
      <c r="AD100" s="45"/>
      <c r="AF100" s="316"/>
      <c r="AG100" s="45"/>
      <c r="AI100" s="316"/>
      <c r="AJ100" s="45"/>
      <c r="AL100" s="316"/>
      <c r="AM100" s="45"/>
    </row>
    <row r="102" spans="2:39" x14ac:dyDescent="0.2">
      <c r="B102" s="45"/>
      <c r="C102" s="45"/>
      <c r="D102" s="45"/>
      <c r="E102" s="45"/>
      <c r="F102" s="45"/>
      <c r="G102" s="45"/>
      <c r="H102" s="45"/>
      <c r="I102" s="45"/>
      <c r="J102" s="45"/>
      <c r="K102" s="45"/>
      <c r="L102" s="45"/>
      <c r="M102" s="45"/>
      <c r="N102" s="45"/>
      <c r="O102" s="45"/>
      <c r="P102" s="45"/>
      <c r="Q102" s="45"/>
      <c r="R102" s="45"/>
      <c r="T102" s="481"/>
      <c r="U102" s="45"/>
      <c r="W102" s="481"/>
      <c r="X102" s="45"/>
      <c r="Z102" s="481"/>
      <c r="AA102" s="45"/>
      <c r="AC102" s="481"/>
      <c r="AD102" s="45"/>
      <c r="AF102" s="481"/>
      <c r="AG102" s="45"/>
      <c r="AI102" s="481"/>
      <c r="AJ102" s="45"/>
      <c r="AL102" s="481"/>
      <c r="AM102" s="45"/>
    </row>
    <row r="103" spans="2:39" x14ac:dyDescent="0.2">
      <c r="B103" s="45"/>
      <c r="C103" s="45"/>
      <c r="D103" s="45"/>
      <c r="E103" s="45"/>
      <c r="F103" s="45"/>
      <c r="G103" s="45"/>
      <c r="H103" s="45"/>
      <c r="I103" s="45"/>
      <c r="J103" s="45"/>
      <c r="K103" s="45"/>
      <c r="L103" s="45"/>
      <c r="M103" s="45"/>
      <c r="N103" s="45"/>
      <c r="O103" s="45"/>
      <c r="P103" s="45"/>
      <c r="Q103" s="45"/>
      <c r="R103" s="45"/>
      <c r="T103" s="316"/>
      <c r="U103" s="45"/>
      <c r="W103" s="316"/>
      <c r="X103" s="45"/>
      <c r="Z103" s="316"/>
      <c r="AA103" s="45"/>
      <c r="AC103" s="316"/>
      <c r="AD103" s="45"/>
      <c r="AF103" s="316"/>
      <c r="AG103" s="45"/>
      <c r="AI103" s="316"/>
      <c r="AJ103" s="45"/>
      <c r="AL103" s="316"/>
      <c r="AM103" s="45"/>
    </row>
    <row r="104" spans="2:39" x14ac:dyDescent="0.2">
      <c r="B104" s="45"/>
      <c r="C104" s="45"/>
      <c r="D104" s="45"/>
      <c r="E104" s="45"/>
      <c r="F104" s="45"/>
      <c r="G104" s="45"/>
      <c r="H104" s="45"/>
      <c r="I104" s="45"/>
      <c r="J104" s="45"/>
      <c r="K104" s="45"/>
      <c r="L104" s="45"/>
      <c r="M104" s="45"/>
      <c r="N104" s="45"/>
      <c r="O104" s="45"/>
      <c r="P104" s="45"/>
      <c r="Q104" s="45"/>
      <c r="R104" s="45"/>
      <c r="T104" s="316"/>
      <c r="U104" s="45"/>
      <c r="W104" s="316"/>
      <c r="X104" s="45"/>
      <c r="Z104" s="316"/>
      <c r="AA104" s="45"/>
      <c r="AC104" s="316"/>
      <c r="AD104" s="45"/>
      <c r="AF104" s="316"/>
      <c r="AG104" s="45"/>
      <c r="AI104" s="316"/>
      <c r="AJ104" s="45"/>
      <c r="AL104" s="316"/>
      <c r="AM104" s="45"/>
    </row>
    <row r="105" spans="2:39" x14ac:dyDescent="0.2">
      <c r="B105" s="45"/>
      <c r="C105" s="45"/>
      <c r="D105" s="45"/>
      <c r="E105" s="45"/>
      <c r="F105" s="45"/>
      <c r="G105" s="45"/>
      <c r="H105" s="45"/>
      <c r="I105" s="45"/>
      <c r="J105" s="45"/>
      <c r="K105" s="45"/>
      <c r="L105" s="45"/>
      <c r="M105" s="45"/>
      <c r="N105" s="45"/>
      <c r="O105" s="45"/>
      <c r="P105" s="45"/>
      <c r="Q105" s="45"/>
      <c r="R105" s="45"/>
      <c r="T105" s="316"/>
      <c r="U105" s="45"/>
      <c r="W105" s="316"/>
      <c r="X105" s="45"/>
      <c r="Z105" s="316"/>
      <c r="AA105" s="45"/>
      <c r="AC105" s="316"/>
      <c r="AD105" s="45"/>
      <c r="AF105" s="316"/>
      <c r="AG105" s="45"/>
      <c r="AI105" s="316"/>
      <c r="AJ105" s="45"/>
      <c r="AL105" s="316"/>
      <c r="AM105" s="45"/>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39">
    <mergeCell ref="B89:AM89"/>
    <mergeCell ref="AB7:AD7"/>
    <mergeCell ref="AK7:AM7"/>
    <mergeCell ref="F1:J1"/>
    <mergeCell ref="F2:J2"/>
    <mergeCell ref="V7:X7"/>
    <mergeCell ref="M4:O4"/>
    <mergeCell ref="M5:O5"/>
    <mergeCell ref="S7:U7"/>
    <mergeCell ref="AE7:AG7"/>
    <mergeCell ref="AH7:AJ7"/>
    <mergeCell ref="AE6:AM6"/>
    <mergeCell ref="AB5:AD5"/>
    <mergeCell ref="Y5:AA5"/>
    <mergeCell ref="Y7:AA7"/>
    <mergeCell ref="B87:AM87"/>
    <mergeCell ref="BB12:BE12"/>
    <mergeCell ref="BN11:BQ11"/>
    <mergeCell ref="BN12:BQ12"/>
    <mergeCell ref="AT11:AW11"/>
    <mergeCell ref="AT12:AW12"/>
    <mergeCell ref="BF11:BI11"/>
    <mergeCell ref="BJ11:BM11"/>
    <mergeCell ref="BF12:BI12"/>
    <mergeCell ref="BJ12:BM12"/>
    <mergeCell ref="BC10:BD10"/>
    <mergeCell ref="BO10:BP10"/>
    <mergeCell ref="BG10:BH10"/>
    <mergeCell ref="BK10:BL10"/>
    <mergeCell ref="BB11:BE11"/>
    <mergeCell ref="S6:AD6"/>
    <mergeCell ref="AY10:AZ10"/>
    <mergeCell ref="AX11:BA11"/>
    <mergeCell ref="AX12:BA12"/>
    <mergeCell ref="AU10:AV10"/>
    <mergeCell ref="AP11:AS11"/>
    <mergeCell ref="AP12:AS12"/>
    <mergeCell ref="AO8:AO11"/>
    <mergeCell ref="AQ10:AR10"/>
  </mergeCells>
  <printOptions horizontalCentered="1" verticalCentered="1"/>
  <pageMargins left="0.5" right="0.5" top="0.5" bottom="0.5" header="0.25" footer="0.25"/>
  <pageSetup scale="51" orientation="landscape" r:id="rId3"/>
  <headerFooter alignWithMargins="0">
    <oddHeader>&amp;RUG-200994 et al. / NWN WUTC Advice 21-09A
WP1 / &amp;A</oddHead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pane xSplit="3" ySplit="15" topLeftCell="D16" activePane="bottomRight" state="frozen"/>
      <selection pane="topRight" activeCell="D1" sqref="D1"/>
      <selection pane="bottomLeft" activeCell="A16" sqref="A16"/>
      <selection pane="bottomRight" activeCell="I4" sqref="I4"/>
    </sheetView>
  </sheetViews>
  <sheetFormatPr defaultColWidth="9.33203125" defaultRowHeight="12.75" x14ac:dyDescent="0.2"/>
  <cols>
    <col min="1" max="1" width="5.6640625" style="45" customWidth="1"/>
    <col min="2" max="2" width="16.5" style="46" customWidth="1"/>
    <col min="3" max="3" width="8.33203125" style="46" customWidth="1"/>
    <col min="4" max="4" width="17.6640625" style="417" customWidth="1"/>
    <col min="5" max="6" width="12.6640625" style="417" bestFit="1" customWidth="1"/>
    <col min="7" max="7" width="12.5" style="417" customWidth="1"/>
    <col min="8" max="8" width="17.83203125" style="417" bestFit="1" customWidth="1"/>
    <col min="9" max="9" width="14.6640625" style="417" customWidth="1"/>
    <col min="10" max="10" width="11.33203125" style="417" customWidth="1"/>
    <col min="11" max="11" width="19.83203125" style="417" bestFit="1" customWidth="1"/>
    <col min="12" max="12" width="28.33203125" style="417" customWidth="1"/>
    <col min="13" max="13" width="16.1640625" style="418" customWidth="1"/>
    <col min="14" max="15" width="13.83203125" style="46" customWidth="1"/>
    <col min="16" max="16" width="16.1640625" style="418" customWidth="1"/>
    <col min="17" max="18" width="13.83203125" style="46" customWidth="1"/>
    <col min="19" max="16384" width="9.33203125" style="45"/>
  </cols>
  <sheetData>
    <row r="1" spans="1:18" ht="14.1" customHeight="1" x14ac:dyDescent="0.2">
      <c r="A1" s="129" t="e">
        <f>+#REF!</f>
        <v>#REF!</v>
      </c>
      <c r="F1" s="1592"/>
      <c r="G1" s="1592"/>
      <c r="H1" s="1592"/>
    </row>
    <row r="2" spans="1:18" ht="14.1" customHeight="1" x14ac:dyDescent="0.2">
      <c r="A2" s="129" t="e">
        <f>+#REF!</f>
        <v>#REF!</v>
      </c>
      <c r="F2" s="1594"/>
      <c r="G2" s="1594"/>
      <c r="H2" s="1594"/>
      <c r="K2" s="419"/>
    </row>
    <row r="3" spans="1:18" ht="14.1" customHeight="1" x14ac:dyDescent="0.2">
      <c r="A3" s="129" t="e">
        <f>+#REF!</f>
        <v>#REF!</v>
      </c>
      <c r="M3" s="420"/>
      <c r="P3" s="420"/>
    </row>
    <row r="4" spans="1:18" ht="14.1" customHeight="1" x14ac:dyDescent="0.2">
      <c r="A4" s="129" t="e">
        <f>+#REF!</f>
        <v>#REF!</v>
      </c>
      <c r="M4" s="417"/>
      <c r="P4" s="417"/>
    </row>
    <row r="5" spans="1:18" ht="14.1" customHeight="1" x14ac:dyDescent="0.2">
      <c r="A5" s="423" t="s">
        <v>191</v>
      </c>
      <c r="D5" s="46"/>
      <c r="E5" s="46"/>
      <c r="F5" s="46"/>
      <c r="G5" s="46"/>
      <c r="H5" s="46"/>
      <c r="I5" s="46"/>
      <c r="J5" s="46"/>
      <c r="K5" s="422"/>
      <c r="L5" s="46"/>
      <c r="M5" s="46"/>
      <c r="P5" s="46"/>
    </row>
    <row r="6" spans="1:18" ht="14.1" customHeight="1" x14ac:dyDescent="0.2">
      <c r="A6" s="45" t="e">
        <f>#REF!</f>
        <v>#REF!</v>
      </c>
      <c r="D6" s="46"/>
      <c r="E6" s="46"/>
      <c r="F6" s="46"/>
      <c r="G6" s="46"/>
      <c r="H6" s="46"/>
      <c r="I6" s="46"/>
      <c r="J6" s="46"/>
      <c r="K6" s="422"/>
      <c r="L6" s="46"/>
      <c r="M6" s="46"/>
      <c r="P6" s="46"/>
    </row>
    <row r="7" spans="1:18" ht="14.1" customHeight="1" x14ac:dyDescent="0.2">
      <c r="D7" s="46"/>
      <c r="E7" s="46"/>
      <c r="G7" s="46"/>
      <c r="H7" s="424"/>
      <c r="J7" s="46"/>
      <c r="K7" s="422"/>
      <c r="L7" s="46"/>
      <c r="M7" s="425"/>
      <c r="P7" s="425"/>
    </row>
    <row r="8" spans="1:18" ht="14.1" customHeight="1" x14ac:dyDescent="0.2">
      <c r="A8" s="426"/>
      <c r="B8" s="427"/>
      <c r="C8" s="427"/>
      <c r="D8" s="427"/>
      <c r="E8" s="428"/>
      <c r="H8" s="46"/>
      <c r="I8" s="428"/>
      <c r="J8" s="46"/>
      <c r="K8" s="46"/>
    </row>
    <row r="9" spans="1:18" ht="15" customHeight="1" thickBot="1" x14ac:dyDescent="0.25">
      <c r="A9" s="76">
        <v>1</v>
      </c>
      <c r="E9" s="342"/>
      <c r="F9" s="429">
        <f>'Avg Bill by RS'!Q9</f>
        <v>44501</v>
      </c>
      <c r="G9" s="429">
        <f>F9</f>
        <v>44501</v>
      </c>
      <c r="H9" s="51"/>
      <c r="J9" s="51"/>
      <c r="K9" s="51"/>
      <c r="L9" s="46"/>
      <c r="M9" s="1622" t="s">
        <v>288</v>
      </c>
      <c r="N9" s="1623"/>
      <c r="O9" s="1624"/>
      <c r="P9" s="1622" t="s">
        <v>288</v>
      </c>
      <c r="Q9" s="1623"/>
      <c r="R9" s="1624"/>
    </row>
    <row r="10" spans="1:18" ht="15" customHeight="1" thickBot="1" x14ac:dyDescent="0.25">
      <c r="A10" s="76">
        <f t="shared" ref="A10:A90" si="0">+A9+1</f>
        <v>2</v>
      </c>
      <c r="D10" s="430" t="str">
        <f>'Allocation = ¢ per Therm'!D11</f>
        <v>UG XXXXXX</v>
      </c>
      <c r="E10" s="51" t="s">
        <v>18</v>
      </c>
      <c r="F10" s="506" t="str">
        <f>D10</f>
        <v>UG XXXXXX</v>
      </c>
      <c r="G10" s="506" t="str">
        <f>F10</f>
        <v>UG XXXXXX</v>
      </c>
      <c r="H10" s="506" t="str">
        <f>G10</f>
        <v>UG XXXXXX</v>
      </c>
      <c r="I10" s="506" t="str">
        <f>H10</f>
        <v>UG XXXXXX</v>
      </c>
      <c r="J10" s="506" t="str">
        <f>I10</f>
        <v>UG XXXXXX</v>
      </c>
      <c r="K10" s="506" t="str">
        <f>G10</f>
        <v>UG XXXXXX</v>
      </c>
      <c r="L10" s="592" t="s">
        <v>29</v>
      </c>
      <c r="M10" s="431"/>
      <c r="N10" s="432" t="s">
        <v>159</v>
      </c>
      <c r="O10" s="433"/>
      <c r="P10" s="431"/>
      <c r="Q10" s="432" t="s">
        <v>159</v>
      </c>
      <c r="R10" s="433"/>
    </row>
    <row r="11" spans="1:18" ht="15" customHeight="1" thickBot="1" x14ac:dyDescent="0.25">
      <c r="A11" s="76">
        <f t="shared" si="0"/>
        <v>3</v>
      </c>
      <c r="D11" s="51" t="str">
        <f>'Allocation = ¢ per Therm'!D12</f>
        <v>WA GRC</v>
      </c>
      <c r="E11" s="49" t="s">
        <v>188</v>
      </c>
      <c r="F11" s="434" t="s">
        <v>188</v>
      </c>
      <c r="G11" s="134" t="s">
        <v>188</v>
      </c>
      <c r="H11" s="51" t="s">
        <v>69</v>
      </c>
      <c r="I11" s="76" t="s">
        <v>66</v>
      </c>
      <c r="J11" s="51" t="s">
        <v>66</v>
      </c>
      <c r="K11" s="49" t="s">
        <v>32</v>
      </c>
      <c r="L11" s="592" t="s">
        <v>24</v>
      </c>
      <c r="M11" s="435">
        <v>4.1579999999999999E-2</v>
      </c>
      <c r="N11" s="436" t="str">
        <f>IF(M11="&lt; n/a &gt;","rev sensitive factor is built in","add revenue sensitive factor")</f>
        <v>add revenue sensitive factor</v>
      </c>
      <c r="O11" s="437"/>
      <c r="P11" s="435">
        <v>4.1579999999999999E-2</v>
      </c>
      <c r="Q11" s="436" t="str">
        <f>IF(P11="&lt; n/a &gt;","rev sensitive factor is built in","add revenue sensitive factor")</f>
        <v>add revenue sensitive factor</v>
      </c>
      <c r="R11" s="437"/>
    </row>
    <row r="12" spans="1:18" s="47" customFormat="1" ht="15" customHeight="1" thickBot="1" x14ac:dyDescent="0.25">
      <c r="A12" s="76">
        <f t="shared" si="0"/>
        <v>4</v>
      </c>
      <c r="B12" s="46"/>
      <c r="C12" s="46"/>
      <c r="D12" s="347" t="s">
        <v>153</v>
      </c>
      <c r="E12" s="162" t="s">
        <v>28</v>
      </c>
      <c r="F12" s="438" t="s">
        <v>79</v>
      </c>
      <c r="G12" s="439" t="s">
        <v>28</v>
      </c>
      <c r="H12" s="347" t="s">
        <v>189</v>
      </c>
      <c r="I12" s="347" t="s">
        <v>56</v>
      </c>
      <c r="J12" s="347" t="s">
        <v>287</v>
      </c>
      <c r="K12" s="162" t="s">
        <v>189</v>
      </c>
      <c r="L12" s="593" t="s">
        <v>25</v>
      </c>
      <c r="M12" s="440">
        <f>IF(M11&lt;&gt;"&lt; n/a &gt;",ROUND(+M10/(1-M11),0),M10)</f>
        <v>0</v>
      </c>
      <c r="N12" s="856" t="s">
        <v>316</v>
      </c>
      <c r="O12" s="441"/>
      <c r="P12" s="440">
        <f>IF(P11&lt;&gt;"&lt; n/a &gt;",ROUND(+P10/(1-P11),0),P10)</f>
        <v>0</v>
      </c>
      <c r="Q12" s="856" t="s">
        <v>316</v>
      </c>
      <c r="R12" s="441"/>
    </row>
    <row r="13" spans="1:18" s="47" customFormat="1" x14ac:dyDescent="0.2">
      <c r="A13" s="76">
        <f t="shared" si="0"/>
        <v>5</v>
      </c>
      <c r="B13" s="46"/>
      <c r="C13" s="46"/>
      <c r="D13" s="140"/>
      <c r="E13" s="49"/>
      <c r="F13" s="49"/>
      <c r="G13" s="49" t="s">
        <v>154</v>
      </c>
      <c r="H13" s="350" t="s">
        <v>155</v>
      </c>
      <c r="I13" s="49"/>
      <c r="J13" s="140"/>
      <c r="K13" s="442" t="s">
        <v>156</v>
      </c>
      <c r="L13" s="443"/>
      <c r="M13" s="396"/>
      <c r="N13" s="444" t="s">
        <v>319</v>
      </c>
      <c r="O13" s="445" t="s">
        <v>198</v>
      </c>
      <c r="P13" s="396"/>
      <c r="Q13" s="444" t="s">
        <v>319</v>
      </c>
      <c r="R13" s="445" t="s">
        <v>198</v>
      </c>
    </row>
    <row r="14" spans="1:18" s="47" customFormat="1" ht="12.6" customHeight="1" x14ac:dyDescent="0.2">
      <c r="A14" s="76">
        <f t="shared" si="0"/>
        <v>6</v>
      </c>
      <c r="C14" s="397"/>
      <c r="D14" s="397"/>
      <c r="E14" s="397"/>
      <c r="F14" s="397"/>
      <c r="G14" s="397"/>
      <c r="H14" s="397"/>
      <c r="I14" s="397"/>
      <c r="J14" s="397"/>
      <c r="K14" s="397"/>
      <c r="L14" s="446"/>
      <c r="M14" s="447" t="s">
        <v>22</v>
      </c>
      <c r="N14" s="448" t="s">
        <v>320</v>
      </c>
      <c r="O14" s="449" t="s">
        <v>28</v>
      </c>
      <c r="P14" s="447" t="s">
        <v>22</v>
      </c>
      <c r="Q14" s="448" t="s">
        <v>320</v>
      </c>
      <c r="R14" s="449" t="s">
        <v>28</v>
      </c>
    </row>
    <row r="15" spans="1:18" x14ac:dyDescent="0.2">
      <c r="A15" s="76">
        <f t="shared" si="0"/>
        <v>7</v>
      </c>
      <c r="B15" s="685" t="s">
        <v>2</v>
      </c>
      <c r="C15" s="48" t="s">
        <v>3</v>
      </c>
      <c r="D15" s="114" t="s">
        <v>35</v>
      </c>
      <c r="E15" s="114" t="s">
        <v>36</v>
      </c>
      <c r="F15" s="114" t="s">
        <v>13</v>
      </c>
      <c r="G15" s="114" t="s">
        <v>37</v>
      </c>
      <c r="H15" s="114" t="s">
        <v>38</v>
      </c>
      <c r="I15" s="114" t="s">
        <v>39</v>
      </c>
      <c r="J15" s="114" t="s">
        <v>40</v>
      </c>
      <c r="K15" s="114" t="s">
        <v>41</v>
      </c>
      <c r="L15" s="450"/>
      <c r="M15" s="447" t="s">
        <v>42</v>
      </c>
      <c r="N15" s="114" t="s">
        <v>109</v>
      </c>
      <c r="O15" s="449" t="s">
        <v>43</v>
      </c>
      <c r="P15" s="447" t="s">
        <v>42</v>
      </c>
      <c r="Q15" s="667" t="s">
        <v>109</v>
      </c>
      <c r="R15" s="449" t="s">
        <v>43</v>
      </c>
    </row>
    <row r="16" spans="1:18" x14ac:dyDescent="0.2">
      <c r="A16" s="76">
        <f t="shared" si="0"/>
        <v>8</v>
      </c>
      <c r="B16" s="669" t="e">
        <f>#REF!</f>
        <v>#REF!</v>
      </c>
      <c r="C16" s="669" t="s">
        <v>248</v>
      </c>
      <c r="D16" s="353" t="e">
        <f>#REF!</f>
        <v>#REF!</v>
      </c>
      <c r="E16" s="451">
        <f>'Rates in Detail'!J13</f>
        <v>1.1525299999999998</v>
      </c>
      <c r="F16" s="707">
        <f>'Rates in Detail'!L13+'Rates in Detail'!P13+'Rates in Detail'!S13+'Rates in Detail'!U13</f>
        <v>8.882000000000001E-2</v>
      </c>
      <c r="G16" s="451">
        <f>E16+F16</f>
        <v>1.2413499999999997</v>
      </c>
      <c r="H16" s="455" t="e">
        <f>ROUND(G16*D16,0)</f>
        <v>#REF!</v>
      </c>
      <c r="I16" s="705" t="e">
        <f>#REF!</f>
        <v>#REF!</v>
      </c>
      <c r="J16" s="353" t="e">
        <f>#REF!</f>
        <v>#REF!</v>
      </c>
      <c r="K16" s="455" t="e">
        <f>ROUND((I16*J16*12)+H16,0)</f>
        <v>#REF!</v>
      </c>
      <c r="L16" s="450"/>
      <c r="M16" s="452">
        <v>1</v>
      </c>
      <c r="N16" s="453" t="e">
        <f>ROUND(+$M$12*(($K16*M16)/M$86),0)</f>
        <v>#REF!</v>
      </c>
      <c r="O16" s="458">
        <f>IFERROR(ROUND(N16/D16,5),0)</f>
        <v>0</v>
      </c>
      <c r="P16" s="452">
        <v>1</v>
      </c>
      <c r="Q16" s="453" t="e">
        <f>ROUND(+$P$12*(($K16*P16)/P$86),0)</f>
        <v>#REF!</v>
      </c>
      <c r="R16" s="458">
        <f>IFERROR(ROUND(Q16/$D16,5),0)</f>
        <v>0</v>
      </c>
    </row>
    <row r="17" spans="1:18" x14ac:dyDescent="0.2">
      <c r="A17" s="76">
        <f t="shared" si="0"/>
        <v>9</v>
      </c>
      <c r="B17" s="669" t="e">
        <f>#REF!</f>
        <v>#REF!</v>
      </c>
      <c r="C17" s="669" t="s">
        <v>248</v>
      </c>
      <c r="D17" s="454" t="e">
        <f>#REF!</f>
        <v>#REF!</v>
      </c>
      <c r="E17" s="451">
        <f>'Rates in Detail'!J14</f>
        <v>1.18929</v>
      </c>
      <c r="F17" s="707">
        <f>'Rates in Detail'!L14+'Rates in Detail'!P14+'Rates in Detail'!S14+'Rates in Detail'!U14</f>
        <v>7.3850000000000013E-2</v>
      </c>
      <c r="G17" s="451">
        <f t="shared" ref="G17:G80" si="1">E17+F17</f>
        <v>1.2631399999999999</v>
      </c>
      <c r="H17" s="455" t="e">
        <f t="shared" ref="H17:H80" si="2">ROUND(G17*D17,0)</f>
        <v>#REF!</v>
      </c>
      <c r="I17" s="456" t="e">
        <f>#REF!</f>
        <v>#REF!</v>
      </c>
      <c r="J17" s="353" t="e">
        <f>#REF!</f>
        <v>#REF!</v>
      </c>
      <c r="K17" s="455" t="e">
        <f t="shared" ref="K17:K21" si="3">ROUND((I17*J17*12)+H17,0)</f>
        <v>#REF!</v>
      </c>
      <c r="L17" s="450"/>
      <c r="M17" s="452">
        <v>1</v>
      </c>
      <c r="N17" s="453" t="e">
        <f t="shared" ref="N17:N21" si="4">ROUND(+$M$12*(($K17*M17)/M$86),0)</f>
        <v>#REF!</v>
      </c>
      <c r="O17" s="458">
        <f t="shared" ref="O17:O21" si="5">IFERROR(ROUND(N17/D17,5),0)</f>
        <v>0</v>
      </c>
      <c r="P17" s="452">
        <v>1</v>
      </c>
      <c r="Q17" s="453" t="e">
        <f t="shared" ref="Q17:Q21" si="6">ROUND(+$P$12*(($K17*P17)/P$86),0)</f>
        <v>#REF!</v>
      </c>
      <c r="R17" s="458">
        <f t="shared" ref="R17:R21" si="7">IFERROR(ROUND(Q17/$D17,5),0)</f>
        <v>0</v>
      </c>
    </row>
    <row r="18" spans="1:18" x14ac:dyDescent="0.2">
      <c r="A18" s="76">
        <f t="shared" si="0"/>
        <v>10</v>
      </c>
      <c r="B18" s="669" t="e">
        <f>#REF!</f>
        <v>#REF!</v>
      </c>
      <c r="C18" s="669" t="s">
        <v>248</v>
      </c>
      <c r="D18" s="454" t="e">
        <f>#REF!</f>
        <v>#REF!</v>
      </c>
      <c r="E18" s="451">
        <f>'Rates in Detail'!J15</f>
        <v>0.88947999999999972</v>
      </c>
      <c r="F18" s="707">
        <f>'Rates in Detail'!L15+'Rates in Detail'!P15+'Rates in Detail'!S15+'Rates in Detail'!U15</f>
        <v>5.6209999999999996E-2</v>
      </c>
      <c r="G18" s="451">
        <f t="shared" si="1"/>
        <v>0.9456899999999997</v>
      </c>
      <c r="H18" s="455" t="e">
        <f t="shared" si="2"/>
        <v>#REF!</v>
      </c>
      <c r="I18" s="456" t="e">
        <f>#REF!</f>
        <v>#REF!</v>
      </c>
      <c r="J18" s="353" t="e">
        <f>#REF!</f>
        <v>#REF!</v>
      </c>
      <c r="K18" s="455" t="e">
        <f t="shared" si="3"/>
        <v>#REF!</v>
      </c>
      <c r="L18" s="450"/>
      <c r="M18" s="452">
        <v>1</v>
      </c>
      <c r="N18" s="453" t="e">
        <f t="shared" si="4"/>
        <v>#REF!</v>
      </c>
      <c r="O18" s="458">
        <f t="shared" si="5"/>
        <v>0</v>
      </c>
      <c r="P18" s="452">
        <v>1</v>
      </c>
      <c r="Q18" s="453" t="e">
        <f t="shared" si="6"/>
        <v>#REF!</v>
      </c>
      <c r="R18" s="458">
        <f t="shared" si="7"/>
        <v>0</v>
      </c>
    </row>
    <row r="19" spans="1:18" x14ac:dyDescent="0.2">
      <c r="A19" s="76">
        <f t="shared" si="0"/>
        <v>11</v>
      </c>
      <c r="B19" s="669" t="e">
        <f>#REF!</f>
        <v>#REF!</v>
      </c>
      <c r="C19" s="669" t="s">
        <v>248</v>
      </c>
      <c r="D19" s="454" t="e">
        <f>#REF!</f>
        <v>#REF!</v>
      </c>
      <c r="E19" s="451">
        <f>'Rates in Detail'!J16</f>
        <v>0.86690000000000011</v>
      </c>
      <c r="F19" s="707">
        <f>'Rates in Detail'!L16+'Rates in Detail'!P16+'Rates in Detail'!S16+'Rates in Detail'!U16</f>
        <v>5.0479999999999997E-2</v>
      </c>
      <c r="G19" s="451">
        <f t="shared" si="1"/>
        <v>0.91738000000000008</v>
      </c>
      <c r="H19" s="455" t="e">
        <f t="shared" si="2"/>
        <v>#REF!</v>
      </c>
      <c r="I19" s="456" t="e">
        <f>#REF!</f>
        <v>#REF!</v>
      </c>
      <c r="J19" s="353" t="e">
        <f>#REF!</f>
        <v>#REF!</v>
      </c>
      <c r="K19" s="455" t="e">
        <f t="shared" si="3"/>
        <v>#REF!</v>
      </c>
      <c r="L19" s="450"/>
      <c r="M19" s="452">
        <v>1</v>
      </c>
      <c r="N19" s="453" t="e">
        <f t="shared" si="4"/>
        <v>#REF!</v>
      </c>
      <c r="O19" s="458">
        <f t="shared" si="5"/>
        <v>0</v>
      </c>
      <c r="P19" s="452">
        <v>1</v>
      </c>
      <c r="Q19" s="453" t="e">
        <f t="shared" si="6"/>
        <v>#REF!</v>
      </c>
      <c r="R19" s="458">
        <f t="shared" si="7"/>
        <v>0</v>
      </c>
    </row>
    <row r="20" spans="1:18" x14ac:dyDescent="0.2">
      <c r="A20" s="76">
        <f t="shared" si="0"/>
        <v>12</v>
      </c>
      <c r="B20" s="669" t="e">
        <f>#REF!</f>
        <v>#REF!</v>
      </c>
      <c r="C20" s="669" t="s">
        <v>248</v>
      </c>
      <c r="D20" s="454" t="e">
        <f>#REF!</f>
        <v>#REF!</v>
      </c>
      <c r="E20" s="451">
        <f>'Rates in Detail'!J17</f>
        <v>0.82713999999999999</v>
      </c>
      <c r="F20" s="451">
        <f>'Rates in Detail'!L17+'Rates in Detail'!P17+'Rates in Detail'!S17+'Rates in Detail'!U17</f>
        <v>5.4089999999999999E-2</v>
      </c>
      <c r="G20" s="451">
        <f t="shared" si="1"/>
        <v>0.88122999999999996</v>
      </c>
      <c r="H20" s="455" t="e">
        <f t="shared" si="2"/>
        <v>#REF!</v>
      </c>
      <c r="I20" s="456" t="e">
        <f>#REF!</f>
        <v>#REF!</v>
      </c>
      <c r="J20" s="353" t="e">
        <f>#REF!</f>
        <v>#REF!</v>
      </c>
      <c r="K20" s="455" t="e">
        <f t="shared" si="3"/>
        <v>#REF!</v>
      </c>
      <c r="L20" s="450"/>
      <c r="M20" s="452">
        <v>1</v>
      </c>
      <c r="N20" s="453" t="e">
        <f t="shared" si="4"/>
        <v>#REF!</v>
      </c>
      <c r="O20" s="458">
        <f t="shared" si="5"/>
        <v>0</v>
      </c>
      <c r="P20" s="452">
        <v>1</v>
      </c>
      <c r="Q20" s="453" t="e">
        <f t="shared" si="6"/>
        <v>#REF!</v>
      </c>
      <c r="R20" s="458">
        <f t="shared" si="7"/>
        <v>0</v>
      </c>
    </row>
    <row r="21" spans="1:18" x14ac:dyDescent="0.2">
      <c r="A21" s="76">
        <f t="shared" si="0"/>
        <v>13</v>
      </c>
      <c r="B21" s="669" t="e">
        <f>#REF!</f>
        <v>#REF!</v>
      </c>
      <c r="C21" s="669" t="s">
        <v>248</v>
      </c>
      <c r="D21" s="454" t="e">
        <f>#REF!</f>
        <v>#REF!</v>
      </c>
      <c r="E21" s="451">
        <f>'Rates in Detail'!J18</f>
        <v>0.64432999999999974</v>
      </c>
      <c r="F21" s="451">
        <f>'Rates in Detail'!L18+'Rates in Detail'!P18+'Rates in Detail'!S18+'Rates in Detail'!U18</f>
        <v>0.04</v>
      </c>
      <c r="G21" s="451">
        <f t="shared" si="1"/>
        <v>0.68432999999999977</v>
      </c>
      <c r="H21" s="455" t="e">
        <f t="shared" si="2"/>
        <v>#REF!</v>
      </c>
      <c r="I21" s="456" t="e">
        <f>#REF!</f>
        <v>#REF!</v>
      </c>
      <c r="J21" s="353" t="e">
        <f>#REF!</f>
        <v>#REF!</v>
      </c>
      <c r="K21" s="455" t="e">
        <f t="shared" si="3"/>
        <v>#REF!</v>
      </c>
      <c r="L21" s="450"/>
      <c r="M21" s="452">
        <v>1</v>
      </c>
      <c r="N21" s="453" t="e">
        <f t="shared" si="4"/>
        <v>#REF!</v>
      </c>
      <c r="O21" s="458">
        <f t="shared" si="5"/>
        <v>0</v>
      </c>
      <c r="P21" s="452">
        <v>1</v>
      </c>
      <c r="Q21" s="453" t="e">
        <f t="shared" si="6"/>
        <v>#REF!</v>
      </c>
      <c r="R21" s="458">
        <f t="shared" si="7"/>
        <v>0</v>
      </c>
    </row>
    <row r="22" spans="1:18" x14ac:dyDescent="0.2">
      <c r="A22" s="76">
        <f t="shared" si="0"/>
        <v>14</v>
      </c>
      <c r="B22" s="670" t="e">
        <f>#REF!</f>
        <v>#REF!</v>
      </c>
      <c r="C22" s="671" t="s">
        <v>4</v>
      </c>
      <c r="D22" s="460" t="e">
        <f>#REF!</f>
        <v>#REF!</v>
      </c>
      <c r="E22" s="461">
        <f>'Rates in Detail'!J19</f>
        <v>0.65150000000000008</v>
      </c>
      <c r="F22" s="461">
        <f>'Rates in Detail'!L19+'Rates in Detail'!P19+'Rates in Detail'!S19+'Rates in Detail'!U19</f>
        <v>4.0090000000000001E-2</v>
      </c>
      <c r="G22" s="461">
        <f t="shared" si="1"/>
        <v>0.69159000000000004</v>
      </c>
      <c r="H22" s="270" t="e">
        <f t="shared" si="2"/>
        <v>#REF!</v>
      </c>
      <c r="I22" s="144" t="e">
        <f>#REF!</f>
        <v>#REF!</v>
      </c>
      <c r="J22" s="288" t="e">
        <f>#REF!</f>
        <v>#REF!</v>
      </c>
      <c r="K22" s="462" t="e">
        <f>ROUND((I22*J22*12)+H22+H23,0)</f>
        <v>#REF!</v>
      </c>
      <c r="L22" s="463"/>
      <c r="M22" s="464">
        <v>1</v>
      </c>
      <c r="N22" s="465" t="e">
        <f>ROUND(+$M$12*(($K22*M22)/M$86),0)</f>
        <v>#REF!</v>
      </c>
      <c r="O22" s="466">
        <f>IFERROR(ROUND(($N$22*(D22/SUM($D$22:$D$23)))/D22,5),0)</f>
        <v>0</v>
      </c>
      <c r="P22" s="464">
        <v>1</v>
      </c>
      <c r="Q22" s="465" t="e">
        <f>ROUND(+$P$12*(($K22*P22)/P$86),0)</f>
        <v>#REF!</v>
      </c>
      <c r="R22" s="466">
        <f>IFERROR(ROUND(($Q$22*(D22/SUM($D$22:$D$23)))/D22,5),0)</f>
        <v>0</v>
      </c>
    </row>
    <row r="23" spans="1:18" x14ac:dyDescent="0.2">
      <c r="A23" s="76">
        <f t="shared" si="0"/>
        <v>15</v>
      </c>
      <c r="B23" s="668"/>
      <c r="C23" s="672" t="s">
        <v>5</v>
      </c>
      <c r="D23" s="454" t="e">
        <f>#REF!</f>
        <v>#REF!</v>
      </c>
      <c r="E23" s="451">
        <f>'Rates in Detail'!J20</f>
        <v>0.60426999999999997</v>
      </c>
      <c r="F23" s="451">
        <f>'Rates in Detail'!L20+'Rates in Detail'!P20+'Rates in Detail'!S20+'Rates in Detail'!U20</f>
        <v>3.5320000000000004E-2</v>
      </c>
      <c r="G23" s="451">
        <f t="shared" si="1"/>
        <v>0.63958999999999999</v>
      </c>
      <c r="H23" s="455" t="e">
        <f t="shared" si="2"/>
        <v>#REF!</v>
      </c>
      <c r="I23" s="456"/>
      <c r="J23" s="353"/>
      <c r="K23" s="455"/>
      <c r="L23" s="450"/>
      <c r="M23" s="452">
        <v>1</v>
      </c>
      <c r="N23" s="453"/>
      <c r="O23" s="458">
        <f>IFERROR(ROUND(($N$22*(D23/SUM($D$22:$D$23)))/D23,5),0)</f>
        <v>0</v>
      </c>
      <c r="P23" s="452">
        <v>1</v>
      </c>
      <c r="Q23" s="453"/>
      <c r="R23" s="458">
        <f>IFERROR(ROUND(($Q$22*(D23/SUM($D$22:$D$23)))/D23,5),0)</f>
        <v>0</v>
      </c>
    </row>
    <row r="24" spans="1:18" x14ac:dyDescent="0.2">
      <c r="A24" s="76">
        <f t="shared" si="0"/>
        <v>16</v>
      </c>
      <c r="B24" s="670" t="e">
        <f>#REF!</f>
        <v>#REF!</v>
      </c>
      <c r="C24" s="671" t="s">
        <v>4</v>
      </c>
      <c r="D24" s="460" t="e">
        <f>#REF!</f>
        <v>#REF!</v>
      </c>
      <c r="E24" s="461">
        <f>'Rates in Detail'!J21</f>
        <v>0.60577000000000025</v>
      </c>
      <c r="F24" s="461">
        <f>'Rates in Detail'!L21+'Rates in Detail'!P21+'Rates in Detail'!S21+'Rates in Detail'!U21</f>
        <v>2.0370000000000003E-2</v>
      </c>
      <c r="G24" s="461">
        <f t="shared" si="1"/>
        <v>0.62614000000000025</v>
      </c>
      <c r="H24" s="270" t="e">
        <f t="shared" si="2"/>
        <v>#REF!</v>
      </c>
      <c r="I24" s="144" t="e">
        <f>#REF!</f>
        <v>#REF!</v>
      </c>
      <c r="J24" s="288" t="e">
        <f>#REF!</f>
        <v>#REF!</v>
      </c>
      <c r="K24" s="462" t="e">
        <f>ROUND((I24*J24*12)+H24+H25,0)</f>
        <v>#REF!</v>
      </c>
      <c r="L24" s="463"/>
      <c r="M24" s="464">
        <v>1</v>
      </c>
      <c r="N24" s="465" t="e">
        <f>ROUND(+$M$12*(($K24*M24)/M$86),0)</f>
        <v>#REF!</v>
      </c>
      <c r="O24" s="466">
        <f>IFERROR(ROUND(($N$24*(D24/SUM($D$24:$D$25)))/D24,5),0)</f>
        <v>0</v>
      </c>
      <c r="P24" s="464">
        <v>1</v>
      </c>
      <c r="Q24" s="465" t="e">
        <f>ROUND(+$P$12*(($K24*P24)/P$86),0)</f>
        <v>#REF!</v>
      </c>
      <c r="R24" s="466">
        <f>IFERROR(ROUND(($Q$24*(D24/SUM($D$24:$D$25)))/D24,5),0)</f>
        <v>0</v>
      </c>
    </row>
    <row r="25" spans="1:18" x14ac:dyDescent="0.2">
      <c r="A25" s="76">
        <f t="shared" si="0"/>
        <v>17</v>
      </c>
      <c r="B25" s="668"/>
      <c r="C25" s="672" t="s">
        <v>5</v>
      </c>
      <c r="D25" s="454" t="e">
        <f>#REF!</f>
        <v>#REF!</v>
      </c>
      <c r="E25" s="451">
        <f>'Rates in Detail'!J22</f>
        <v>0.56396000000000013</v>
      </c>
      <c r="F25" s="451">
        <f>'Rates in Detail'!L22+'Rates in Detail'!P22+'Rates in Detail'!S22+'Rates in Detail'!U22</f>
        <v>1.7950000000000001E-2</v>
      </c>
      <c r="G25" s="451">
        <f t="shared" si="1"/>
        <v>0.58191000000000015</v>
      </c>
      <c r="H25" s="455" t="e">
        <f t="shared" si="2"/>
        <v>#REF!</v>
      </c>
      <c r="I25" s="456"/>
      <c r="J25" s="353"/>
      <c r="K25" s="455"/>
      <c r="L25" s="450"/>
      <c r="M25" s="452">
        <v>1</v>
      </c>
      <c r="N25" s="453"/>
      <c r="O25" s="458">
        <f>IFERROR(ROUND(($N$24*(D25/SUM($D$24:$D$25)))/D25,5),0)</f>
        <v>0</v>
      </c>
      <c r="P25" s="452">
        <v>1</v>
      </c>
      <c r="Q25" s="453"/>
      <c r="R25" s="458">
        <f>IFERROR(ROUND(($Q$24*(D25/SUM($D$24:$D$25)))/D25,5),0)</f>
        <v>0</v>
      </c>
    </row>
    <row r="26" spans="1:18" x14ac:dyDescent="0.2">
      <c r="A26" s="76">
        <f t="shared" si="0"/>
        <v>18</v>
      </c>
      <c r="B26" s="670" t="e">
        <f>#REF!</f>
        <v>#REF!</v>
      </c>
      <c r="C26" s="671" t="s">
        <v>4</v>
      </c>
      <c r="D26" s="467" t="e">
        <f>#REF!</f>
        <v>#REF!</v>
      </c>
      <c r="E26" s="461">
        <f>'Rates in Detail'!J23</f>
        <v>0.66024999999999989</v>
      </c>
      <c r="F26" s="461">
        <f>'Rates in Detail'!L23+'Rates in Detail'!P23+'Rates in Detail'!S23+'Rates in Detail'!U23</f>
        <v>2.7389999999999998E-2</v>
      </c>
      <c r="G26" s="461">
        <f t="shared" si="1"/>
        <v>0.68763999999999992</v>
      </c>
      <c r="H26" s="462" t="e">
        <f t="shared" si="2"/>
        <v>#REF!</v>
      </c>
      <c r="I26" s="144" t="e">
        <f>#REF!</f>
        <v>#REF!</v>
      </c>
      <c r="J26" s="288" t="e">
        <f>#REF!</f>
        <v>#REF!</v>
      </c>
      <c r="K26" s="462" t="e">
        <f>ROUND((I26*J26*12)+H26+H27,0)</f>
        <v>#REF!</v>
      </c>
      <c r="L26" s="463"/>
      <c r="M26" s="464">
        <v>1</v>
      </c>
      <c r="N26" s="465" t="e">
        <f>ROUND(+$M$12*(($K26*M26)/M$86),0)</f>
        <v>#REF!</v>
      </c>
      <c r="O26" s="466">
        <f>IFERROR(ROUND(($N$26*(D26/SUM($D$26:$D$27)))/D26,5),0)</f>
        <v>0</v>
      </c>
      <c r="P26" s="464">
        <v>1</v>
      </c>
      <c r="Q26" s="465" t="e">
        <f>ROUND(+$P$12*(($K26*P26)/P$86),0)</f>
        <v>#REF!</v>
      </c>
      <c r="R26" s="466">
        <f>IFERROR(ROUND(($Q$26*(D26/SUM($D$26:$D$27)))/D26,5),0)</f>
        <v>0</v>
      </c>
    </row>
    <row r="27" spans="1:18" x14ac:dyDescent="0.2">
      <c r="A27" s="76">
        <f t="shared" si="0"/>
        <v>19</v>
      </c>
      <c r="B27" s="668"/>
      <c r="C27" s="672" t="s">
        <v>5</v>
      </c>
      <c r="D27" s="454" t="e">
        <f>#REF!</f>
        <v>#REF!</v>
      </c>
      <c r="E27" s="451">
        <f>'Rates in Detail'!J24</f>
        <v>0.61316999999999988</v>
      </c>
      <c r="F27" s="451">
        <f>'Rates in Detail'!L24+'Rates in Detail'!P24+'Rates in Detail'!S24+'Rates in Detail'!U24</f>
        <v>2.4120000000000003E-2</v>
      </c>
      <c r="G27" s="451">
        <f t="shared" si="1"/>
        <v>0.63728999999999991</v>
      </c>
      <c r="H27" s="455" t="e">
        <f t="shared" si="2"/>
        <v>#REF!</v>
      </c>
      <c r="I27" s="456"/>
      <c r="J27" s="353"/>
      <c r="K27" s="455"/>
      <c r="L27" s="450"/>
      <c r="M27" s="452">
        <v>1</v>
      </c>
      <c r="N27" s="453"/>
      <c r="O27" s="458">
        <f>IFERROR(ROUND(($N$26*(D27/SUM($D$26:$D$27)))/D27,5),0)</f>
        <v>0</v>
      </c>
      <c r="P27" s="452">
        <v>1</v>
      </c>
      <c r="Q27" s="453"/>
      <c r="R27" s="458">
        <f>IFERROR(ROUND(($Q$26*(D27/SUM($D$26:$D$27)))/D27,5),0)</f>
        <v>0</v>
      </c>
    </row>
    <row r="28" spans="1:18" x14ac:dyDescent="0.2">
      <c r="A28" s="76">
        <f t="shared" si="0"/>
        <v>20</v>
      </c>
      <c r="B28" s="670" t="e">
        <f>#REF!</f>
        <v>#REF!</v>
      </c>
      <c r="C28" s="671" t="s">
        <v>4</v>
      </c>
      <c r="D28" s="467" t="e">
        <f>#REF!</f>
        <v>#REF!</v>
      </c>
      <c r="E28" s="461">
        <f>'Rates in Detail'!J25</f>
        <v>0.61580999999999997</v>
      </c>
      <c r="F28" s="461">
        <f>'Rates in Detail'!L25+'Rates in Detail'!P25+'Rates in Detail'!S25+'Rates in Detail'!U25</f>
        <v>1.3839999999999998E-2</v>
      </c>
      <c r="G28" s="461">
        <f t="shared" si="1"/>
        <v>0.62964999999999993</v>
      </c>
      <c r="H28" s="462" t="e">
        <f t="shared" si="2"/>
        <v>#REF!</v>
      </c>
      <c r="I28" s="144" t="e">
        <f>#REF!</f>
        <v>#REF!</v>
      </c>
      <c r="J28" s="288" t="e">
        <f>#REF!</f>
        <v>#REF!</v>
      </c>
      <c r="K28" s="462" t="e">
        <f>ROUND((I28*J28*12)+H28+H29,0)</f>
        <v>#REF!</v>
      </c>
      <c r="L28" s="463"/>
      <c r="M28" s="464">
        <v>1</v>
      </c>
      <c r="N28" s="465" t="e">
        <f>ROUND(+$M$12*(($K28*M28)/M$86),0)</f>
        <v>#REF!</v>
      </c>
      <c r="O28" s="466">
        <f>IFERROR(ROUND(($N$28*(D28/SUM($D$28:$D$29)))/D28,5),0)</f>
        <v>0</v>
      </c>
      <c r="P28" s="464">
        <v>1</v>
      </c>
      <c r="Q28" s="465" t="e">
        <f>ROUND(+$P$12*(($K28*P28)/P$86),0)</f>
        <v>#REF!</v>
      </c>
      <c r="R28" s="466">
        <f>IFERROR(ROUND(($Q$28*(D28/SUM($D$28:$D$29)))/D28,5),0)</f>
        <v>0</v>
      </c>
    </row>
    <row r="29" spans="1:18" x14ac:dyDescent="0.2">
      <c r="A29" s="76">
        <f t="shared" si="0"/>
        <v>21</v>
      </c>
      <c r="B29" s="668"/>
      <c r="C29" s="672" t="s">
        <v>5</v>
      </c>
      <c r="D29" s="454" t="e">
        <f>#REF!</f>
        <v>#REF!</v>
      </c>
      <c r="E29" s="451">
        <f>'Rates in Detail'!J26</f>
        <v>0.57401999999999986</v>
      </c>
      <c r="F29" s="451">
        <f>'Rates in Detail'!L26+'Rates in Detail'!P26+'Rates in Detail'!S26+'Rates in Detail'!U26</f>
        <v>1.2189999999999999E-2</v>
      </c>
      <c r="G29" s="451">
        <f t="shared" si="1"/>
        <v>0.5862099999999999</v>
      </c>
      <c r="H29" s="455" t="e">
        <f t="shared" si="2"/>
        <v>#REF!</v>
      </c>
      <c r="I29" s="456"/>
      <c r="J29" s="353"/>
      <c r="K29" s="455"/>
      <c r="L29" s="450"/>
      <c r="M29" s="452">
        <v>1</v>
      </c>
      <c r="N29" s="453"/>
      <c r="O29" s="458">
        <f>IFERROR(ROUND(($N$28*(D29/SUM($D$28:$D$29)))/D29,5),0)</f>
        <v>0</v>
      </c>
      <c r="P29" s="452">
        <v>1</v>
      </c>
      <c r="Q29" s="453"/>
      <c r="R29" s="458">
        <f>IFERROR(ROUND(($Q$28*(D29/SUM($D$28:$D$29)))/D29,5),0)</f>
        <v>0</v>
      </c>
    </row>
    <row r="30" spans="1:18" x14ac:dyDescent="0.2">
      <c r="A30" s="76">
        <f t="shared" si="0"/>
        <v>22</v>
      </c>
      <c r="B30" s="670" t="e">
        <f>#REF!</f>
        <v>#REF!</v>
      </c>
      <c r="C30" s="671" t="s">
        <v>4</v>
      </c>
      <c r="D30" s="467" t="e">
        <f>#REF!</f>
        <v>#REF!</v>
      </c>
      <c r="E30" s="461">
        <f>'Rates in Detail'!J27</f>
        <v>0.34945999999999999</v>
      </c>
      <c r="F30" s="461">
        <f>'Rates in Detail'!L27+'Rates in Detail'!P27+'Rates in Detail'!S27+'Rates in Detail'!U27</f>
        <v>2.265E-2</v>
      </c>
      <c r="G30" s="461">
        <f t="shared" si="1"/>
        <v>0.37211</v>
      </c>
      <c r="H30" s="462" t="e">
        <f t="shared" si="2"/>
        <v>#REF!</v>
      </c>
      <c r="I30" s="144" t="e">
        <f>#REF!</f>
        <v>#REF!</v>
      </c>
      <c r="J30" s="288" t="e">
        <f>#REF!</f>
        <v>#REF!</v>
      </c>
      <c r="K30" s="462" t="e">
        <f>ROUND((I30*J30*12)+H30+H31,0)</f>
        <v>#REF!</v>
      </c>
      <c r="L30" s="463"/>
      <c r="M30" s="464">
        <v>1</v>
      </c>
      <c r="N30" s="465" t="e">
        <f>ROUND(+$M$12*(($K30*M30)/M$86),0)</f>
        <v>#REF!</v>
      </c>
      <c r="O30" s="466">
        <f>IFERROR(ROUND(($N$30*(D30/SUM($D$30:$D$31)))/D30,5),0)</f>
        <v>0</v>
      </c>
      <c r="P30" s="464">
        <v>1</v>
      </c>
      <c r="Q30" s="465" t="e">
        <f>ROUND(+$P$12*(($K30*P30)/P$86),0)</f>
        <v>#REF!</v>
      </c>
      <c r="R30" s="466">
        <f>IFERROR(ROUND(($Q$30*(D30/SUM($D$30:$D$31)))/D30,5),0)</f>
        <v>0</v>
      </c>
    </row>
    <row r="31" spans="1:18" x14ac:dyDescent="0.2">
      <c r="A31" s="76">
        <f t="shared" si="0"/>
        <v>23</v>
      </c>
      <c r="B31" s="668"/>
      <c r="C31" s="672" t="s">
        <v>5</v>
      </c>
      <c r="D31" s="454" t="e">
        <f>#REF!</f>
        <v>#REF!</v>
      </c>
      <c r="E31" s="451">
        <f>'Rates in Detail'!J28</f>
        <v>0.30789000000000011</v>
      </c>
      <c r="F31" s="451">
        <f>'Rates in Detail'!L28+'Rates in Detail'!P28+'Rates in Detail'!S28+'Rates in Detail'!U28</f>
        <v>1.9949999999999999E-2</v>
      </c>
      <c r="G31" s="451">
        <f t="shared" si="1"/>
        <v>0.32784000000000013</v>
      </c>
      <c r="H31" s="455" t="e">
        <f t="shared" si="2"/>
        <v>#REF!</v>
      </c>
      <c r="I31" s="456"/>
      <c r="J31" s="353"/>
      <c r="K31" s="455"/>
      <c r="L31" s="450"/>
      <c r="M31" s="452">
        <v>1</v>
      </c>
      <c r="N31" s="453"/>
      <c r="O31" s="458">
        <f>IFERROR(ROUND(($N$30*(D31/SUM($D$30:$D$31)))/D31,5),0)</f>
        <v>0</v>
      </c>
      <c r="P31" s="452">
        <v>1</v>
      </c>
      <c r="Q31" s="453"/>
      <c r="R31" s="458">
        <f>IFERROR(ROUND(($Q$30*(D31/SUM($D$30:$D$31)))/D31,5),0)</f>
        <v>0</v>
      </c>
    </row>
    <row r="32" spans="1:18" x14ac:dyDescent="0.2">
      <c r="A32" s="76">
        <f t="shared" si="0"/>
        <v>24</v>
      </c>
      <c r="B32" s="670" t="e">
        <f>#REF!</f>
        <v>#REF!</v>
      </c>
      <c r="C32" s="671" t="s">
        <v>4</v>
      </c>
      <c r="D32" s="467" t="e">
        <f>#REF!</f>
        <v>#REF!</v>
      </c>
      <c r="E32" s="461">
        <f>'Rates in Detail'!J29</f>
        <v>0.34945999999999999</v>
      </c>
      <c r="F32" s="461">
        <f>'Rates in Detail'!L29+'Rates in Detail'!P29+'Rates in Detail'!S29+'Rates in Detail'!U29</f>
        <v>1.401E-2</v>
      </c>
      <c r="G32" s="461">
        <f t="shared" si="1"/>
        <v>0.36347000000000002</v>
      </c>
      <c r="H32" s="462" t="e">
        <f t="shared" si="2"/>
        <v>#REF!</v>
      </c>
      <c r="I32" s="144" t="e">
        <f>#REF!</f>
        <v>#REF!</v>
      </c>
      <c r="J32" s="288" t="e">
        <f>#REF!</f>
        <v>#REF!</v>
      </c>
      <c r="K32" s="462" t="e">
        <f>ROUND((I32*J32*12)+H32+H33,0)</f>
        <v>#REF!</v>
      </c>
      <c r="L32" s="463"/>
      <c r="M32" s="464">
        <v>1</v>
      </c>
      <c r="N32" s="465" t="e">
        <f>ROUND(+$M$12*(($K32*M32)/M$86),0)</f>
        <v>#REF!</v>
      </c>
      <c r="O32" s="466">
        <f>IFERROR(ROUND(($N$32*(D32/SUM($D$31:$D$32)))/D32,5),0)</f>
        <v>0</v>
      </c>
      <c r="P32" s="464">
        <v>1</v>
      </c>
      <c r="Q32" s="465" t="e">
        <f>ROUND(+$P$12*(($K32*P32)/P$86),0)</f>
        <v>#REF!</v>
      </c>
      <c r="R32" s="466">
        <f>IFERROR(ROUND(($Q$32*(D32/SUM($D$32:$D$33)))/D32,5),0)</f>
        <v>0</v>
      </c>
    </row>
    <row r="33" spans="1:18" x14ac:dyDescent="0.2">
      <c r="A33" s="76">
        <f t="shared" si="0"/>
        <v>25</v>
      </c>
      <c r="B33" s="668"/>
      <c r="C33" s="672" t="s">
        <v>5</v>
      </c>
      <c r="D33" s="454" t="e">
        <f>#REF!</f>
        <v>#REF!</v>
      </c>
      <c r="E33" s="451">
        <f>'Rates in Detail'!J30</f>
        <v>0.30789000000000011</v>
      </c>
      <c r="F33" s="451">
        <f>'Rates in Detail'!L30+'Rates in Detail'!P30+'Rates in Detail'!S30+'Rates in Detail'!U30</f>
        <v>1.2339999999999999E-2</v>
      </c>
      <c r="G33" s="451">
        <f t="shared" si="1"/>
        <v>0.32023000000000013</v>
      </c>
      <c r="H33" s="455" t="e">
        <f t="shared" si="2"/>
        <v>#REF!</v>
      </c>
      <c r="I33" s="456"/>
      <c r="J33" s="353"/>
      <c r="K33" s="455"/>
      <c r="L33" s="450"/>
      <c r="M33" s="452">
        <v>1</v>
      </c>
      <c r="N33" s="453"/>
      <c r="O33" s="458">
        <f>IFERROR(ROUND(($N$32*(D33/SUM($D$32:$D$33)))/D33,5),0)</f>
        <v>0</v>
      </c>
      <c r="P33" s="452">
        <v>1</v>
      </c>
      <c r="Q33" s="453"/>
      <c r="R33" s="458">
        <f>IFERROR(ROUND(($Q$32*(D33/SUM($D$32:$D$33)))/D33,5),0)</f>
        <v>0</v>
      </c>
    </row>
    <row r="34" spans="1:18" x14ac:dyDescent="0.2">
      <c r="A34" s="76">
        <f t="shared" si="0"/>
        <v>26</v>
      </c>
      <c r="B34" s="670" t="e">
        <f>#REF!</f>
        <v>#REF!</v>
      </c>
      <c r="C34" s="671" t="s">
        <v>4</v>
      </c>
      <c r="D34" s="467" t="e">
        <f>#REF!</f>
        <v>#REF!</v>
      </c>
      <c r="E34" s="461">
        <f>'Rates in Detail'!J31</f>
        <v>0.43535000000000001</v>
      </c>
      <c r="F34" s="461">
        <f>'Rates in Detail'!L31+'Rates in Detail'!P31+'Rates in Detail'!S31+'Rates in Detail'!U31</f>
        <v>3.0189999999999995E-2</v>
      </c>
      <c r="G34" s="461">
        <f t="shared" si="1"/>
        <v>0.46554000000000001</v>
      </c>
      <c r="H34" s="462" t="e">
        <f t="shared" si="2"/>
        <v>#REF!</v>
      </c>
      <c r="I34" s="144" t="e">
        <f>#REF!</f>
        <v>#REF!</v>
      </c>
      <c r="J34" s="288" t="e">
        <f>#REF!</f>
        <v>#REF!</v>
      </c>
      <c r="K34" s="462" t="e">
        <f>ROUND((I34*J34*12)+H34+H35+H36+H37+H38+H39,0)+'Rev Req Proof Yr1'!AD38</f>
        <v>#REF!</v>
      </c>
      <c r="L34" s="463"/>
      <c r="M34" s="464">
        <v>1</v>
      </c>
      <c r="N34" s="468" t="e">
        <f>ROUND(+$M$12*(($K34*M34)/M$86),0)</f>
        <v>#REF!</v>
      </c>
      <c r="O34" s="466">
        <f>IFERROR(ROUND(($N$34*(D34/SUM($D$34:$D$39)))/D34,5),0)</f>
        <v>0</v>
      </c>
      <c r="P34" s="464">
        <v>1</v>
      </c>
      <c r="Q34" s="468" t="e">
        <f>ROUND(+$P$12*(($K34*P34)/P$86),0)</f>
        <v>#REF!</v>
      </c>
      <c r="R34" s="466">
        <f>IFERROR(ROUND(($Q$34*(D34/SUM($D$34:$D$39)))/D34,5),0)</f>
        <v>0</v>
      </c>
    </row>
    <row r="35" spans="1:18" x14ac:dyDescent="0.2">
      <c r="A35" s="76">
        <f t="shared" si="0"/>
        <v>27</v>
      </c>
      <c r="B35" s="670"/>
      <c r="C35" s="671" t="s">
        <v>5</v>
      </c>
      <c r="D35" s="467" t="e">
        <f>#REF!</f>
        <v>#REF!</v>
      </c>
      <c r="E35" s="461">
        <f>'Rates in Detail'!J32</f>
        <v>0.41633999999999971</v>
      </c>
      <c r="F35" s="461">
        <f>'Rates in Detail'!L32+'Rates in Detail'!P32+'Rates in Detail'!S32+'Rates in Detail'!U32</f>
        <v>2.7019999999999999E-2</v>
      </c>
      <c r="G35" s="461">
        <f t="shared" si="1"/>
        <v>0.4433599999999997</v>
      </c>
      <c r="H35" s="462" t="e">
        <f t="shared" si="2"/>
        <v>#REF!</v>
      </c>
      <c r="I35" s="144"/>
      <c r="J35" s="288"/>
      <c r="K35" s="462"/>
      <c r="L35" s="463"/>
      <c r="M35" s="464">
        <v>1</v>
      </c>
      <c r="N35" s="259"/>
      <c r="O35" s="466">
        <f t="shared" ref="O35:O39" si="8">IFERROR(ROUND(($N$34*(D35/SUM($D$34:$D$39)))/D35,5),0)</f>
        <v>0</v>
      </c>
      <c r="P35" s="464">
        <v>1</v>
      </c>
      <c r="Q35" s="259"/>
      <c r="R35" s="466">
        <f t="shared" ref="R35:R39" si="9">IFERROR(ROUND(($Q$34*(D35/SUM($D$34:$D$39)))/D35,5),0)</f>
        <v>0</v>
      </c>
    </row>
    <row r="36" spans="1:18" x14ac:dyDescent="0.2">
      <c r="A36" s="76">
        <f t="shared" si="0"/>
        <v>28</v>
      </c>
      <c r="B36" s="670"/>
      <c r="C36" s="671" t="s">
        <v>6</v>
      </c>
      <c r="D36" s="467" t="e">
        <f>#REF!</f>
        <v>#REF!</v>
      </c>
      <c r="E36" s="461">
        <f>'Rates in Detail'!J33</f>
        <v>0.37851999999999986</v>
      </c>
      <c r="F36" s="461">
        <f>'Rates in Detail'!L33+'Rates in Detail'!P33+'Rates in Detail'!S33+'Rates in Detail'!U33</f>
        <v>2.0719999999999999E-2</v>
      </c>
      <c r="G36" s="461">
        <f t="shared" si="1"/>
        <v>0.39923999999999987</v>
      </c>
      <c r="H36" s="462" t="e">
        <f t="shared" si="2"/>
        <v>#REF!</v>
      </c>
      <c r="I36" s="144"/>
      <c r="J36" s="288"/>
      <c r="K36" s="462"/>
      <c r="L36" s="463"/>
      <c r="M36" s="464">
        <v>1</v>
      </c>
      <c r="N36" s="259"/>
      <c r="O36" s="466">
        <f t="shared" si="8"/>
        <v>0</v>
      </c>
      <c r="P36" s="464">
        <v>1</v>
      </c>
      <c r="Q36" s="259"/>
      <c r="R36" s="466">
        <f t="shared" si="9"/>
        <v>0</v>
      </c>
    </row>
    <row r="37" spans="1:18" x14ac:dyDescent="0.2">
      <c r="A37" s="76">
        <f t="shared" si="0"/>
        <v>29</v>
      </c>
      <c r="B37" s="670"/>
      <c r="C37" s="671" t="s">
        <v>7</v>
      </c>
      <c r="D37" s="467" t="e">
        <f>#REF!</f>
        <v>#REF!</v>
      </c>
      <c r="E37" s="461">
        <f>'Rates in Detail'!J34</f>
        <v>0.35361000000000004</v>
      </c>
      <c r="F37" s="461">
        <f>'Rates in Detail'!L34+'Rates in Detail'!P34+'Rates in Detail'!S34+'Rates in Detail'!U34</f>
        <v>1.6570000000000001E-2</v>
      </c>
      <c r="G37" s="461">
        <f t="shared" si="1"/>
        <v>0.37018000000000006</v>
      </c>
      <c r="H37" s="462" t="e">
        <f t="shared" si="2"/>
        <v>#REF!</v>
      </c>
      <c r="I37" s="144"/>
      <c r="J37" s="288"/>
      <c r="K37" s="462"/>
      <c r="L37" s="463"/>
      <c r="M37" s="464">
        <v>1</v>
      </c>
      <c r="N37" s="259"/>
      <c r="O37" s="466">
        <f t="shared" si="8"/>
        <v>0</v>
      </c>
      <c r="P37" s="464">
        <v>1</v>
      </c>
      <c r="Q37" s="259"/>
      <c r="R37" s="466">
        <f t="shared" si="9"/>
        <v>0</v>
      </c>
    </row>
    <row r="38" spans="1:18" x14ac:dyDescent="0.2">
      <c r="A38" s="76">
        <f t="shared" si="0"/>
        <v>30</v>
      </c>
      <c r="B38" s="670"/>
      <c r="C38" s="671" t="s">
        <v>8</v>
      </c>
      <c r="D38" s="467" t="e">
        <f>#REF!</f>
        <v>#REF!</v>
      </c>
      <c r="E38" s="461">
        <f>'Rates in Detail'!J35</f>
        <v>0.32038</v>
      </c>
      <c r="F38" s="461">
        <f>'Rates in Detail'!L35+'Rates in Detail'!P35+'Rates in Detail'!S35+'Rates in Detail'!U35</f>
        <v>1.1059999999999999E-2</v>
      </c>
      <c r="G38" s="461">
        <f t="shared" si="1"/>
        <v>0.33144000000000001</v>
      </c>
      <c r="H38" s="462" t="e">
        <f t="shared" si="2"/>
        <v>#REF!</v>
      </c>
      <c r="I38" s="144"/>
      <c r="J38" s="288"/>
      <c r="K38" s="462"/>
      <c r="L38" s="463"/>
      <c r="M38" s="464">
        <v>1</v>
      </c>
      <c r="N38" s="259"/>
      <c r="O38" s="466">
        <f t="shared" si="8"/>
        <v>0</v>
      </c>
      <c r="P38" s="464">
        <v>1</v>
      </c>
      <c r="Q38" s="259"/>
      <c r="R38" s="466">
        <f t="shared" si="9"/>
        <v>0</v>
      </c>
    </row>
    <row r="39" spans="1:18" x14ac:dyDescent="0.2">
      <c r="A39" s="76">
        <f t="shared" si="0"/>
        <v>31</v>
      </c>
      <c r="B39" s="668"/>
      <c r="C39" s="672" t="s">
        <v>9</v>
      </c>
      <c r="D39" s="454" t="e">
        <f>#REF!</f>
        <v>#REF!</v>
      </c>
      <c r="E39" s="451">
        <f>'Rates in Detail'!J36</f>
        <v>0.27890000000000004</v>
      </c>
      <c r="F39" s="451">
        <f>'Rates in Detail'!L36+'Rates in Detail'!P36+'Rates in Detail'!S36+'Rates in Detail'!U36</f>
        <v>4.1399999999999996E-3</v>
      </c>
      <c r="G39" s="451">
        <f t="shared" si="1"/>
        <v>0.28304000000000001</v>
      </c>
      <c r="H39" s="455" t="e">
        <f t="shared" si="2"/>
        <v>#REF!</v>
      </c>
      <c r="I39" s="456"/>
      <c r="J39" s="353"/>
      <c r="K39" s="455"/>
      <c r="L39" s="450"/>
      <c r="M39" s="452">
        <v>1</v>
      </c>
      <c r="N39" s="453"/>
      <c r="O39" s="458">
        <f t="shared" si="8"/>
        <v>0</v>
      </c>
      <c r="P39" s="452">
        <v>1</v>
      </c>
      <c r="Q39" s="453"/>
      <c r="R39" s="458">
        <f t="shared" si="9"/>
        <v>0</v>
      </c>
    </row>
    <row r="40" spans="1:18" x14ac:dyDescent="0.2">
      <c r="A40" s="76">
        <f t="shared" si="0"/>
        <v>32</v>
      </c>
      <c r="B40" s="670" t="e">
        <f>#REF!</f>
        <v>#REF!</v>
      </c>
      <c r="C40" s="671" t="s">
        <v>4</v>
      </c>
      <c r="D40" s="467" t="e">
        <f>#REF!</f>
        <v>#REF!</v>
      </c>
      <c r="E40" s="461">
        <f>'Rates in Detail'!J37</f>
        <v>0.40593000000000001</v>
      </c>
      <c r="F40" s="461">
        <f>'Rates in Detail'!L37+'Rates in Detail'!P37+'Rates in Detail'!S37+'Rates in Detail'!U37</f>
        <v>1.4339999999999999E-2</v>
      </c>
      <c r="G40" s="461">
        <f t="shared" si="1"/>
        <v>0.42027000000000003</v>
      </c>
      <c r="H40" s="462" t="e">
        <f t="shared" si="2"/>
        <v>#REF!</v>
      </c>
      <c r="I40" s="144" t="e">
        <f>#REF!</f>
        <v>#REF!</v>
      </c>
      <c r="J40" s="288" t="e">
        <f>#REF!</f>
        <v>#REF!</v>
      </c>
      <c r="K40" s="462" t="e">
        <f>ROUND((I40*J40*12)+H40+H41+H42+H43+H44+H45,0)+'Rev Req Proof Yr1'!AD45</f>
        <v>#REF!</v>
      </c>
      <c r="L40" s="463"/>
      <c r="M40" s="464">
        <v>1</v>
      </c>
      <c r="N40" s="468" t="e">
        <f>ROUND(+$M$12*(($K40*M40)/M$86),0)</f>
        <v>#REF!</v>
      </c>
      <c r="O40" s="466">
        <f>IFERROR(ROUND(($N$40*(D40/SUM($D$40:$D$45)))/D40,5),0)</f>
        <v>0</v>
      </c>
      <c r="P40" s="464">
        <v>1</v>
      </c>
      <c r="Q40" s="468" t="e">
        <f>ROUND(+$P$12*(($K40*P40)/P$86),0)</f>
        <v>#REF!</v>
      </c>
      <c r="R40" s="466">
        <f>IFERROR(ROUND(($Q$40*(D40/SUM($D$40:$D$45)))/D40,5),0)</f>
        <v>0</v>
      </c>
    </row>
    <row r="41" spans="1:18" x14ac:dyDescent="0.2">
      <c r="A41" s="76">
        <f t="shared" si="0"/>
        <v>33</v>
      </c>
      <c r="B41" s="670"/>
      <c r="C41" s="671" t="s">
        <v>5</v>
      </c>
      <c r="D41" s="467" t="e">
        <f>#REF!</f>
        <v>#REF!</v>
      </c>
      <c r="E41" s="461">
        <f>'Rates in Detail'!J38</f>
        <v>0.38999</v>
      </c>
      <c r="F41" s="461">
        <f>'Rates in Detail'!L38+'Rates in Detail'!P38+'Rates in Detail'!S38+'Rates in Detail'!U38</f>
        <v>1.2839999999999999E-2</v>
      </c>
      <c r="G41" s="461">
        <f t="shared" si="1"/>
        <v>0.40283000000000002</v>
      </c>
      <c r="H41" s="462" t="e">
        <f t="shared" si="2"/>
        <v>#REF!</v>
      </c>
      <c r="I41" s="144"/>
      <c r="J41" s="288"/>
      <c r="K41" s="462"/>
      <c r="L41" s="463"/>
      <c r="M41" s="464">
        <v>1</v>
      </c>
      <c r="N41" s="259"/>
      <c r="O41" s="466">
        <f t="shared" ref="O41:O45" si="10">IFERROR(ROUND(($N$40*(D41/SUM($D$40:$D$45)))/D41,5),0)</f>
        <v>0</v>
      </c>
      <c r="P41" s="464">
        <v>1</v>
      </c>
      <c r="Q41" s="259"/>
      <c r="R41" s="466">
        <f t="shared" ref="R41:R45" si="11">IFERROR(ROUND(($Q$40*(D41/SUM($D$40:$D$45)))/D41,5),0)</f>
        <v>0</v>
      </c>
    </row>
    <row r="42" spans="1:18" x14ac:dyDescent="0.2">
      <c r="A42" s="76">
        <f t="shared" si="0"/>
        <v>34</v>
      </c>
      <c r="B42" s="670"/>
      <c r="C42" s="671" t="s">
        <v>6</v>
      </c>
      <c r="D42" s="467" t="e">
        <f>#REF!</f>
        <v>#REF!</v>
      </c>
      <c r="E42" s="461">
        <f>'Rates in Detail'!J39</f>
        <v>0.35830999999999985</v>
      </c>
      <c r="F42" s="461">
        <f>'Rates in Detail'!L39+'Rates in Detail'!P39+'Rates in Detail'!S39+'Rates in Detail'!U39</f>
        <v>9.8399999999999998E-3</v>
      </c>
      <c r="G42" s="461">
        <f t="shared" si="1"/>
        <v>0.36814999999999987</v>
      </c>
      <c r="H42" s="462" t="e">
        <f t="shared" si="2"/>
        <v>#REF!</v>
      </c>
      <c r="I42" s="144"/>
      <c r="J42" s="288"/>
      <c r="K42" s="462"/>
      <c r="L42" s="463"/>
      <c r="M42" s="464">
        <v>1</v>
      </c>
      <c r="N42" s="259"/>
      <c r="O42" s="466">
        <f t="shared" si="10"/>
        <v>0</v>
      </c>
      <c r="P42" s="464">
        <v>1</v>
      </c>
      <c r="Q42" s="259"/>
      <c r="R42" s="466">
        <f t="shared" si="11"/>
        <v>0</v>
      </c>
    </row>
    <row r="43" spans="1:18" x14ac:dyDescent="0.2">
      <c r="A43" s="76">
        <f t="shared" si="0"/>
        <v>35</v>
      </c>
      <c r="B43" s="670"/>
      <c r="C43" s="671" t="s">
        <v>7</v>
      </c>
      <c r="D43" s="467" t="e">
        <f>#REF!</f>
        <v>#REF!</v>
      </c>
      <c r="E43" s="461">
        <f>'Rates in Detail'!J40</f>
        <v>0.33743999999999996</v>
      </c>
      <c r="F43" s="461">
        <f>'Rates in Detail'!L40+'Rates in Detail'!P40+'Rates in Detail'!S40+'Rates in Detail'!U40</f>
        <v>7.8799999999999999E-3</v>
      </c>
      <c r="G43" s="461">
        <f t="shared" si="1"/>
        <v>0.34531999999999996</v>
      </c>
      <c r="H43" s="462" t="e">
        <f t="shared" si="2"/>
        <v>#REF!</v>
      </c>
      <c r="I43" s="144"/>
      <c r="J43" s="288"/>
      <c r="K43" s="462"/>
      <c r="L43" s="463"/>
      <c r="M43" s="464">
        <v>1</v>
      </c>
      <c r="N43" s="259"/>
      <c r="O43" s="466">
        <f t="shared" si="10"/>
        <v>0</v>
      </c>
      <c r="P43" s="464">
        <v>1</v>
      </c>
      <c r="Q43" s="259"/>
      <c r="R43" s="466">
        <f t="shared" si="11"/>
        <v>0</v>
      </c>
    </row>
    <row r="44" spans="1:18" x14ac:dyDescent="0.2">
      <c r="A44" s="76">
        <f t="shared" si="0"/>
        <v>36</v>
      </c>
      <c r="B44" s="670"/>
      <c r="C44" s="671" t="s">
        <v>8</v>
      </c>
      <c r="D44" s="467" t="e">
        <f>#REF!</f>
        <v>#REF!</v>
      </c>
      <c r="E44" s="461">
        <f>'Rates in Detail'!J41</f>
        <v>0.30965000000000004</v>
      </c>
      <c r="F44" s="461">
        <f>'Rates in Detail'!L41+'Rates in Detail'!P41+'Rates in Detail'!S41+'Rates in Detail'!U41</f>
        <v>5.2500000000000003E-3</v>
      </c>
      <c r="G44" s="461">
        <f t="shared" si="1"/>
        <v>0.31490000000000001</v>
      </c>
      <c r="H44" s="462" t="e">
        <f t="shared" si="2"/>
        <v>#REF!</v>
      </c>
      <c r="I44" s="144"/>
      <c r="J44" s="288"/>
      <c r="K44" s="462"/>
      <c r="L44" s="463"/>
      <c r="M44" s="464">
        <v>1</v>
      </c>
      <c r="N44" s="259"/>
      <c r="O44" s="466">
        <f t="shared" si="10"/>
        <v>0</v>
      </c>
      <c r="P44" s="464">
        <v>1</v>
      </c>
      <c r="Q44" s="259"/>
      <c r="R44" s="466">
        <f t="shared" si="11"/>
        <v>0</v>
      </c>
    </row>
    <row r="45" spans="1:18" x14ac:dyDescent="0.2">
      <c r="A45" s="76">
        <f t="shared" si="0"/>
        <v>37</v>
      </c>
      <c r="B45" s="668"/>
      <c r="C45" s="672" t="s">
        <v>9</v>
      </c>
      <c r="D45" s="454" t="e">
        <f>#REF!</f>
        <v>#REF!</v>
      </c>
      <c r="E45" s="451">
        <f>'Rates in Detail'!J42</f>
        <v>0.27485999999999999</v>
      </c>
      <c r="F45" s="451">
        <f>'Rates in Detail'!L42+'Rates in Detail'!P42+'Rates in Detail'!S42+'Rates in Detail'!U42</f>
        <v>1.97E-3</v>
      </c>
      <c r="G45" s="451">
        <f t="shared" si="1"/>
        <v>0.27683000000000002</v>
      </c>
      <c r="H45" s="455" t="e">
        <f t="shared" si="2"/>
        <v>#REF!</v>
      </c>
      <c r="I45" s="456"/>
      <c r="J45" s="353"/>
      <c r="K45" s="455"/>
      <c r="L45" s="450"/>
      <c r="M45" s="452">
        <v>1</v>
      </c>
      <c r="N45" s="453"/>
      <c r="O45" s="458">
        <f t="shared" si="10"/>
        <v>0</v>
      </c>
      <c r="P45" s="452">
        <v>1</v>
      </c>
      <c r="Q45" s="453"/>
      <c r="R45" s="458">
        <f t="shared" si="11"/>
        <v>0</v>
      </c>
    </row>
    <row r="46" spans="1:18" x14ac:dyDescent="0.2">
      <c r="A46" s="76">
        <f t="shared" si="0"/>
        <v>38</v>
      </c>
      <c r="B46" s="670" t="e">
        <f>#REF!</f>
        <v>#REF!</v>
      </c>
      <c r="C46" s="671" t="s">
        <v>4</v>
      </c>
      <c r="D46" s="467" t="e">
        <f>#REF!</f>
        <v>#REF!</v>
      </c>
      <c r="E46" s="461">
        <f>'Rates in Detail'!J43</f>
        <v>0.13851999999999998</v>
      </c>
      <c r="F46" s="461">
        <f>'Rates in Detail'!L43+'Rates in Detail'!P43+'Rates in Detail'!S43+'Rates in Detail'!U43</f>
        <v>1.176E-2</v>
      </c>
      <c r="G46" s="461">
        <f t="shared" si="1"/>
        <v>0.15027999999999997</v>
      </c>
      <c r="H46" s="462" t="e">
        <f t="shared" si="2"/>
        <v>#REF!</v>
      </c>
      <c r="I46" s="144" t="e">
        <f>#REF!</f>
        <v>#REF!</v>
      </c>
      <c r="J46" s="288" t="e">
        <f>#REF!</f>
        <v>#REF!</v>
      </c>
      <c r="K46" s="462" t="e">
        <f>ROUND((I46*J46*12)+H46+H47+H48+H49+H50+H51,0)+'Rev Req Proof Yr1'!AD52</f>
        <v>#REF!</v>
      </c>
      <c r="L46" s="463"/>
      <c r="M46" s="464">
        <v>1</v>
      </c>
      <c r="N46" s="468" t="e">
        <f>ROUND(+$M$12*(($K46*M46)/M$86),0)</f>
        <v>#REF!</v>
      </c>
      <c r="O46" s="466">
        <f>IFERROR(ROUND(($N$46*(D46/SUM($D$46:$D$51)))/D46,5),0)</f>
        <v>0</v>
      </c>
      <c r="P46" s="464">
        <v>1</v>
      </c>
      <c r="Q46" s="468" t="e">
        <f>ROUND(+$P$12*(($K46*P46)/P$86),0)</f>
        <v>#REF!</v>
      </c>
      <c r="R46" s="466">
        <f>IFERROR(ROUND(($Q$46*(D46/SUM($D$46:$D$51)))/D46,5),0)</f>
        <v>0</v>
      </c>
    </row>
    <row r="47" spans="1:18" x14ac:dyDescent="0.2">
      <c r="A47" s="76">
        <f t="shared" si="0"/>
        <v>39</v>
      </c>
      <c r="B47" s="670"/>
      <c r="C47" s="671" t="s">
        <v>5</v>
      </c>
      <c r="D47" s="467" t="e">
        <f>#REF!</f>
        <v>#REF!</v>
      </c>
      <c r="E47" s="461">
        <f>'Rates in Detail'!J44</f>
        <v>0.12399999999999999</v>
      </c>
      <c r="F47" s="461">
        <f>'Rates in Detail'!L44+'Rates in Detail'!P44+'Rates in Detail'!S44+'Rates in Detail'!U44</f>
        <v>1.052E-2</v>
      </c>
      <c r="G47" s="461">
        <f t="shared" si="1"/>
        <v>0.13451999999999997</v>
      </c>
      <c r="H47" s="462" t="e">
        <f t="shared" si="2"/>
        <v>#REF!</v>
      </c>
      <c r="I47" s="144"/>
      <c r="J47" s="288"/>
      <c r="K47" s="462"/>
      <c r="L47" s="463"/>
      <c r="M47" s="464">
        <v>1</v>
      </c>
      <c r="N47" s="259"/>
      <c r="O47" s="466">
        <f t="shared" ref="O47:O51" si="12">IFERROR(ROUND(($N$46*(D47/SUM($D$46:$D$51)))/D47,5),0)</f>
        <v>0</v>
      </c>
      <c r="P47" s="464">
        <v>1</v>
      </c>
      <c r="Q47" s="259"/>
      <c r="R47" s="466">
        <f t="shared" ref="R47:R51" si="13">IFERROR(ROUND(($Q$46*(D47/SUM($D$46:$D$51)))/D47,5),0)</f>
        <v>0</v>
      </c>
    </row>
    <row r="48" spans="1:18" x14ac:dyDescent="0.2">
      <c r="A48" s="76">
        <f t="shared" si="0"/>
        <v>40</v>
      </c>
      <c r="B48" s="670"/>
      <c r="C48" s="671" t="s">
        <v>6</v>
      </c>
      <c r="D48" s="467" t="e">
        <f>#REF!</f>
        <v>#REF!</v>
      </c>
      <c r="E48" s="461">
        <f>'Rates in Detail'!J45</f>
        <v>9.5079999999999998E-2</v>
      </c>
      <c r="F48" s="461">
        <f>'Rates in Detail'!L45+'Rates in Detail'!P45+'Rates in Detail'!S45+'Rates in Detail'!U45</f>
        <v>8.0800000000000004E-3</v>
      </c>
      <c r="G48" s="461">
        <f t="shared" si="1"/>
        <v>0.10316</v>
      </c>
      <c r="H48" s="462" t="e">
        <f t="shared" si="2"/>
        <v>#REF!</v>
      </c>
      <c r="I48" s="144"/>
      <c r="J48" s="288"/>
      <c r="K48" s="462"/>
      <c r="L48" s="463"/>
      <c r="M48" s="464">
        <v>1</v>
      </c>
      <c r="N48" s="259"/>
      <c r="O48" s="466">
        <f t="shared" si="12"/>
        <v>0</v>
      </c>
      <c r="P48" s="464">
        <v>1</v>
      </c>
      <c r="Q48" s="259"/>
      <c r="R48" s="466">
        <f t="shared" si="13"/>
        <v>0</v>
      </c>
    </row>
    <row r="49" spans="1:18" x14ac:dyDescent="0.2">
      <c r="A49" s="76">
        <f t="shared" si="0"/>
        <v>41</v>
      </c>
      <c r="B49" s="670"/>
      <c r="C49" s="671" t="s">
        <v>7</v>
      </c>
      <c r="D49" s="467" t="e">
        <f>#REF!</f>
        <v>#REF!</v>
      </c>
      <c r="E49" s="461">
        <f>'Rates in Detail'!J46</f>
        <v>7.6070000000000013E-2</v>
      </c>
      <c r="F49" s="461">
        <f>'Rates in Detail'!L46+'Rates in Detail'!P46+'Rates in Detail'!S46+'Rates in Detail'!U46</f>
        <v>6.4600000000000005E-3</v>
      </c>
      <c r="G49" s="461">
        <f t="shared" si="1"/>
        <v>8.253000000000002E-2</v>
      </c>
      <c r="H49" s="462" t="e">
        <f t="shared" si="2"/>
        <v>#REF!</v>
      </c>
      <c r="I49" s="144"/>
      <c r="J49" s="288"/>
      <c r="K49" s="462"/>
      <c r="L49" s="463"/>
      <c r="M49" s="464">
        <v>1</v>
      </c>
      <c r="N49" s="259"/>
      <c r="O49" s="466">
        <f t="shared" si="12"/>
        <v>0</v>
      </c>
      <c r="P49" s="464">
        <v>1</v>
      </c>
      <c r="Q49" s="259"/>
      <c r="R49" s="466">
        <f t="shared" si="13"/>
        <v>0</v>
      </c>
    </row>
    <row r="50" spans="1:18" x14ac:dyDescent="0.2">
      <c r="A50" s="76">
        <f t="shared" si="0"/>
        <v>42</v>
      </c>
      <c r="B50" s="670"/>
      <c r="C50" s="671" t="s">
        <v>8</v>
      </c>
      <c r="D50" s="467" t="e">
        <f>#REF!</f>
        <v>#REF!</v>
      </c>
      <c r="E50" s="461">
        <f>'Rates in Detail'!J47</f>
        <v>5.0710000000000005E-2</v>
      </c>
      <c r="F50" s="461">
        <f>'Rates in Detail'!L47+'Rates in Detail'!P47+'Rates in Detail'!S47+'Rates in Detail'!U47</f>
        <v>4.3100000000000005E-3</v>
      </c>
      <c r="G50" s="461">
        <f t="shared" si="1"/>
        <v>5.5020000000000006E-2</v>
      </c>
      <c r="H50" s="462" t="e">
        <f t="shared" si="2"/>
        <v>#REF!</v>
      </c>
      <c r="I50" s="144"/>
      <c r="J50" s="288"/>
      <c r="K50" s="462"/>
      <c r="L50" s="463"/>
      <c r="M50" s="464">
        <v>1</v>
      </c>
      <c r="N50" s="259"/>
      <c r="O50" s="466">
        <f t="shared" si="12"/>
        <v>0</v>
      </c>
      <c r="P50" s="464">
        <v>1</v>
      </c>
      <c r="Q50" s="259"/>
      <c r="R50" s="466">
        <f t="shared" si="13"/>
        <v>0</v>
      </c>
    </row>
    <row r="51" spans="1:18" x14ac:dyDescent="0.2">
      <c r="A51" s="76">
        <f t="shared" si="0"/>
        <v>43</v>
      </c>
      <c r="B51" s="668"/>
      <c r="C51" s="672" t="s">
        <v>9</v>
      </c>
      <c r="D51" s="454" t="e">
        <f>#REF!</f>
        <v>#REF!</v>
      </c>
      <c r="E51" s="451">
        <f>'Rates in Detail'!J48</f>
        <v>1.9009999999999999E-2</v>
      </c>
      <c r="F51" s="451">
        <f>'Rates in Detail'!L48+'Rates in Detail'!P48+'Rates in Detail'!S48+'Rates in Detail'!U48</f>
        <v>1.6199999999999999E-3</v>
      </c>
      <c r="G51" s="451">
        <f t="shared" si="1"/>
        <v>2.0629999999999999E-2</v>
      </c>
      <c r="H51" s="455" t="e">
        <f t="shared" si="2"/>
        <v>#REF!</v>
      </c>
      <c r="I51" s="456"/>
      <c r="J51" s="353"/>
      <c r="K51" s="455"/>
      <c r="L51" s="450"/>
      <c r="M51" s="452">
        <v>1</v>
      </c>
      <c r="N51" s="453"/>
      <c r="O51" s="458">
        <f t="shared" si="12"/>
        <v>0</v>
      </c>
      <c r="P51" s="452">
        <v>1</v>
      </c>
      <c r="Q51" s="453"/>
      <c r="R51" s="458">
        <f t="shared" si="13"/>
        <v>0</v>
      </c>
    </row>
    <row r="52" spans="1:18" x14ac:dyDescent="0.2">
      <c r="A52" s="76">
        <f t="shared" si="0"/>
        <v>44</v>
      </c>
      <c r="B52" s="670" t="e">
        <f>#REF!</f>
        <v>#REF!</v>
      </c>
      <c r="C52" s="671" t="s">
        <v>4</v>
      </c>
      <c r="D52" s="467" t="e">
        <f>#REF!</f>
        <v>#REF!</v>
      </c>
      <c r="E52" s="461">
        <f>'Rates in Detail'!J49</f>
        <v>0.14000000000000001</v>
      </c>
      <c r="F52" s="461">
        <f>'Rates in Detail'!L49+'Rates in Detail'!P49+'Rates in Detail'!S49+'Rates in Detail'!U49</f>
        <v>9.2299999999999986E-3</v>
      </c>
      <c r="G52" s="461">
        <f t="shared" si="1"/>
        <v>0.14923</v>
      </c>
      <c r="H52" s="462" t="e">
        <f t="shared" si="2"/>
        <v>#REF!</v>
      </c>
      <c r="I52" s="144" t="e">
        <f>#REF!</f>
        <v>#REF!</v>
      </c>
      <c r="J52" s="288" t="e">
        <f>#REF!</f>
        <v>#REF!</v>
      </c>
      <c r="K52" s="462" t="e">
        <f>ROUND((I52*J52*12)+H52+H53+H54+H55+H56+H57,0)+'Rev Req Proof Yr1'!AD59</f>
        <v>#REF!</v>
      </c>
      <c r="L52" s="463"/>
      <c r="M52" s="464">
        <v>1</v>
      </c>
      <c r="N52" s="468" t="e">
        <f>ROUND(+$M$12*(($K52*M52)/M$86),0)</f>
        <v>#REF!</v>
      </c>
      <c r="O52" s="466">
        <f>IFERROR(ROUND(($N$52*(D52/SUM($D$52:$D$57)))/D52,5),0)</f>
        <v>0</v>
      </c>
      <c r="P52" s="464">
        <v>1</v>
      </c>
      <c r="Q52" s="468" t="e">
        <f>ROUND(+$P$12*(($K52*P52)/P$86),0)</f>
        <v>#REF!</v>
      </c>
      <c r="R52" s="466">
        <f>IFERROR(ROUND(($Q$52*(D52/SUM($D$52:$D$57)))/D52,5),0)</f>
        <v>0</v>
      </c>
    </row>
    <row r="53" spans="1:18" x14ac:dyDescent="0.2">
      <c r="A53" s="76">
        <f t="shared" si="0"/>
        <v>45</v>
      </c>
      <c r="B53" s="670"/>
      <c r="C53" s="671" t="s">
        <v>5</v>
      </c>
      <c r="D53" s="467" t="e">
        <f>#REF!</f>
        <v>#REF!</v>
      </c>
      <c r="E53" s="461">
        <f>'Rates in Detail'!J50</f>
        <v>0.12530999999999998</v>
      </c>
      <c r="F53" s="461">
        <f>'Rates in Detail'!L50+'Rates in Detail'!P50+'Rates in Detail'!S50+'Rates in Detail'!U50</f>
        <v>8.26E-3</v>
      </c>
      <c r="G53" s="461">
        <f t="shared" si="1"/>
        <v>0.13356999999999997</v>
      </c>
      <c r="H53" s="462" t="e">
        <f t="shared" si="2"/>
        <v>#REF!</v>
      </c>
      <c r="I53" s="144"/>
      <c r="J53" s="288"/>
      <c r="K53" s="462"/>
      <c r="L53" s="463"/>
      <c r="M53" s="464">
        <v>1</v>
      </c>
      <c r="N53" s="259"/>
      <c r="O53" s="466">
        <f t="shared" ref="O53:O57" si="14">IFERROR(ROUND(($N$52*(D53/SUM($D$52:$D$57)))/D53,5),0)</f>
        <v>0</v>
      </c>
      <c r="P53" s="464">
        <v>1</v>
      </c>
      <c r="Q53" s="259"/>
      <c r="R53" s="466">
        <f t="shared" ref="R53:R57" si="15">IFERROR(ROUND(($Q$52*(D53/SUM($D$52:$D$57)))/D53,5),0)</f>
        <v>0</v>
      </c>
    </row>
    <row r="54" spans="1:18" x14ac:dyDescent="0.2">
      <c r="A54" s="76">
        <f t="shared" si="0"/>
        <v>46</v>
      </c>
      <c r="B54" s="670"/>
      <c r="C54" s="671" t="s">
        <v>6</v>
      </c>
      <c r="D54" s="467" t="e">
        <f>#REF!</f>
        <v>#REF!</v>
      </c>
      <c r="E54" s="461">
        <f>'Rates in Detail'!J51</f>
        <v>9.6100000000000005E-2</v>
      </c>
      <c r="F54" s="461">
        <f>'Rates in Detail'!L51+'Rates in Detail'!P51+'Rates in Detail'!S51+'Rates in Detail'!U51</f>
        <v>6.3400000000000001E-3</v>
      </c>
      <c r="G54" s="461">
        <f t="shared" si="1"/>
        <v>0.10244</v>
      </c>
      <c r="H54" s="462" t="e">
        <f t="shared" si="2"/>
        <v>#REF!</v>
      </c>
      <c r="I54" s="144"/>
      <c r="J54" s="288"/>
      <c r="K54" s="462"/>
      <c r="L54" s="463"/>
      <c r="M54" s="464">
        <v>1</v>
      </c>
      <c r="N54" s="259"/>
      <c r="O54" s="466">
        <f t="shared" si="14"/>
        <v>0</v>
      </c>
      <c r="P54" s="464">
        <v>1</v>
      </c>
      <c r="Q54" s="259"/>
      <c r="R54" s="466">
        <f t="shared" si="15"/>
        <v>0</v>
      </c>
    </row>
    <row r="55" spans="1:18" x14ac:dyDescent="0.2">
      <c r="A55" s="76">
        <f t="shared" si="0"/>
        <v>47</v>
      </c>
      <c r="B55" s="670"/>
      <c r="C55" s="671" t="s">
        <v>7</v>
      </c>
      <c r="D55" s="467" t="e">
        <f>#REF!</f>
        <v>#REF!</v>
      </c>
      <c r="E55" s="461">
        <f>'Rates in Detail'!J52</f>
        <v>7.6880000000000018E-2</v>
      </c>
      <c r="F55" s="461">
        <f>'Rates in Detail'!L52+'Rates in Detail'!P52+'Rates in Detail'!S52+'Rates in Detail'!U52</f>
        <v>5.0699999999999999E-3</v>
      </c>
      <c r="G55" s="461">
        <f t="shared" si="1"/>
        <v>8.1950000000000023E-2</v>
      </c>
      <c r="H55" s="462" t="e">
        <f t="shared" si="2"/>
        <v>#REF!</v>
      </c>
      <c r="I55" s="144"/>
      <c r="J55" s="288"/>
      <c r="K55" s="462"/>
      <c r="L55" s="463"/>
      <c r="M55" s="464">
        <v>1</v>
      </c>
      <c r="N55" s="259"/>
      <c r="O55" s="466">
        <f t="shared" si="14"/>
        <v>0</v>
      </c>
      <c r="P55" s="464">
        <v>1</v>
      </c>
      <c r="Q55" s="259"/>
      <c r="R55" s="466">
        <f t="shared" si="15"/>
        <v>0</v>
      </c>
    </row>
    <row r="56" spans="1:18" x14ac:dyDescent="0.2">
      <c r="A56" s="76">
        <f t="shared" si="0"/>
        <v>48</v>
      </c>
      <c r="B56" s="670"/>
      <c r="C56" s="671" t="s">
        <v>8</v>
      </c>
      <c r="D56" s="467" t="e">
        <f>#REF!</f>
        <v>#REF!</v>
      </c>
      <c r="E56" s="461">
        <f>'Rates in Detail'!J53</f>
        <v>5.1250000000000004E-2</v>
      </c>
      <c r="F56" s="461">
        <f>'Rates in Detail'!L53+'Rates in Detail'!P53+'Rates in Detail'!S53+'Rates in Detail'!U53</f>
        <v>3.3800000000000002E-3</v>
      </c>
      <c r="G56" s="461">
        <f t="shared" si="1"/>
        <v>5.4630000000000005E-2</v>
      </c>
      <c r="H56" s="462" t="e">
        <f t="shared" si="2"/>
        <v>#REF!</v>
      </c>
      <c r="I56" s="144"/>
      <c r="J56" s="288"/>
      <c r="K56" s="462"/>
      <c r="L56" s="463"/>
      <c r="M56" s="464">
        <v>1</v>
      </c>
      <c r="N56" s="259"/>
      <c r="O56" s="466">
        <f t="shared" si="14"/>
        <v>0</v>
      </c>
      <c r="P56" s="464">
        <v>1</v>
      </c>
      <c r="Q56" s="259"/>
      <c r="R56" s="466">
        <f t="shared" si="15"/>
        <v>0</v>
      </c>
    </row>
    <row r="57" spans="1:18" x14ac:dyDescent="0.2">
      <c r="A57" s="76">
        <f t="shared" si="0"/>
        <v>49</v>
      </c>
      <c r="B57" s="668"/>
      <c r="C57" s="672" t="s">
        <v>9</v>
      </c>
      <c r="D57" s="454" t="e">
        <f>#REF!</f>
        <v>#REF!</v>
      </c>
      <c r="E57" s="451">
        <f>'Rates in Detail'!J54</f>
        <v>1.9220000000000001E-2</v>
      </c>
      <c r="F57" s="451">
        <f>'Rates in Detail'!L54+'Rates in Detail'!P54+'Rates in Detail'!S54+'Rates in Detail'!U54</f>
        <v>1.2700000000000001E-3</v>
      </c>
      <c r="G57" s="451">
        <f t="shared" si="1"/>
        <v>2.0490000000000001E-2</v>
      </c>
      <c r="H57" s="455" t="e">
        <f t="shared" si="2"/>
        <v>#REF!</v>
      </c>
      <c r="I57" s="456"/>
      <c r="J57" s="353"/>
      <c r="K57" s="455"/>
      <c r="L57" s="450"/>
      <c r="M57" s="452">
        <v>1</v>
      </c>
      <c r="N57" s="453"/>
      <c r="O57" s="458">
        <f t="shared" si="14"/>
        <v>0</v>
      </c>
      <c r="P57" s="452">
        <v>1</v>
      </c>
      <c r="Q57" s="453"/>
      <c r="R57" s="458">
        <f t="shared" si="15"/>
        <v>0</v>
      </c>
    </row>
    <row r="58" spans="1:18" x14ac:dyDescent="0.2">
      <c r="A58" s="76">
        <f t="shared" si="0"/>
        <v>50</v>
      </c>
      <c r="B58" s="670" t="e">
        <f>#REF!</f>
        <v>#REF!</v>
      </c>
      <c r="C58" s="671" t="s">
        <v>4</v>
      </c>
      <c r="D58" s="467" t="e">
        <f>#REF!</f>
        <v>#REF!</v>
      </c>
      <c r="E58" s="461">
        <f>'Rates in Detail'!J55</f>
        <v>0.42349000000000003</v>
      </c>
      <c r="F58" s="461">
        <f>'Rates in Detail'!L55+'Rates in Detail'!P55+'Rates in Detail'!S55+'Rates in Detail'!U55</f>
        <v>1.7940000000000001E-2</v>
      </c>
      <c r="G58" s="461">
        <f t="shared" si="1"/>
        <v>0.44143000000000004</v>
      </c>
      <c r="H58" s="462" t="e">
        <f t="shared" si="2"/>
        <v>#REF!</v>
      </c>
      <c r="I58" s="144" t="e">
        <f>#REF!</f>
        <v>#REF!</v>
      </c>
      <c r="J58" s="288" t="e">
        <f>#REF!</f>
        <v>#REF!</v>
      </c>
      <c r="K58" s="462" t="e">
        <f>ROUND((I58*J58*12)+H58+H59+H60+H61+H62+H63,0)</f>
        <v>#REF!</v>
      </c>
      <c r="L58" s="463"/>
      <c r="M58" s="464">
        <v>1</v>
      </c>
      <c r="N58" s="468" t="e">
        <f>ROUND(+$M$12*(($K58*M58)/M$86),0)</f>
        <v>#REF!</v>
      </c>
      <c r="O58" s="466">
        <f>IFERROR(ROUND(($N$58*(D58/SUM($D$58:$D$63)))/D58,5),0)</f>
        <v>0</v>
      </c>
      <c r="P58" s="464">
        <v>1</v>
      </c>
      <c r="Q58" s="468" t="e">
        <f>ROUND(+$P$12*(($K58*P58)/P$86),0)</f>
        <v>#REF!</v>
      </c>
      <c r="R58" s="466">
        <f>IFERROR(ROUND(($Q$58*(D58/SUM($D$58:$D$63)))/D58,5),0)</f>
        <v>0</v>
      </c>
    </row>
    <row r="59" spans="1:18" x14ac:dyDescent="0.2">
      <c r="A59" s="76">
        <f t="shared" si="0"/>
        <v>51</v>
      </c>
      <c r="B59" s="670"/>
      <c r="C59" s="671" t="s">
        <v>5</v>
      </c>
      <c r="D59" s="467" t="e">
        <f>#REF!</f>
        <v>#REF!</v>
      </c>
      <c r="E59" s="461">
        <f>'Rates in Detail'!J56</f>
        <v>0.40679999999999994</v>
      </c>
      <c r="F59" s="461">
        <f>'Rates in Detail'!L56+'Rates in Detail'!P56+'Rates in Detail'!S56+'Rates in Detail'!U56</f>
        <v>1.6060000000000001E-2</v>
      </c>
      <c r="G59" s="461">
        <f t="shared" si="1"/>
        <v>0.42285999999999996</v>
      </c>
      <c r="H59" s="462" t="e">
        <f t="shared" si="2"/>
        <v>#REF!</v>
      </c>
      <c r="I59" s="144"/>
      <c r="J59" s="288"/>
      <c r="K59" s="462"/>
      <c r="L59" s="463"/>
      <c r="M59" s="464">
        <v>1</v>
      </c>
      <c r="N59" s="259"/>
      <c r="O59" s="466">
        <f>IFERROR(ROUND(($N$58*(D59/SUM($D$58:$D$63)))/D59,5),0)</f>
        <v>0</v>
      </c>
      <c r="P59" s="464">
        <v>1</v>
      </c>
      <c r="Q59" s="259"/>
      <c r="R59" s="466">
        <f t="shared" ref="R59:R62" si="16">IFERROR(ROUND(($Q$58*(D59/SUM($D$58:$D$63)))/D59,5),0)</f>
        <v>0</v>
      </c>
    </row>
    <row r="60" spans="1:18" x14ac:dyDescent="0.2">
      <c r="A60" s="76">
        <f t="shared" si="0"/>
        <v>52</v>
      </c>
      <c r="B60" s="670"/>
      <c r="C60" s="671" t="s">
        <v>6</v>
      </c>
      <c r="D60" s="467" t="e">
        <f>#REF!</f>
        <v>#REF!</v>
      </c>
      <c r="E60" s="461">
        <f>'Rates in Detail'!J57</f>
        <v>0.37361</v>
      </c>
      <c r="F60" s="461">
        <f>'Rates in Detail'!L57+'Rates in Detail'!P57+'Rates in Detail'!S57+'Rates in Detail'!U57</f>
        <v>1.231E-2</v>
      </c>
      <c r="G60" s="461">
        <f t="shared" si="1"/>
        <v>0.38591999999999999</v>
      </c>
      <c r="H60" s="462" t="e">
        <f t="shared" si="2"/>
        <v>#REF!</v>
      </c>
      <c r="I60" s="144"/>
      <c r="J60" s="288"/>
      <c r="K60" s="462"/>
      <c r="L60" s="463"/>
      <c r="M60" s="464">
        <v>1</v>
      </c>
      <c r="N60" s="259"/>
      <c r="O60" s="466">
        <f t="shared" ref="O60:O63" si="17">IFERROR(ROUND(($N$58*(D60/SUM($D$58:$D$63)))/D60,5),0)</f>
        <v>0</v>
      </c>
      <c r="P60" s="464">
        <v>1</v>
      </c>
      <c r="Q60" s="259"/>
      <c r="R60" s="466">
        <f t="shared" si="16"/>
        <v>0</v>
      </c>
    </row>
    <row r="61" spans="1:18" x14ac:dyDescent="0.2">
      <c r="A61" s="76">
        <f t="shared" si="0"/>
        <v>53</v>
      </c>
      <c r="B61" s="670"/>
      <c r="C61" s="671" t="s">
        <v>7</v>
      </c>
      <c r="D61" s="467" t="e">
        <f>#REF!</f>
        <v>#REF!</v>
      </c>
      <c r="E61" s="461">
        <f>'Rates in Detail'!J58</f>
        <v>0.35180000000000006</v>
      </c>
      <c r="F61" s="461">
        <f>'Rates in Detail'!L58+'Rates in Detail'!P58+'Rates in Detail'!S58+'Rates in Detail'!U58</f>
        <v>9.8499999999999994E-3</v>
      </c>
      <c r="G61" s="461">
        <f t="shared" si="1"/>
        <v>0.36165000000000008</v>
      </c>
      <c r="H61" s="462" t="e">
        <f t="shared" si="2"/>
        <v>#REF!</v>
      </c>
      <c r="I61" s="144"/>
      <c r="J61" s="288"/>
      <c r="K61" s="462"/>
      <c r="L61" s="463"/>
      <c r="M61" s="464">
        <v>1</v>
      </c>
      <c r="N61" s="259"/>
      <c r="O61" s="466">
        <f t="shared" si="17"/>
        <v>0</v>
      </c>
      <c r="P61" s="464">
        <v>1</v>
      </c>
      <c r="Q61" s="259"/>
      <c r="R61" s="466">
        <f t="shared" si="16"/>
        <v>0</v>
      </c>
    </row>
    <row r="62" spans="1:18" x14ac:dyDescent="0.2">
      <c r="A62" s="76">
        <f t="shared" si="0"/>
        <v>54</v>
      </c>
      <c r="B62" s="670"/>
      <c r="C62" s="671" t="s">
        <v>8</v>
      </c>
      <c r="D62" s="467" t="e">
        <f>#REF!</f>
        <v>#REF!</v>
      </c>
      <c r="E62" s="461">
        <f>'Rates in Detail'!J59</f>
        <v>0.32268999999999998</v>
      </c>
      <c r="F62" s="461">
        <f>'Rates in Detail'!L59+'Rates in Detail'!P59+'Rates in Detail'!S59+'Rates in Detail'!U59</f>
        <v>6.5799999999999999E-3</v>
      </c>
      <c r="G62" s="461">
        <f t="shared" si="1"/>
        <v>0.32926999999999995</v>
      </c>
      <c r="H62" s="462" t="e">
        <f t="shared" si="2"/>
        <v>#REF!</v>
      </c>
      <c r="I62" s="144"/>
      <c r="J62" s="288"/>
      <c r="K62" s="462"/>
      <c r="L62" s="463"/>
      <c r="M62" s="464">
        <v>1</v>
      </c>
      <c r="N62" s="259"/>
      <c r="O62" s="466">
        <f t="shared" si="17"/>
        <v>0</v>
      </c>
      <c r="P62" s="464">
        <v>1</v>
      </c>
      <c r="Q62" s="259"/>
      <c r="R62" s="466">
        <f t="shared" si="16"/>
        <v>0</v>
      </c>
    </row>
    <row r="63" spans="1:18" x14ac:dyDescent="0.2">
      <c r="A63" s="76">
        <f t="shared" si="0"/>
        <v>55</v>
      </c>
      <c r="B63" s="668"/>
      <c r="C63" s="672" t="s">
        <v>9</v>
      </c>
      <c r="D63" s="454" t="e">
        <f>#REF!</f>
        <v>#REF!</v>
      </c>
      <c r="E63" s="451">
        <f>'Rates in Detail'!J60</f>
        <v>0.28632000000000002</v>
      </c>
      <c r="F63" s="451">
        <f>'Rates in Detail'!L60+'Rates in Detail'!P60+'Rates in Detail'!S60+'Rates in Detail'!U60</f>
        <v>2.4600000000000004E-3</v>
      </c>
      <c r="G63" s="451">
        <f t="shared" si="1"/>
        <v>0.28878000000000004</v>
      </c>
      <c r="H63" s="455" t="e">
        <f t="shared" si="2"/>
        <v>#REF!</v>
      </c>
      <c r="I63" s="456"/>
      <c r="J63" s="353"/>
      <c r="K63" s="455"/>
      <c r="L63" s="450"/>
      <c r="M63" s="452">
        <v>1</v>
      </c>
      <c r="N63" s="453"/>
      <c r="O63" s="458">
        <f t="shared" si="17"/>
        <v>0</v>
      </c>
      <c r="P63" s="452">
        <v>1</v>
      </c>
      <c r="Q63" s="453"/>
      <c r="R63" s="458">
        <f>IFERROR(ROUND(($Q$58*(D63/SUM($D$58:$D$63)))/D63,5),0)</f>
        <v>0</v>
      </c>
    </row>
    <row r="64" spans="1:18" x14ac:dyDescent="0.2">
      <c r="A64" s="76">
        <f t="shared" si="0"/>
        <v>56</v>
      </c>
      <c r="B64" s="670" t="e">
        <f>#REF!</f>
        <v>#REF!</v>
      </c>
      <c r="C64" s="671" t="s">
        <v>4</v>
      </c>
      <c r="D64" s="467" t="e">
        <f>#REF!</f>
        <v>#REF!</v>
      </c>
      <c r="E64" s="461">
        <f>'Rates in Detail'!J61</f>
        <v>0.4161399999999999</v>
      </c>
      <c r="F64" s="461">
        <f>'Rates in Detail'!L61+'Rates in Detail'!P61+'Rates in Detail'!S61+'Rates in Detail'!U61</f>
        <v>1.321E-2</v>
      </c>
      <c r="G64" s="461">
        <f t="shared" si="1"/>
        <v>0.4293499999999999</v>
      </c>
      <c r="H64" s="462" t="e">
        <f t="shared" si="2"/>
        <v>#REF!</v>
      </c>
      <c r="I64" s="144" t="e">
        <f>#REF!</f>
        <v>#REF!</v>
      </c>
      <c r="J64" s="288" t="e">
        <f>#REF!</f>
        <v>#REF!</v>
      </c>
      <c r="K64" s="462" t="e">
        <f>ROUND((I64*J64*12)+H64+H65+H66+H67+H68+H69,0)</f>
        <v>#REF!</v>
      </c>
      <c r="L64" s="463"/>
      <c r="M64" s="464">
        <v>1</v>
      </c>
      <c r="N64" s="468" t="e">
        <f>ROUND(+$M$12*(($K64*M64)/M$86),0)</f>
        <v>#REF!</v>
      </c>
      <c r="O64" s="466">
        <f>IFERROR(ROUND(($N$64*(D64/SUM($D$64:$D$69)))/D64,5),0)</f>
        <v>0</v>
      </c>
      <c r="P64" s="464">
        <v>1</v>
      </c>
      <c r="Q64" s="468" t="e">
        <f>ROUND(+$P$12*(($K64*P64)/P$86),0)</f>
        <v>#REF!</v>
      </c>
      <c r="R64" s="466">
        <f>IFERROR(ROUND(($Q$64*(D64/SUM($D$64:$D$69)))/D64,5),0)</f>
        <v>0</v>
      </c>
    </row>
    <row r="65" spans="1:18" x14ac:dyDescent="0.2">
      <c r="A65" s="76">
        <f t="shared" si="0"/>
        <v>57</v>
      </c>
      <c r="B65" s="670"/>
      <c r="C65" s="671" t="s">
        <v>5</v>
      </c>
      <c r="D65" s="467" t="e">
        <f>#REF!</f>
        <v>#REF!</v>
      </c>
      <c r="E65" s="461">
        <f>'Rates in Detail'!J62</f>
        <v>0.40022999999999992</v>
      </c>
      <c r="F65" s="461">
        <f>'Rates in Detail'!L62+'Rates in Detail'!P62+'Rates in Detail'!S62+'Rates in Detail'!U62</f>
        <v>1.183E-2</v>
      </c>
      <c r="G65" s="461">
        <f t="shared" si="1"/>
        <v>0.41205999999999993</v>
      </c>
      <c r="H65" s="462" t="e">
        <f t="shared" si="2"/>
        <v>#REF!</v>
      </c>
      <c r="I65" s="144"/>
      <c r="J65" s="288"/>
      <c r="K65" s="462"/>
      <c r="L65" s="463"/>
      <c r="M65" s="464">
        <v>1</v>
      </c>
      <c r="N65" s="259"/>
      <c r="O65" s="466">
        <f t="shared" ref="O65:O69" si="18">IFERROR(ROUND(($N$64*(D65/SUM($D$64:$D$69)))/D65,5),0)</f>
        <v>0</v>
      </c>
      <c r="P65" s="464">
        <v>1</v>
      </c>
      <c r="Q65" s="259"/>
      <c r="R65" s="466">
        <f t="shared" ref="R65:R69" si="19">IFERROR(ROUND(($Q$64*(D65/SUM($D$64:$D$69)))/D65,5),0)</f>
        <v>0</v>
      </c>
    </row>
    <row r="66" spans="1:18" x14ac:dyDescent="0.2">
      <c r="A66" s="76">
        <f t="shared" si="0"/>
        <v>58</v>
      </c>
      <c r="B66" s="670"/>
      <c r="C66" s="671" t="s">
        <v>6</v>
      </c>
      <c r="D66" s="467" t="e">
        <f>#REF!</f>
        <v>#REF!</v>
      </c>
      <c r="E66" s="461">
        <f>'Rates in Detail'!J63</f>
        <v>0.36857999999999996</v>
      </c>
      <c r="F66" s="461">
        <f>'Rates in Detail'!L63+'Rates in Detail'!P63+'Rates in Detail'!S63+'Rates in Detail'!U63</f>
        <v>9.0699999999999999E-3</v>
      </c>
      <c r="G66" s="461">
        <f t="shared" si="1"/>
        <v>0.37764999999999999</v>
      </c>
      <c r="H66" s="462" t="e">
        <f t="shared" si="2"/>
        <v>#REF!</v>
      </c>
      <c r="I66" s="144"/>
      <c r="J66" s="288"/>
      <c r="K66" s="462"/>
      <c r="L66" s="463"/>
      <c r="M66" s="464">
        <v>1</v>
      </c>
      <c r="N66" s="259"/>
      <c r="O66" s="466">
        <f t="shared" si="18"/>
        <v>0</v>
      </c>
      <c r="P66" s="464">
        <v>1</v>
      </c>
      <c r="Q66" s="259"/>
      <c r="R66" s="466">
        <f t="shared" si="19"/>
        <v>0</v>
      </c>
    </row>
    <row r="67" spans="1:18" x14ac:dyDescent="0.2">
      <c r="A67" s="76">
        <f t="shared" si="0"/>
        <v>59</v>
      </c>
      <c r="B67" s="670"/>
      <c r="C67" s="671" t="s">
        <v>7</v>
      </c>
      <c r="D67" s="467" t="e">
        <f>#REF!</f>
        <v>#REF!</v>
      </c>
      <c r="E67" s="461">
        <f>'Rates in Detail'!J64</f>
        <v>0.34777000000000002</v>
      </c>
      <c r="F67" s="461">
        <f>'Rates in Detail'!L64+'Rates in Detail'!P64+'Rates in Detail'!S64+'Rates in Detail'!U64</f>
        <v>7.2600000000000008E-3</v>
      </c>
      <c r="G67" s="461">
        <f t="shared" si="1"/>
        <v>0.35503000000000001</v>
      </c>
      <c r="H67" s="462" t="e">
        <f t="shared" si="2"/>
        <v>#REF!</v>
      </c>
      <c r="I67" s="144"/>
      <c r="J67" s="288"/>
      <c r="K67" s="462"/>
      <c r="L67" s="463"/>
      <c r="M67" s="464">
        <v>1</v>
      </c>
      <c r="N67" s="259"/>
      <c r="O67" s="466">
        <f t="shared" si="18"/>
        <v>0</v>
      </c>
      <c r="P67" s="464">
        <v>1</v>
      </c>
      <c r="Q67" s="259"/>
      <c r="R67" s="466">
        <f t="shared" si="19"/>
        <v>0</v>
      </c>
    </row>
    <row r="68" spans="1:18" x14ac:dyDescent="0.2">
      <c r="A68" s="76">
        <f t="shared" si="0"/>
        <v>60</v>
      </c>
      <c r="B68" s="670"/>
      <c r="C68" s="671" t="s">
        <v>8</v>
      </c>
      <c r="D68" s="467" t="e">
        <f>#REF!</f>
        <v>#REF!</v>
      </c>
      <c r="E68" s="461">
        <f>'Rates in Detail'!J65</f>
        <v>0.32002000000000003</v>
      </c>
      <c r="F68" s="461">
        <f>'Rates in Detail'!L65+'Rates in Detail'!P65+'Rates in Detail'!S65+'Rates in Detail'!U65</f>
        <v>4.8300000000000001E-3</v>
      </c>
      <c r="G68" s="461">
        <f t="shared" si="1"/>
        <v>0.32485000000000003</v>
      </c>
      <c r="H68" s="462" t="e">
        <f t="shared" si="2"/>
        <v>#REF!</v>
      </c>
      <c r="I68" s="144"/>
      <c r="J68" s="288"/>
      <c r="K68" s="462"/>
      <c r="L68" s="463"/>
      <c r="M68" s="464">
        <v>1</v>
      </c>
      <c r="N68" s="259"/>
      <c r="O68" s="466">
        <f t="shared" si="18"/>
        <v>0</v>
      </c>
      <c r="P68" s="464">
        <v>1</v>
      </c>
      <c r="Q68" s="259"/>
      <c r="R68" s="466">
        <f t="shared" si="19"/>
        <v>0</v>
      </c>
    </row>
    <row r="69" spans="1:18" x14ac:dyDescent="0.2">
      <c r="A69" s="76">
        <f t="shared" si="0"/>
        <v>61</v>
      </c>
      <c r="B69" s="668"/>
      <c r="C69" s="672" t="s">
        <v>9</v>
      </c>
      <c r="D69" s="454" t="e">
        <f>#REF!</f>
        <v>#REF!</v>
      </c>
      <c r="E69" s="451">
        <f>'Rates in Detail'!J66</f>
        <v>0.2853</v>
      </c>
      <c r="F69" s="451">
        <f>'Rates in Detail'!L66+'Rates in Detail'!P66+'Rates in Detail'!S66+'Rates in Detail'!U66</f>
        <v>1.8100000000000002E-3</v>
      </c>
      <c r="G69" s="451">
        <f t="shared" si="1"/>
        <v>0.28710999999999998</v>
      </c>
      <c r="H69" s="455" t="e">
        <f t="shared" si="2"/>
        <v>#REF!</v>
      </c>
      <c r="I69" s="456"/>
      <c r="J69" s="353"/>
      <c r="K69" s="455"/>
      <c r="L69" s="450"/>
      <c r="M69" s="452">
        <v>1</v>
      </c>
      <c r="N69" s="453"/>
      <c r="O69" s="458">
        <f t="shared" si="18"/>
        <v>0</v>
      </c>
      <c r="P69" s="452">
        <v>1</v>
      </c>
      <c r="Q69" s="453"/>
      <c r="R69" s="458">
        <f t="shared" si="19"/>
        <v>0</v>
      </c>
    </row>
    <row r="70" spans="1:18" x14ac:dyDescent="0.2">
      <c r="A70" s="76">
        <f t="shared" si="0"/>
        <v>62</v>
      </c>
      <c r="B70" s="670" t="e">
        <f>#REF!</f>
        <v>#REF!</v>
      </c>
      <c r="C70" s="671" t="s">
        <v>4</v>
      </c>
      <c r="D70" s="467" t="e">
        <f>#REF!</f>
        <v>#REF!</v>
      </c>
      <c r="E70" s="461">
        <f>'Rates in Detail'!J67</f>
        <v>0.13459999999999997</v>
      </c>
      <c r="F70" s="461">
        <f>'Rates in Detail'!L67+'Rates in Detail'!P67+'Rates in Detail'!S67+'Rates in Detail'!U67</f>
        <v>5.3899999999999998E-3</v>
      </c>
      <c r="G70" s="461">
        <f t="shared" si="1"/>
        <v>0.13998999999999998</v>
      </c>
      <c r="H70" s="462" t="e">
        <f t="shared" si="2"/>
        <v>#REF!</v>
      </c>
      <c r="I70" s="144" t="e">
        <f>#REF!</f>
        <v>#REF!</v>
      </c>
      <c r="J70" s="288" t="e">
        <f>#REF!</f>
        <v>#REF!</v>
      </c>
      <c r="K70" s="462" t="e">
        <f>ROUND((I70*J70*12)+H70+H71+H72+H73+H74+H75,0)</f>
        <v>#REF!</v>
      </c>
      <c r="L70" s="463"/>
      <c r="M70" s="464">
        <v>1</v>
      </c>
      <c r="N70" s="468" t="e">
        <f>ROUND(+$M$12*(($K70*M70)/M$86),0)</f>
        <v>#REF!</v>
      </c>
      <c r="O70" s="466">
        <f>IFERROR(ROUND(($N$70*(D70/SUM($D$70:$D$75)))/D70,5),0)</f>
        <v>0</v>
      </c>
      <c r="P70" s="464">
        <v>1</v>
      </c>
      <c r="Q70" s="468" t="e">
        <f>ROUND(+$P$12*(($K70*P70)/P$86),0)</f>
        <v>#REF!</v>
      </c>
      <c r="R70" s="466">
        <f>IFERROR(ROUND(($Q$70*(D70/SUM($D$70:$D$75)))/D70,5),0)</f>
        <v>0</v>
      </c>
    </row>
    <row r="71" spans="1:18" x14ac:dyDescent="0.2">
      <c r="A71" s="76">
        <f t="shared" si="0"/>
        <v>63</v>
      </c>
      <c r="B71" s="670"/>
      <c r="C71" s="671" t="s">
        <v>5</v>
      </c>
      <c r="D71" s="467" t="e">
        <f>#REF!</f>
        <v>#REF!</v>
      </c>
      <c r="E71" s="461">
        <f>'Rates in Detail'!J68</f>
        <v>0.12048999999999999</v>
      </c>
      <c r="F71" s="461">
        <f>'Rates in Detail'!L68+'Rates in Detail'!P68+'Rates in Detail'!S68+'Rates in Detail'!U68</f>
        <v>4.8300000000000001E-3</v>
      </c>
      <c r="G71" s="461">
        <f t="shared" si="1"/>
        <v>0.12531999999999999</v>
      </c>
      <c r="H71" s="462" t="e">
        <f t="shared" si="2"/>
        <v>#REF!</v>
      </c>
      <c r="I71" s="144"/>
      <c r="J71" s="288"/>
      <c r="K71" s="462"/>
      <c r="L71" s="463"/>
      <c r="M71" s="464">
        <v>1</v>
      </c>
      <c r="N71" s="259"/>
      <c r="O71" s="466">
        <f t="shared" ref="O71:O75" si="20">IFERROR(ROUND(($N$70*(D71/SUM($D$70:$D$75)))/D71,5),0)</f>
        <v>0</v>
      </c>
      <c r="P71" s="464">
        <v>1</v>
      </c>
      <c r="Q71" s="259"/>
      <c r="R71" s="466">
        <f t="shared" ref="R71:R75" si="21">IFERROR(ROUND(($Q$70*(D71/SUM($D$70:$D$75)))/D71,5),0)</f>
        <v>0</v>
      </c>
    </row>
    <row r="72" spans="1:18" x14ac:dyDescent="0.2">
      <c r="A72" s="76">
        <f t="shared" si="0"/>
        <v>64</v>
      </c>
      <c r="B72" s="670"/>
      <c r="C72" s="671" t="s">
        <v>6</v>
      </c>
      <c r="D72" s="467" t="e">
        <f>#REF!</f>
        <v>#REF!</v>
      </c>
      <c r="E72" s="461">
        <f>'Rates in Detail'!J69</f>
        <v>9.2380000000000004E-2</v>
      </c>
      <c r="F72" s="461">
        <f>'Rates in Detail'!L69+'Rates in Detail'!P69+'Rates in Detail'!S69+'Rates in Detail'!U69</f>
        <v>3.7099999999999998E-3</v>
      </c>
      <c r="G72" s="461">
        <f t="shared" si="1"/>
        <v>9.6090000000000009E-2</v>
      </c>
      <c r="H72" s="462" t="e">
        <f t="shared" si="2"/>
        <v>#REF!</v>
      </c>
      <c r="I72" s="144"/>
      <c r="J72" s="288"/>
      <c r="K72" s="462"/>
      <c r="L72" s="463"/>
      <c r="M72" s="464">
        <v>1</v>
      </c>
      <c r="N72" s="259"/>
      <c r="O72" s="466">
        <f t="shared" si="20"/>
        <v>0</v>
      </c>
      <c r="P72" s="464">
        <v>1</v>
      </c>
      <c r="Q72" s="259"/>
      <c r="R72" s="466">
        <f t="shared" si="21"/>
        <v>0</v>
      </c>
    </row>
    <row r="73" spans="1:18" x14ac:dyDescent="0.2">
      <c r="A73" s="76">
        <f t="shared" si="0"/>
        <v>65</v>
      </c>
      <c r="B73" s="670"/>
      <c r="C73" s="671" t="s">
        <v>7</v>
      </c>
      <c r="D73" s="467" t="e">
        <f>#REF!</f>
        <v>#REF!</v>
      </c>
      <c r="E73" s="461">
        <f>'Rates in Detail'!J70</f>
        <v>7.392E-2</v>
      </c>
      <c r="F73" s="461">
        <f>'Rates in Detail'!L70+'Rates in Detail'!P70+'Rates in Detail'!S70+'Rates in Detail'!U70</f>
        <v>2.96E-3</v>
      </c>
      <c r="G73" s="461">
        <f t="shared" si="1"/>
        <v>7.6880000000000004E-2</v>
      </c>
      <c r="H73" s="462" t="e">
        <f t="shared" si="2"/>
        <v>#REF!</v>
      </c>
      <c r="I73" s="144"/>
      <c r="J73" s="288"/>
      <c r="K73" s="462"/>
      <c r="L73" s="463"/>
      <c r="M73" s="464">
        <v>1</v>
      </c>
      <c r="N73" s="259"/>
      <c r="O73" s="466">
        <f t="shared" si="20"/>
        <v>0</v>
      </c>
      <c r="P73" s="464">
        <v>1</v>
      </c>
      <c r="Q73" s="259"/>
      <c r="R73" s="466">
        <f t="shared" si="21"/>
        <v>0</v>
      </c>
    </row>
    <row r="74" spans="1:18" x14ac:dyDescent="0.2">
      <c r="A74" s="76">
        <f t="shared" si="0"/>
        <v>66</v>
      </c>
      <c r="B74" s="670"/>
      <c r="C74" s="671" t="s">
        <v>8</v>
      </c>
      <c r="D74" s="467" t="e">
        <f>#REF!</f>
        <v>#REF!</v>
      </c>
      <c r="E74" s="461">
        <f>'Rates in Detail'!J71</f>
        <v>4.929E-2</v>
      </c>
      <c r="F74" s="461">
        <f>'Rates in Detail'!L71+'Rates in Detail'!P71+'Rates in Detail'!S71+'Rates in Detail'!U71</f>
        <v>1.98E-3</v>
      </c>
      <c r="G74" s="461">
        <f t="shared" si="1"/>
        <v>5.1270000000000003E-2</v>
      </c>
      <c r="H74" s="462" t="e">
        <f t="shared" si="2"/>
        <v>#REF!</v>
      </c>
      <c r="I74" s="144"/>
      <c r="J74" s="288"/>
      <c r="K74" s="462"/>
      <c r="L74" s="463"/>
      <c r="M74" s="464">
        <v>1</v>
      </c>
      <c r="N74" s="259"/>
      <c r="O74" s="466">
        <f t="shared" si="20"/>
        <v>0</v>
      </c>
      <c r="P74" s="464">
        <v>1</v>
      </c>
      <c r="Q74" s="259"/>
      <c r="R74" s="466">
        <f t="shared" si="21"/>
        <v>0</v>
      </c>
    </row>
    <row r="75" spans="1:18" x14ac:dyDescent="0.2">
      <c r="A75" s="76">
        <f t="shared" si="0"/>
        <v>67</v>
      </c>
      <c r="B75" s="668"/>
      <c r="C75" s="672" t="s">
        <v>9</v>
      </c>
      <c r="D75" s="454" t="e">
        <f>#REF!</f>
        <v>#REF!</v>
      </c>
      <c r="E75" s="451">
        <f>'Rates in Detail'!J72</f>
        <v>1.8460000000000001E-2</v>
      </c>
      <c r="F75" s="451">
        <f>'Rates in Detail'!L72+'Rates in Detail'!P72+'Rates in Detail'!S72+'Rates in Detail'!U72</f>
        <v>7.3999999999999999E-4</v>
      </c>
      <c r="G75" s="451">
        <f t="shared" si="1"/>
        <v>1.9200000000000002E-2</v>
      </c>
      <c r="H75" s="455" t="e">
        <f t="shared" si="2"/>
        <v>#REF!</v>
      </c>
      <c r="I75" s="456"/>
      <c r="J75" s="353"/>
      <c r="K75" s="455"/>
      <c r="L75" s="450"/>
      <c r="M75" s="452">
        <v>1</v>
      </c>
      <c r="N75" s="453"/>
      <c r="O75" s="458">
        <f t="shared" si="20"/>
        <v>0</v>
      </c>
      <c r="P75" s="452">
        <v>1</v>
      </c>
      <c r="Q75" s="453"/>
      <c r="R75" s="458">
        <f t="shared" si="21"/>
        <v>0</v>
      </c>
    </row>
    <row r="76" spans="1:18" x14ac:dyDescent="0.2">
      <c r="A76" s="76">
        <f t="shared" si="0"/>
        <v>68</v>
      </c>
      <c r="B76" s="670" t="e">
        <f>#REF!</f>
        <v>#REF!</v>
      </c>
      <c r="C76" s="671" t="s">
        <v>4</v>
      </c>
      <c r="D76" s="467" t="e">
        <f>#REF!</f>
        <v>#REF!</v>
      </c>
      <c r="E76" s="469">
        <f>'Rates in Detail'!J73</f>
        <v>0.13459999999999997</v>
      </c>
      <c r="F76" s="469">
        <f>'Rates in Detail'!L73+'Rates in Detail'!P73+'Rates in Detail'!S73+'Rates in Detail'!U73</f>
        <v>7.7699999999999991E-3</v>
      </c>
      <c r="G76" s="469">
        <f t="shared" si="1"/>
        <v>0.14236999999999997</v>
      </c>
      <c r="H76" s="462" t="e">
        <f t="shared" si="2"/>
        <v>#REF!</v>
      </c>
      <c r="I76" s="144" t="e">
        <f>#REF!</f>
        <v>#REF!</v>
      </c>
      <c r="J76" s="288" t="e">
        <f>#REF!</f>
        <v>#REF!</v>
      </c>
      <c r="K76" s="462" t="e">
        <f>ROUND((I76*J76*12)+H76+H77+H78+H79+H80+H81,0)</f>
        <v>#REF!</v>
      </c>
      <c r="L76" s="470"/>
      <c r="M76" s="464">
        <v>1</v>
      </c>
      <c r="N76" s="468" t="e">
        <f>ROUND(+$M$12*(($K76*M76)/M$86),0)</f>
        <v>#REF!</v>
      </c>
      <c r="O76" s="466">
        <f>IFERROR(ROUND(($N$76*(D76/SUM($D$76:$D$81)))/D76,5),0)</f>
        <v>0</v>
      </c>
      <c r="P76" s="464">
        <v>1</v>
      </c>
      <c r="Q76" s="468" t="e">
        <f>ROUND(+$P$12*(($K76*P76)/P$86),0)</f>
        <v>#REF!</v>
      </c>
      <c r="R76" s="466">
        <f>IFERROR(ROUND(($Q$76*(D76/SUM($D$76:$D$81)))/D76,5),0)</f>
        <v>0</v>
      </c>
    </row>
    <row r="77" spans="1:18" x14ac:dyDescent="0.2">
      <c r="A77" s="76">
        <f t="shared" si="0"/>
        <v>69</v>
      </c>
      <c r="B77" s="670"/>
      <c r="C77" s="671" t="s">
        <v>5</v>
      </c>
      <c r="D77" s="467" t="e">
        <f>#REF!</f>
        <v>#REF!</v>
      </c>
      <c r="E77" s="469">
        <f>'Rates in Detail'!J74</f>
        <v>0.12048999999999999</v>
      </c>
      <c r="F77" s="469">
        <f>'Rates in Detail'!L74+'Rates in Detail'!P74+'Rates in Detail'!S74+'Rates in Detail'!U74</f>
        <v>6.9500000000000013E-3</v>
      </c>
      <c r="G77" s="469">
        <f t="shared" si="1"/>
        <v>0.12744</v>
      </c>
      <c r="H77" s="462" t="e">
        <f t="shared" si="2"/>
        <v>#REF!</v>
      </c>
      <c r="I77" s="144"/>
      <c r="J77" s="288"/>
      <c r="K77" s="462"/>
      <c r="L77" s="470"/>
      <c r="M77" s="464">
        <v>1</v>
      </c>
      <c r="N77" s="259"/>
      <c r="O77" s="466">
        <f t="shared" ref="O77:O81" si="22">IFERROR(ROUND(($N$76*(D77/SUM($D$76:$D$81)))/D77,5),0)</f>
        <v>0</v>
      </c>
      <c r="P77" s="464">
        <v>1</v>
      </c>
      <c r="Q77" s="259"/>
      <c r="R77" s="466">
        <f t="shared" ref="R77:R81" si="23">IFERROR(ROUND(($Q$76*(D77/SUM($D$76:$D$81)))/D77,5),0)</f>
        <v>0</v>
      </c>
    </row>
    <row r="78" spans="1:18" x14ac:dyDescent="0.2">
      <c r="A78" s="76">
        <f t="shared" si="0"/>
        <v>70</v>
      </c>
      <c r="B78" s="670"/>
      <c r="C78" s="671" t="s">
        <v>6</v>
      </c>
      <c r="D78" s="467" t="e">
        <f>#REF!</f>
        <v>#REF!</v>
      </c>
      <c r="E78" s="469">
        <f>'Rates in Detail'!J75</f>
        <v>9.2380000000000004E-2</v>
      </c>
      <c r="F78" s="469">
        <f>'Rates in Detail'!L75+'Rates in Detail'!P75+'Rates in Detail'!S75+'Rates in Detail'!U75</f>
        <v>5.3299999999999997E-3</v>
      </c>
      <c r="G78" s="469">
        <f t="shared" si="1"/>
        <v>9.7710000000000005E-2</v>
      </c>
      <c r="H78" s="462" t="e">
        <f t="shared" si="2"/>
        <v>#REF!</v>
      </c>
      <c r="I78" s="144"/>
      <c r="J78" s="288"/>
      <c r="K78" s="462"/>
      <c r="L78" s="470"/>
      <c r="M78" s="464">
        <v>1</v>
      </c>
      <c r="N78" s="259"/>
      <c r="O78" s="466">
        <f t="shared" si="22"/>
        <v>0</v>
      </c>
      <c r="P78" s="464">
        <v>1</v>
      </c>
      <c r="Q78" s="259"/>
      <c r="R78" s="466">
        <f t="shared" si="23"/>
        <v>0</v>
      </c>
    </row>
    <row r="79" spans="1:18" x14ac:dyDescent="0.2">
      <c r="A79" s="76">
        <f t="shared" si="0"/>
        <v>71</v>
      </c>
      <c r="B79" s="670"/>
      <c r="C79" s="671" t="s">
        <v>7</v>
      </c>
      <c r="D79" s="467" t="e">
        <f>#REF!</f>
        <v>#REF!</v>
      </c>
      <c r="E79" s="469">
        <f>'Rates in Detail'!J76</f>
        <v>7.392E-2</v>
      </c>
      <c r="F79" s="469">
        <f>'Rates in Detail'!L76+'Rates in Detail'!P76+'Rates in Detail'!S76+'Rates in Detail'!U76</f>
        <v>4.2699999999999995E-3</v>
      </c>
      <c r="G79" s="469">
        <f t="shared" si="1"/>
        <v>7.8189999999999996E-2</v>
      </c>
      <c r="H79" s="462" t="e">
        <f t="shared" si="2"/>
        <v>#REF!</v>
      </c>
      <c r="I79" s="144"/>
      <c r="J79" s="288"/>
      <c r="K79" s="462"/>
      <c r="L79" s="470"/>
      <c r="M79" s="464">
        <v>1</v>
      </c>
      <c r="N79" s="259"/>
      <c r="O79" s="466">
        <f t="shared" si="22"/>
        <v>0</v>
      </c>
      <c r="P79" s="464">
        <v>1</v>
      </c>
      <c r="Q79" s="259"/>
      <c r="R79" s="466">
        <f t="shared" si="23"/>
        <v>0</v>
      </c>
    </row>
    <row r="80" spans="1:18" x14ac:dyDescent="0.2">
      <c r="A80" s="76">
        <f t="shared" si="0"/>
        <v>72</v>
      </c>
      <c r="B80" s="670"/>
      <c r="C80" s="671" t="s">
        <v>8</v>
      </c>
      <c r="D80" s="467" t="e">
        <f>#REF!</f>
        <v>#REF!</v>
      </c>
      <c r="E80" s="469">
        <f>'Rates in Detail'!J77</f>
        <v>4.929E-2</v>
      </c>
      <c r="F80" s="469">
        <f>'Rates in Detail'!L77+'Rates in Detail'!P77+'Rates in Detail'!S77+'Rates in Detail'!U77</f>
        <v>2.8400000000000001E-3</v>
      </c>
      <c r="G80" s="469">
        <f t="shared" si="1"/>
        <v>5.2130000000000003E-2</v>
      </c>
      <c r="H80" s="462" t="e">
        <f t="shared" si="2"/>
        <v>#REF!</v>
      </c>
      <c r="I80" s="144"/>
      <c r="J80" s="288"/>
      <c r="K80" s="462"/>
      <c r="L80" s="470"/>
      <c r="M80" s="464">
        <v>1</v>
      </c>
      <c r="N80" s="259"/>
      <c r="O80" s="466">
        <f t="shared" si="22"/>
        <v>0</v>
      </c>
      <c r="P80" s="464">
        <v>1</v>
      </c>
      <c r="Q80" s="259"/>
      <c r="R80" s="466">
        <f t="shared" si="23"/>
        <v>0</v>
      </c>
    </row>
    <row r="81" spans="1:18" x14ac:dyDescent="0.2">
      <c r="A81" s="76">
        <f t="shared" si="0"/>
        <v>73</v>
      </c>
      <c r="B81" s="668"/>
      <c r="C81" s="672" t="s">
        <v>9</v>
      </c>
      <c r="D81" s="454" t="e">
        <f>#REF!</f>
        <v>#REF!</v>
      </c>
      <c r="E81" s="471">
        <f>'Rates in Detail'!J78</f>
        <v>1.8460000000000001E-2</v>
      </c>
      <c r="F81" s="471">
        <f>'Rates in Detail'!L78+'Rates in Detail'!P78+'Rates in Detail'!S78+'Rates in Detail'!U78</f>
        <v>1.0699999999999998E-3</v>
      </c>
      <c r="G81" s="471">
        <f t="shared" ref="G81:G84" si="24">E81+F81</f>
        <v>1.9529999999999999E-2</v>
      </c>
      <c r="H81" s="455" t="e">
        <f t="shared" ref="H81:H84" si="25">ROUND(G81*D81,0)</f>
        <v>#REF!</v>
      </c>
      <c r="I81" s="456"/>
      <c r="J81" s="353"/>
      <c r="K81" s="455"/>
      <c r="L81" s="472"/>
      <c r="M81" s="452">
        <v>1</v>
      </c>
      <c r="N81" s="453"/>
      <c r="O81" s="458">
        <f t="shared" si="22"/>
        <v>0</v>
      </c>
      <c r="P81" s="452">
        <v>1</v>
      </c>
      <c r="Q81" s="453"/>
      <c r="R81" s="458">
        <f t="shared" si="23"/>
        <v>0</v>
      </c>
    </row>
    <row r="82" spans="1:18" x14ac:dyDescent="0.2">
      <c r="A82" s="76">
        <f t="shared" si="0"/>
        <v>74</v>
      </c>
      <c r="B82" s="668" t="e">
        <f>#REF!</f>
        <v>#REF!</v>
      </c>
      <c r="C82" s="668" t="s">
        <v>248</v>
      </c>
      <c r="D82" s="454" t="e">
        <f>#REF!</f>
        <v>#REF!</v>
      </c>
      <c r="E82" s="473">
        <f>'Rates in Detail'!J79</f>
        <v>4.919999999999999E-3</v>
      </c>
      <c r="F82" s="473">
        <f>'Rates in Detail'!L79+'Rates in Detail'!P79+'Rates in Detail'!S79+'Rates in Detail'!U79</f>
        <v>2.0000000000000002E-5</v>
      </c>
      <c r="G82" s="473">
        <f t="shared" si="24"/>
        <v>4.9399999999999991E-3</v>
      </c>
      <c r="H82" s="455" t="e">
        <f t="shared" si="25"/>
        <v>#REF!</v>
      </c>
      <c r="I82" s="456" t="e">
        <f>#REF!</f>
        <v>#REF!</v>
      </c>
      <c r="J82" s="353" t="e">
        <f>#REF!</f>
        <v>#REF!</v>
      </c>
      <c r="K82" s="455" t="e">
        <f>ROUND(H82+(I82*J82*12),0)</f>
        <v>#REF!</v>
      </c>
      <c r="L82" s="474"/>
      <c r="M82" s="475">
        <v>1</v>
      </c>
      <c r="N82" s="453" t="e">
        <f>ROUND(+$M$12*(($K82*M82)/M$86),0)</f>
        <v>#REF!</v>
      </c>
      <c r="O82" s="458">
        <f t="shared" ref="O82:O84" si="26">IFERROR(ROUND(N82/D82,5),0)</f>
        <v>0</v>
      </c>
      <c r="P82" s="475">
        <v>1</v>
      </c>
      <c r="Q82" s="453" t="e">
        <f>ROUND(+$P$12*(($K82*P82)/P$86),0)</f>
        <v>#REF!</v>
      </c>
      <c r="R82" s="458">
        <f t="shared" ref="R82:R84" si="27">IFERROR(ROUND(Q82/$D82,5),0)</f>
        <v>0</v>
      </c>
    </row>
    <row r="83" spans="1:18" x14ac:dyDescent="0.2">
      <c r="A83" s="76">
        <f t="shared" si="0"/>
        <v>75</v>
      </c>
      <c r="B83" s="669" t="e">
        <f>#REF!</f>
        <v>#REF!</v>
      </c>
      <c r="C83" s="669" t="s">
        <v>248</v>
      </c>
      <c r="D83" s="353" t="e">
        <f>#REF!</f>
        <v>#REF!</v>
      </c>
      <c r="E83" s="471">
        <f>'Rates in Detail'!J80</f>
        <v>4.919999999999999E-3</v>
      </c>
      <c r="F83" s="451">
        <f>'Rates in Detail'!L80+'Rates in Detail'!P80+'Rates in Detail'!S80+'Rates in Detail'!U80</f>
        <v>2.0000000000000002E-5</v>
      </c>
      <c r="G83" s="451">
        <f t="shared" si="24"/>
        <v>4.9399999999999991E-3</v>
      </c>
      <c r="H83" s="455" t="e">
        <f t="shared" si="25"/>
        <v>#REF!</v>
      </c>
      <c r="I83" s="456" t="e">
        <f>#REF!</f>
        <v>#REF!</v>
      </c>
      <c r="J83" s="353" t="e">
        <f>#REF!</f>
        <v>#REF!</v>
      </c>
      <c r="K83" s="456" t="e">
        <f t="shared" ref="K83:K84" si="28">ROUND((I83*J83*12)+H83,0)</f>
        <v>#REF!</v>
      </c>
      <c r="L83" s="472"/>
      <c r="M83" s="475">
        <v>1</v>
      </c>
      <c r="N83" s="453" t="e">
        <f t="shared" ref="N83:N84" si="29">ROUND(+$M$12*(($K83*M83)/M$86),0)</f>
        <v>#REF!</v>
      </c>
      <c r="O83" s="458">
        <f t="shared" si="26"/>
        <v>0</v>
      </c>
      <c r="P83" s="475">
        <v>1</v>
      </c>
      <c r="Q83" s="453" t="e">
        <f>ROUND(+$P$12*(($K83*P83)/P$86),0)</f>
        <v>#REF!</v>
      </c>
      <c r="R83" s="458">
        <f t="shared" si="27"/>
        <v>0</v>
      </c>
    </row>
    <row r="84" spans="1:18" x14ac:dyDescent="0.2">
      <c r="A84" s="76">
        <f t="shared" si="0"/>
        <v>76</v>
      </c>
      <c r="B84" s="669" t="e">
        <f>#REF!</f>
        <v>#REF!</v>
      </c>
      <c r="C84" s="669" t="s">
        <v>248</v>
      </c>
      <c r="D84" s="353" t="e">
        <f>#REF!</f>
        <v>#REF!</v>
      </c>
      <c r="E84" s="471">
        <f>'Rates in Detail'!J81</f>
        <v>0</v>
      </c>
      <c r="F84" s="471">
        <f>'Rates in Detail'!L81+'Rates in Detail'!P81+'Rates in Detail'!S81+'Rates in Detail'!U81</f>
        <v>0</v>
      </c>
      <c r="G84" s="471">
        <f t="shared" si="24"/>
        <v>0</v>
      </c>
      <c r="H84" s="455" t="e">
        <f t="shared" si="25"/>
        <v>#REF!</v>
      </c>
      <c r="I84" s="456" t="e">
        <f>#REF!</f>
        <v>#REF!</v>
      </c>
      <c r="J84" s="353" t="e">
        <f>#REF!</f>
        <v>#REF!</v>
      </c>
      <c r="K84" s="456" t="e">
        <f t="shared" si="28"/>
        <v>#REF!</v>
      </c>
      <c r="L84" s="472"/>
      <c r="M84" s="475">
        <v>1</v>
      </c>
      <c r="N84" s="453" t="e">
        <f t="shared" si="29"/>
        <v>#REF!</v>
      </c>
      <c r="O84" s="458">
        <f t="shared" si="26"/>
        <v>0</v>
      </c>
      <c r="P84" s="475">
        <v>1</v>
      </c>
      <c r="Q84" s="453" t="e">
        <f>ROUND(+$P$12*(($K84*P84)/P$86),0)</f>
        <v>#REF!</v>
      </c>
      <c r="R84" s="458">
        <f t="shared" si="27"/>
        <v>0</v>
      </c>
    </row>
    <row r="85" spans="1:18" x14ac:dyDescent="0.2">
      <c r="A85" s="76">
        <f t="shared" si="0"/>
        <v>77</v>
      </c>
      <c r="E85" s="476"/>
      <c r="F85" s="476"/>
      <c r="G85" s="476"/>
      <c r="H85" s="477"/>
      <c r="K85" s="477"/>
      <c r="M85" s="478"/>
      <c r="P85" s="478"/>
    </row>
    <row r="86" spans="1:18" x14ac:dyDescent="0.2">
      <c r="A86" s="76">
        <f t="shared" si="0"/>
        <v>78</v>
      </c>
      <c r="B86" s="50" t="s">
        <v>160</v>
      </c>
      <c r="C86" s="50"/>
      <c r="D86" s="679" t="e">
        <f>SUM(D16:D84)</f>
        <v>#REF!</v>
      </c>
      <c r="E86" s="680"/>
      <c r="F86" s="680"/>
      <c r="G86" s="680"/>
      <c r="H86" s="596" t="e">
        <f>SUM(H16:H84)</f>
        <v>#REF!</v>
      </c>
      <c r="I86" s="679"/>
      <c r="J86" s="679" t="e">
        <f>SUM(J17:J82)</f>
        <v>#REF!</v>
      </c>
      <c r="K86" s="596" t="e">
        <f>SUM(K16:K84)</f>
        <v>#REF!</v>
      </c>
      <c r="L86" s="681"/>
      <c r="M86" s="682" t="e">
        <f>ROUND(($K16*M16)+($K17*M17)+($K18*M18)+($K19*M19)+(K20*M20)+($K21*M21)+($K22*M22)+($K26*M26)+(K24*M24)+(K28*M28)+($K$30*M30)+($K32*M32)+($K34*M34)+($K40*M40)+($K46*M46)+($K52*M52)+($K$58*M58)+($K64*M64)+(K70*M70)+($K82*M82)+(K76*M76)+($K83*M83)+($K84*M84),0)</f>
        <v>#REF!</v>
      </c>
      <c r="N86" s="683" t="e">
        <f>SUM(N16:N85)</f>
        <v>#REF!</v>
      </c>
      <c r="O86" s="50"/>
      <c r="P86" s="682" t="e">
        <f>ROUND(($K16*P16)+($K17*P17)+($K18*P18)+($K19*P19)+(K20*P20)+($K21*P21)+($K22*P22)+($K26*P26)+(K24*P24)+(K28*P28)+($K$30*P30)+($K32*P32)+($K34*P34)+($K40*P40)+($K46*P46)+($K52*P52)+($K$58*P58)+($K64*P64)+(K70*P70)+($K82*P82)+(K76*P76)+($K83*P83)+($K84*P84),0)</f>
        <v>#REF!</v>
      </c>
      <c r="Q86" s="683" t="e">
        <f>SUM(Q16:Q85)</f>
        <v>#REF!</v>
      </c>
      <c r="R86" s="50"/>
    </row>
    <row r="87" spans="1:18" x14ac:dyDescent="0.2">
      <c r="A87" s="76">
        <f t="shared" si="0"/>
        <v>79</v>
      </c>
      <c r="B87" s="479"/>
      <c r="H87" s="480"/>
      <c r="K87" s="419"/>
      <c r="L87" s="420"/>
      <c r="M87" s="425"/>
      <c r="N87" s="253"/>
      <c r="P87" s="425"/>
      <c r="Q87" s="253"/>
    </row>
    <row r="88" spans="1:18" x14ac:dyDescent="0.2">
      <c r="A88" s="76">
        <f t="shared" si="0"/>
        <v>80</v>
      </c>
      <c r="B88" s="158" t="s">
        <v>63</v>
      </c>
      <c r="E88" s="46"/>
      <c r="F88" s="46"/>
      <c r="G88" s="46"/>
      <c r="I88" s="46"/>
      <c r="K88" s="419"/>
      <c r="L88" s="46"/>
      <c r="M88" s="46"/>
      <c r="P88" s="46"/>
    </row>
    <row r="89" spans="1:18" x14ac:dyDescent="0.2">
      <c r="A89" s="76">
        <f t="shared" si="0"/>
        <v>81</v>
      </c>
      <c r="B89" s="701" t="s">
        <v>64</v>
      </c>
      <c r="C89" s="702"/>
      <c r="D89" s="702"/>
      <c r="E89" s="702"/>
      <c r="F89" s="702"/>
      <c r="G89" s="702"/>
      <c r="H89" s="702"/>
      <c r="I89" s="702"/>
      <c r="J89" s="702"/>
      <c r="K89" s="702"/>
      <c r="L89" s="702"/>
      <c r="M89" s="702"/>
      <c r="N89" s="702"/>
      <c r="O89" s="703"/>
      <c r="P89" s="702"/>
      <c r="Q89" s="702"/>
      <c r="R89" s="703"/>
    </row>
    <row r="90" spans="1:18" x14ac:dyDescent="0.2">
      <c r="A90" s="76">
        <f t="shared" si="0"/>
        <v>82</v>
      </c>
      <c r="B90" s="158" t="s">
        <v>77</v>
      </c>
      <c r="L90" s="46"/>
      <c r="M90" s="46"/>
      <c r="O90" s="130"/>
      <c r="P90" s="46"/>
      <c r="R90" s="130"/>
    </row>
    <row r="91" spans="1:18" x14ac:dyDescent="0.2">
      <c r="A91" s="76">
        <f t="shared" ref="A91:A93" si="30">+A90+1</f>
        <v>83</v>
      </c>
      <c r="B91" s="701" t="s">
        <v>78</v>
      </c>
      <c r="C91" s="702"/>
      <c r="D91" s="702"/>
      <c r="E91" s="702"/>
      <c r="F91" s="702"/>
      <c r="G91" s="702"/>
      <c r="H91" s="702"/>
      <c r="I91" s="702"/>
      <c r="J91" s="702"/>
      <c r="K91" s="702"/>
      <c r="L91" s="702"/>
      <c r="M91" s="702"/>
      <c r="N91" s="702"/>
      <c r="O91" s="703"/>
      <c r="P91" s="702"/>
      <c r="Q91" s="702"/>
      <c r="R91" s="703"/>
    </row>
    <row r="92" spans="1:18" x14ac:dyDescent="0.2">
      <c r="A92" s="76">
        <f t="shared" si="30"/>
        <v>84</v>
      </c>
      <c r="M92" s="478"/>
      <c r="P92" s="478"/>
    </row>
    <row r="93" spans="1:18" x14ac:dyDescent="0.2">
      <c r="A93" s="76">
        <f t="shared" si="30"/>
        <v>85</v>
      </c>
      <c r="B93" s="46" t="s">
        <v>67</v>
      </c>
      <c r="M93" s="478"/>
      <c r="P93" s="478"/>
    </row>
    <row r="94" spans="1:18" x14ac:dyDescent="0.2">
      <c r="A94" s="76"/>
    </row>
    <row r="97" spans="2:17" x14ac:dyDescent="0.2">
      <c r="N97" s="481"/>
      <c r="Q97" s="481"/>
    </row>
    <row r="98" spans="2:17" x14ac:dyDescent="0.2">
      <c r="B98" s="45"/>
      <c r="C98" s="45"/>
      <c r="D98" s="45"/>
      <c r="E98" s="45"/>
      <c r="F98" s="45"/>
      <c r="G98" s="45"/>
      <c r="H98" s="45"/>
      <c r="I98" s="45"/>
      <c r="J98" s="45"/>
      <c r="K98" s="45"/>
      <c r="L98" s="45"/>
      <c r="N98" s="482"/>
      <c r="Q98" s="482"/>
    </row>
    <row r="99" spans="2:17" x14ac:dyDescent="0.2">
      <c r="B99" s="45"/>
      <c r="C99" s="45"/>
      <c r="D99" s="45"/>
      <c r="E99" s="45"/>
      <c r="F99" s="45"/>
      <c r="G99" s="45"/>
      <c r="H99" s="45"/>
      <c r="I99" s="45"/>
      <c r="J99" s="45"/>
      <c r="K99" s="45"/>
      <c r="L99" s="45"/>
      <c r="N99" s="289"/>
      <c r="Q99" s="289"/>
    </row>
    <row r="100" spans="2:17" x14ac:dyDescent="0.2">
      <c r="B100" s="45"/>
      <c r="C100" s="45"/>
      <c r="D100" s="45"/>
      <c r="E100" s="45"/>
      <c r="F100" s="45"/>
      <c r="G100" s="45"/>
      <c r="H100" s="45"/>
      <c r="I100" s="45"/>
      <c r="J100" s="45"/>
      <c r="K100" s="45"/>
      <c r="L100" s="45"/>
      <c r="N100" s="289"/>
      <c r="Q100" s="289"/>
    </row>
    <row r="101" spans="2:17" x14ac:dyDescent="0.2">
      <c r="B101" s="45"/>
      <c r="C101" s="45"/>
      <c r="D101" s="45"/>
      <c r="E101" s="45"/>
      <c r="F101" s="45"/>
      <c r="G101" s="45"/>
      <c r="H101" s="45"/>
      <c r="I101" s="45"/>
      <c r="J101" s="45"/>
      <c r="K101" s="45"/>
      <c r="L101" s="45"/>
      <c r="N101" s="481"/>
      <c r="Q101" s="481"/>
    </row>
    <row r="102" spans="2:17" x14ac:dyDescent="0.2">
      <c r="B102" s="45"/>
      <c r="C102" s="45"/>
      <c r="D102" s="45"/>
      <c r="E102" s="45"/>
      <c r="F102" s="45"/>
      <c r="G102" s="45"/>
      <c r="H102" s="45"/>
      <c r="I102" s="45"/>
      <c r="J102" s="45"/>
      <c r="K102" s="45"/>
      <c r="L102" s="45"/>
      <c r="N102" s="316"/>
      <c r="Q102" s="316"/>
    </row>
    <row r="104" spans="2:17" x14ac:dyDescent="0.2">
      <c r="B104" s="45"/>
      <c r="C104" s="45"/>
      <c r="D104" s="45"/>
      <c r="E104" s="45"/>
      <c r="F104" s="45"/>
      <c r="G104" s="45"/>
      <c r="H104" s="45"/>
      <c r="I104" s="45"/>
      <c r="J104" s="45"/>
      <c r="K104" s="45"/>
      <c r="L104" s="45"/>
      <c r="N104" s="481"/>
      <c r="Q104" s="481"/>
    </row>
    <row r="105" spans="2:17" x14ac:dyDescent="0.2">
      <c r="B105" s="45"/>
      <c r="C105" s="45"/>
      <c r="D105" s="45"/>
      <c r="E105" s="45"/>
      <c r="F105" s="45"/>
      <c r="G105" s="45"/>
      <c r="H105" s="45"/>
      <c r="I105" s="45"/>
      <c r="J105" s="45"/>
      <c r="K105" s="45"/>
      <c r="L105" s="45"/>
      <c r="N105" s="316"/>
      <c r="Q105" s="316"/>
    </row>
    <row r="106" spans="2:17" x14ac:dyDescent="0.2">
      <c r="B106" s="45"/>
      <c r="C106" s="45"/>
      <c r="D106" s="45"/>
      <c r="E106" s="45"/>
      <c r="F106" s="45"/>
      <c r="G106" s="45"/>
      <c r="H106" s="45"/>
      <c r="I106" s="45"/>
      <c r="J106" s="45"/>
      <c r="K106" s="45"/>
      <c r="L106" s="45"/>
      <c r="N106" s="316"/>
      <c r="Q106" s="316"/>
    </row>
    <row r="107" spans="2:17" x14ac:dyDescent="0.2">
      <c r="B107" s="45"/>
      <c r="C107" s="45"/>
      <c r="D107" s="45"/>
      <c r="E107" s="45"/>
      <c r="F107" s="45"/>
      <c r="G107" s="45"/>
      <c r="H107" s="45"/>
      <c r="I107" s="45"/>
      <c r="J107" s="45"/>
      <c r="K107" s="45"/>
      <c r="L107" s="45"/>
      <c r="N107" s="316"/>
      <c r="Q107" s="316"/>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7"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zoomScale="90" zoomScaleNormal="90" workbookViewId="0">
      <pane xSplit="10" ySplit="13" topLeftCell="AH14" activePane="bottomRight" state="frozen"/>
      <selection pane="topRight" activeCell="K1" sqref="K1"/>
      <selection pane="bottomLeft" activeCell="A14" sqref="A14"/>
      <selection pane="bottomRight" activeCell="F11" sqref="F11"/>
    </sheetView>
  </sheetViews>
  <sheetFormatPr defaultColWidth="9.33203125" defaultRowHeight="12.75" x14ac:dyDescent="0.2"/>
  <cols>
    <col min="1" max="1" width="6.83203125" style="45" customWidth="1"/>
    <col min="2" max="2" width="19" style="46" customWidth="1"/>
    <col min="3" max="3" width="10.33203125" style="46" customWidth="1"/>
    <col min="4" max="4" width="2.83203125" style="46" customWidth="1"/>
    <col min="5" max="6" width="14.83203125" style="46" customWidth="1"/>
    <col min="7" max="7" width="2.83203125" style="46" customWidth="1"/>
    <col min="8" max="9" width="15.83203125" style="46" customWidth="1"/>
    <col min="10" max="10" width="2.83203125" style="46" customWidth="1"/>
    <col min="11" max="16" width="15.83203125" style="46" customWidth="1"/>
    <col min="17" max="17" width="2.83203125" style="46" customWidth="1"/>
    <col min="18" max="21" width="15.83203125" style="46" customWidth="1"/>
    <col min="22" max="22" width="2.83203125" style="46" customWidth="1"/>
    <col min="23" max="26" width="15.83203125" style="46" customWidth="1"/>
    <col min="27" max="27" width="2.83203125" style="46" customWidth="1"/>
    <col min="28" max="30" width="15.83203125" style="46" customWidth="1"/>
    <col min="31" max="31" width="2.83203125" style="46" customWidth="1"/>
    <col min="32" max="34" width="15.83203125" style="46" customWidth="1"/>
    <col min="35" max="35" width="2.83203125" style="46" customWidth="1"/>
    <col min="36" max="36" width="15.6640625" style="46" hidden="1" customWidth="1"/>
    <col min="37" max="37" width="15.83203125" style="46" hidden="1" customWidth="1"/>
    <col min="38" max="38" width="2.83203125" style="46" customWidth="1"/>
    <col min="39" max="41" width="15.83203125" style="46" customWidth="1"/>
    <col min="42" max="42" width="2.83203125" style="46" customWidth="1"/>
    <col min="43" max="43" width="23.83203125" style="46" customWidth="1"/>
    <col min="44" max="44" width="22.1640625" style="46" customWidth="1"/>
    <col min="45" max="45" width="2.83203125" style="46" customWidth="1"/>
    <col min="46" max="46" width="9.33203125" style="45"/>
    <col min="47" max="47" width="17" style="45" bestFit="1" customWidth="1"/>
    <col min="48" max="16384" width="9.33203125" style="45"/>
  </cols>
  <sheetData>
    <row r="1" spans="1:52" ht="13.5" thickBot="1" x14ac:dyDescent="0.25">
      <c r="A1" s="129" t="e">
        <f>+#REF!</f>
        <v>#REF!</v>
      </c>
    </row>
    <row r="2" spans="1:52" ht="13.5" thickBot="1" x14ac:dyDescent="0.25">
      <c r="A2" s="129" t="e">
        <f>+#REF!</f>
        <v>#REF!</v>
      </c>
      <c r="E2" s="130"/>
      <c r="F2" s="130"/>
      <c r="T2" s="254"/>
      <c r="W2" s="255" t="s">
        <v>95</v>
      </c>
      <c r="X2" s="256" t="s">
        <v>96</v>
      </c>
      <c r="Y2" s="256" t="s">
        <v>80</v>
      </c>
      <c r="Z2" s="1048" t="s">
        <v>370</v>
      </c>
      <c r="AB2" s="255" t="s">
        <v>95</v>
      </c>
      <c r="AC2" s="256" t="s">
        <v>96</v>
      </c>
      <c r="AD2" s="257" t="s">
        <v>80</v>
      </c>
      <c r="AF2" s="255" t="s">
        <v>95</v>
      </c>
      <c r="AG2" s="256" t="s">
        <v>96</v>
      </c>
      <c r="AH2" s="257" t="s">
        <v>80</v>
      </c>
      <c r="AK2" s="135"/>
      <c r="AM2" s="255" t="s">
        <v>95</v>
      </c>
      <c r="AN2" s="256" t="s">
        <v>96</v>
      </c>
      <c r="AO2" s="257" t="s">
        <v>80</v>
      </c>
      <c r="AQ2" s="1629" t="s">
        <v>244</v>
      </c>
      <c r="AR2" s="1630"/>
    </row>
    <row r="3" spans="1:52" x14ac:dyDescent="0.2">
      <c r="A3" s="129" t="e">
        <f>+#REF!</f>
        <v>#REF!</v>
      </c>
      <c r="E3" s="130"/>
      <c r="F3" s="130"/>
      <c r="W3" s="258" t="e">
        <f>SUM(W14:W19)+W22+W28+W31+W37+W44+W51+W58+W65+W72+W79+W93+W94+W25+W34+W86+W95+W96</f>
        <v>#REF!</v>
      </c>
      <c r="X3" s="259" t="e">
        <f>SUM(X14:X19)+X22+X28+X31+X37+X44+X51+X58+X65+X72+X79+X93+X94+X25+X34+X86+X95+X96</f>
        <v>#REF!</v>
      </c>
      <c r="Y3" s="259">
        <f>SUM(Y14:Y19)+Y22+Y28+Y31+Y37+Y44+Y51+Y58+Y65+Y72+Y79+Y93+Y94+Y25+Y34+Y86+Y95+Y96</f>
        <v>141275.86116</v>
      </c>
      <c r="Z3" s="260" t="e">
        <f>SUM(Z14:Z19)+Z22+Z28+Z31+Z37+Z44+Z51+Z58+Z65+Z72+Z79+Z93+Z94+Z25+Z34+Z86+Z95+Z96</f>
        <v>#REF!</v>
      </c>
      <c r="AB3" s="258" t="e">
        <f>SUM(AB14:AB19)+AB22+AB28+AB31+AB37+AB44+AB51+AB58+AB65+AB72+AB79+AB93+AB94+AB25+AB34+AB86+AB95+AB96</f>
        <v>#REF!</v>
      </c>
      <c r="AC3" s="259" t="e">
        <f>SUM(AC14:AC19)+AC22+AC28+AC31+AC37+AC44+AC51+AC58+AC65+AC72+AC79+AC93+AC94+AC25+AC34+AC86+AC95+AC96</f>
        <v>#REF!</v>
      </c>
      <c r="AD3" s="260">
        <f>SUM(AD14:AD19)+AD22+AD28+AD31+AD37+AD44+AD51+AD58+AD65+AD72+AD79+AD93+AD94+AD25+AD34+AD86+AD95+AD96</f>
        <v>141275.86116</v>
      </c>
      <c r="AF3" s="258" t="e">
        <f t="shared" ref="AF3:AH3" si="0">SUM(AF14:AF19)+AF22+AF28+AF31+AF37+AF44+AF51+AF58+AF65+AF72+AF79+AF93+AF94+AF25+AF34+AF86+AF95+AF96</f>
        <v>#REF!</v>
      </c>
      <c r="AG3" s="259" t="e">
        <f t="shared" si="0"/>
        <v>#REF!</v>
      </c>
      <c r="AH3" s="260">
        <f t="shared" si="0"/>
        <v>0</v>
      </c>
      <c r="AK3" s="259"/>
      <c r="AM3" s="258" t="e">
        <f t="shared" ref="AM3:AO3" si="1">SUM(AM14:AM19)+AM22+AM28+AM31+AM37+AM44+AM51+AM58+AM65+AM72+AM79+AM93+AM94+AM25+AM34+AM86+AM95+AM96</f>
        <v>#REF!</v>
      </c>
      <c r="AN3" s="259">
        <f t="shared" si="1"/>
        <v>0</v>
      </c>
      <c r="AO3" s="260" t="e">
        <f t="shared" si="1"/>
        <v>#REF!</v>
      </c>
      <c r="AQ3" s="46" t="s">
        <v>81</v>
      </c>
      <c r="AR3" s="261" t="e">
        <f>AF3</f>
        <v>#REF!</v>
      </c>
    </row>
    <row r="4" spans="1:52" x14ac:dyDescent="0.2">
      <c r="A4" s="129" t="s">
        <v>499</v>
      </c>
      <c r="D4" s="130"/>
      <c r="E4" s="130"/>
      <c r="F4" s="130"/>
      <c r="G4" s="130"/>
      <c r="H4" s="130"/>
      <c r="J4" s="130"/>
      <c r="K4" s="130"/>
      <c r="L4" s="130"/>
      <c r="Q4" s="130"/>
      <c r="V4" s="130"/>
      <c r="W4" s="262"/>
      <c r="X4" s="45"/>
      <c r="Y4" s="45"/>
      <c r="Z4" s="1049" t="s">
        <v>62</v>
      </c>
      <c r="AA4" s="130"/>
      <c r="AB4" s="262"/>
      <c r="AC4" s="45"/>
      <c r="AD4" s="263" t="s">
        <v>62</v>
      </c>
      <c r="AE4" s="130"/>
      <c r="AF4" s="262"/>
      <c r="AG4" s="45"/>
      <c r="AH4" s="263" t="s">
        <v>62</v>
      </c>
      <c r="AI4" s="130"/>
      <c r="AJ4" s="130"/>
      <c r="AK4" s="135"/>
      <c r="AL4" s="130"/>
      <c r="AM4" s="262"/>
      <c r="AN4" s="45"/>
      <c r="AO4" s="263" t="s">
        <v>62</v>
      </c>
      <c r="AP4" s="130"/>
      <c r="AQ4" s="46" t="s">
        <v>82</v>
      </c>
      <c r="AR4" s="261" t="e">
        <f>AG3</f>
        <v>#REF!</v>
      </c>
    </row>
    <row r="5" spans="1:52" ht="13.5" thickBot="1" x14ac:dyDescent="0.25">
      <c r="E5" s="130"/>
      <c r="F5" s="130"/>
      <c r="W5" s="542"/>
      <c r="X5" s="543"/>
      <c r="Y5" s="543"/>
      <c r="Z5" s="1050" t="e">
        <f>SUM(W3:Z3)</f>
        <v>#REF!</v>
      </c>
      <c r="AB5" s="264"/>
      <c r="AC5" s="265"/>
      <c r="AD5" s="266" t="e">
        <f>SUM(AB3:AD3)</f>
        <v>#REF!</v>
      </c>
      <c r="AF5" s="264"/>
      <c r="AG5" s="265"/>
      <c r="AH5" s="266" t="e">
        <f>SUM(AF3:AH3)</f>
        <v>#REF!</v>
      </c>
      <c r="AK5" s="259"/>
      <c r="AM5" s="264"/>
      <c r="AN5" s="265"/>
      <c r="AO5" s="266" t="e">
        <f>SUM(AM3:AO3)</f>
        <v>#REF!</v>
      </c>
      <c r="AQ5" s="46" t="s">
        <v>83</v>
      </c>
      <c r="AR5" s="261">
        <f>AH3</f>
        <v>0</v>
      </c>
    </row>
    <row r="6" spans="1:52" ht="13.5" thickBot="1" x14ac:dyDescent="0.25">
      <c r="E6" s="130"/>
      <c r="F6" s="130"/>
      <c r="W6" s="45"/>
      <c r="X6" s="45"/>
      <c r="Y6" s="259"/>
      <c r="Z6" s="1045" t="s">
        <v>369</v>
      </c>
      <c r="AB6" s="259"/>
      <c r="AC6" s="45"/>
      <c r="AD6" s="259"/>
      <c r="AF6" s="45"/>
      <c r="AG6" s="45"/>
      <c r="AH6" s="259"/>
      <c r="AK6" s="259"/>
      <c r="AM6" s="45"/>
      <c r="AN6" s="45"/>
      <c r="AO6" s="259"/>
      <c r="AR6" s="261"/>
    </row>
    <row r="7" spans="1:52" ht="13.5" thickBot="1" x14ac:dyDescent="0.25">
      <c r="E7" s="506"/>
      <c r="F7" s="506"/>
      <c r="H7" s="1631" t="s">
        <v>103</v>
      </c>
      <c r="I7" s="1632"/>
      <c r="K7" s="1631" t="s">
        <v>105</v>
      </c>
      <c r="L7" s="1633"/>
      <c r="M7" s="1633"/>
      <c r="N7" s="1633"/>
      <c r="O7" s="1633"/>
      <c r="P7" s="1632"/>
      <c r="R7" s="1631" t="s">
        <v>104</v>
      </c>
      <c r="S7" s="1633"/>
      <c r="T7" s="1633"/>
      <c r="U7" s="1632"/>
      <c r="AD7" s="269"/>
      <c r="AO7" s="269"/>
      <c r="AQ7" s="46" t="s">
        <v>84</v>
      </c>
      <c r="AR7" s="270" t="e">
        <f>SUM(AR3:AR5)</f>
        <v>#REF!</v>
      </c>
      <c r="AU7" s="1053"/>
    </row>
    <row r="8" spans="1:52" x14ac:dyDescent="0.2">
      <c r="A8" s="76">
        <v>1</v>
      </c>
      <c r="D8" s="132"/>
      <c r="E8" s="506" t="s">
        <v>494</v>
      </c>
      <c r="F8" s="506" t="str">
        <f>E8</f>
        <v>UG-200994</v>
      </c>
      <c r="G8" s="132"/>
      <c r="H8" s="138"/>
      <c r="I8" s="286"/>
      <c r="J8" s="132"/>
      <c r="K8" s="318" t="s">
        <v>17</v>
      </c>
      <c r="L8" s="319" t="s">
        <v>20</v>
      </c>
      <c r="M8" s="319" t="s">
        <v>17</v>
      </c>
      <c r="N8" s="319" t="s">
        <v>20</v>
      </c>
      <c r="O8" s="319" t="s">
        <v>17</v>
      </c>
      <c r="P8" s="320" t="s">
        <v>20</v>
      </c>
      <c r="Q8" s="132"/>
      <c r="R8" s="131"/>
      <c r="S8" s="271"/>
      <c r="T8" s="271"/>
      <c r="U8" s="272"/>
      <c r="V8" s="132"/>
      <c r="W8" s="1634" t="s">
        <v>106</v>
      </c>
      <c r="X8" s="1634"/>
      <c r="Y8" s="1634"/>
      <c r="Z8" s="1634"/>
      <c r="AA8" s="135"/>
      <c r="AB8" s="267"/>
      <c r="AC8" s="268" t="s">
        <v>218</v>
      </c>
      <c r="AD8" s="267"/>
      <c r="AE8" s="132"/>
      <c r="AG8" s="740" t="s">
        <v>107</v>
      </c>
      <c r="AI8" s="132"/>
      <c r="AJ8" s="410"/>
      <c r="AL8" s="132"/>
      <c r="AM8" s="267"/>
      <c r="AN8" s="268" t="s">
        <v>315</v>
      </c>
      <c r="AO8" s="267"/>
      <c r="AP8" s="132"/>
      <c r="AQ8" s="46" t="s">
        <v>85</v>
      </c>
      <c r="AR8" s="261"/>
      <c r="AU8" s="462"/>
      <c r="AV8" s="282"/>
    </row>
    <row r="9" spans="1:52" ht="13.5" thickBot="1" x14ac:dyDescent="0.25">
      <c r="A9" s="76">
        <f>+A8+1</f>
        <v>2</v>
      </c>
      <c r="D9" s="133"/>
      <c r="E9" s="134" t="s">
        <v>158</v>
      </c>
      <c r="F9" s="134" t="s">
        <v>158</v>
      </c>
      <c r="G9" s="133"/>
      <c r="H9" s="411" t="s">
        <v>99</v>
      </c>
      <c r="I9" s="938" t="str">
        <f>E8</f>
        <v>UG-200994</v>
      </c>
      <c r="J9" s="133"/>
      <c r="K9" s="321" t="str">
        <f>H9</f>
        <v>CURRENT</v>
      </c>
      <c r="L9" s="485" t="str">
        <f>E8</f>
        <v>UG-200994</v>
      </c>
      <c r="M9" s="133" t="str">
        <f>K9</f>
        <v>CURRENT</v>
      </c>
      <c r="N9" s="485" t="str">
        <f>E8</f>
        <v>UG-200994</v>
      </c>
      <c r="O9" s="133" t="str">
        <f>K9</f>
        <v>CURRENT</v>
      </c>
      <c r="P9" s="938" t="str">
        <f>E8</f>
        <v>UG-200994</v>
      </c>
      <c r="Q9" s="133"/>
      <c r="R9" s="939" t="str">
        <f>E8</f>
        <v>UG-200994</v>
      </c>
      <c r="S9" s="940" t="str">
        <f>R9</f>
        <v>UG-200994</v>
      </c>
      <c r="T9" s="940" t="str">
        <f>S9</f>
        <v>UG-200994</v>
      </c>
      <c r="U9" s="941" t="str">
        <f>T9</f>
        <v>UG-200994</v>
      </c>
      <c r="V9" s="133"/>
      <c r="W9" s="267"/>
      <c r="X9" s="267"/>
      <c r="Y9" s="267"/>
      <c r="Z9" s="267"/>
      <c r="AA9" s="135"/>
      <c r="AB9" s="267"/>
      <c r="AC9" s="1052" t="s">
        <v>372</v>
      </c>
      <c r="AD9" s="267"/>
      <c r="AE9" s="133"/>
      <c r="AF9" s="267"/>
      <c r="AG9" s="1052" t="s">
        <v>372</v>
      </c>
      <c r="AH9" s="267"/>
      <c r="AI9" s="133"/>
      <c r="AJ9" s="133"/>
      <c r="AK9" s="267"/>
      <c r="AL9" s="133"/>
      <c r="AM9" s="267"/>
      <c r="AN9" s="268"/>
      <c r="AO9" s="267"/>
      <c r="AP9" s="133"/>
      <c r="AQ9" s="589" t="s">
        <v>325</v>
      </c>
      <c r="AR9" s="261" t="e">
        <f>AO5</f>
        <v>#REF!</v>
      </c>
      <c r="AU9" s="581"/>
      <c r="AV9" s="282"/>
    </row>
    <row r="10" spans="1:52" ht="15.75" thickBot="1" x14ac:dyDescent="0.4">
      <c r="A10" s="76">
        <f t="shared" ref="A10:A73" si="2">+A9+1</f>
        <v>3</v>
      </c>
      <c r="D10" s="135"/>
      <c r="E10" s="49" t="s">
        <v>72</v>
      </c>
      <c r="F10" s="49" t="s">
        <v>72</v>
      </c>
      <c r="G10" s="135"/>
      <c r="H10" s="411" t="s">
        <v>86</v>
      </c>
      <c r="I10" s="720" t="s">
        <v>86</v>
      </c>
      <c r="J10" s="135"/>
      <c r="K10" s="278" t="s">
        <v>66</v>
      </c>
      <c r="L10" s="76" t="s">
        <v>66</v>
      </c>
      <c r="M10" s="135" t="s">
        <v>289</v>
      </c>
      <c r="N10" s="76" t="s">
        <v>289</v>
      </c>
      <c r="O10" s="135" t="s">
        <v>90</v>
      </c>
      <c r="P10" s="720" t="s">
        <v>90</v>
      </c>
      <c r="Q10" s="135"/>
      <c r="R10" s="273" t="s">
        <v>91</v>
      </c>
      <c r="S10" s="267" t="s">
        <v>91</v>
      </c>
      <c r="T10" s="267" t="s">
        <v>101</v>
      </c>
      <c r="U10" s="274" t="s">
        <v>55</v>
      </c>
      <c r="V10" s="135"/>
      <c r="W10" s="1626" t="s">
        <v>97</v>
      </c>
      <c r="X10" s="1627"/>
      <c r="Y10" s="1627"/>
      <c r="Z10" s="1628"/>
      <c r="AA10" s="133"/>
      <c r="AB10" s="1626" t="s">
        <v>98</v>
      </c>
      <c r="AC10" s="1627"/>
      <c r="AD10" s="1628"/>
      <c r="AE10" s="135"/>
      <c r="AF10" s="1626" t="s">
        <v>88</v>
      </c>
      <c r="AG10" s="1627"/>
      <c r="AH10" s="1628"/>
      <c r="AI10" s="135"/>
      <c r="AJ10" s="48" t="s">
        <v>116</v>
      </c>
      <c r="AK10" s="48" t="s">
        <v>95</v>
      </c>
      <c r="AL10" s="135"/>
      <c r="AM10" s="1626" t="s">
        <v>98</v>
      </c>
      <c r="AN10" s="1627"/>
      <c r="AO10" s="1628"/>
      <c r="AP10" s="135"/>
      <c r="AQ10" s="50" t="s">
        <v>73</v>
      </c>
      <c r="AR10" s="270" t="e">
        <f>AR7+AR9</f>
        <v>#REF!</v>
      </c>
      <c r="AU10" s="1076"/>
      <c r="AV10" s="1077"/>
      <c r="AW10" s="598"/>
      <c r="AX10" s="598"/>
      <c r="AY10" s="598"/>
      <c r="AZ10" s="598"/>
    </row>
    <row r="11" spans="1:52" s="47" customFormat="1" ht="13.5" thickBot="1" x14ac:dyDescent="0.25">
      <c r="A11" s="76">
        <f t="shared" si="2"/>
        <v>4</v>
      </c>
      <c r="B11" s="137"/>
      <c r="C11" s="137"/>
      <c r="D11" s="135"/>
      <c r="E11" s="162" t="s">
        <v>79</v>
      </c>
      <c r="F11" s="1047" t="s">
        <v>321</v>
      </c>
      <c r="G11" s="135"/>
      <c r="H11" s="414" t="s">
        <v>87</v>
      </c>
      <c r="I11" s="721" t="s">
        <v>87</v>
      </c>
      <c r="J11" s="135"/>
      <c r="K11" s="322" t="s">
        <v>56</v>
      </c>
      <c r="L11" s="347" t="s">
        <v>56</v>
      </c>
      <c r="M11" s="323" t="s">
        <v>56</v>
      </c>
      <c r="N11" s="347" t="s">
        <v>56</v>
      </c>
      <c r="O11" s="323" t="s">
        <v>56</v>
      </c>
      <c r="P11" s="721" t="s">
        <v>56</v>
      </c>
      <c r="Q11" s="135"/>
      <c r="R11" s="275" t="s">
        <v>92</v>
      </c>
      <c r="S11" s="276" t="s">
        <v>94</v>
      </c>
      <c r="T11" s="276" t="s">
        <v>60</v>
      </c>
      <c r="U11" s="277" t="s">
        <v>93</v>
      </c>
      <c r="V11" s="135"/>
      <c r="W11" s="278" t="s">
        <v>95</v>
      </c>
      <c r="X11" s="135" t="s">
        <v>96</v>
      </c>
      <c r="Y11" s="256" t="s">
        <v>80</v>
      </c>
      <c r="Z11" s="263" t="s">
        <v>370</v>
      </c>
      <c r="AA11" s="48"/>
      <c r="AB11" s="278" t="s">
        <v>95</v>
      </c>
      <c r="AC11" s="135" t="s">
        <v>96</v>
      </c>
      <c r="AD11" s="263" t="s">
        <v>80</v>
      </c>
      <c r="AE11" s="135"/>
      <c r="AF11" s="278" t="s">
        <v>95</v>
      </c>
      <c r="AG11" s="135" t="s">
        <v>96</v>
      </c>
      <c r="AH11" s="263" t="s">
        <v>80</v>
      </c>
      <c r="AI11" s="135"/>
      <c r="AJ11" s="48" t="s">
        <v>27</v>
      </c>
      <c r="AK11" s="48" t="s">
        <v>27</v>
      </c>
      <c r="AL11" s="135"/>
      <c r="AM11" s="255" t="s">
        <v>95</v>
      </c>
      <c r="AN11" s="256" t="s">
        <v>96</v>
      </c>
      <c r="AO11" s="257" t="s">
        <v>80</v>
      </c>
      <c r="AP11" s="135"/>
      <c r="AQ11" s="267"/>
      <c r="AR11" s="267"/>
      <c r="AS11" s="135"/>
      <c r="AU11" s="581"/>
      <c r="AV11" s="282"/>
    </row>
    <row r="12" spans="1:52" s="47" customFormat="1" ht="15" x14ac:dyDescent="0.35">
      <c r="A12" s="76">
        <f t="shared" si="2"/>
        <v>5</v>
      </c>
      <c r="B12" s="46"/>
      <c r="C12" s="46"/>
      <c r="D12" s="48"/>
      <c r="E12" s="140"/>
      <c r="F12" s="140"/>
      <c r="G12" s="48"/>
      <c r="H12" s="141"/>
      <c r="I12" s="588"/>
      <c r="J12" s="48"/>
      <c r="K12" s="324"/>
      <c r="L12" s="325"/>
      <c r="M12" s="325"/>
      <c r="N12" s="325"/>
      <c r="O12" s="325"/>
      <c r="P12" s="326"/>
      <c r="Q12" s="48"/>
      <c r="R12" s="279"/>
      <c r="S12" s="136"/>
      <c r="T12" s="136"/>
      <c r="U12" s="280"/>
      <c r="V12" s="48"/>
      <c r="W12" s="141"/>
      <c r="Z12" s="139"/>
      <c r="AB12" s="141"/>
      <c r="AD12" s="139"/>
      <c r="AE12" s="48"/>
      <c r="AF12" s="141"/>
      <c r="AH12" s="139"/>
      <c r="AI12" s="48"/>
      <c r="AJ12" s="48" t="s">
        <v>108</v>
      </c>
      <c r="AK12" s="48" t="s">
        <v>108</v>
      </c>
      <c r="AL12" s="48"/>
      <c r="AM12" s="141"/>
      <c r="AO12" s="139"/>
      <c r="AP12" s="48"/>
      <c r="AQ12" s="135"/>
      <c r="AR12" s="281">
        <f>'Rate Spread SETTLEMENT'!D21</f>
        <v>5000000</v>
      </c>
      <c r="AS12" s="282" t="s">
        <v>137</v>
      </c>
      <c r="AU12" s="1076"/>
      <c r="AV12" s="1077"/>
      <c r="AW12" s="599"/>
      <c r="AX12" s="599"/>
      <c r="AY12" s="599"/>
      <c r="AZ12" s="599"/>
    </row>
    <row r="13" spans="1:52" s="47" customFormat="1" ht="13.5" thickBot="1" x14ac:dyDescent="0.25">
      <c r="A13" s="76">
        <f t="shared" si="2"/>
        <v>6</v>
      </c>
      <c r="B13" s="708" t="s">
        <v>2</v>
      </c>
      <c r="C13" s="708" t="s">
        <v>3</v>
      </c>
      <c r="D13" s="283"/>
      <c r="E13" s="283" t="s">
        <v>35</v>
      </c>
      <c r="F13" s="283" t="s">
        <v>36</v>
      </c>
      <c r="G13" s="283"/>
      <c r="H13" s="284" t="s">
        <v>13</v>
      </c>
      <c r="I13" s="285" t="s">
        <v>37</v>
      </c>
      <c r="J13" s="283"/>
      <c r="K13" s="284" t="s">
        <v>38</v>
      </c>
      <c r="L13" s="283" t="s">
        <v>39</v>
      </c>
      <c r="M13" s="283" t="s">
        <v>40</v>
      </c>
      <c r="N13" s="283" t="s">
        <v>41</v>
      </c>
      <c r="O13" s="283" t="s">
        <v>42</v>
      </c>
      <c r="P13" s="285" t="s">
        <v>109</v>
      </c>
      <c r="Q13" s="283"/>
      <c r="R13" s="284" t="s">
        <v>110</v>
      </c>
      <c r="S13" s="283" t="s">
        <v>43</v>
      </c>
      <c r="T13" s="283" t="s">
        <v>111</v>
      </c>
      <c r="U13" s="285" t="s">
        <v>112</v>
      </c>
      <c r="V13" s="48"/>
      <c r="W13" s="138" t="s">
        <v>113</v>
      </c>
      <c r="X13" s="48" t="s">
        <v>114</v>
      </c>
      <c r="Y13" s="48" t="s">
        <v>115</v>
      </c>
      <c r="Z13" s="286" t="s">
        <v>71</v>
      </c>
      <c r="AA13" s="48"/>
      <c r="AB13" s="138" t="s">
        <v>74</v>
      </c>
      <c r="AC13" s="48" t="s">
        <v>75</v>
      </c>
      <c r="AD13" s="286" t="s">
        <v>76</v>
      </c>
      <c r="AE13" s="48"/>
      <c r="AF13" s="138" t="s">
        <v>165</v>
      </c>
      <c r="AG13" s="48" t="s">
        <v>208</v>
      </c>
      <c r="AH13" s="286" t="s">
        <v>203</v>
      </c>
      <c r="AI13" s="48"/>
      <c r="AJ13" s="48" t="s">
        <v>107</v>
      </c>
      <c r="AK13" s="48" t="s">
        <v>107</v>
      </c>
      <c r="AL13" s="48"/>
      <c r="AM13" s="138" t="s">
        <v>209</v>
      </c>
      <c r="AN13" s="48" t="s">
        <v>210</v>
      </c>
      <c r="AO13" s="286" t="s">
        <v>211</v>
      </c>
      <c r="AP13" s="48"/>
      <c r="AR13" s="857" t="e">
        <f>AR12-AR10</f>
        <v>#REF!</v>
      </c>
      <c r="AS13" s="282" t="s">
        <v>147</v>
      </c>
      <c r="AT13" s="858"/>
      <c r="AU13" s="1078"/>
      <c r="AV13" s="595"/>
    </row>
    <row r="14" spans="1:52" ht="12.95" customHeight="1" x14ac:dyDescent="0.2">
      <c r="A14" s="76">
        <f t="shared" si="2"/>
        <v>7</v>
      </c>
      <c r="B14" s="668" t="e">
        <f>#REF!</f>
        <v>#REF!</v>
      </c>
      <c r="C14" s="668" t="s">
        <v>248</v>
      </c>
      <c r="D14" s="144"/>
      <c r="E14" s="709">
        <f>ROUND('Rates in Detail'!L13,5)</f>
        <v>0.11114</v>
      </c>
      <c r="F14" s="113">
        <f>'Allocation = % of Margin'!AD14</f>
        <v>-9.1000000000000004E-3</v>
      </c>
      <c r="G14" s="144"/>
      <c r="H14" s="357">
        <f>ROUND('Rates in Detail'!N13,5)</f>
        <v>0.67652999999999996</v>
      </c>
      <c r="I14" s="710">
        <f>H14+E14</f>
        <v>0.78766999999999998</v>
      </c>
      <c r="J14" s="144"/>
      <c r="K14" s="145" t="e">
        <f>#REF!</f>
        <v>#REF!</v>
      </c>
      <c r="L14" s="146" t="e">
        <f>#REF!</f>
        <v>#REF!</v>
      </c>
      <c r="M14" s="112">
        <f>'Rates in Detail'!AH13</f>
        <v>0</v>
      </c>
      <c r="N14" s="112">
        <f>'Rates in Detail'!AI13</f>
        <v>0</v>
      </c>
      <c r="O14" s="112">
        <f>'Rates in Detail'!AJ13</f>
        <v>0</v>
      </c>
      <c r="P14" s="711">
        <f>'Rates in Detail'!AK13</f>
        <v>0</v>
      </c>
      <c r="Q14" s="144"/>
      <c r="R14" s="287" t="e">
        <f>#REF!</f>
        <v>#REF!</v>
      </c>
      <c r="S14" s="288"/>
      <c r="T14" s="289" t="e">
        <f>#REF!</f>
        <v>#REF!</v>
      </c>
      <c r="U14" s="290" t="e">
        <f>#REF!</f>
        <v>#REF!</v>
      </c>
      <c r="V14" s="144"/>
      <c r="W14" s="291" t="e">
        <f>(H14*R14)</f>
        <v>#REF!</v>
      </c>
      <c r="X14" s="292" t="e">
        <f>(K14*T14*12)</f>
        <v>#REF!</v>
      </c>
      <c r="Y14" s="292">
        <f t="shared" ref="Y14:Y21" si="3">(S14*(M14+O14))*12</f>
        <v>0</v>
      </c>
      <c r="Z14" s="293" t="e">
        <f>'Rate Spread SETTLEMENT'!E$15-SUM(W14:Y14)</f>
        <v>#REF!</v>
      </c>
      <c r="AA14" s="294"/>
      <c r="AB14" s="291" t="e">
        <f t="shared" ref="AB14:AB21" si="4">(I14*R14)</f>
        <v>#REF!</v>
      </c>
      <c r="AC14" s="292" t="e">
        <f t="shared" ref="AC14:AC21" si="5">(L14*T14*12)</f>
        <v>#REF!</v>
      </c>
      <c r="AD14" s="293">
        <f t="shared" ref="AD14:AD21" si="6">(S14*(N14+P14))*12</f>
        <v>0</v>
      </c>
      <c r="AE14" s="294"/>
      <c r="AF14" s="291" t="e">
        <f t="shared" ref="AF14:AG21" si="7">AB14-W14</f>
        <v>#REF!</v>
      </c>
      <c r="AG14" s="292" t="e">
        <f t="shared" si="7"/>
        <v>#REF!</v>
      </c>
      <c r="AH14" s="293">
        <f t="shared" ref="AH14" si="8">AD14-Y14</f>
        <v>0</v>
      </c>
      <c r="AI14" s="294"/>
      <c r="AJ14" s="327"/>
      <c r="AK14" s="328"/>
      <c r="AL14" s="294"/>
      <c r="AM14" s="291" t="e">
        <f t="shared" ref="AM14:AM21" si="9">(F14*R14)</f>
        <v>#REF!</v>
      </c>
      <c r="AN14" s="292">
        <v>0</v>
      </c>
      <c r="AO14" s="293" t="e">
        <f t="shared" ref="AO14" si="10">(AE14*(Y14+AB14))*12</f>
        <v>#REF!</v>
      </c>
      <c r="AP14" s="294"/>
      <c r="AQ14" s="1625" t="s">
        <v>148</v>
      </c>
      <c r="AR14" s="1625"/>
      <c r="AS14" s="1625"/>
    </row>
    <row r="15" spans="1:52" x14ac:dyDescent="0.2">
      <c r="A15" s="76">
        <f t="shared" si="2"/>
        <v>8</v>
      </c>
      <c r="B15" s="669" t="e">
        <f>#REF!</f>
        <v>#REF!</v>
      </c>
      <c r="C15" s="669" t="s">
        <v>248</v>
      </c>
      <c r="D15" s="147"/>
      <c r="E15" s="113">
        <f>ROUND('Rates in Detail'!L14,5)</f>
        <v>9.2410000000000006E-2</v>
      </c>
      <c r="F15" s="113">
        <f>'Allocation = % of Margin'!AD15</f>
        <v>-7.5599999999999999E-3</v>
      </c>
      <c r="G15" s="147"/>
      <c r="H15" s="357">
        <f>ROUND('Rates in Detail'!N14,5)</f>
        <v>0.73148999999999997</v>
      </c>
      <c r="I15" s="710">
        <f>H15+E15</f>
        <v>0.82389999999999997</v>
      </c>
      <c r="J15" s="147"/>
      <c r="K15" s="145" t="e">
        <f>#REF!</f>
        <v>#REF!</v>
      </c>
      <c r="L15" s="146" t="e">
        <f>#REF!</f>
        <v>#REF!</v>
      </c>
      <c r="M15" s="112">
        <f>'Rates in Detail'!AH14</f>
        <v>0</v>
      </c>
      <c r="N15" s="112">
        <f>'Rates in Detail'!AI14</f>
        <v>0</v>
      </c>
      <c r="O15" s="112">
        <f>'Rates in Detail'!AJ14</f>
        <v>0</v>
      </c>
      <c r="P15" s="711">
        <f>'Rates in Detail'!AK14</f>
        <v>0</v>
      </c>
      <c r="Q15" s="147"/>
      <c r="R15" s="287" t="e">
        <f>#REF!</f>
        <v>#REF!</v>
      </c>
      <c r="S15" s="288"/>
      <c r="T15" s="289" t="e">
        <f>#REF!</f>
        <v>#REF!</v>
      </c>
      <c r="U15" s="290" t="e">
        <f>#REF!</f>
        <v>#REF!</v>
      </c>
      <c r="V15" s="147"/>
      <c r="W15" s="295" t="e">
        <f>(H15*R15)</f>
        <v>#REF!</v>
      </c>
      <c r="X15" s="296" t="e">
        <f>(K15*T15*12)</f>
        <v>#REF!</v>
      </c>
      <c r="Y15" s="296">
        <f t="shared" si="3"/>
        <v>0</v>
      </c>
      <c r="Z15" s="297" t="e">
        <f>'Rate Spread SETTLEMENT'!F$15-SUM(W15:Y15)</f>
        <v>#REF!</v>
      </c>
      <c r="AA15" s="298"/>
      <c r="AB15" s="295" t="e">
        <f>(I15*R15)</f>
        <v>#REF!</v>
      </c>
      <c r="AC15" s="296" t="e">
        <f>(L15*T15*12)</f>
        <v>#REF!</v>
      </c>
      <c r="AD15" s="297">
        <f>(S15*(N15+P15))*12</f>
        <v>0</v>
      </c>
      <c r="AE15" s="298"/>
      <c r="AF15" s="295" t="e">
        <f t="shared" si="7"/>
        <v>#REF!</v>
      </c>
      <c r="AG15" s="296" t="e">
        <f t="shared" si="7"/>
        <v>#REF!</v>
      </c>
      <c r="AH15" s="297">
        <f t="shared" ref="AH15:AH21" si="11">AD15-Y15</f>
        <v>0</v>
      </c>
      <c r="AI15" s="298"/>
      <c r="AJ15" s="327"/>
      <c r="AK15" s="328"/>
      <c r="AL15" s="298"/>
      <c r="AM15" s="295" t="e">
        <f>(F15*R15)</f>
        <v>#REF!</v>
      </c>
      <c r="AN15" s="296">
        <v>0</v>
      </c>
      <c r="AO15" s="297" t="e">
        <f t="shared" ref="AO15:AO21" si="12">(AE15*(Y15+AB15))*12</f>
        <v>#REF!</v>
      </c>
      <c r="AP15" s="298"/>
      <c r="AQ15" s="299"/>
      <c r="AR15" s="299"/>
      <c r="AS15" s="298"/>
    </row>
    <row r="16" spans="1:52" x14ac:dyDescent="0.2">
      <c r="A16" s="76">
        <f t="shared" si="2"/>
        <v>9</v>
      </c>
      <c r="B16" s="669" t="e">
        <f>#REF!</f>
        <v>#REF!</v>
      </c>
      <c r="C16" s="669" t="s">
        <v>248</v>
      </c>
      <c r="D16" s="147"/>
      <c r="E16" s="709">
        <f>ROUND('Rates in Detail'!L15,5)</f>
        <v>7.034E-2</v>
      </c>
      <c r="F16" s="709">
        <f>'Allocation = % of Margin'!AD16</f>
        <v>-5.7600000000000004E-3</v>
      </c>
      <c r="G16" s="147"/>
      <c r="H16" s="357">
        <f>ROUND('Rates in Detail'!N15,5)</f>
        <v>0.45816000000000001</v>
      </c>
      <c r="I16" s="710">
        <f t="shared" ref="I16:I77" si="13">H16+E16</f>
        <v>0.52849999999999997</v>
      </c>
      <c r="J16" s="147"/>
      <c r="K16" s="145" t="e">
        <f>#REF!</f>
        <v>#REF!</v>
      </c>
      <c r="L16" s="146" t="e">
        <f>#REF!</f>
        <v>#REF!</v>
      </c>
      <c r="M16" s="112">
        <f>'Rates in Detail'!AH15</f>
        <v>0</v>
      </c>
      <c r="N16" s="112">
        <f>'Rates in Detail'!AI15</f>
        <v>0</v>
      </c>
      <c r="O16" s="112">
        <f>'Rates in Detail'!AJ15</f>
        <v>0</v>
      </c>
      <c r="P16" s="711">
        <f>'Rates in Detail'!AK15</f>
        <v>0</v>
      </c>
      <c r="Q16" s="147"/>
      <c r="R16" s="287" t="e">
        <f>#REF!</f>
        <v>#REF!</v>
      </c>
      <c r="S16" s="300"/>
      <c r="T16" s="289" t="e">
        <f>#REF!</f>
        <v>#REF!</v>
      </c>
      <c r="U16" s="290" t="e">
        <f>#REF!</f>
        <v>#REF!</v>
      </c>
      <c r="V16" s="147"/>
      <c r="W16" s="295" t="e">
        <f t="shared" ref="W16:W21" si="14">(H16*R16)</f>
        <v>#REF!</v>
      </c>
      <c r="X16" s="296" t="e">
        <f t="shared" ref="X16:X18" si="15">(K16*T16*12)</f>
        <v>#REF!</v>
      </c>
      <c r="Y16" s="296">
        <f t="shared" si="3"/>
        <v>0</v>
      </c>
      <c r="Z16" s="297" t="e">
        <f>'Rate Spread SETTLEMENT'!G$15-SUM(W16:Y16)</f>
        <v>#REF!</v>
      </c>
      <c r="AA16" s="298"/>
      <c r="AB16" s="295" t="e">
        <f t="shared" si="4"/>
        <v>#REF!</v>
      </c>
      <c r="AC16" s="296" t="e">
        <f t="shared" si="5"/>
        <v>#REF!</v>
      </c>
      <c r="AD16" s="297">
        <f t="shared" si="6"/>
        <v>0</v>
      </c>
      <c r="AE16" s="298"/>
      <c r="AF16" s="295" t="e">
        <f t="shared" si="7"/>
        <v>#REF!</v>
      </c>
      <c r="AG16" s="296" t="e">
        <f t="shared" si="7"/>
        <v>#REF!</v>
      </c>
      <c r="AH16" s="297">
        <f t="shared" si="11"/>
        <v>0</v>
      </c>
      <c r="AI16" s="298"/>
      <c r="AJ16" s="327" t="e">
        <f>SUM(AF16:AH16)/SUM(W16:Y16)</f>
        <v>#REF!</v>
      </c>
      <c r="AK16" s="328" t="e">
        <f t="shared" ref="AK16:AK41" si="16">SUM(AF16)/SUM(W16)</f>
        <v>#REF!</v>
      </c>
      <c r="AL16" s="298"/>
      <c r="AM16" s="295" t="e">
        <f t="shared" si="9"/>
        <v>#REF!</v>
      </c>
      <c r="AN16" s="296">
        <v>0</v>
      </c>
      <c r="AO16" s="297" t="e">
        <f t="shared" si="12"/>
        <v>#REF!</v>
      </c>
      <c r="AP16" s="298"/>
      <c r="AQ16" s="299"/>
      <c r="AR16" s="40"/>
      <c r="AS16" s="298"/>
    </row>
    <row r="17" spans="1:45" x14ac:dyDescent="0.2">
      <c r="A17" s="76">
        <f t="shared" si="2"/>
        <v>10</v>
      </c>
      <c r="B17" s="669" t="e">
        <f>#REF!</f>
        <v>#REF!</v>
      </c>
      <c r="C17" s="669" t="s">
        <v>248</v>
      </c>
      <c r="D17" s="147"/>
      <c r="E17" s="113">
        <f>ROUND('Rates in Detail'!L16,5)</f>
        <v>6.3159999999999994E-2</v>
      </c>
      <c r="F17" s="113">
        <f>'Allocation = % of Margin'!AD17</f>
        <v>-5.1700000000000001E-3</v>
      </c>
      <c r="G17" s="147"/>
      <c r="H17" s="357">
        <f>ROUND('Rates in Detail'!N16,5)</f>
        <v>0.44368000000000002</v>
      </c>
      <c r="I17" s="710">
        <f t="shared" si="13"/>
        <v>0.50683999999999996</v>
      </c>
      <c r="J17" s="147"/>
      <c r="K17" s="145" t="e">
        <f>#REF!</f>
        <v>#REF!</v>
      </c>
      <c r="L17" s="146" t="e">
        <f>#REF!</f>
        <v>#REF!</v>
      </c>
      <c r="M17" s="112">
        <f>'Rates in Detail'!AH16</f>
        <v>0</v>
      </c>
      <c r="N17" s="112">
        <f>'Rates in Detail'!AI16</f>
        <v>0</v>
      </c>
      <c r="O17" s="112">
        <f>'Rates in Detail'!AJ16</f>
        <v>0</v>
      </c>
      <c r="P17" s="711">
        <f>'Rates in Detail'!AK16</f>
        <v>0</v>
      </c>
      <c r="Q17" s="147"/>
      <c r="R17" s="287" t="e">
        <f>#REF!</f>
        <v>#REF!</v>
      </c>
      <c r="S17" s="300"/>
      <c r="T17" s="289" t="e">
        <f>#REF!</f>
        <v>#REF!</v>
      </c>
      <c r="U17" s="290" t="e">
        <f>#REF!</f>
        <v>#REF!</v>
      </c>
      <c r="V17" s="147"/>
      <c r="W17" s="295" t="e">
        <f t="shared" si="14"/>
        <v>#REF!</v>
      </c>
      <c r="X17" s="296" t="e">
        <f t="shared" si="15"/>
        <v>#REF!</v>
      </c>
      <c r="Y17" s="296">
        <f t="shared" si="3"/>
        <v>0</v>
      </c>
      <c r="Z17" s="297" t="e">
        <f>'Rate Spread SETTLEMENT'!H$15-SUM(W17:Y17)</f>
        <v>#REF!</v>
      </c>
      <c r="AA17" s="298"/>
      <c r="AB17" s="295" t="e">
        <f t="shared" si="4"/>
        <v>#REF!</v>
      </c>
      <c r="AC17" s="296" t="e">
        <f t="shared" si="5"/>
        <v>#REF!</v>
      </c>
      <c r="AD17" s="297">
        <f t="shared" si="6"/>
        <v>0</v>
      </c>
      <c r="AE17" s="298"/>
      <c r="AF17" s="295" t="e">
        <f t="shared" si="7"/>
        <v>#REF!</v>
      </c>
      <c r="AG17" s="296" t="e">
        <f t="shared" si="7"/>
        <v>#REF!</v>
      </c>
      <c r="AH17" s="297">
        <f t="shared" si="11"/>
        <v>0</v>
      </c>
      <c r="AI17" s="298"/>
      <c r="AJ17" s="327" t="e">
        <f>SUM(AF17:AH17)/SUM(W17:Y17)</f>
        <v>#REF!</v>
      </c>
      <c r="AK17" s="328" t="e">
        <f t="shared" si="16"/>
        <v>#REF!</v>
      </c>
      <c r="AL17" s="298"/>
      <c r="AM17" s="295" t="e">
        <f t="shared" si="9"/>
        <v>#REF!</v>
      </c>
      <c r="AN17" s="296">
        <v>0</v>
      </c>
      <c r="AO17" s="297" t="e">
        <f t="shared" si="12"/>
        <v>#REF!</v>
      </c>
      <c r="AP17" s="298"/>
      <c r="AQ17" s="299"/>
      <c r="AR17" s="299"/>
      <c r="AS17" s="298"/>
    </row>
    <row r="18" spans="1:45" x14ac:dyDescent="0.2">
      <c r="A18" s="76">
        <f t="shared" si="2"/>
        <v>11</v>
      </c>
      <c r="B18" s="669" t="e">
        <f>#REF!</f>
        <v>#REF!</v>
      </c>
      <c r="C18" s="669" t="s">
        <v>248</v>
      </c>
      <c r="D18" s="147"/>
      <c r="E18" s="113">
        <f>ROUND('Rates in Detail'!L17,5)</f>
        <v>5.7209999999999997E-2</v>
      </c>
      <c r="F18" s="113">
        <f>'Allocation = % of Margin'!AD18</f>
        <v>-4.6899999999999997E-3</v>
      </c>
      <c r="G18" s="147"/>
      <c r="H18" s="357">
        <f>ROUND('Rates in Detail'!N17,5)</f>
        <v>0.46249000000000001</v>
      </c>
      <c r="I18" s="710">
        <f t="shared" si="13"/>
        <v>0.51970000000000005</v>
      </c>
      <c r="J18" s="147"/>
      <c r="K18" s="145" t="e">
        <f>#REF!</f>
        <v>#REF!</v>
      </c>
      <c r="L18" s="146" t="e">
        <f>#REF!</f>
        <v>#REF!</v>
      </c>
      <c r="M18" s="112">
        <f>'Rates in Detail'!AH17</f>
        <v>0</v>
      </c>
      <c r="N18" s="112">
        <f>'Rates in Detail'!AI17</f>
        <v>0</v>
      </c>
      <c r="O18" s="112">
        <f>'Rates in Detail'!AJ17</f>
        <v>0</v>
      </c>
      <c r="P18" s="711">
        <f>'Rates in Detail'!AK17</f>
        <v>0</v>
      </c>
      <c r="Q18" s="147"/>
      <c r="R18" s="287" t="e">
        <f>#REF!</f>
        <v>#REF!</v>
      </c>
      <c r="S18" s="300"/>
      <c r="T18" s="289" t="e">
        <f>#REF!</f>
        <v>#REF!</v>
      </c>
      <c r="U18" s="290" t="e">
        <f>#REF!</f>
        <v>#REF!</v>
      </c>
      <c r="V18" s="147"/>
      <c r="W18" s="295" t="e">
        <f t="shared" si="14"/>
        <v>#REF!</v>
      </c>
      <c r="X18" s="296" t="e">
        <f t="shared" si="15"/>
        <v>#REF!</v>
      </c>
      <c r="Y18" s="296">
        <f t="shared" si="3"/>
        <v>0</v>
      </c>
      <c r="Z18" s="297" t="e">
        <f>'Rate Spread SETTLEMENT'!I$15-SUM(W18:Y18)</f>
        <v>#REF!</v>
      </c>
      <c r="AA18" s="298"/>
      <c r="AB18" s="295" t="e">
        <f t="shared" si="4"/>
        <v>#REF!</v>
      </c>
      <c r="AC18" s="296" t="e">
        <f t="shared" si="5"/>
        <v>#REF!</v>
      </c>
      <c r="AD18" s="297">
        <f t="shared" si="6"/>
        <v>0</v>
      </c>
      <c r="AE18" s="298"/>
      <c r="AF18" s="295" t="e">
        <f t="shared" si="7"/>
        <v>#REF!</v>
      </c>
      <c r="AG18" s="296" t="e">
        <f t="shared" si="7"/>
        <v>#REF!</v>
      </c>
      <c r="AH18" s="297">
        <f t="shared" si="11"/>
        <v>0</v>
      </c>
      <c r="AI18" s="298"/>
      <c r="AJ18" s="327" t="e">
        <f>SUM(AF18:AH18)/SUM(W18:Y18)</f>
        <v>#REF!</v>
      </c>
      <c r="AK18" s="328" t="e">
        <f t="shared" si="16"/>
        <v>#REF!</v>
      </c>
      <c r="AL18" s="298"/>
      <c r="AM18" s="295" t="e">
        <f t="shared" si="9"/>
        <v>#REF!</v>
      </c>
      <c r="AN18" s="296">
        <v>0</v>
      </c>
      <c r="AO18" s="297" t="e">
        <f t="shared" si="12"/>
        <v>#REF!</v>
      </c>
      <c r="AP18" s="298"/>
      <c r="AQ18" s="299"/>
      <c r="AR18" s="299"/>
      <c r="AS18" s="298"/>
    </row>
    <row r="19" spans="1:45" x14ac:dyDescent="0.2">
      <c r="A19" s="76">
        <f t="shared" si="2"/>
        <v>12</v>
      </c>
      <c r="B19" s="669" t="e">
        <f>#REF!</f>
        <v>#REF!</v>
      </c>
      <c r="C19" s="669" t="s">
        <v>248</v>
      </c>
      <c r="D19" s="147"/>
      <c r="E19" s="113">
        <f>ROUND('Rates in Detail'!L18,5)</f>
        <v>5.006E-2</v>
      </c>
      <c r="F19" s="113">
        <f>'Allocation = % of Margin'!AD19</f>
        <v>-4.1000000000000003E-3</v>
      </c>
      <c r="G19" s="147"/>
      <c r="H19" s="357">
        <f>ROUND('Rates in Detail'!N18,5)</f>
        <v>0.24088000000000001</v>
      </c>
      <c r="I19" s="710">
        <f t="shared" si="13"/>
        <v>0.29094000000000003</v>
      </c>
      <c r="J19" s="147"/>
      <c r="K19" s="145" t="e">
        <f>#REF!</f>
        <v>#REF!</v>
      </c>
      <c r="L19" s="146" t="e">
        <f>#REF!</f>
        <v>#REF!</v>
      </c>
      <c r="M19" s="112">
        <f>'Rates in Detail'!AH18</f>
        <v>0</v>
      </c>
      <c r="N19" s="112">
        <f>'Rates in Detail'!AI18</f>
        <v>0</v>
      </c>
      <c r="O19" s="112">
        <f>'Rates in Detail'!AJ18</f>
        <v>0</v>
      </c>
      <c r="P19" s="711">
        <f>'Rates in Detail'!AK18</f>
        <v>0</v>
      </c>
      <c r="Q19" s="147"/>
      <c r="R19" s="287" t="e">
        <f>#REF!</f>
        <v>#REF!</v>
      </c>
      <c r="S19" s="300"/>
      <c r="T19" s="289" t="e">
        <f>#REF!</f>
        <v>#REF!</v>
      </c>
      <c r="U19" s="290" t="e">
        <f>#REF!</f>
        <v>#REF!</v>
      </c>
      <c r="V19" s="147"/>
      <c r="W19" s="295" t="e">
        <f t="shared" si="14"/>
        <v>#REF!</v>
      </c>
      <c r="X19" s="296" t="e">
        <f>(K19*T19*12)</f>
        <v>#REF!</v>
      </c>
      <c r="Y19" s="296">
        <f t="shared" si="3"/>
        <v>0</v>
      </c>
      <c r="Z19" s="297" t="e">
        <f>'Rate Spread SETTLEMENT'!J$15-SUM(W19:Y19)</f>
        <v>#REF!</v>
      </c>
      <c r="AA19" s="298"/>
      <c r="AB19" s="295" t="e">
        <f t="shared" si="4"/>
        <v>#REF!</v>
      </c>
      <c r="AC19" s="296" t="e">
        <f t="shared" si="5"/>
        <v>#REF!</v>
      </c>
      <c r="AD19" s="297">
        <f t="shared" si="6"/>
        <v>0</v>
      </c>
      <c r="AE19" s="298"/>
      <c r="AF19" s="295" t="e">
        <f t="shared" si="7"/>
        <v>#REF!</v>
      </c>
      <c r="AG19" s="296" t="e">
        <f t="shared" si="7"/>
        <v>#REF!</v>
      </c>
      <c r="AH19" s="297">
        <f t="shared" si="11"/>
        <v>0</v>
      </c>
      <c r="AI19" s="298"/>
      <c r="AJ19" s="327" t="e">
        <f>SUM(AF19:AH19)/SUM(W19:Y19)</f>
        <v>#REF!</v>
      </c>
      <c r="AK19" s="328" t="e">
        <f t="shared" si="16"/>
        <v>#REF!</v>
      </c>
      <c r="AL19" s="298"/>
      <c r="AM19" s="295" t="e">
        <f t="shared" si="9"/>
        <v>#REF!</v>
      </c>
      <c r="AN19" s="296">
        <v>0</v>
      </c>
      <c r="AO19" s="297" t="e">
        <f t="shared" si="12"/>
        <v>#REF!</v>
      </c>
      <c r="AP19" s="298"/>
      <c r="AQ19" s="299"/>
      <c r="AR19" s="299"/>
      <c r="AS19" s="298"/>
    </row>
    <row r="20" spans="1:45" x14ac:dyDescent="0.2">
      <c r="A20" s="76">
        <f t="shared" si="2"/>
        <v>13</v>
      </c>
      <c r="B20" s="677" t="e">
        <f>#REF!</f>
        <v>#REF!</v>
      </c>
      <c r="C20" s="671" t="s">
        <v>4</v>
      </c>
      <c r="D20" s="147"/>
      <c r="E20" s="112">
        <f>ROUND('Rates in Detail'!L19,5)</f>
        <v>5.0160000000000003E-2</v>
      </c>
      <c r="F20" s="112">
        <f>'Allocation = % of Margin'!AD20</f>
        <v>-4.1099999999999999E-3</v>
      </c>
      <c r="G20" s="147"/>
      <c r="H20" s="362">
        <f>ROUND('Rates in Detail'!N19,5)</f>
        <v>0.34473999999999999</v>
      </c>
      <c r="I20" s="711">
        <f t="shared" si="13"/>
        <v>0.39489999999999997</v>
      </c>
      <c r="J20" s="147"/>
      <c r="K20" s="145" t="e">
        <f>#REF!</f>
        <v>#REF!</v>
      </c>
      <c r="L20" s="146" t="e">
        <f>#REF!</f>
        <v>#REF!</v>
      </c>
      <c r="M20" s="112">
        <f>'Rates in Detail'!AH19</f>
        <v>0</v>
      </c>
      <c r="N20" s="112">
        <f>'Rates in Detail'!AI19</f>
        <v>0</v>
      </c>
      <c r="O20" s="112">
        <f>'Rates in Detail'!AJ19</f>
        <v>0</v>
      </c>
      <c r="P20" s="711">
        <f>'Rates in Detail'!AK19</f>
        <v>0</v>
      </c>
      <c r="Q20" s="147"/>
      <c r="R20" s="287" t="e">
        <f>#REF!</f>
        <v>#REF!</v>
      </c>
      <c r="S20" s="300"/>
      <c r="T20" s="289" t="e">
        <f>#REF!</f>
        <v>#REF!</v>
      </c>
      <c r="U20" s="290" t="e">
        <f>#REF!</f>
        <v>#REF!</v>
      </c>
      <c r="V20" s="147"/>
      <c r="W20" s="302" t="e">
        <f t="shared" si="14"/>
        <v>#REF!</v>
      </c>
      <c r="X20" s="298" t="e">
        <f t="shared" ref="X20:X21" si="17">(K20*T20*12)</f>
        <v>#REF!</v>
      </c>
      <c r="Y20" s="298">
        <f t="shared" si="3"/>
        <v>0</v>
      </c>
      <c r="Z20" s="303"/>
      <c r="AA20" s="298"/>
      <c r="AB20" s="302" t="e">
        <f t="shared" si="4"/>
        <v>#REF!</v>
      </c>
      <c r="AC20" s="298" t="e">
        <f t="shared" si="5"/>
        <v>#REF!</v>
      </c>
      <c r="AD20" s="303">
        <f t="shared" si="6"/>
        <v>0</v>
      </c>
      <c r="AE20" s="298"/>
      <c r="AF20" s="302" t="e">
        <f t="shared" si="7"/>
        <v>#REF!</v>
      </c>
      <c r="AG20" s="298" t="e">
        <f t="shared" si="7"/>
        <v>#REF!</v>
      </c>
      <c r="AH20" s="303">
        <f t="shared" si="11"/>
        <v>0</v>
      </c>
      <c r="AI20" s="298"/>
      <c r="AJ20" s="327"/>
      <c r="AK20" s="329" t="e">
        <f t="shared" si="16"/>
        <v>#REF!</v>
      </c>
      <c r="AL20" s="298"/>
      <c r="AM20" s="302" t="e">
        <f t="shared" si="9"/>
        <v>#REF!</v>
      </c>
      <c r="AN20" s="298">
        <v>0</v>
      </c>
      <c r="AO20" s="303" t="e">
        <f t="shared" si="12"/>
        <v>#REF!</v>
      </c>
      <c r="AP20" s="298"/>
      <c r="AQ20" s="299"/>
      <c r="AR20" s="299"/>
      <c r="AS20" s="298"/>
    </row>
    <row r="21" spans="1:45" x14ac:dyDescent="0.2">
      <c r="A21" s="76">
        <f t="shared" si="2"/>
        <v>14</v>
      </c>
      <c r="B21" s="670"/>
      <c r="C21" s="671" t="s">
        <v>5</v>
      </c>
      <c r="D21" s="147"/>
      <c r="E21" s="112">
        <f>ROUND('Rates in Detail'!L20,5)</f>
        <v>4.4200000000000003E-2</v>
      </c>
      <c r="F21" s="112">
        <f>'Allocation = % of Margin'!AD21</f>
        <v>-3.62E-3</v>
      </c>
      <c r="G21" s="147"/>
      <c r="H21" s="362">
        <f>ROUND('Rates in Detail'!N20,5)</f>
        <v>0.30376999999999998</v>
      </c>
      <c r="I21" s="711">
        <f t="shared" si="13"/>
        <v>0.34797</v>
      </c>
      <c r="J21" s="147"/>
      <c r="K21" s="145"/>
      <c r="L21" s="146"/>
      <c r="M21" s="147"/>
      <c r="N21" s="147"/>
      <c r="O21" s="147"/>
      <c r="P21" s="148"/>
      <c r="Q21" s="147"/>
      <c r="R21" s="287" t="e">
        <f>#REF!</f>
        <v>#REF!</v>
      </c>
      <c r="S21" s="300"/>
      <c r="T21" s="289"/>
      <c r="U21" s="290"/>
      <c r="V21" s="147"/>
      <c r="W21" s="302" t="e">
        <f t="shared" si="14"/>
        <v>#REF!</v>
      </c>
      <c r="X21" s="298">
        <f t="shared" si="17"/>
        <v>0</v>
      </c>
      <c r="Y21" s="298">
        <f t="shared" si="3"/>
        <v>0</v>
      </c>
      <c r="Z21" s="303"/>
      <c r="AA21" s="298"/>
      <c r="AB21" s="302" t="e">
        <f t="shared" si="4"/>
        <v>#REF!</v>
      </c>
      <c r="AC21" s="298">
        <f t="shared" si="5"/>
        <v>0</v>
      </c>
      <c r="AD21" s="303">
        <f t="shared" si="6"/>
        <v>0</v>
      </c>
      <c r="AE21" s="298"/>
      <c r="AF21" s="302" t="e">
        <f t="shared" si="7"/>
        <v>#REF!</v>
      </c>
      <c r="AG21" s="298">
        <f t="shared" si="7"/>
        <v>0</v>
      </c>
      <c r="AH21" s="303">
        <f t="shared" si="11"/>
        <v>0</v>
      </c>
      <c r="AI21" s="298"/>
      <c r="AJ21" s="327"/>
      <c r="AK21" s="329" t="e">
        <f t="shared" si="16"/>
        <v>#REF!</v>
      </c>
      <c r="AL21" s="298"/>
      <c r="AM21" s="302" t="e">
        <f t="shared" si="9"/>
        <v>#REF!</v>
      </c>
      <c r="AN21" s="298">
        <v>0</v>
      </c>
      <c r="AO21" s="303" t="e">
        <f t="shared" si="12"/>
        <v>#REF!</v>
      </c>
      <c r="AP21" s="298"/>
      <c r="AQ21" s="299"/>
      <c r="AR21" s="299"/>
      <c r="AS21" s="298"/>
    </row>
    <row r="22" spans="1:45" x14ac:dyDescent="0.2">
      <c r="A22" s="76">
        <f t="shared" si="2"/>
        <v>15</v>
      </c>
      <c r="B22" s="668"/>
      <c r="C22" s="686" t="s">
        <v>62</v>
      </c>
      <c r="D22" s="143"/>
      <c r="E22" s="113"/>
      <c r="F22" s="113"/>
      <c r="G22" s="143"/>
      <c r="H22" s="357"/>
      <c r="I22" s="710"/>
      <c r="J22" s="147"/>
      <c r="K22" s="145"/>
      <c r="L22" s="146"/>
      <c r="M22" s="147"/>
      <c r="N22" s="147"/>
      <c r="O22" s="147"/>
      <c r="P22" s="148"/>
      <c r="Q22" s="147"/>
      <c r="R22" s="287"/>
      <c r="S22" s="300"/>
      <c r="T22" s="289"/>
      <c r="U22" s="290"/>
      <c r="V22" s="147"/>
      <c r="W22" s="304" t="e">
        <f>SUM(W20:W21)</f>
        <v>#REF!</v>
      </c>
      <c r="X22" s="305" t="e">
        <f t="shared" ref="X22:Y22" si="18">SUM(X20:X21)</f>
        <v>#REF!</v>
      </c>
      <c r="Y22" s="305">
        <f t="shared" si="18"/>
        <v>0</v>
      </c>
      <c r="Z22" s="306" t="e">
        <f>'Rate Spread SETTLEMENT'!K$15-SUM(W22:Y22)</f>
        <v>#REF!</v>
      </c>
      <c r="AA22" s="298"/>
      <c r="AB22" s="304" t="e">
        <f>SUM(AB20:AB21)</f>
        <v>#REF!</v>
      </c>
      <c r="AC22" s="305" t="e">
        <f t="shared" ref="AC22:AD22" si="19">SUM(AC20:AC21)</f>
        <v>#REF!</v>
      </c>
      <c r="AD22" s="306">
        <f t="shared" si="19"/>
        <v>0</v>
      </c>
      <c r="AE22" s="298"/>
      <c r="AF22" s="304" t="e">
        <f>SUM(AF20:AF21)</f>
        <v>#REF!</v>
      </c>
      <c r="AG22" s="305" t="e">
        <f t="shared" ref="AG22:AH22" si="20">SUM(AG20:AG21)</f>
        <v>#REF!</v>
      </c>
      <c r="AH22" s="306">
        <f t="shared" si="20"/>
        <v>0</v>
      </c>
      <c r="AI22" s="298"/>
      <c r="AJ22" s="327" t="e">
        <f>SUM(AF22:AH22)/SUM(W22:Y22)</f>
        <v>#REF!</v>
      </c>
      <c r="AK22" s="328" t="e">
        <f t="shared" si="16"/>
        <v>#REF!</v>
      </c>
      <c r="AL22" s="298"/>
      <c r="AM22" s="304" t="e">
        <f>SUM(AM20:AM21)</f>
        <v>#REF!</v>
      </c>
      <c r="AN22" s="305">
        <f t="shared" ref="AN22:AO22" si="21">SUM(AN20:AN21)</f>
        <v>0</v>
      </c>
      <c r="AO22" s="306" t="e">
        <f t="shared" si="21"/>
        <v>#REF!</v>
      </c>
      <c r="AP22" s="298"/>
      <c r="AQ22" s="299"/>
      <c r="AR22" s="299"/>
      <c r="AS22" s="298"/>
    </row>
    <row r="23" spans="1:45" x14ac:dyDescent="0.2">
      <c r="A23" s="76">
        <f t="shared" si="2"/>
        <v>16</v>
      </c>
      <c r="B23" s="677" t="e">
        <f>#REF!</f>
        <v>#REF!</v>
      </c>
      <c r="C23" s="671" t="s">
        <v>4</v>
      </c>
      <c r="D23" s="147"/>
      <c r="E23" s="112">
        <f>ROUND('Rates in Detail'!L21,5)</f>
        <v>2.3040000000000001E-2</v>
      </c>
      <c r="F23" s="112">
        <f>'Allocation = % of Margin'!AD22</f>
        <v>-3.9100000000000003E-3</v>
      </c>
      <c r="G23" s="147"/>
      <c r="H23" s="362">
        <f>ROUND('Rates in Detail'!N21,5)</f>
        <v>0.34416000000000002</v>
      </c>
      <c r="I23" s="711">
        <f t="shared" si="13"/>
        <v>0.36720000000000003</v>
      </c>
      <c r="J23" s="147"/>
      <c r="K23" s="145" t="e">
        <f>#REF!</f>
        <v>#REF!</v>
      </c>
      <c r="L23" s="146" t="e">
        <f>#REF!</f>
        <v>#REF!</v>
      </c>
      <c r="M23" s="112">
        <f>'Rates in Detail'!AH21</f>
        <v>0</v>
      </c>
      <c r="N23" s="112">
        <f>'Rates in Detail'!AI21</f>
        <v>0</v>
      </c>
      <c r="O23" s="112">
        <f>'Rates in Detail'!AJ21</f>
        <v>0</v>
      </c>
      <c r="P23" s="711">
        <f>'Rates in Detail'!AK21</f>
        <v>0</v>
      </c>
      <c r="Q23" s="147"/>
      <c r="R23" s="287" t="e">
        <f>#REF!</f>
        <v>#REF!</v>
      </c>
      <c r="S23" s="300"/>
      <c r="T23" s="289" t="e">
        <f>#REF!</f>
        <v>#REF!</v>
      </c>
      <c r="U23" s="290" t="e">
        <f>#REF!</f>
        <v>#REF!</v>
      </c>
      <c r="V23" s="147"/>
      <c r="W23" s="302" t="e">
        <f t="shared" ref="W23:W24" si="22">(H23*R23)</f>
        <v>#REF!</v>
      </c>
      <c r="X23" s="298" t="e">
        <f t="shared" ref="X23:X24" si="23">(K23*T23*12)</f>
        <v>#REF!</v>
      </c>
      <c r="Y23" s="298">
        <f>(S23*(M23+O23))*12</f>
        <v>0</v>
      </c>
      <c r="Z23" s="303"/>
      <c r="AA23" s="298"/>
      <c r="AB23" s="302" t="e">
        <f>(I23*R23)</f>
        <v>#REF!</v>
      </c>
      <c r="AC23" s="298" t="e">
        <f>(L23*T23*12)</f>
        <v>#REF!</v>
      </c>
      <c r="AD23" s="303">
        <f>(S23*(N23+P23))*12</f>
        <v>0</v>
      </c>
      <c r="AE23" s="298"/>
      <c r="AF23" s="302" t="e">
        <f>AB23-W23</f>
        <v>#REF!</v>
      </c>
      <c r="AG23" s="298" t="e">
        <f>AC23-X23</f>
        <v>#REF!</v>
      </c>
      <c r="AH23" s="303">
        <f t="shared" ref="AH23:AH24" si="24">AD23-Y23</f>
        <v>0</v>
      </c>
      <c r="AI23" s="298"/>
      <c r="AJ23" s="327"/>
      <c r="AK23" s="329" t="e">
        <f t="shared" si="16"/>
        <v>#REF!</v>
      </c>
      <c r="AL23" s="298"/>
      <c r="AM23" s="302" t="e">
        <f>(F23*R23)</f>
        <v>#REF!</v>
      </c>
      <c r="AN23" s="298">
        <v>0</v>
      </c>
      <c r="AO23" s="303" t="e">
        <f t="shared" ref="AO23:AO24" si="25">(AE23*(Y23+AB23))*12</f>
        <v>#REF!</v>
      </c>
      <c r="AP23" s="298"/>
      <c r="AQ23" s="299"/>
      <c r="AR23" s="299"/>
      <c r="AS23" s="298"/>
    </row>
    <row r="24" spans="1:45" x14ac:dyDescent="0.2">
      <c r="A24" s="76">
        <f t="shared" si="2"/>
        <v>17</v>
      </c>
      <c r="B24" s="670"/>
      <c r="C24" s="671" t="s">
        <v>5</v>
      </c>
      <c r="D24" s="147"/>
      <c r="E24" s="112">
        <f>ROUND('Rates in Detail'!L22,5)</f>
        <v>2.0299999999999999E-2</v>
      </c>
      <c r="F24" s="112">
        <f>'Allocation = % of Margin'!AD23</f>
        <v>-3.4399999999999999E-3</v>
      </c>
      <c r="G24" s="147"/>
      <c r="H24" s="362">
        <f>ROUND('Rates in Detail'!N22,5)</f>
        <v>0.30325000000000002</v>
      </c>
      <c r="I24" s="711">
        <f t="shared" si="13"/>
        <v>0.32355</v>
      </c>
      <c r="J24" s="147"/>
      <c r="K24" s="145"/>
      <c r="L24" s="146"/>
      <c r="M24" s="147"/>
      <c r="N24" s="147"/>
      <c r="O24" s="147"/>
      <c r="P24" s="148"/>
      <c r="Q24" s="147"/>
      <c r="R24" s="287" t="e">
        <f>#REF!</f>
        <v>#REF!</v>
      </c>
      <c r="S24" s="300"/>
      <c r="T24" s="289"/>
      <c r="U24" s="290"/>
      <c r="V24" s="147"/>
      <c r="W24" s="302" t="e">
        <f t="shared" si="22"/>
        <v>#REF!</v>
      </c>
      <c r="X24" s="298">
        <f t="shared" si="23"/>
        <v>0</v>
      </c>
      <c r="Y24" s="298">
        <f>(S24*(M24+O24))*12</f>
        <v>0</v>
      </c>
      <c r="Z24" s="303"/>
      <c r="AA24" s="298"/>
      <c r="AB24" s="302" t="e">
        <f>(I24*R24)</f>
        <v>#REF!</v>
      </c>
      <c r="AC24" s="298">
        <f>(L24*T24*12)</f>
        <v>0</v>
      </c>
      <c r="AD24" s="303">
        <f>(S24*(N24+P24))*12</f>
        <v>0</v>
      </c>
      <c r="AE24" s="298"/>
      <c r="AF24" s="302" t="e">
        <f>AB24-W24</f>
        <v>#REF!</v>
      </c>
      <c r="AG24" s="298">
        <f>AC24-X24</f>
        <v>0</v>
      </c>
      <c r="AH24" s="303">
        <f t="shared" si="24"/>
        <v>0</v>
      </c>
      <c r="AI24" s="298"/>
      <c r="AJ24" s="327"/>
      <c r="AK24" s="329" t="e">
        <f t="shared" si="16"/>
        <v>#REF!</v>
      </c>
      <c r="AL24" s="298"/>
      <c r="AM24" s="302" t="e">
        <f>(F24*R24)</f>
        <v>#REF!</v>
      </c>
      <c r="AN24" s="298">
        <v>0</v>
      </c>
      <c r="AO24" s="303" t="e">
        <f t="shared" si="25"/>
        <v>#REF!</v>
      </c>
      <c r="AP24" s="298"/>
      <c r="AQ24" s="299"/>
      <c r="AR24" s="299"/>
      <c r="AS24" s="298"/>
    </row>
    <row r="25" spans="1:45" x14ac:dyDescent="0.2">
      <c r="A25" s="76">
        <f t="shared" si="2"/>
        <v>18</v>
      </c>
      <c r="B25" s="668"/>
      <c r="C25" s="686" t="s">
        <v>62</v>
      </c>
      <c r="D25" s="143"/>
      <c r="E25" s="113"/>
      <c r="F25" s="113"/>
      <c r="G25" s="143"/>
      <c r="H25" s="357"/>
      <c r="I25" s="710"/>
      <c r="J25" s="147"/>
      <c r="K25" s="145"/>
      <c r="L25" s="146"/>
      <c r="M25" s="147"/>
      <c r="N25" s="147"/>
      <c r="O25" s="147"/>
      <c r="P25" s="148"/>
      <c r="Q25" s="147"/>
      <c r="R25" s="287"/>
      <c r="S25" s="300"/>
      <c r="T25" s="289"/>
      <c r="U25" s="290"/>
      <c r="V25" s="147"/>
      <c r="W25" s="304" t="e">
        <f>SUM(W23:W24)</f>
        <v>#REF!</v>
      </c>
      <c r="X25" s="305" t="e">
        <f t="shared" ref="X25:Y25" si="26">SUM(X23:X24)</f>
        <v>#REF!</v>
      </c>
      <c r="Y25" s="305">
        <f t="shared" si="26"/>
        <v>0</v>
      </c>
      <c r="Z25" s="306" t="e">
        <f>'Rate Spread SETTLEMENT'!L$15-SUM(W25:Y25)</f>
        <v>#REF!</v>
      </c>
      <c r="AA25" s="298"/>
      <c r="AB25" s="304" t="e">
        <f>SUM(AB23:AB24)</f>
        <v>#REF!</v>
      </c>
      <c r="AC25" s="305" t="e">
        <f t="shared" ref="AC25:AD25" si="27">SUM(AC23:AC24)</f>
        <v>#REF!</v>
      </c>
      <c r="AD25" s="306">
        <f t="shared" si="27"/>
        <v>0</v>
      </c>
      <c r="AE25" s="298"/>
      <c r="AF25" s="304" t="e">
        <f>SUM(AF23:AF24)</f>
        <v>#REF!</v>
      </c>
      <c r="AG25" s="305" t="e">
        <f t="shared" ref="AG25:AH25" si="28">SUM(AG23:AG24)</f>
        <v>#REF!</v>
      </c>
      <c r="AH25" s="306">
        <f t="shared" si="28"/>
        <v>0</v>
      </c>
      <c r="AI25" s="298"/>
      <c r="AJ25" s="327" t="e">
        <f>SUM(AF25:AH25)/SUM(W25:Y25)</f>
        <v>#REF!</v>
      </c>
      <c r="AK25" s="328" t="e">
        <f t="shared" si="16"/>
        <v>#REF!</v>
      </c>
      <c r="AL25" s="298"/>
      <c r="AM25" s="304" t="e">
        <f>SUM(AM23:AM24)</f>
        <v>#REF!</v>
      </c>
      <c r="AN25" s="305">
        <f t="shared" ref="AN25:AO25" si="29">SUM(AN23:AN24)</f>
        <v>0</v>
      </c>
      <c r="AO25" s="306" t="e">
        <f t="shared" si="29"/>
        <v>#REF!</v>
      </c>
      <c r="AP25" s="298"/>
      <c r="AQ25" s="299"/>
      <c r="AR25" s="299"/>
      <c r="AS25" s="298"/>
    </row>
    <row r="26" spans="1:45" x14ac:dyDescent="0.2">
      <c r="A26" s="76">
        <f t="shared" si="2"/>
        <v>19</v>
      </c>
      <c r="B26" s="670" t="e">
        <f>#REF!</f>
        <v>#REF!</v>
      </c>
      <c r="C26" s="671" t="s">
        <v>4</v>
      </c>
      <c r="D26" s="147"/>
      <c r="E26" s="112">
        <f>ROUND('Rates in Detail'!L23,5)</f>
        <v>3.6089999999999997E-2</v>
      </c>
      <c r="F26" s="112">
        <f>'Allocation = % of Margin'!AD24</f>
        <v>-3.2200000000000002E-3</v>
      </c>
      <c r="G26" s="147"/>
      <c r="H26" s="362">
        <f>ROUND('Rates in Detail'!N23,5)</f>
        <v>0.34372999999999998</v>
      </c>
      <c r="I26" s="711">
        <f t="shared" si="13"/>
        <v>0.37981999999999999</v>
      </c>
      <c r="J26" s="147"/>
      <c r="K26" s="145" t="e">
        <f>#REF!</f>
        <v>#REF!</v>
      </c>
      <c r="L26" s="146" t="e">
        <f>#REF!</f>
        <v>#REF!</v>
      </c>
      <c r="M26" s="112">
        <f>'Rates in Detail'!AH23</f>
        <v>0</v>
      </c>
      <c r="N26" s="112">
        <f>'Rates in Detail'!AI23</f>
        <v>0</v>
      </c>
      <c r="O26" s="112">
        <f>'Rates in Detail'!AJ23</f>
        <v>0</v>
      </c>
      <c r="P26" s="711">
        <f>'Rates in Detail'!AK23</f>
        <v>0</v>
      </c>
      <c r="Q26" s="147"/>
      <c r="R26" s="287" t="e">
        <f>#REF!</f>
        <v>#REF!</v>
      </c>
      <c r="S26" s="300"/>
      <c r="T26" s="289" t="e">
        <f>#REF!</f>
        <v>#REF!</v>
      </c>
      <c r="U26" s="290" t="e">
        <f>#REF!</f>
        <v>#REF!</v>
      </c>
      <c r="V26" s="147"/>
      <c r="W26" s="302" t="e">
        <f t="shared" ref="W26:W27" si="30">(H26*R26)</f>
        <v>#REF!</v>
      </c>
      <c r="X26" s="298" t="e">
        <f t="shared" ref="X26:X27" si="31">(K26*T26*12)</f>
        <v>#REF!</v>
      </c>
      <c r="Y26" s="298">
        <f>(S26*(M26+O26))*12</f>
        <v>0</v>
      </c>
      <c r="Z26" s="303"/>
      <c r="AA26" s="298"/>
      <c r="AB26" s="302" t="e">
        <f>(I26*R26)</f>
        <v>#REF!</v>
      </c>
      <c r="AC26" s="298" t="e">
        <f>(L26*T26*12)</f>
        <v>#REF!</v>
      </c>
      <c r="AD26" s="303">
        <f>(S26*(N26+P26))*12</f>
        <v>0</v>
      </c>
      <c r="AE26" s="298"/>
      <c r="AF26" s="302" t="e">
        <f>AB26-W26</f>
        <v>#REF!</v>
      </c>
      <c r="AG26" s="298" t="e">
        <f>AC26-X26</f>
        <v>#REF!</v>
      </c>
      <c r="AH26" s="303">
        <f t="shared" ref="AH26:AH27" si="32">AD26-Y26</f>
        <v>0</v>
      </c>
      <c r="AI26" s="298"/>
      <c r="AJ26" s="327"/>
      <c r="AK26" s="329" t="e">
        <f t="shared" si="16"/>
        <v>#REF!</v>
      </c>
      <c r="AL26" s="298"/>
      <c r="AM26" s="302" t="e">
        <f>(F26*R26)</f>
        <v>#REF!</v>
      </c>
      <c r="AN26" s="298">
        <v>0</v>
      </c>
      <c r="AO26" s="303" t="e">
        <f t="shared" ref="AO26:AO27" si="33">(AE26*(Y26+AB26))*12</f>
        <v>#REF!</v>
      </c>
      <c r="AP26" s="298"/>
      <c r="AQ26" s="299"/>
      <c r="AR26" s="299"/>
      <c r="AS26" s="298"/>
    </row>
    <row r="27" spans="1:45" x14ac:dyDescent="0.2">
      <c r="A27" s="76">
        <f t="shared" si="2"/>
        <v>20</v>
      </c>
      <c r="B27" s="670"/>
      <c r="C27" s="671" t="s">
        <v>5</v>
      </c>
      <c r="D27" s="147"/>
      <c r="E27" s="112">
        <f>ROUND('Rates in Detail'!L24,5)</f>
        <v>3.1800000000000002E-2</v>
      </c>
      <c r="F27" s="112">
        <f>'Allocation = % of Margin'!AD25</f>
        <v>-2.8400000000000001E-3</v>
      </c>
      <c r="G27" s="147"/>
      <c r="H27" s="362">
        <f>ROUND('Rates in Detail'!N24,5)</f>
        <v>0.30285000000000001</v>
      </c>
      <c r="I27" s="711">
        <f t="shared" si="13"/>
        <v>0.33465</v>
      </c>
      <c r="J27" s="147"/>
      <c r="K27" s="145"/>
      <c r="L27" s="146"/>
      <c r="M27" s="147"/>
      <c r="N27" s="147"/>
      <c r="O27" s="147"/>
      <c r="P27" s="148"/>
      <c r="Q27" s="147"/>
      <c r="R27" s="287" t="e">
        <f>#REF!</f>
        <v>#REF!</v>
      </c>
      <c r="S27" s="300"/>
      <c r="T27" s="289"/>
      <c r="U27" s="290"/>
      <c r="V27" s="147"/>
      <c r="W27" s="302" t="e">
        <f t="shared" si="30"/>
        <v>#REF!</v>
      </c>
      <c r="X27" s="298">
        <f t="shared" si="31"/>
        <v>0</v>
      </c>
      <c r="Y27" s="298">
        <f>(S27*(M27+O27))*12</f>
        <v>0</v>
      </c>
      <c r="Z27" s="303"/>
      <c r="AA27" s="298"/>
      <c r="AB27" s="302" t="e">
        <f>(I27*R27)</f>
        <v>#REF!</v>
      </c>
      <c r="AC27" s="298">
        <f>(L27*T27*12)</f>
        <v>0</v>
      </c>
      <c r="AD27" s="303">
        <f>(S27*(N27+P27))*12</f>
        <v>0</v>
      </c>
      <c r="AE27" s="298"/>
      <c r="AF27" s="302" t="e">
        <f>AB27-W27</f>
        <v>#REF!</v>
      </c>
      <c r="AG27" s="298">
        <f>AC27-X27</f>
        <v>0</v>
      </c>
      <c r="AH27" s="303">
        <f t="shared" si="32"/>
        <v>0</v>
      </c>
      <c r="AI27" s="298"/>
      <c r="AJ27" s="327"/>
      <c r="AK27" s="329" t="e">
        <f t="shared" si="16"/>
        <v>#REF!</v>
      </c>
      <c r="AL27" s="298"/>
      <c r="AM27" s="302" t="e">
        <f>(F27*R27)</f>
        <v>#REF!</v>
      </c>
      <c r="AN27" s="298">
        <v>0</v>
      </c>
      <c r="AO27" s="303" t="e">
        <f t="shared" si="33"/>
        <v>#REF!</v>
      </c>
      <c r="AP27" s="298"/>
      <c r="AQ27" s="299"/>
      <c r="AR27" s="299"/>
      <c r="AS27" s="298"/>
    </row>
    <row r="28" spans="1:45" x14ac:dyDescent="0.2">
      <c r="A28" s="76">
        <f t="shared" si="2"/>
        <v>21</v>
      </c>
      <c r="B28" s="668"/>
      <c r="C28" s="686" t="s">
        <v>62</v>
      </c>
      <c r="D28" s="143"/>
      <c r="E28" s="113"/>
      <c r="F28" s="113"/>
      <c r="G28" s="143"/>
      <c r="H28" s="357"/>
      <c r="I28" s="710"/>
      <c r="J28" s="147"/>
      <c r="K28" s="145"/>
      <c r="L28" s="146"/>
      <c r="M28" s="147"/>
      <c r="N28" s="147"/>
      <c r="O28" s="147"/>
      <c r="P28" s="148"/>
      <c r="Q28" s="147"/>
      <c r="R28" s="287"/>
      <c r="S28" s="300"/>
      <c r="T28" s="289"/>
      <c r="U28" s="290"/>
      <c r="V28" s="147"/>
      <c r="W28" s="304" t="e">
        <f>SUM(W26:W27)</f>
        <v>#REF!</v>
      </c>
      <c r="X28" s="305" t="e">
        <f t="shared" ref="X28:Y28" si="34">SUM(X26:X27)</f>
        <v>#REF!</v>
      </c>
      <c r="Y28" s="305">
        <f t="shared" si="34"/>
        <v>0</v>
      </c>
      <c r="Z28" s="306" t="e">
        <f>'Rate Spread SETTLEMENT'!M$15-SUM(W28:Y28)</f>
        <v>#REF!</v>
      </c>
      <c r="AA28" s="298"/>
      <c r="AB28" s="304" t="e">
        <f>SUM(AB26:AB27)</f>
        <v>#REF!</v>
      </c>
      <c r="AC28" s="305" t="e">
        <f t="shared" ref="AC28:AD28" si="35">SUM(AC26:AC27)</f>
        <v>#REF!</v>
      </c>
      <c r="AD28" s="306">
        <f t="shared" si="35"/>
        <v>0</v>
      </c>
      <c r="AE28" s="298"/>
      <c r="AF28" s="304" t="e">
        <f>SUM(AF26:AF27)</f>
        <v>#REF!</v>
      </c>
      <c r="AG28" s="305" t="e">
        <f t="shared" ref="AG28:AH28" si="36">SUM(AG26:AG27)</f>
        <v>#REF!</v>
      </c>
      <c r="AH28" s="306">
        <f t="shared" si="36"/>
        <v>0</v>
      </c>
      <c r="AI28" s="298"/>
      <c r="AJ28" s="327" t="e">
        <f>SUM(AF28:AH28)/SUM(W28:Y28)</f>
        <v>#REF!</v>
      </c>
      <c r="AK28" s="328" t="e">
        <f t="shared" si="16"/>
        <v>#REF!</v>
      </c>
      <c r="AL28" s="298"/>
      <c r="AM28" s="304" t="e">
        <f>SUM(AM26:AM27)</f>
        <v>#REF!</v>
      </c>
      <c r="AN28" s="305">
        <f t="shared" ref="AN28:AO28" si="37">SUM(AN26:AN27)</f>
        <v>0</v>
      </c>
      <c r="AO28" s="306" t="e">
        <f t="shared" si="37"/>
        <v>#REF!</v>
      </c>
      <c r="AP28" s="298"/>
      <c r="AQ28" s="299"/>
      <c r="AR28" s="299"/>
      <c r="AS28" s="298"/>
    </row>
    <row r="29" spans="1:45" x14ac:dyDescent="0.2">
      <c r="A29" s="76">
        <f t="shared" si="2"/>
        <v>22</v>
      </c>
      <c r="B29" s="670" t="e">
        <f>#REF!</f>
        <v>#REF!</v>
      </c>
      <c r="C29" s="671" t="s">
        <v>4</v>
      </c>
      <c r="D29" s="147"/>
      <c r="E29" s="112">
        <f>ROUND('Rates in Detail'!L25,5)</f>
        <v>1.576E-2</v>
      </c>
      <c r="F29" s="112">
        <f>'Allocation = % of Margin'!AD26</f>
        <v>-3.2200000000000002E-3</v>
      </c>
      <c r="G29" s="147"/>
      <c r="H29" s="362">
        <f>ROUND('Rates in Detail'!N25,5)</f>
        <v>0.34372999999999998</v>
      </c>
      <c r="I29" s="711">
        <f t="shared" si="13"/>
        <v>0.35948999999999998</v>
      </c>
      <c r="J29" s="147"/>
      <c r="K29" s="145" t="e">
        <f>#REF!</f>
        <v>#REF!</v>
      </c>
      <c r="L29" s="146" t="e">
        <f>#REF!</f>
        <v>#REF!</v>
      </c>
      <c r="M29" s="112">
        <f>'Rates in Detail'!AH25</f>
        <v>0</v>
      </c>
      <c r="N29" s="112">
        <f>'Rates in Detail'!AI25</f>
        <v>0</v>
      </c>
      <c r="O29" s="112">
        <f>'Rates in Detail'!AJ25</f>
        <v>0</v>
      </c>
      <c r="P29" s="711">
        <f>'Rates in Detail'!AK25</f>
        <v>0</v>
      </c>
      <c r="Q29" s="147"/>
      <c r="R29" s="287" t="e">
        <f>#REF!</f>
        <v>#REF!</v>
      </c>
      <c r="S29" s="300"/>
      <c r="T29" s="289" t="e">
        <f>#REF!</f>
        <v>#REF!</v>
      </c>
      <c r="U29" s="290" t="e">
        <f>#REF!</f>
        <v>#REF!</v>
      </c>
      <c r="V29" s="147"/>
      <c r="W29" s="302" t="e">
        <f t="shared" ref="W29:W30" si="38">(H29*R29)</f>
        <v>#REF!</v>
      </c>
      <c r="X29" s="298" t="e">
        <f t="shared" ref="X29:X30" si="39">(K29*T29*12)</f>
        <v>#REF!</v>
      </c>
      <c r="Y29" s="298">
        <f>(S29*(M29+O29))*12</f>
        <v>0</v>
      </c>
      <c r="Z29" s="303"/>
      <c r="AA29" s="298"/>
      <c r="AB29" s="302" t="e">
        <f>(I29*R29)</f>
        <v>#REF!</v>
      </c>
      <c r="AC29" s="298" t="e">
        <f>(L29*T29*12)</f>
        <v>#REF!</v>
      </c>
      <c r="AD29" s="303">
        <f>(S29*(N29+P29))*12</f>
        <v>0</v>
      </c>
      <c r="AE29" s="298"/>
      <c r="AF29" s="302" t="e">
        <f>AB29-W29</f>
        <v>#REF!</v>
      </c>
      <c r="AG29" s="298" t="e">
        <f>AC29-X29</f>
        <v>#REF!</v>
      </c>
      <c r="AH29" s="303">
        <f t="shared" ref="AH29:AH30" si="40">AD29-Y29</f>
        <v>0</v>
      </c>
      <c r="AI29" s="298"/>
      <c r="AJ29" s="327"/>
      <c r="AK29" s="329" t="e">
        <f t="shared" si="16"/>
        <v>#REF!</v>
      </c>
      <c r="AL29" s="298"/>
      <c r="AM29" s="302" t="e">
        <f>(F29*R29)</f>
        <v>#REF!</v>
      </c>
      <c r="AN29" s="298">
        <v>0</v>
      </c>
      <c r="AO29" s="303" t="e">
        <f t="shared" ref="AO29:AO30" si="41">(AE29*(Y29+AB29))*12</f>
        <v>#REF!</v>
      </c>
      <c r="AP29" s="298"/>
      <c r="AQ29" s="299"/>
      <c r="AR29" s="299"/>
      <c r="AS29" s="298"/>
    </row>
    <row r="30" spans="1:45" x14ac:dyDescent="0.2">
      <c r="A30" s="76">
        <f t="shared" si="2"/>
        <v>23</v>
      </c>
      <c r="B30" s="670"/>
      <c r="C30" s="671" t="s">
        <v>5</v>
      </c>
      <c r="D30" s="147"/>
      <c r="E30" s="112">
        <f>ROUND('Rates in Detail'!L26,5)</f>
        <v>1.388E-2</v>
      </c>
      <c r="F30" s="112">
        <f>'Allocation = % of Margin'!AD27</f>
        <v>-2.8400000000000001E-3</v>
      </c>
      <c r="G30" s="147"/>
      <c r="H30" s="362">
        <f>ROUND('Rates in Detail'!N26,5)</f>
        <v>0.30285000000000001</v>
      </c>
      <c r="I30" s="711">
        <f t="shared" si="13"/>
        <v>0.31673000000000001</v>
      </c>
      <c r="J30" s="147"/>
      <c r="K30" s="145"/>
      <c r="L30" s="146"/>
      <c r="M30" s="147"/>
      <c r="N30" s="147"/>
      <c r="O30" s="147"/>
      <c r="P30" s="148"/>
      <c r="Q30" s="147"/>
      <c r="R30" s="287" t="e">
        <f>#REF!</f>
        <v>#REF!</v>
      </c>
      <c r="S30" s="300"/>
      <c r="T30" s="289"/>
      <c r="U30" s="290"/>
      <c r="V30" s="147"/>
      <c r="W30" s="302" t="e">
        <f t="shared" si="38"/>
        <v>#REF!</v>
      </c>
      <c r="X30" s="298">
        <f t="shared" si="39"/>
        <v>0</v>
      </c>
      <c r="Y30" s="298">
        <f>(S30*(M30+O30))*12</f>
        <v>0</v>
      </c>
      <c r="Z30" s="303"/>
      <c r="AA30" s="298"/>
      <c r="AB30" s="302" t="e">
        <f>(I30*R30)</f>
        <v>#REF!</v>
      </c>
      <c r="AC30" s="298">
        <f>(L30*T30*12)</f>
        <v>0</v>
      </c>
      <c r="AD30" s="303">
        <f>(S30*(N30+P30))*12</f>
        <v>0</v>
      </c>
      <c r="AE30" s="298"/>
      <c r="AF30" s="302" t="e">
        <f>AB30-W30</f>
        <v>#REF!</v>
      </c>
      <c r="AG30" s="298">
        <f>AC30-X30</f>
        <v>0</v>
      </c>
      <c r="AH30" s="303">
        <f t="shared" si="40"/>
        <v>0</v>
      </c>
      <c r="AI30" s="298"/>
      <c r="AJ30" s="327"/>
      <c r="AK30" s="329" t="e">
        <f t="shared" si="16"/>
        <v>#REF!</v>
      </c>
      <c r="AL30" s="298"/>
      <c r="AM30" s="302" t="e">
        <f>(F30*R30)</f>
        <v>#REF!</v>
      </c>
      <c r="AN30" s="298">
        <v>0</v>
      </c>
      <c r="AO30" s="303" t="e">
        <f t="shared" si="41"/>
        <v>#REF!</v>
      </c>
      <c r="AP30" s="298"/>
      <c r="AQ30" s="299"/>
      <c r="AR30" s="299"/>
      <c r="AS30" s="298"/>
    </row>
    <row r="31" spans="1:45" x14ac:dyDescent="0.2">
      <c r="A31" s="76">
        <f t="shared" si="2"/>
        <v>24</v>
      </c>
      <c r="B31" s="668"/>
      <c r="C31" s="686" t="s">
        <v>62</v>
      </c>
      <c r="D31" s="143"/>
      <c r="E31" s="113"/>
      <c r="F31" s="113"/>
      <c r="G31" s="143"/>
      <c r="H31" s="357"/>
      <c r="I31" s="710"/>
      <c r="J31" s="147"/>
      <c r="K31" s="145"/>
      <c r="L31" s="146"/>
      <c r="M31" s="147"/>
      <c r="N31" s="147"/>
      <c r="O31" s="147"/>
      <c r="P31" s="148"/>
      <c r="Q31" s="147"/>
      <c r="R31" s="287"/>
      <c r="S31" s="300"/>
      <c r="T31" s="289"/>
      <c r="U31" s="290"/>
      <c r="V31" s="147"/>
      <c r="W31" s="304" t="e">
        <f>SUM(W29:W30)</f>
        <v>#REF!</v>
      </c>
      <c r="X31" s="305" t="e">
        <f t="shared" ref="X31:Y31" si="42">SUM(X29:X30)</f>
        <v>#REF!</v>
      </c>
      <c r="Y31" s="305">
        <f t="shared" si="42"/>
        <v>0</v>
      </c>
      <c r="Z31" s="306" t="e">
        <f>'Rate Spread SETTLEMENT'!N$15-SUM(W31:Y31)</f>
        <v>#REF!</v>
      </c>
      <c r="AA31" s="298"/>
      <c r="AB31" s="304" t="e">
        <f>SUM(AB29:AB30)</f>
        <v>#REF!</v>
      </c>
      <c r="AC31" s="305" t="e">
        <f t="shared" ref="AC31:AD31" si="43">SUM(AC29:AC30)</f>
        <v>#REF!</v>
      </c>
      <c r="AD31" s="306">
        <f t="shared" si="43"/>
        <v>0</v>
      </c>
      <c r="AE31" s="298"/>
      <c r="AF31" s="304" t="e">
        <f>SUM(AF29:AF30)</f>
        <v>#REF!</v>
      </c>
      <c r="AG31" s="305" t="e">
        <f t="shared" ref="AG31:AH31" si="44">SUM(AG29:AG30)</f>
        <v>#REF!</v>
      </c>
      <c r="AH31" s="306">
        <f t="shared" si="44"/>
        <v>0</v>
      </c>
      <c r="AI31" s="298"/>
      <c r="AJ31" s="327" t="e">
        <f>SUM(AF31:AH31)/SUM(W31:Y31)</f>
        <v>#REF!</v>
      </c>
      <c r="AK31" s="328" t="e">
        <f t="shared" si="16"/>
        <v>#REF!</v>
      </c>
      <c r="AL31" s="298"/>
      <c r="AM31" s="304" t="e">
        <f>SUM(AM29:AM30)</f>
        <v>#REF!</v>
      </c>
      <c r="AN31" s="305">
        <f t="shared" ref="AN31:AO31" si="45">SUM(AN29:AN30)</f>
        <v>0</v>
      </c>
      <c r="AO31" s="306" t="e">
        <f t="shared" si="45"/>
        <v>#REF!</v>
      </c>
      <c r="AP31" s="298"/>
      <c r="AQ31" s="299"/>
      <c r="AR31" s="299"/>
      <c r="AS31" s="298"/>
    </row>
    <row r="32" spans="1:45" x14ac:dyDescent="0.2">
      <c r="A32" s="76">
        <f t="shared" si="2"/>
        <v>25</v>
      </c>
      <c r="B32" s="670" t="e">
        <f>#REF!</f>
        <v>#REF!</v>
      </c>
      <c r="C32" s="671" t="s">
        <v>4</v>
      </c>
      <c r="D32" s="147"/>
      <c r="E32" s="112">
        <f>ROUND('Rates in Detail'!L27,5)</f>
        <v>2.562E-2</v>
      </c>
      <c r="F32" s="112">
        <f>'Allocation = % of Margin'!AD28</f>
        <v>-4.3499999999999997E-3</v>
      </c>
      <c r="G32" s="147"/>
      <c r="H32" s="362">
        <f>ROUND('Rates in Detail'!N27,5)</f>
        <v>0.34791</v>
      </c>
      <c r="I32" s="711">
        <f t="shared" si="13"/>
        <v>0.37352999999999997</v>
      </c>
      <c r="J32" s="147"/>
      <c r="K32" s="145" t="e">
        <f>#REF!</f>
        <v>#REF!</v>
      </c>
      <c r="L32" s="146" t="e">
        <f>#REF!</f>
        <v>#REF!</v>
      </c>
      <c r="M32" s="112">
        <f>'Rates in Detail'!AH27</f>
        <v>0</v>
      </c>
      <c r="N32" s="112">
        <f>'Rates in Detail'!AI27</f>
        <v>0</v>
      </c>
      <c r="O32" s="112">
        <f>'Rates in Detail'!AJ27</f>
        <v>0</v>
      </c>
      <c r="P32" s="711">
        <f>'Rates in Detail'!AK27</f>
        <v>0</v>
      </c>
      <c r="Q32" s="147"/>
      <c r="R32" s="287" t="e">
        <f>#REF!</f>
        <v>#REF!</v>
      </c>
      <c r="S32" s="300"/>
      <c r="T32" s="289" t="e">
        <f>#REF!</f>
        <v>#REF!</v>
      </c>
      <c r="U32" s="290" t="e">
        <f>#REF!</f>
        <v>#REF!</v>
      </c>
      <c r="V32" s="147"/>
      <c r="W32" s="302" t="e">
        <f t="shared" ref="W32:W33" si="46">(H32*R32)</f>
        <v>#REF!</v>
      </c>
      <c r="X32" s="298" t="e">
        <f t="shared" ref="X32:X33" si="47">(K32*T32*12)</f>
        <v>#REF!</v>
      </c>
      <c r="Y32" s="298">
        <f>(S32*(M32+O32))*12</f>
        <v>0</v>
      </c>
      <c r="Z32" s="303"/>
      <c r="AA32" s="298"/>
      <c r="AB32" s="302" t="e">
        <f>(I32*R32)</f>
        <v>#REF!</v>
      </c>
      <c r="AC32" s="298" t="e">
        <f>(L32*T32*12)</f>
        <v>#REF!</v>
      </c>
      <c r="AD32" s="303">
        <f>(S32*(N32+P32))*12</f>
        <v>0</v>
      </c>
      <c r="AE32" s="298"/>
      <c r="AF32" s="302" t="e">
        <f>AB32-W32</f>
        <v>#REF!</v>
      </c>
      <c r="AG32" s="298" t="e">
        <f>AC32-X32</f>
        <v>#REF!</v>
      </c>
      <c r="AH32" s="303">
        <f t="shared" ref="AH32:AH33" si="48">AD32-Y32</f>
        <v>0</v>
      </c>
      <c r="AI32" s="298"/>
      <c r="AJ32" s="327"/>
      <c r="AK32" s="329" t="e">
        <f t="shared" si="16"/>
        <v>#REF!</v>
      </c>
      <c r="AL32" s="298"/>
      <c r="AM32" s="302" t="e">
        <f>(F32*R32)</f>
        <v>#REF!</v>
      </c>
      <c r="AN32" s="298">
        <v>0</v>
      </c>
      <c r="AO32" s="303" t="e">
        <f t="shared" ref="AO32:AO33" si="49">(AE32*(Y32+AB32))*12</f>
        <v>#REF!</v>
      </c>
      <c r="AP32" s="298"/>
      <c r="AQ32" s="299"/>
      <c r="AR32" s="299"/>
      <c r="AS32" s="298"/>
    </row>
    <row r="33" spans="1:45" x14ac:dyDescent="0.2">
      <c r="A33" s="76">
        <f t="shared" si="2"/>
        <v>26</v>
      </c>
      <c r="B33" s="670"/>
      <c r="C33" s="671" t="s">
        <v>5</v>
      </c>
      <c r="D33" s="147"/>
      <c r="E33" s="112">
        <f>ROUND('Rates in Detail'!L28,5)</f>
        <v>2.257E-2</v>
      </c>
      <c r="F33" s="112">
        <f>'Allocation = % of Margin'!AD29</f>
        <v>-3.8300000000000001E-3</v>
      </c>
      <c r="G33" s="147"/>
      <c r="H33" s="362">
        <f>ROUND('Rates in Detail'!N28,5)</f>
        <v>0.30653000000000002</v>
      </c>
      <c r="I33" s="711">
        <f t="shared" si="13"/>
        <v>0.3291</v>
      </c>
      <c r="J33" s="147"/>
      <c r="K33" s="145"/>
      <c r="L33" s="146"/>
      <c r="M33" s="147"/>
      <c r="N33" s="147"/>
      <c r="O33" s="147"/>
      <c r="P33" s="148"/>
      <c r="Q33" s="147"/>
      <c r="R33" s="287" t="e">
        <f>#REF!</f>
        <v>#REF!</v>
      </c>
      <c r="S33" s="300"/>
      <c r="T33" s="289"/>
      <c r="U33" s="290"/>
      <c r="V33" s="147"/>
      <c r="W33" s="302" t="e">
        <f t="shared" si="46"/>
        <v>#REF!</v>
      </c>
      <c r="X33" s="298">
        <f t="shared" si="47"/>
        <v>0</v>
      </c>
      <c r="Y33" s="298">
        <f>(S33*(M33+O33))*12</f>
        <v>0</v>
      </c>
      <c r="Z33" s="303"/>
      <c r="AA33" s="298"/>
      <c r="AB33" s="302" t="e">
        <f>(I33*R33)</f>
        <v>#REF!</v>
      </c>
      <c r="AC33" s="298">
        <f>(L33*T33*12)</f>
        <v>0</v>
      </c>
      <c r="AD33" s="303">
        <f>(S33*(N33+P33))*12</f>
        <v>0</v>
      </c>
      <c r="AE33" s="298"/>
      <c r="AF33" s="302" t="e">
        <f>AB33-W33</f>
        <v>#REF!</v>
      </c>
      <c r="AG33" s="298">
        <f>AC33-X33</f>
        <v>0</v>
      </c>
      <c r="AH33" s="303">
        <f t="shared" si="48"/>
        <v>0</v>
      </c>
      <c r="AI33" s="298"/>
      <c r="AJ33" s="327"/>
      <c r="AK33" s="329" t="e">
        <f t="shared" si="16"/>
        <v>#REF!</v>
      </c>
      <c r="AL33" s="298"/>
      <c r="AM33" s="302" t="e">
        <f>(F33*R33)</f>
        <v>#REF!</v>
      </c>
      <c r="AN33" s="298">
        <v>0</v>
      </c>
      <c r="AO33" s="303" t="e">
        <f t="shared" si="49"/>
        <v>#REF!</v>
      </c>
      <c r="AP33" s="298"/>
      <c r="AQ33" s="299"/>
      <c r="AR33" s="299"/>
      <c r="AS33" s="298"/>
    </row>
    <row r="34" spans="1:45" x14ac:dyDescent="0.2">
      <c r="A34" s="76">
        <f t="shared" si="2"/>
        <v>27</v>
      </c>
      <c r="B34" s="668"/>
      <c r="C34" s="686" t="s">
        <v>62</v>
      </c>
      <c r="D34" s="143"/>
      <c r="E34" s="113"/>
      <c r="F34" s="113"/>
      <c r="G34" s="143"/>
      <c r="H34" s="357"/>
      <c r="I34" s="710"/>
      <c r="J34" s="147"/>
      <c r="K34" s="145"/>
      <c r="L34" s="146"/>
      <c r="M34" s="147"/>
      <c r="N34" s="147"/>
      <c r="O34" s="147"/>
      <c r="P34" s="148"/>
      <c r="Q34" s="147"/>
      <c r="R34" s="287"/>
      <c r="S34" s="300"/>
      <c r="T34" s="289"/>
      <c r="U34" s="290"/>
      <c r="V34" s="147"/>
      <c r="W34" s="304" t="e">
        <f>SUM(W32:W33)</f>
        <v>#REF!</v>
      </c>
      <c r="X34" s="305" t="e">
        <f t="shared" ref="X34:Y34" si="50">SUM(X32:X33)</f>
        <v>#REF!</v>
      </c>
      <c r="Y34" s="305">
        <f t="shared" si="50"/>
        <v>0</v>
      </c>
      <c r="Z34" s="306" t="e">
        <f>'Rate Spread SETTLEMENT'!O$15-SUM(W34:Y34)</f>
        <v>#REF!</v>
      </c>
      <c r="AA34" s="298"/>
      <c r="AB34" s="304" t="e">
        <f>SUM(AB32:AB33)</f>
        <v>#REF!</v>
      </c>
      <c r="AC34" s="305" t="e">
        <f t="shared" ref="AC34:AD34" si="51">SUM(AC32:AC33)</f>
        <v>#REF!</v>
      </c>
      <c r="AD34" s="306">
        <f t="shared" si="51"/>
        <v>0</v>
      </c>
      <c r="AE34" s="298"/>
      <c r="AF34" s="304" t="e">
        <f>SUM(AF32:AF33)</f>
        <v>#REF!</v>
      </c>
      <c r="AG34" s="305" t="e">
        <f t="shared" ref="AG34:AH34" si="52">SUM(AG32:AG33)</f>
        <v>#REF!</v>
      </c>
      <c r="AH34" s="306">
        <f t="shared" si="52"/>
        <v>0</v>
      </c>
      <c r="AI34" s="298"/>
      <c r="AJ34" s="327" t="e">
        <f>SUM(AF34:AH34)/SUM(W34:Y34)</f>
        <v>#REF!</v>
      </c>
      <c r="AK34" s="328" t="e">
        <f t="shared" si="16"/>
        <v>#REF!</v>
      </c>
      <c r="AL34" s="298"/>
      <c r="AM34" s="304" t="e">
        <f>SUM(AM32:AM33)</f>
        <v>#REF!</v>
      </c>
      <c r="AN34" s="305">
        <f t="shared" ref="AN34:AO34" si="53">SUM(AN32:AN33)</f>
        <v>0</v>
      </c>
      <c r="AO34" s="306" t="e">
        <f t="shared" si="53"/>
        <v>#REF!</v>
      </c>
      <c r="AP34" s="298"/>
      <c r="AQ34" s="299"/>
      <c r="AR34" s="299"/>
      <c r="AS34" s="298"/>
    </row>
    <row r="35" spans="1:45" x14ac:dyDescent="0.2">
      <c r="A35" s="76">
        <f t="shared" si="2"/>
        <v>28</v>
      </c>
      <c r="B35" s="670" t="e">
        <f>#REF!</f>
        <v>#REF!</v>
      </c>
      <c r="C35" s="671" t="s">
        <v>4</v>
      </c>
      <c r="D35" s="147"/>
      <c r="E35" s="112">
        <f>ROUND('Rates in Detail'!L29,5)</f>
        <v>1.5949999999999999E-2</v>
      </c>
      <c r="F35" s="112">
        <f>'Allocation = % of Margin'!AD30</f>
        <v>-3.2599999999999999E-3</v>
      </c>
      <c r="G35" s="147"/>
      <c r="H35" s="362">
        <f>ROUND('Rates in Detail'!N29,5)</f>
        <v>0.34791</v>
      </c>
      <c r="I35" s="711">
        <f t="shared" si="13"/>
        <v>0.36386000000000002</v>
      </c>
      <c r="J35" s="147"/>
      <c r="K35" s="145" t="e">
        <f>#REF!</f>
        <v>#REF!</v>
      </c>
      <c r="L35" s="146" t="e">
        <f>#REF!</f>
        <v>#REF!</v>
      </c>
      <c r="M35" s="112">
        <f>'Rates in Detail'!AH29</f>
        <v>0</v>
      </c>
      <c r="N35" s="112">
        <f>'Rates in Detail'!AI29</f>
        <v>0</v>
      </c>
      <c r="O35" s="112">
        <f>'Rates in Detail'!AJ29</f>
        <v>0</v>
      </c>
      <c r="P35" s="711">
        <f>'Rates in Detail'!AK29</f>
        <v>0</v>
      </c>
      <c r="Q35" s="147"/>
      <c r="R35" s="287" t="e">
        <f>#REF!</f>
        <v>#REF!</v>
      </c>
      <c r="S35" s="300"/>
      <c r="T35" s="289" t="e">
        <f>#REF!</f>
        <v>#REF!</v>
      </c>
      <c r="U35" s="290" t="e">
        <f>#REF!</f>
        <v>#REF!</v>
      </c>
      <c r="V35" s="147"/>
      <c r="W35" s="302" t="e">
        <f t="shared" ref="W35:W36" si="54">(H35*R35)</f>
        <v>#REF!</v>
      </c>
      <c r="X35" s="298" t="e">
        <f t="shared" ref="X35:X36" si="55">(K35*T35*12)</f>
        <v>#REF!</v>
      </c>
      <c r="Y35" s="298">
        <f>(S35*(M35+O35))*12</f>
        <v>0</v>
      </c>
      <c r="Z35" s="303"/>
      <c r="AA35" s="298"/>
      <c r="AB35" s="302" t="e">
        <f>(I35*R35)</f>
        <v>#REF!</v>
      </c>
      <c r="AC35" s="298" t="e">
        <f>(L35*T35*12)</f>
        <v>#REF!</v>
      </c>
      <c r="AD35" s="303">
        <f>(S35*(N35+P35))*12</f>
        <v>0</v>
      </c>
      <c r="AE35" s="298"/>
      <c r="AF35" s="302" t="e">
        <f>AB35-W35</f>
        <v>#REF!</v>
      </c>
      <c r="AG35" s="298" t="e">
        <f>AC35-X35</f>
        <v>#REF!</v>
      </c>
      <c r="AH35" s="303">
        <f t="shared" ref="AH35:AH36" si="56">AD35-Y35</f>
        <v>0</v>
      </c>
      <c r="AI35" s="298"/>
      <c r="AJ35" s="327"/>
      <c r="AK35" s="329" t="e">
        <f t="shared" si="16"/>
        <v>#REF!</v>
      </c>
      <c r="AL35" s="298"/>
      <c r="AM35" s="302" t="e">
        <f>(F35*R35)</f>
        <v>#REF!</v>
      </c>
      <c r="AN35" s="298">
        <v>0</v>
      </c>
      <c r="AO35" s="303" t="e">
        <f t="shared" ref="AO35:AO36" si="57">(AE35*(Y35+AB35))*12</f>
        <v>#REF!</v>
      </c>
      <c r="AP35" s="298"/>
      <c r="AQ35" s="299"/>
      <c r="AR35" s="299"/>
      <c r="AS35" s="298"/>
    </row>
    <row r="36" spans="1:45" x14ac:dyDescent="0.2">
      <c r="A36" s="76">
        <f t="shared" si="2"/>
        <v>29</v>
      </c>
      <c r="B36" s="670"/>
      <c r="C36" s="671" t="s">
        <v>5</v>
      </c>
      <c r="D36" s="147"/>
      <c r="E36" s="112">
        <f>ROUND('Rates in Detail'!L30,5)</f>
        <v>1.405E-2</v>
      </c>
      <c r="F36" s="112">
        <f>'Allocation = % of Margin'!AD31</f>
        <v>-2.8700000000000002E-3</v>
      </c>
      <c r="G36" s="147"/>
      <c r="H36" s="362">
        <f>ROUND('Rates in Detail'!N30,5)</f>
        <v>0.30653000000000002</v>
      </c>
      <c r="I36" s="711">
        <f t="shared" si="13"/>
        <v>0.32058000000000003</v>
      </c>
      <c r="J36" s="147"/>
      <c r="K36" s="262"/>
      <c r="L36" s="45"/>
      <c r="M36" s="147"/>
      <c r="N36" s="147"/>
      <c r="O36" s="147"/>
      <c r="P36" s="148"/>
      <c r="Q36" s="147"/>
      <c r="R36" s="287" t="e">
        <f>#REF!</f>
        <v>#REF!</v>
      </c>
      <c r="S36" s="300"/>
      <c r="T36" s="289"/>
      <c r="U36" s="290"/>
      <c r="V36" s="147"/>
      <c r="W36" s="302" t="e">
        <f t="shared" si="54"/>
        <v>#REF!</v>
      </c>
      <c r="X36" s="298">
        <f t="shared" si="55"/>
        <v>0</v>
      </c>
      <c r="Y36" s="298">
        <f>(S36*(M36+O36))*12</f>
        <v>0</v>
      </c>
      <c r="Z36" s="303"/>
      <c r="AA36" s="298"/>
      <c r="AB36" s="302" t="e">
        <f>(I36*R36)</f>
        <v>#REF!</v>
      </c>
      <c r="AC36" s="298">
        <f>(L36*T36*12)</f>
        <v>0</v>
      </c>
      <c r="AD36" s="303">
        <f>(S36*(N36+P36))*12</f>
        <v>0</v>
      </c>
      <c r="AE36" s="298"/>
      <c r="AF36" s="302" t="e">
        <f>AB36-W36</f>
        <v>#REF!</v>
      </c>
      <c r="AG36" s="298">
        <f>AC36-X36</f>
        <v>0</v>
      </c>
      <c r="AH36" s="303">
        <f t="shared" si="56"/>
        <v>0</v>
      </c>
      <c r="AI36" s="298"/>
      <c r="AJ36" s="327"/>
      <c r="AK36" s="329" t="e">
        <f t="shared" si="16"/>
        <v>#REF!</v>
      </c>
      <c r="AL36" s="298"/>
      <c r="AM36" s="302" t="e">
        <f>(F36*R36)</f>
        <v>#REF!</v>
      </c>
      <c r="AN36" s="298">
        <v>0</v>
      </c>
      <c r="AO36" s="303" t="e">
        <f t="shared" si="57"/>
        <v>#REF!</v>
      </c>
      <c r="AP36" s="298"/>
      <c r="AQ36" s="299"/>
      <c r="AR36" s="299"/>
      <c r="AS36" s="298"/>
    </row>
    <row r="37" spans="1:45" x14ac:dyDescent="0.2">
      <c r="A37" s="76">
        <f t="shared" si="2"/>
        <v>30</v>
      </c>
      <c r="B37" s="668"/>
      <c r="C37" s="686" t="s">
        <v>62</v>
      </c>
      <c r="D37" s="143"/>
      <c r="E37" s="113"/>
      <c r="F37" s="113"/>
      <c r="G37" s="143"/>
      <c r="H37" s="357"/>
      <c r="I37" s="710"/>
      <c r="J37" s="147"/>
      <c r="K37" s="262"/>
      <c r="L37" s="45"/>
      <c r="M37" s="147"/>
      <c r="N37" s="147"/>
      <c r="O37" s="147"/>
      <c r="P37" s="148"/>
      <c r="Q37" s="147"/>
      <c r="R37" s="287"/>
      <c r="S37" s="300"/>
      <c r="T37" s="289"/>
      <c r="U37" s="290"/>
      <c r="V37" s="147"/>
      <c r="W37" s="304" t="e">
        <f>SUM(W35:W36)</f>
        <v>#REF!</v>
      </c>
      <c r="X37" s="305" t="e">
        <f t="shared" ref="X37:Y37" si="58">SUM(X35:X36)</f>
        <v>#REF!</v>
      </c>
      <c r="Y37" s="305">
        <f t="shared" si="58"/>
        <v>0</v>
      </c>
      <c r="Z37" s="306" t="e">
        <f>'Rate Spread SETTLEMENT'!P$15-SUM(W37:Y37)</f>
        <v>#REF!</v>
      </c>
      <c r="AA37" s="298"/>
      <c r="AB37" s="304" t="e">
        <f>SUM(AB35:AB36)</f>
        <v>#REF!</v>
      </c>
      <c r="AC37" s="305" t="e">
        <f t="shared" ref="AC37:AD37" si="59">SUM(AC35:AC36)</f>
        <v>#REF!</v>
      </c>
      <c r="AD37" s="306">
        <f t="shared" si="59"/>
        <v>0</v>
      </c>
      <c r="AE37" s="298"/>
      <c r="AF37" s="304" t="e">
        <f>SUM(AF35:AF36)</f>
        <v>#REF!</v>
      </c>
      <c r="AG37" s="305" t="e">
        <f t="shared" ref="AG37:AH37" si="60">SUM(AG35:AG36)</f>
        <v>#REF!</v>
      </c>
      <c r="AH37" s="306">
        <f t="shared" si="60"/>
        <v>0</v>
      </c>
      <c r="AI37" s="298"/>
      <c r="AJ37" s="327" t="e">
        <f>SUM(AF37:AH37)/SUM(W37:Y37)</f>
        <v>#REF!</v>
      </c>
      <c r="AK37" s="328" t="e">
        <f t="shared" si="16"/>
        <v>#REF!</v>
      </c>
      <c r="AL37" s="298"/>
      <c r="AM37" s="304" t="e">
        <f>SUM(AM35:AM36)</f>
        <v>#REF!</v>
      </c>
      <c r="AN37" s="305">
        <f t="shared" ref="AN37:AO37" si="61">SUM(AN35:AN36)</f>
        <v>0</v>
      </c>
      <c r="AO37" s="306" t="e">
        <f t="shared" si="61"/>
        <v>#REF!</v>
      </c>
      <c r="AP37" s="298"/>
      <c r="AQ37" s="299"/>
      <c r="AR37" s="299"/>
      <c r="AS37" s="298"/>
    </row>
    <row r="38" spans="1:45" x14ac:dyDescent="0.2">
      <c r="A38" s="76">
        <f t="shared" si="2"/>
        <v>31</v>
      </c>
      <c r="B38" s="670" t="e">
        <f>#REF!</f>
        <v>#REF!</v>
      </c>
      <c r="C38" s="671" t="s">
        <v>4</v>
      </c>
      <c r="D38" s="147"/>
      <c r="E38" s="112">
        <f>ROUND('Rates in Detail'!L31,5)</f>
        <v>3.7769999999999998E-2</v>
      </c>
      <c r="F38" s="112">
        <f>'Allocation = % of Margin'!AD32</f>
        <v>-3.0899999999999999E-3</v>
      </c>
      <c r="G38" s="147"/>
      <c r="H38" s="362">
        <f>ROUND('Rates in Detail'!N31,5)</f>
        <v>0.15246000000000001</v>
      </c>
      <c r="I38" s="711">
        <f t="shared" si="13"/>
        <v>0.19023000000000001</v>
      </c>
      <c r="J38" s="147"/>
      <c r="K38" s="145" t="e">
        <f>#REF!</f>
        <v>#REF!</v>
      </c>
      <c r="L38" s="146" t="e">
        <f>#REF!</f>
        <v>#REF!</v>
      </c>
      <c r="M38" s="112">
        <f>'Rates in Detail'!AH31</f>
        <v>0.15748000000000001</v>
      </c>
      <c r="N38" s="112">
        <f>'Rates in Detail'!AI31</f>
        <v>0.15748000000000001</v>
      </c>
      <c r="O38" s="112">
        <f>'Rates in Detail'!AJ31</f>
        <v>0.20415</v>
      </c>
      <c r="P38" s="711">
        <f>'Rates in Detail'!AK31</f>
        <v>0.20415</v>
      </c>
      <c r="Q38" s="147"/>
      <c r="R38" s="287" t="e">
        <f>#REF!</f>
        <v>#REF!</v>
      </c>
      <c r="S38" s="300">
        <v>6761</v>
      </c>
      <c r="T38" s="289" t="e">
        <f>#REF!</f>
        <v>#REF!</v>
      </c>
      <c r="U38" s="290" t="e">
        <f>#REF!</f>
        <v>#REF!</v>
      </c>
      <c r="V38" s="147"/>
      <c r="W38" s="302" t="e">
        <f t="shared" ref="W38:W43" si="62">(H38*R38)</f>
        <v>#REF!</v>
      </c>
      <c r="X38" s="298" t="e">
        <f t="shared" ref="X38:X43" si="63">(K38*T38*12)</f>
        <v>#REF!</v>
      </c>
      <c r="Y38" s="298">
        <f t="shared" ref="Y38:Y43" si="64">(S38*(M38+O38))*12</f>
        <v>29339.765160000003</v>
      </c>
      <c r="Z38" s="303"/>
      <c r="AA38" s="298"/>
      <c r="AB38" s="302" t="e">
        <f t="shared" ref="AB38:AB43" si="65">(I38*R38)</f>
        <v>#REF!</v>
      </c>
      <c r="AC38" s="298" t="e">
        <f t="shared" ref="AC38:AC43" si="66">(L38*T38*12)</f>
        <v>#REF!</v>
      </c>
      <c r="AD38" s="303">
        <f t="shared" ref="AD38:AD43" si="67">(S38*(N38+P38))*12</f>
        <v>29339.765160000003</v>
      </c>
      <c r="AE38" s="298"/>
      <c r="AF38" s="302" t="e">
        <f t="shared" ref="AF38:AG43" si="68">AB38-W38</f>
        <v>#REF!</v>
      </c>
      <c r="AG38" s="298" t="e">
        <f t="shared" si="68"/>
        <v>#REF!</v>
      </c>
      <c r="AH38" s="303">
        <f t="shared" ref="AH38:AH43" si="69">AD38-Y38</f>
        <v>0</v>
      </c>
      <c r="AI38" s="298"/>
      <c r="AJ38" s="327"/>
      <c r="AK38" s="329" t="e">
        <f t="shared" si="16"/>
        <v>#REF!</v>
      </c>
      <c r="AL38" s="298"/>
      <c r="AM38" s="302" t="e">
        <f t="shared" ref="AM38:AM43" si="70">(F38*R38)</f>
        <v>#REF!</v>
      </c>
      <c r="AN38" s="298">
        <v>0</v>
      </c>
      <c r="AO38" s="303" t="e">
        <f t="shared" ref="AO38:AO43" si="71">(AE38*(Y38+AB38))*12</f>
        <v>#REF!</v>
      </c>
      <c r="AP38" s="298"/>
      <c r="AQ38" s="299"/>
      <c r="AR38" s="299"/>
      <c r="AS38" s="298"/>
    </row>
    <row r="39" spans="1:45" x14ac:dyDescent="0.2">
      <c r="A39" s="76">
        <f t="shared" si="2"/>
        <v>32</v>
      </c>
      <c r="B39" s="670"/>
      <c r="C39" s="671" t="s">
        <v>5</v>
      </c>
      <c r="D39" s="147"/>
      <c r="E39" s="112">
        <f>ROUND('Rates in Detail'!L32,5)</f>
        <v>3.381E-2</v>
      </c>
      <c r="F39" s="112">
        <f>'Allocation = % of Margin'!AD33</f>
        <v>-2.7699999999999999E-3</v>
      </c>
      <c r="G39" s="147"/>
      <c r="H39" s="362">
        <f>ROUND('Rates in Detail'!N32,5)</f>
        <v>0.13647000000000001</v>
      </c>
      <c r="I39" s="711">
        <f t="shared" si="13"/>
        <v>0.17028000000000001</v>
      </c>
      <c r="J39" s="147"/>
      <c r="K39" s="145"/>
      <c r="L39" s="146"/>
      <c r="M39" s="112"/>
      <c r="N39" s="112"/>
      <c r="O39" s="112"/>
      <c r="P39" s="711"/>
      <c r="Q39" s="147"/>
      <c r="R39" s="287" t="e">
        <f>#REF!</f>
        <v>#REF!</v>
      </c>
      <c r="S39" s="300"/>
      <c r="T39" s="289"/>
      <c r="U39" s="290"/>
      <c r="V39" s="147"/>
      <c r="W39" s="302" t="e">
        <f t="shared" si="62"/>
        <v>#REF!</v>
      </c>
      <c r="X39" s="298">
        <f t="shared" si="63"/>
        <v>0</v>
      </c>
      <c r="Y39" s="298">
        <f t="shared" si="64"/>
        <v>0</v>
      </c>
      <c r="Z39" s="303"/>
      <c r="AA39" s="298"/>
      <c r="AB39" s="302" t="e">
        <f t="shared" si="65"/>
        <v>#REF!</v>
      </c>
      <c r="AC39" s="298">
        <f t="shared" si="66"/>
        <v>0</v>
      </c>
      <c r="AD39" s="303">
        <f t="shared" si="67"/>
        <v>0</v>
      </c>
      <c r="AE39" s="298"/>
      <c r="AF39" s="302" t="e">
        <f t="shared" si="68"/>
        <v>#REF!</v>
      </c>
      <c r="AG39" s="298">
        <f t="shared" si="68"/>
        <v>0</v>
      </c>
      <c r="AH39" s="303">
        <f t="shared" si="69"/>
        <v>0</v>
      </c>
      <c r="AI39" s="298"/>
      <c r="AJ39" s="327"/>
      <c r="AK39" s="329" t="e">
        <f t="shared" si="16"/>
        <v>#REF!</v>
      </c>
      <c r="AL39" s="298"/>
      <c r="AM39" s="302" t="e">
        <f t="shared" si="70"/>
        <v>#REF!</v>
      </c>
      <c r="AN39" s="298">
        <v>0</v>
      </c>
      <c r="AO39" s="303" t="e">
        <f t="shared" si="71"/>
        <v>#REF!</v>
      </c>
      <c r="AP39" s="298"/>
      <c r="AQ39" s="299"/>
      <c r="AR39" s="299"/>
      <c r="AS39" s="298"/>
    </row>
    <row r="40" spans="1:45" x14ac:dyDescent="0.2">
      <c r="A40" s="76">
        <f t="shared" si="2"/>
        <v>33</v>
      </c>
      <c r="B40" s="670"/>
      <c r="C40" s="671" t="s">
        <v>6</v>
      </c>
      <c r="D40" s="147"/>
      <c r="E40" s="112">
        <f>ROUND('Rates in Detail'!L33,5)</f>
        <v>2.5930000000000002E-2</v>
      </c>
      <c r="F40" s="112">
        <f>'Allocation = % of Margin'!AD34</f>
        <v>-2.1199999999999999E-3</v>
      </c>
      <c r="G40" s="147"/>
      <c r="H40" s="362">
        <f>ROUND('Rates in Detail'!N33,5)</f>
        <v>0.10467</v>
      </c>
      <c r="I40" s="711">
        <f t="shared" si="13"/>
        <v>0.13059999999999999</v>
      </c>
      <c r="J40" s="147"/>
      <c r="K40" s="687"/>
      <c r="L40" s="361"/>
      <c r="M40" s="112"/>
      <c r="N40" s="112"/>
      <c r="O40" s="112"/>
      <c r="P40" s="711"/>
      <c r="Q40" s="147"/>
      <c r="R40" s="287" t="e">
        <f>#REF!</f>
        <v>#REF!</v>
      </c>
      <c r="S40" s="300"/>
      <c r="T40" s="289"/>
      <c r="U40" s="290"/>
      <c r="V40" s="147"/>
      <c r="W40" s="302" t="e">
        <f t="shared" si="62"/>
        <v>#REF!</v>
      </c>
      <c r="X40" s="298">
        <f t="shared" si="63"/>
        <v>0</v>
      </c>
      <c r="Y40" s="298">
        <f t="shared" si="64"/>
        <v>0</v>
      </c>
      <c r="Z40" s="303"/>
      <c r="AA40" s="298"/>
      <c r="AB40" s="302" t="e">
        <f t="shared" si="65"/>
        <v>#REF!</v>
      </c>
      <c r="AC40" s="298">
        <f t="shared" si="66"/>
        <v>0</v>
      </c>
      <c r="AD40" s="303">
        <f t="shared" si="67"/>
        <v>0</v>
      </c>
      <c r="AE40" s="298"/>
      <c r="AF40" s="302" t="e">
        <f t="shared" si="68"/>
        <v>#REF!</v>
      </c>
      <c r="AG40" s="298">
        <f t="shared" si="68"/>
        <v>0</v>
      </c>
      <c r="AH40" s="303">
        <f t="shared" si="69"/>
        <v>0</v>
      </c>
      <c r="AI40" s="298"/>
      <c r="AJ40" s="327"/>
      <c r="AK40" s="329" t="e">
        <f t="shared" si="16"/>
        <v>#REF!</v>
      </c>
      <c r="AL40" s="298"/>
      <c r="AM40" s="302" t="e">
        <f t="shared" si="70"/>
        <v>#REF!</v>
      </c>
      <c r="AN40" s="298">
        <v>0</v>
      </c>
      <c r="AO40" s="303" t="e">
        <f t="shared" si="71"/>
        <v>#REF!</v>
      </c>
      <c r="AP40" s="298"/>
      <c r="AQ40" s="299"/>
      <c r="AR40" s="299"/>
      <c r="AS40" s="298"/>
    </row>
    <row r="41" spans="1:45" x14ac:dyDescent="0.2">
      <c r="A41" s="76">
        <f t="shared" si="2"/>
        <v>34</v>
      </c>
      <c r="B41" s="670"/>
      <c r="C41" s="671" t="s">
        <v>7</v>
      </c>
      <c r="D41" s="147"/>
      <c r="E41" s="112">
        <f>ROUND('Rates in Detail'!L34,5)</f>
        <v>2.0740000000000001E-2</v>
      </c>
      <c r="F41" s="112">
        <f>'Allocation = % of Margin'!AD35</f>
        <v>-1.6999999999999999E-3</v>
      </c>
      <c r="G41" s="147"/>
      <c r="H41" s="362">
        <f>ROUND('Rates in Detail'!N34,5)</f>
        <v>8.3729999999999999E-2</v>
      </c>
      <c r="I41" s="711">
        <f t="shared" si="13"/>
        <v>0.10447000000000001</v>
      </c>
      <c r="J41" s="147"/>
      <c r="K41" s="145"/>
      <c r="L41" s="146"/>
      <c r="M41" s="112"/>
      <c r="N41" s="112"/>
      <c r="O41" s="112"/>
      <c r="P41" s="711"/>
      <c r="Q41" s="147"/>
      <c r="R41" s="287" t="e">
        <f>#REF!</f>
        <v>#REF!</v>
      </c>
      <c r="S41" s="300"/>
      <c r="T41" s="289"/>
      <c r="U41" s="290"/>
      <c r="V41" s="147"/>
      <c r="W41" s="302" t="e">
        <f t="shared" si="62"/>
        <v>#REF!</v>
      </c>
      <c r="X41" s="298">
        <f t="shared" si="63"/>
        <v>0</v>
      </c>
      <c r="Y41" s="298">
        <f t="shared" si="64"/>
        <v>0</v>
      </c>
      <c r="Z41" s="303"/>
      <c r="AA41" s="298"/>
      <c r="AB41" s="302" t="e">
        <f t="shared" si="65"/>
        <v>#REF!</v>
      </c>
      <c r="AC41" s="298">
        <f t="shared" si="66"/>
        <v>0</v>
      </c>
      <c r="AD41" s="303">
        <f t="shared" si="67"/>
        <v>0</v>
      </c>
      <c r="AE41" s="298"/>
      <c r="AF41" s="302" t="e">
        <f t="shared" si="68"/>
        <v>#REF!</v>
      </c>
      <c r="AG41" s="298">
        <f t="shared" si="68"/>
        <v>0</v>
      </c>
      <c r="AH41" s="303">
        <f t="shared" si="69"/>
        <v>0</v>
      </c>
      <c r="AI41" s="298"/>
      <c r="AJ41" s="327"/>
      <c r="AK41" s="329" t="e">
        <f t="shared" si="16"/>
        <v>#REF!</v>
      </c>
      <c r="AL41" s="298"/>
      <c r="AM41" s="302" t="e">
        <f t="shared" si="70"/>
        <v>#REF!</v>
      </c>
      <c r="AN41" s="298">
        <v>0</v>
      </c>
      <c r="AO41" s="303" t="e">
        <f t="shared" si="71"/>
        <v>#REF!</v>
      </c>
      <c r="AP41" s="298"/>
      <c r="AQ41" s="299"/>
      <c r="AR41" s="299"/>
      <c r="AS41" s="298"/>
    </row>
    <row r="42" spans="1:45" x14ac:dyDescent="0.2">
      <c r="A42" s="76">
        <f t="shared" si="2"/>
        <v>35</v>
      </c>
      <c r="B42" s="670"/>
      <c r="C42" s="671" t="s">
        <v>8</v>
      </c>
      <c r="D42" s="147"/>
      <c r="E42" s="112">
        <f>ROUND('Rates in Detail'!L35,5)</f>
        <v>1.383E-2</v>
      </c>
      <c r="F42" s="112">
        <f>'Allocation = % of Margin'!AD36</f>
        <v>-1.1299999999999999E-3</v>
      </c>
      <c r="G42" s="147"/>
      <c r="H42" s="362">
        <f>ROUND('Rates in Detail'!N35,5)</f>
        <v>5.5809999999999998E-2</v>
      </c>
      <c r="I42" s="711">
        <f t="shared" si="13"/>
        <v>6.9639999999999994E-2</v>
      </c>
      <c r="J42" s="147"/>
      <c r="K42" s="145"/>
      <c r="L42" s="146"/>
      <c r="M42" s="112"/>
      <c r="N42" s="112"/>
      <c r="O42" s="112"/>
      <c r="P42" s="711"/>
      <c r="Q42" s="147"/>
      <c r="R42" s="287" t="e">
        <f>#REF!</f>
        <v>#REF!</v>
      </c>
      <c r="S42" s="300"/>
      <c r="T42" s="289"/>
      <c r="U42" s="290"/>
      <c r="V42" s="147"/>
      <c r="W42" s="302" t="e">
        <f t="shared" si="62"/>
        <v>#REF!</v>
      </c>
      <c r="X42" s="298">
        <f t="shared" si="63"/>
        <v>0</v>
      </c>
      <c r="Y42" s="298">
        <f t="shared" si="64"/>
        <v>0</v>
      </c>
      <c r="Z42" s="303"/>
      <c r="AA42" s="298"/>
      <c r="AB42" s="302" t="e">
        <f t="shared" si="65"/>
        <v>#REF!</v>
      </c>
      <c r="AC42" s="298">
        <f t="shared" si="66"/>
        <v>0</v>
      </c>
      <c r="AD42" s="303">
        <f t="shared" si="67"/>
        <v>0</v>
      </c>
      <c r="AE42" s="298"/>
      <c r="AF42" s="302" t="e">
        <f t="shared" si="68"/>
        <v>#REF!</v>
      </c>
      <c r="AG42" s="298">
        <f t="shared" si="68"/>
        <v>0</v>
      </c>
      <c r="AH42" s="303">
        <f t="shared" si="69"/>
        <v>0</v>
      </c>
      <c r="AI42" s="298"/>
      <c r="AJ42" s="327"/>
      <c r="AK42" s="329" t="e">
        <f>AK41</f>
        <v>#REF!</v>
      </c>
      <c r="AL42" s="298"/>
      <c r="AM42" s="302" t="e">
        <f t="shared" si="70"/>
        <v>#REF!</v>
      </c>
      <c r="AN42" s="298">
        <v>0</v>
      </c>
      <c r="AO42" s="303" t="e">
        <f t="shared" si="71"/>
        <v>#REF!</v>
      </c>
      <c r="AP42" s="298"/>
      <c r="AQ42" s="299"/>
      <c r="AR42" s="299"/>
      <c r="AS42" s="298"/>
    </row>
    <row r="43" spans="1:45" x14ac:dyDescent="0.2">
      <c r="A43" s="76">
        <f t="shared" si="2"/>
        <v>36</v>
      </c>
      <c r="B43" s="670"/>
      <c r="C43" s="671" t="s">
        <v>9</v>
      </c>
      <c r="D43" s="147"/>
      <c r="E43" s="112">
        <f>ROUND('Rates in Detail'!L36,5)</f>
        <v>5.1799999999999997E-3</v>
      </c>
      <c r="F43" s="112">
        <f>'Allocation = % of Margin'!AD37</f>
        <v>-4.2000000000000002E-4</v>
      </c>
      <c r="G43" s="147"/>
      <c r="H43" s="362">
        <f>ROUND('Rates in Detail'!N36,5)</f>
        <v>2.0920000000000001E-2</v>
      </c>
      <c r="I43" s="711">
        <f t="shared" si="13"/>
        <v>2.6100000000000002E-2</v>
      </c>
      <c r="J43" s="147"/>
      <c r="K43" s="687"/>
      <c r="L43" s="361"/>
      <c r="M43" s="112"/>
      <c r="N43" s="112"/>
      <c r="O43" s="112"/>
      <c r="P43" s="711"/>
      <c r="Q43" s="147"/>
      <c r="R43" s="287" t="e">
        <f>#REF!</f>
        <v>#REF!</v>
      </c>
      <c r="S43" s="300"/>
      <c r="T43" s="289"/>
      <c r="U43" s="290"/>
      <c r="V43" s="147"/>
      <c r="W43" s="302" t="e">
        <f t="shared" si="62"/>
        <v>#REF!</v>
      </c>
      <c r="X43" s="298">
        <f t="shared" si="63"/>
        <v>0</v>
      </c>
      <c r="Y43" s="298">
        <f t="shared" si="64"/>
        <v>0</v>
      </c>
      <c r="Z43" s="303"/>
      <c r="AA43" s="298"/>
      <c r="AB43" s="302" t="e">
        <f t="shared" si="65"/>
        <v>#REF!</v>
      </c>
      <c r="AC43" s="298">
        <f t="shared" si="66"/>
        <v>0</v>
      </c>
      <c r="AD43" s="303">
        <f t="shared" si="67"/>
        <v>0</v>
      </c>
      <c r="AE43" s="298"/>
      <c r="AF43" s="302" t="e">
        <f t="shared" si="68"/>
        <v>#REF!</v>
      </c>
      <c r="AG43" s="298">
        <f t="shared" si="68"/>
        <v>0</v>
      </c>
      <c r="AH43" s="303">
        <f t="shared" si="69"/>
        <v>0</v>
      </c>
      <c r="AI43" s="298"/>
      <c r="AJ43" s="327"/>
      <c r="AK43" s="329" t="e">
        <f>AK42</f>
        <v>#REF!</v>
      </c>
      <c r="AL43" s="298"/>
      <c r="AM43" s="302" t="e">
        <f t="shared" si="70"/>
        <v>#REF!</v>
      </c>
      <c r="AN43" s="298">
        <v>0</v>
      </c>
      <c r="AO43" s="303" t="e">
        <f t="shared" si="71"/>
        <v>#REF!</v>
      </c>
      <c r="AP43" s="298"/>
      <c r="AQ43" s="299"/>
      <c r="AR43" s="299"/>
      <c r="AS43" s="298"/>
    </row>
    <row r="44" spans="1:45" x14ac:dyDescent="0.2">
      <c r="A44" s="76">
        <f t="shared" si="2"/>
        <v>37</v>
      </c>
      <c r="B44" s="668"/>
      <c r="C44" s="686" t="s">
        <v>62</v>
      </c>
      <c r="D44" s="143"/>
      <c r="E44" s="113"/>
      <c r="F44" s="113"/>
      <c r="G44" s="143"/>
      <c r="H44" s="357"/>
      <c r="I44" s="710"/>
      <c r="J44" s="147"/>
      <c r="K44" s="687"/>
      <c r="L44" s="361"/>
      <c r="M44" s="112"/>
      <c r="N44" s="112"/>
      <c r="O44" s="112"/>
      <c r="P44" s="711"/>
      <c r="Q44" s="147"/>
      <c r="R44" s="287"/>
      <c r="S44" s="300"/>
      <c r="T44" s="289"/>
      <c r="U44" s="290"/>
      <c r="V44" s="147"/>
      <c r="W44" s="304" t="e">
        <f>SUM(W38:W43)</f>
        <v>#REF!</v>
      </c>
      <c r="X44" s="305" t="e">
        <f>SUM(X38:X43)</f>
        <v>#REF!</v>
      </c>
      <c r="Y44" s="305">
        <f>SUM(Y38:Y43)</f>
        <v>29339.765160000003</v>
      </c>
      <c r="Z44" s="306" t="e">
        <f>'Rate Spread SETTLEMENT'!Q$15-SUM(W44:Y44)</f>
        <v>#REF!</v>
      </c>
      <c r="AA44" s="298"/>
      <c r="AB44" s="304" t="e">
        <f>SUM(AB38:AB43)</f>
        <v>#REF!</v>
      </c>
      <c r="AC44" s="305" t="e">
        <f>SUM(AC38:AC43)</f>
        <v>#REF!</v>
      </c>
      <c r="AD44" s="306">
        <f>SUM(AD38:AD43)</f>
        <v>29339.765160000003</v>
      </c>
      <c r="AE44" s="298"/>
      <c r="AF44" s="304" t="e">
        <f>SUM(AF38:AF43)</f>
        <v>#REF!</v>
      </c>
      <c r="AG44" s="305" t="e">
        <f>SUM(AG38:AG43)</f>
        <v>#REF!</v>
      </c>
      <c r="AH44" s="306">
        <f>SUM(AH38:AH43)</f>
        <v>0</v>
      </c>
      <c r="AI44" s="298"/>
      <c r="AJ44" s="327" t="e">
        <f>SUM(AF44:AH44)/SUM(W44:Y44)</f>
        <v>#REF!</v>
      </c>
      <c r="AK44" s="328" t="e">
        <f>SUM(AF44)/SUM(W44)</f>
        <v>#REF!</v>
      </c>
      <c r="AL44" s="298"/>
      <c r="AM44" s="304" t="e">
        <f>SUM(AM38:AM43)</f>
        <v>#REF!</v>
      </c>
      <c r="AN44" s="305">
        <f>SUM(AN38:AN43)</f>
        <v>0</v>
      </c>
      <c r="AO44" s="306" t="e">
        <f>SUM(AO38:AO43)</f>
        <v>#REF!</v>
      </c>
      <c r="AP44" s="298"/>
      <c r="AQ44" s="299"/>
      <c r="AR44" s="299"/>
      <c r="AS44" s="298"/>
    </row>
    <row r="45" spans="1:45" x14ac:dyDescent="0.2">
      <c r="A45" s="76">
        <f t="shared" si="2"/>
        <v>38</v>
      </c>
      <c r="B45" s="670" t="e">
        <f>#REF!</f>
        <v>#REF!</v>
      </c>
      <c r="C45" s="671" t="s">
        <v>4</v>
      </c>
      <c r="D45" s="147"/>
      <c r="E45" s="112">
        <f>ROUND('Rates in Detail'!L37,5)</f>
        <v>1.6219999999999998E-2</v>
      </c>
      <c r="F45" s="112">
        <f>'Allocation = % of Margin'!AD38</f>
        <v>-2.7499999999999998E-3</v>
      </c>
      <c r="G45" s="147"/>
      <c r="H45" s="362">
        <f>ROUND('Rates in Detail'!N37,5)</f>
        <v>0.14721000000000001</v>
      </c>
      <c r="I45" s="711">
        <f t="shared" si="13"/>
        <v>0.16343000000000002</v>
      </c>
      <c r="J45" s="147"/>
      <c r="K45" s="145" t="e">
        <f>#REF!</f>
        <v>#REF!</v>
      </c>
      <c r="L45" s="146" t="e">
        <f>#REF!</f>
        <v>#REF!</v>
      </c>
      <c r="M45" s="112">
        <f>'Rates in Detail'!AH37</f>
        <v>0.15748000000000001</v>
      </c>
      <c r="N45" s="112">
        <f>'Rates in Detail'!AI37</f>
        <v>0.15748000000000001</v>
      </c>
      <c r="O45" s="112">
        <f>'Rates in Detail'!AJ37</f>
        <v>0.20415</v>
      </c>
      <c r="P45" s="711">
        <f>'Rates in Detail'!AK37</f>
        <v>0.20415</v>
      </c>
      <c r="Q45" s="147"/>
      <c r="R45" s="287" t="e">
        <f>#REF!</f>
        <v>#REF!</v>
      </c>
      <c r="S45" s="300">
        <v>9556</v>
      </c>
      <c r="T45" s="289" t="e">
        <f>#REF!</f>
        <v>#REF!</v>
      </c>
      <c r="U45" s="290" t="e">
        <f>#REF!</f>
        <v>#REF!</v>
      </c>
      <c r="V45" s="147"/>
      <c r="W45" s="302" t="e">
        <f t="shared" ref="W45:W50" si="72">(H45*R45)</f>
        <v>#REF!</v>
      </c>
      <c r="X45" s="298" t="e">
        <f t="shared" ref="X45:X50" si="73">(K45*T45*12)</f>
        <v>#REF!</v>
      </c>
      <c r="Y45" s="298">
        <f t="shared" ref="Y45:Y50" si="74">(S45*(M45+O45))*12</f>
        <v>41468.835359999997</v>
      </c>
      <c r="Z45" s="303"/>
      <c r="AA45" s="298"/>
      <c r="AB45" s="302" t="e">
        <f t="shared" ref="AB45:AB50" si="75">(I45*R45)</f>
        <v>#REF!</v>
      </c>
      <c r="AC45" s="298" t="e">
        <f t="shared" ref="AC45:AC50" si="76">(L45*T45*12)</f>
        <v>#REF!</v>
      </c>
      <c r="AD45" s="303">
        <f t="shared" ref="AD45:AD50" si="77">(S45*(N45+P45))*12</f>
        <v>41468.835359999997</v>
      </c>
      <c r="AE45" s="298"/>
      <c r="AF45" s="302" t="e">
        <f t="shared" ref="AF45:AG50" si="78">AB45-W45</f>
        <v>#REF!</v>
      </c>
      <c r="AG45" s="298" t="e">
        <f t="shared" si="78"/>
        <v>#REF!</v>
      </c>
      <c r="AH45" s="303">
        <f t="shared" ref="AH45:AH50" si="79">AD45-Y45</f>
        <v>0</v>
      </c>
      <c r="AI45" s="298"/>
      <c r="AJ45" s="327"/>
      <c r="AK45" s="329" t="e">
        <f>SUM(AF45)/SUM(W45)</f>
        <v>#REF!</v>
      </c>
      <c r="AL45" s="298"/>
      <c r="AM45" s="302" t="e">
        <f t="shared" ref="AM45:AM50" si="80">(F45*R45)</f>
        <v>#REF!</v>
      </c>
      <c r="AN45" s="298">
        <v>0</v>
      </c>
      <c r="AO45" s="303" t="e">
        <f t="shared" ref="AO45:AO50" si="81">(AE45*(Y45+AB45))*12</f>
        <v>#REF!</v>
      </c>
      <c r="AP45" s="298"/>
      <c r="AQ45" s="299"/>
      <c r="AR45" s="299"/>
      <c r="AS45" s="298"/>
    </row>
    <row r="46" spans="1:45" x14ac:dyDescent="0.2">
      <c r="A46" s="76">
        <f t="shared" si="2"/>
        <v>39</v>
      </c>
      <c r="B46" s="670"/>
      <c r="C46" s="671" t="s">
        <v>5</v>
      </c>
      <c r="D46" s="147"/>
      <c r="E46" s="112">
        <f>ROUND('Rates in Detail'!L38,5)</f>
        <v>1.452E-2</v>
      </c>
      <c r="F46" s="112">
        <f>'Allocation = % of Margin'!AD39</f>
        <v>-2.4599999999999999E-3</v>
      </c>
      <c r="G46" s="147"/>
      <c r="H46" s="362">
        <f>ROUND('Rates in Detail'!N38,5)</f>
        <v>0.13177</v>
      </c>
      <c r="I46" s="711">
        <f t="shared" si="13"/>
        <v>0.14629</v>
      </c>
      <c r="J46" s="147"/>
      <c r="K46" s="145"/>
      <c r="L46" s="146"/>
      <c r="M46" s="112"/>
      <c r="N46" s="112"/>
      <c r="O46" s="112"/>
      <c r="P46" s="711"/>
      <c r="Q46" s="147"/>
      <c r="R46" s="287" t="e">
        <f>#REF!</f>
        <v>#REF!</v>
      </c>
      <c r="S46" s="300"/>
      <c r="T46" s="289"/>
      <c r="U46" s="290"/>
      <c r="V46" s="147"/>
      <c r="W46" s="302" t="e">
        <f t="shared" si="72"/>
        <v>#REF!</v>
      </c>
      <c r="X46" s="298">
        <f t="shared" si="73"/>
        <v>0</v>
      </c>
      <c r="Y46" s="298">
        <f t="shared" si="74"/>
        <v>0</v>
      </c>
      <c r="Z46" s="303"/>
      <c r="AA46" s="298"/>
      <c r="AB46" s="302" t="e">
        <f t="shared" si="75"/>
        <v>#REF!</v>
      </c>
      <c r="AC46" s="298">
        <f t="shared" si="76"/>
        <v>0</v>
      </c>
      <c r="AD46" s="303">
        <f t="shared" si="77"/>
        <v>0</v>
      </c>
      <c r="AE46" s="298"/>
      <c r="AF46" s="302" t="e">
        <f t="shared" si="78"/>
        <v>#REF!</v>
      </c>
      <c r="AG46" s="298">
        <f t="shared" si="78"/>
        <v>0</v>
      </c>
      <c r="AH46" s="303">
        <f t="shared" si="79"/>
        <v>0</v>
      </c>
      <c r="AI46" s="298"/>
      <c r="AJ46" s="327"/>
      <c r="AK46" s="329" t="e">
        <f>SUM(AF46)/SUM(W46)</f>
        <v>#REF!</v>
      </c>
      <c r="AL46" s="298"/>
      <c r="AM46" s="302" t="e">
        <f t="shared" si="80"/>
        <v>#REF!</v>
      </c>
      <c r="AN46" s="298">
        <v>0</v>
      </c>
      <c r="AO46" s="303" t="e">
        <f t="shared" si="81"/>
        <v>#REF!</v>
      </c>
      <c r="AP46" s="298"/>
      <c r="AQ46" s="299"/>
      <c r="AR46" s="299"/>
      <c r="AS46" s="298"/>
    </row>
    <row r="47" spans="1:45" x14ac:dyDescent="0.2">
      <c r="A47" s="76">
        <f t="shared" si="2"/>
        <v>40</v>
      </c>
      <c r="B47" s="670"/>
      <c r="C47" s="671" t="s">
        <v>6</v>
      </c>
      <c r="D47" s="147"/>
      <c r="E47" s="112">
        <f>ROUND('Rates in Detail'!L39,5)</f>
        <v>1.1129999999999999E-2</v>
      </c>
      <c r="F47" s="112">
        <f>'Allocation = % of Margin'!AD40</f>
        <v>-1.89E-3</v>
      </c>
      <c r="G47" s="147"/>
      <c r="H47" s="362">
        <f>ROUND('Rates in Detail'!N39,5)</f>
        <v>0.10105</v>
      </c>
      <c r="I47" s="711">
        <f t="shared" si="13"/>
        <v>0.11218</v>
      </c>
      <c r="J47" s="147"/>
      <c r="K47" s="145"/>
      <c r="L47" s="146"/>
      <c r="M47" s="112"/>
      <c r="N47" s="112"/>
      <c r="O47" s="112"/>
      <c r="P47" s="711"/>
      <c r="Q47" s="147"/>
      <c r="R47" s="287" t="e">
        <f>#REF!</f>
        <v>#REF!</v>
      </c>
      <c r="S47" s="300"/>
      <c r="T47" s="289"/>
      <c r="U47" s="290"/>
      <c r="V47" s="147"/>
      <c r="W47" s="302" t="e">
        <f t="shared" si="72"/>
        <v>#REF!</v>
      </c>
      <c r="X47" s="298">
        <f t="shared" si="73"/>
        <v>0</v>
      </c>
      <c r="Y47" s="298">
        <f t="shared" si="74"/>
        <v>0</v>
      </c>
      <c r="Z47" s="303"/>
      <c r="AA47" s="298"/>
      <c r="AB47" s="302" t="e">
        <f t="shared" si="75"/>
        <v>#REF!</v>
      </c>
      <c r="AC47" s="298">
        <f t="shared" si="76"/>
        <v>0</v>
      </c>
      <c r="AD47" s="303">
        <f t="shared" si="77"/>
        <v>0</v>
      </c>
      <c r="AE47" s="298"/>
      <c r="AF47" s="302" t="e">
        <f t="shared" si="78"/>
        <v>#REF!</v>
      </c>
      <c r="AG47" s="298">
        <f t="shared" si="78"/>
        <v>0</v>
      </c>
      <c r="AH47" s="303">
        <f t="shared" si="79"/>
        <v>0</v>
      </c>
      <c r="AI47" s="298"/>
      <c r="AJ47" s="327"/>
      <c r="AK47" s="329" t="e">
        <f>SUM(AF47)/SUM(W47)</f>
        <v>#REF!</v>
      </c>
      <c r="AL47" s="298"/>
      <c r="AM47" s="302" t="e">
        <f t="shared" si="80"/>
        <v>#REF!</v>
      </c>
      <c r="AN47" s="298">
        <v>0</v>
      </c>
      <c r="AO47" s="303" t="e">
        <f t="shared" si="81"/>
        <v>#REF!</v>
      </c>
      <c r="AP47" s="298"/>
      <c r="AQ47" s="299"/>
      <c r="AR47" s="299"/>
      <c r="AS47" s="298"/>
    </row>
    <row r="48" spans="1:45" x14ac:dyDescent="0.2">
      <c r="A48" s="76">
        <f t="shared" si="2"/>
        <v>41</v>
      </c>
      <c r="B48" s="670"/>
      <c r="C48" s="671" t="s">
        <v>7</v>
      </c>
      <c r="D48" s="147"/>
      <c r="E48" s="112">
        <f>ROUND('Rates in Detail'!L40,5)</f>
        <v>8.9099999999999995E-3</v>
      </c>
      <c r="F48" s="112">
        <f>'Allocation = % of Margin'!AD41</f>
        <v>-1.5100000000000001E-3</v>
      </c>
      <c r="G48" s="147"/>
      <c r="H48" s="362">
        <f>ROUND('Rates in Detail'!N40,5)</f>
        <v>8.0839999999999995E-2</v>
      </c>
      <c r="I48" s="711">
        <f t="shared" si="13"/>
        <v>8.9749999999999996E-2</v>
      </c>
      <c r="J48" s="147"/>
      <c r="K48" s="145"/>
      <c r="L48" s="146"/>
      <c r="M48" s="112"/>
      <c r="N48" s="112"/>
      <c r="O48" s="112"/>
      <c r="P48" s="711"/>
      <c r="Q48" s="147"/>
      <c r="R48" s="287" t="e">
        <f>#REF!</f>
        <v>#REF!</v>
      </c>
      <c r="S48" s="300"/>
      <c r="T48" s="289"/>
      <c r="U48" s="290"/>
      <c r="V48" s="147"/>
      <c r="W48" s="302" t="e">
        <f t="shared" si="72"/>
        <v>#REF!</v>
      </c>
      <c r="X48" s="298">
        <f t="shared" si="73"/>
        <v>0</v>
      </c>
      <c r="Y48" s="298">
        <f t="shared" si="74"/>
        <v>0</v>
      </c>
      <c r="Z48" s="303"/>
      <c r="AA48" s="298"/>
      <c r="AB48" s="302" t="e">
        <f t="shared" si="75"/>
        <v>#REF!</v>
      </c>
      <c r="AC48" s="298">
        <f t="shared" si="76"/>
        <v>0</v>
      </c>
      <c r="AD48" s="303">
        <f t="shared" si="77"/>
        <v>0</v>
      </c>
      <c r="AE48" s="298"/>
      <c r="AF48" s="302" t="e">
        <f t="shared" si="78"/>
        <v>#REF!</v>
      </c>
      <c r="AG48" s="298">
        <f t="shared" si="78"/>
        <v>0</v>
      </c>
      <c r="AH48" s="303">
        <f t="shared" si="79"/>
        <v>0</v>
      </c>
      <c r="AI48" s="298"/>
      <c r="AJ48" s="327"/>
      <c r="AK48" s="329" t="e">
        <f>SUM(AF48)/SUM(W48)</f>
        <v>#REF!</v>
      </c>
      <c r="AL48" s="298"/>
      <c r="AM48" s="302" t="e">
        <f t="shared" si="80"/>
        <v>#REF!</v>
      </c>
      <c r="AN48" s="298">
        <v>0</v>
      </c>
      <c r="AO48" s="303" t="e">
        <f t="shared" si="81"/>
        <v>#REF!</v>
      </c>
      <c r="AP48" s="298"/>
      <c r="AQ48" s="299"/>
      <c r="AR48" s="299"/>
      <c r="AS48" s="298"/>
    </row>
    <row r="49" spans="1:45" x14ac:dyDescent="0.2">
      <c r="A49" s="76">
        <f t="shared" si="2"/>
        <v>42</v>
      </c>
      <c r="B49" s="670"/>
      <c r="C49" s="671" t="s">
        <v>8</v>
      </c>
      <c r="D49" s="147"/>
      <c r="E49" s="112">
        <f>ROUND('Rates in Detail'!L41,5)</f>
        <v>5.94E-3</v>
      </c>
      <c r="F49" s="112">
        <f>'Allocation = % of Margin'!AD42</f>
        <v>-1.01E-3</v>
      </c>
      <c r="G49" s="147"/>
      <c r="H49" s="362">
        <f>ROUND('Rates in Detail'!N41,5)</f>
        <v>5.391E-2</v>
      </c>
      <c r="I49" s="711">
        <f t="shared" si="13"/>
        <v>5.985E-2</v>
      </c>
      <c r="J49" s="147"/>
      <c r="K49" s="145"/>
      <c r="L49" s="146"/>
      <c r="M49" s="112"/>
      <c r="N49" s="112"/>
      <c r="O49" s="112"/>
      <c r="P49" s="711"/>
      <c r="Q49" s="147"/>
      <c r="R49" s="287" t="e">
        <f>#REF!</f>
        <v>#REF!</v>
      </c>
      <c r="S49" s="300"/>
      <c r="T49" s="289"/>
      <c r="U49" s="290"/>
      <c r="V49" s="147"/>
      <c r="W49" s="302" t="e">
        <f t="shared" si="72"/>
        <v>#REF!</v>
      </c>
      <c r="X49" s="298">
        <f t="shared" si="73"/>
        <v>0</v>
      </c>
      <c r="Y49" s="298">
        <f t="shared" si="74"/>
        <v>0</v>
      </c>
      <c r="Z49" s="303"/>
      <c r="AA49" s="298"/>
      <c r="AB49" s="302" t="e">
        <f t="shared" si="75"/>
        <v>#REF!</v>
      </c>
      <c r="AC49" s="298">
        <f t="shared" si="76"/>
        <v>0</v>
      </c>
      <c r="AD49" s="303">
        <f t="shared" si="77"/>
        <v>0</v>
      </c>
      <c r="AE49" s="298"/>
      <c r="AF49" s="302" t="e">
        <f t="shared" si="78"/>
        <v>#REF!</v>
      </c>
      <c r="AG49" s="298">
        <f t="shared" si="78"/>
        <v>0</v>
      </c>
      <c r="AH49" s="303">
        <f t="shared" si="79"/>
        <v>0</v>
      </c>
      <c r="AI49" s="298"/>
      <c r="AJ49" s="327"/>
      <c r="AK49" s="329" t="e">
        <f>AK48</f>
        <v>#REF!</v>
      </c>
      <c r="AL49" s="298"/>
      <c r="AM49" s="302" t="e">
        <f t="shared" si="80"/>
        <v>#REF!</v>
      </c>
      <c r="AN49" s="298">
        <v>0</v>
      </c>
      <c r="AO49" s="303" t="e">
        <f t="shared" si="81"/>
        <v>#REF!</v>
      </c>
      <c r="AP49" s="298"/>
      <c r="AQ49" s="299"/>
      <c r="AR49" s="299"/>
      <c r="AS49" s="298"/>
    </row>
    <row r="50" spans="1:45" x14ac:dyDescent="0.2">
      <c r="A50" s="76">
        <f t="shared" si="2"/>
        <v>43</v>
      </c>
      <c r="B50" s="670"/>
      <c r="C50" s="671" t="s">
        <v>9</v>
      </c>
      <c r="D50" s="147"/>
      <c r="E50" s="112">
        <f>ROUND('Rates in Detail'!L42,5)</f>
        <v>2.2300000000000002E-3</v>
      </c>
      <c r="F50" s="112">
        <f>'Allocation = % of Margin'!AD43</f>
        <v>-3.8000000000000002E-4</v>
      </c>
      <c r="G50" s="147"/>
      <c r="H50" s="362">
        <f>ROUND('Rates in Detail'!N42,5)</f>
        <v>2.0199999999999999E-2</v>
      </c>
      <c r="I50" s="711">
        <f t="shared" si="13"/>
        <v>2.2429999999999999E-2</v>
      </c>
      <c r="J50" s="147"/>
      <c r="K50" s="145"/>
      <c r="L50" s="146"/>
      <c r="M50" s="112"/>
      <c r="N50" s="112"/>
      <c r="O50" s="112"/>
      <c r="P50" s="711"/>
      <c r="Q50" s="147"/>
      <c r="R50" s="287" t="e">
        <f>#REF!</f>
        <v>#REF!</v>
      </c>
      <c r="S50" s="300"/>
      <c r="T50" s="289"/>
      <c r="U50" s="290"/>
      <c r="V50" s="147"/>
      <c r="W50" s="302" t="e">
        <f t="shared" si="72"/>
        <v>#REF!</v>
      </c>
      <c r="X50" s="298">
        <f t="shared" si="73"/>
        <v>0</v>
      </c>
      <c r="Y50" s="298">
        <f t="shared" si="74"/>
        <v>0</v>
      </c>
      <c r="Z50" s="303"/>
      <c r="AA50" s="298"/>
      <c r="AB50" s="302" t="e">
        <f t="shared" si="75"/>
        <v>#REF!</v>
      </c>
      <c r="AC50" s="298">
        <f t="shared" si="76"/>
        <v>0</v>
      </c>
      <c r="AD50" s="303">
        <f t="shared" si="77"/>
        <v>0</v>
      </c>
      <c r="AE50" s="298"/>
      <c r="AF50" s="302" t="e">
        <f t="shared" si="78"/>
        <v>#REF!</v>
      </c>
      <c r="AG50" s="298">
        <f t="shared" si="78"/>
        <v>0</v>
      </c>
      <c r="AH50" s="303">
        <f t="shared" si="79"/>
        <v>0</v>
      </c>
      <c r="AI50" s="298"/>
      <c r="AJ50" s="327"/>
      <c r="AK50" s="329" t="e">
        <f>AK49</f>
        <v>#REF!</v>
      </c>
      <c r="AL50" s="298"/>
      <c r="AM50" s="302" t="e">
        <f t="shared" si="80"/>
        <v>#REF!</v>
      </c>
      <c r="AN50" s="298">
        <v>0</v>
      </c>
      <c r="AO50" s="303" t="e">
        <f t="shared" si="81"/>
        <v>#REF!</v>
      </c>
      <c r="AP50" s="298"/>
      <c r="AQ50" s="299"/>
      <c r="AR50" s="299"/>
      <c r="AS50" s="298"/>
    </row>
    <row r="51" spans="1:45" x14ac:dyDescent="0.2">
      <c r="A51" s="76">
        <f t="shared" si="2"/>
        <v>44</v>
      </c>
      <c r="B51" s="668"/>
      <c r="C51" s="686" t="s">
        <v>62</v>
      </c>
      <c r="D51" s="143"/>
      <c r="E51" s="113"/>
      <c r="F51" s="113"/>
      <c r="G51" s="143"/>
      <c r="H51" s="357"/>
      <c r="I51" s="710"/>
      <c r="J51" s="147"/>
      <c r="K51" s="145"/>
      <c r="L51" s="146"/>
      <c r="M51" s="112"/>
      <c r="N51" s="112"/>
      <c r="O51" s="112"/>
      <c r="P51" s="711"/>
      <c r="Q51" s="147"/>
      <c r="R51" s="287"/>
      <c r="S51" s="300"/>
      <c r="T51" s="289"/>
      <c r="U51" s="290"/>
      <c r="V51" s="147"/>
      <c r="W51" s="304" t="e">
        <f>SUM(W45:W50)</f>
        <v>#REF!</v>
      </c>
      <c r="X51" s="305" t="e">
        <f>SUM(X45:X50)</f>
        <v>#REF!</v>
      </c>
      <c r="Y51" s="305">
        <f>SUM(Y45:Y50)</f>
        <v>41468.835359999997</v>
      </c>
      <c r="Z51" s="306" t="e">
        <f>'Rate Spread SETTLEMENT'!R$15-SUM(W51:Y51)</f>
        <v>#REF!</v>
      </c>
      <c r="AA51" s="298"/>
      <c r="AB51" s="304" t="e">
        <f>SUM(AB45:AB50)</f>
        <v>#REF!</v>
      </c>
      <c r="AC51" s="305" t="e">
        <f>SUM(AC45:AC50)</f>
        <v>#REF!</v>
      </c>
      <c r="AD51" s="306">
        <f>SUM(AD45:AD50)</f>
        <v>41468.835359999997</v>
      </c>
      <c r="AE51" s="298"/>
      <c r="AF51" s="304" t="e">
        <f>SUM(AF45:AF50)</f>
        <v>#REF!</v>
      </c>
      <c r="AG51" s="305" t="e">
        <f>SUM(AG45:AG50)</f>
        <v>#REF!</v>
      </c>
      <c r="AH51" s="306">
        <f>SUM(AH45:AH50)</f>
        <v>0</v>
      </c>
      <c r="AI51" s="298"/>
      <c r="AJ51" s="327" t="e">
        <f>SUM(AF51:AH51)/SUM(W51:Y51)</f>
        <v>#REF!</v>
      </c>
      <c r="AK51" s="328" t="e">
        <f t="shared" ref="AK51:AK56" si="82">SUM(AF51)/SUM(W51)</f>
        <v>#REF!</v>
      </c>
      <c r="AL51" s="298"/>
      <c r="AM51" s="304" t="e">
        <f>SUM(AM45:AM50)</f>
        <v>#REF!</v>
      </c>
      <c r="AN51" s="305">
        <f>SUM(AN45:AN50)</f>
        <v>0</v>
      </c>
      <c r="AO51" s="306" t="e">
        <f>SUM(AO45:AO50)</f>
        <v>#REF!</v>
      </c>
      <c r="AP51" s="298"/>
      <c r="AQ51" s="299"/>
      <c r="AR51" s="299"/>
      <c r="AS51" s="298"/>
    </row>
    <row r="52" spans="1:45" x14ac:dyDescent="0.2">
      <c r="A52" s="76">
        <f t="shared" si="2"/>
        <v>45</v>
      </c>
      <c r="B52" s="670" t="e">
        <f>#REF!</f>
        <v>#REF!</v>
      </c>
      <c r="C52" s="671" t="s">
        <v>4</v>
      </c>
      <c r="D52" s="147"/>
      <c r="E52" s="112">
        <f>ROUND('Rates in Detail'!L43,5)</f>
        <v>1.295E-2</v>
      </c>
      <c r="F52" s="112">
        <f>'Allocation = % of Margin'!AD44</f>
        <v>-1.75E-3</v>
      </c>
      <c r="G52" s="147"/>
      <c r="H52" s="362">
        <f>ROUND('Rates in Detail'!N43,5)</f>
        <v>0.13791999999999999</v>
      </c>
      <c r="I52" s="711">
        <f t="shared" si="13"/>
        <v>0.15086999999999998</v>
      </c>
      <c r="J52" s="147"/>
      <c r="K52" s="145" t="e">
        <f>#REF!</f>
        <v>#REF!</v>
      </c>
      <c r="L52" s="146" t="e">
        <f>#REF!</f>
        <v>#REF!</v>
      </c>
      <c r="M52" s="112">
        <f>'Rates in Detail'!AH43</f>
        <v>0.15748000000000001</v>
      </c>
      <c r="N52" s="112">
        <f>'Rates in Detail'!AI43</f>
        <v>0.15748000000000001</v>
      </c>
      <c r="O52" s="112">
        <f>'Rates in Detail'!AJ43</f>
        <v>0</v>
      </c>
      <c r="P52" s="711">
        <f>'Rates in Detail'!AK43</f>
        <v>0</v>
      </c>
      <c r="Q52" s="147"/>
      <c r="R52" s="287" t="e">
        <f>#REF!</f>
        <v>#REF!</v>
      </c>
      <c r="S52" s="300">
        <v>10479</v>
      </c>
      <c r="T52" s="289" t="e">
        <f>#REF!</f>
        <v>#REF!</v>
      </c>
      <c r="U52" s="290" t="e">
        <f>#REF!</f>
        <v>#REF!</v>
      </c>
      <c r="V52" s="147"/>
      <c r="W52" s="302" t="e">
        <f t="shared" ref="W52:W57" si="83">(H52*R52)</f>
        <v>#REF!</v>
      </c>
      <c r="X52" s="298" t="e">
        <f t="shared" ref="X52:X57" si="84">(K52*T52*12)</f>
        <v>#REF!</v>
      </c>
      <c r="Y52" s="298">
        <f t="shared" ref="Y52:Y57" si="85">(S52*(M52+O52))*12</f>
        <v>19802.795040000001</v>
      </c>
      <c r="Z52" s="303"/>
      <c r="AA52" s="298"/>
      <c r="AB52" s="302" t="e">
        <f t="shared" ref="AB52:AB57" si="86">(I52*R52)</f>
        <v>#REF!</v>
      </c>
      <c r="AC52" s="298" t="e">
        <f t="shared" ref="AC52:AC57" si="87">(L52*T52*12)</f>
        <v>#REF!</v>
      </c>
      <c r="AD52" s="303">
        <f t="shared" ref="AD52:AD57" si="88">(S52*(N52+P52))*12</f>
        <v>19802.795040000001</v>
      </c>
      <c r="AE52" s="298"/>
      <c r="AF52" s="302" t="e">
        <f t="shared" ref="AF52:AG57" si="89">AB52-W52</f>
        <v>#REF!</v>
      </c>
      <c r="AG52" s="298" t="e">
        <f t="shared" si="89"/>
        <v>#REF!</v>
      </c>
      <c r="AH52" s="303">
        <f t="shared" ref="AH52:AH57" si="90">AD52-Y52</f>
        <v>0</v>
      </c>
      <c r="AI52" s="298"/>
      <c r="AJ52" s="327"/>
      <c r="AK52" s="329" t="e">
        <f t="shared" si="82"/>
        <v>#REF!</v>
      </c>
      <c r="AL52" s="298"/>
      <c r="AM52" s="302" t="e">
        <f t="shared" ref="AM52:AM57" si="91">(F52*R52)</f>
        <v>#REF!</v>
      </c>
      <c r="AN52" s="298">
        <v>0</v>
      </c>
      <c r="AO52" s="303" t="e">
        <f t="shared" ref="AO52:AO57" si="92">(AE52*(Y52+AB52))*12</f>
        <v>#REF!</v>
      </c>
      <c r="AP52" s="298"/>
      <c r="AQ52" s="299"/>
      <c r="AR52" s="299"/>
      <c r="AS52" s="298"/>
    </row>
    <row r="53" spans="1:45" x14ac:dyDescent="0.2">
      <c r="A53" s="76">
        <f t="shared" si="2"/>
        <v>46</v>
      </c>
      <c r="B53" s="670"/>
      <c r="C53" s="671" t="s">
        <v>5</v>
      </c>
      <c r="D53" s="147"/>
      <c r="E53" s="112">
        <f>ROUND('Rates in Detail'!L44,5)</f>
        <v>1.159E-2</v>
      </c>
      <c r="F53" s="112">
        <f>'Allocation = % of Margin'!AD45</f>
        <v>-1.57E-3</v>
      </c>
      <c r="G53" s="147"/>
      <c r="H53" s="362">
        <f>ROUND('Rates in Detail'!N44,5)</f>
        <v>0.12347</v>
      </c>
      <c r="I53" s="711">
        <f t="shared" si="13"/>
        <v>0.13505999999999999</v>
      </c>
      <c r="J53" s="147"/>
      <c r="K53" s="145"/>
      <c r="L53" s="146"/>
      <c r="M53" s="112"/>
      <c r="N53" s="112"/>
      <c r="O53" s="112"/>
      <c r="P53" s="711"/>
      <c r="Q53" s="147"/>
      <c r="R53" s="287" t="e">
        <f>#REF!</f>
        <v>#REF!</v>
      </c>
      <c r="S53" s="300"/>
      <c r="T53" s="289"/>
      <c r="U53" s="290"/>
      <c r="V53" s="147"/>
      <c r="W53" s="302" t="e">
        <f t="shared" si="83"/>
        <v>#REF!</v>
      </c>
      <c r="X53" s="298">
        <f t="shared" si="84"/>
        <v>0</v>
      </c>
      <c r="Y53" s="298">
        <f t="shared" si="85"/>
        <v>0</v>
      </c>
      <c r="Z53" s="303"/>
      <c r="AA53" s="298"/>
      <c r="AB53" s="302" t="e">
        <f t="shared" si="86"/>
        <v>#REF!</v>
      </c>
      <c r="AC53" s="298">
        <f t="shared" si="87"/>
        <v>0</v>
      </c>
      <c r="AD53" s="303">
        <f t="shared" si="88"/>
        <v>0</v>
      </c>
      <c r="AE53" s="298"/>
      <c r="AF53" s="302" t="e">
        <f t="shared" si="89"/>
        <v>#REF!</v>
      </c>
      <c r="AG53" s="298">
        <f t="shared" si="89"/>
        <v>0</v>
      </c>
      <c r="AH53" s="303">
        <f t="shared" si="90"/>
        <v>0</v>
      </c>
      <c r="AI53" s="298"/>
      <c r="AJ53" s="327"/>
      <c r="AK53" s="329" t="e">
        <f t="shared" si="82"/>
        <v>#REF!</v>
      </c>
      <c r="AL53" s="298"/>
      <c r="AM53" s="302" t="e">
        <f t="shared" si="91"/>
        <v>#REF!</v>
      </c>
      <c r="AN53" s="298">
        <v>0</v>
      </c>
      <c r="AO53" s="303" t="e">
        <f t="shared" si="92"/>
        <v>#REF!</v>
      </c>
      <c r="AP53" s="298"/>
      <c r="AQ53" s="299"/>
      <c r="AR53" s="299"/>
      <c r="AS53" s="298"/>
    </row>
    <row r="54" spans="1:45" x14ac:dyDescent="0.2">
      <c r="A54" s="76">
        <f t="shared" si="2"/>
        <v>47</v>
      </c>
      <c r="B54" s="670"/>
      <c r="C54" s="671" t="s">
        <v>6</v>
      </c>
      <c r="D54" s="147"/>
      <c r="E54" s="112">
        <f>ROUND('Rates in Detail'!L45,5)</f>
        <v>8.8900000000000003E-3</v>
      </c>
      <c r="F54" s="112">
        <f>'Allocation = % of Margin'!AD46</f>
        <v>-1.1999999999999999E-3</v>
      </c>
      <c r="G54" s="147"/>
      <c r="H54" s="362">
        <f>ROUND('Rates in Detail'!N45,5)</f>
        <v>9.4670000000000004E-2</v>
      </c>
      <c r="I54" s="711">
        <f t="shared" si="13"/>
        <v>0.10356</v>
      </c>
      <c r="J54" s="147"/>
      <c r="K54" s="145"/>
      <c r="L54" s="146"/>
      <c r="M54" s="112"/>
      <c r="N54" s="112"/>
      <c r="O54" s="112"/>
      <c r="P54" s="711"/>
      <c r="Q54" s="147"/>
      <c r="R54" s="287" t="e">
        <f>#REF!</f>
        <v>#REF!</v>
      </c>
      <c r="S54" s="300"/>
      <c r="T54" s="289"/>
      <c r="U54" s="290"/>
      <c r="V54" s="147"/>
      <c r="W54" s="302" t="e">
        <f t="shared" si="83"/>
        <v>#REF!</v>
      </c>
      <c r="X54" s="298">
        <f t="shared" si="84"/>
        <v>0</v>
      </c>
      <c r="Y54" s="298">
        <f t="shared" si="85"/>
        <v>0</v>
      </c>
      <c r="Z54" s="303"/>
      <c r="AA54" s="298"/>
      <c r="AB54" s="302" t="e">
        <f t="shared" si="86"/>
        <v>#REF!</v>
      </c>
      <c r="AC54" s="298">
        <f t="shared" si="87"/>
        <v>0</v>
      </c>
      <c r="AD54" s="303">
        <f t="shared" si="88"/>
        <v>0</v>
      </c>
      <c r="AE54" s="298"/>
      <c r="AF54" s="302" t="e">
        <f t="shared" si="89"/>
        <v>#REF!</v>
      </c>
      <c r="AG54" s="298">
        <f t="shared" si="89"/>
        <v>0</v>
      </c>
      <c r="AH54" s="303">
        <f t="shared" si="90"/>
        <v>0</v>
      </c>
      <c r="AI54" s="298"/>
      <c r="AJ54" s="327"/>
      <c r="AK54" s="329" t="e">
        <f t="shared" si="82"/>
        <v>#REF!</v>
      </c>
      <c r="AL54" s="298"/>
      <c r="AM54" s="302" t="e">
        <f t="shared" si="91"/>
        <v>#REF!</v>
      </c>
      <c r="AN54" s="298">
        <v>0</v>
      </c>
      <c r="AO54" s="303" t="e">
        <f t="shared" si="92"/>
        <v>#REF!</v>
      </c>
      <c r="AP54" s="298"/>
      <c r="AQ54" s="299"/>
      <c r="AR54" s="299"/>
      <c r="AS54" s="298"/>
    </row>
    <row r="55" spans="1:45" x14ac:dyDescent="0.2">
      <c r="A55" s="76">
        <f t="shared" si="2"/>
        <v>48</v>
      </c>
      <c r="B55" s="670"/>
      <c r="C55" s="671" t="s">
        <v>7</v>
      </c>
      <c r="D55" s="147"/>
      <c r="E55" s="112">
        <f>ROUND('Rates in Detail'!L46,5)</f>
        <v>7.11E-3</v>
      </c>
      <c r="F55" s="112">
        <f>'Allocation = % of Margin'!AD47</f>
        <v>-9.6000000000000002E-4</v>
      </c>
      <c r="G55" s="147"/>
      <c r="H55" s="362">
        <f>ROUND('Rates in Detail'!N46,5)</f>
        <v>7.5749999999999998E-2</v>
      </c>
      <c r="I55" s="711">
        <f t="shared" si="13"/>
        <v>8.2860000000000003E-2</v>
      </c>
      <c r="J55" s="147"/>
      <c r="K55" s="145"/>
      <c r="L55" s="146"/>
      <c r="M55" s="112"/>
      <c r="N55" s="112"/>
      <c r="O55" s="112"/>
      <c r="P55" s="711"/>
      <c r="Q55" s="147"/>
      <c r="R55" s="287" t="e">
        <f>#REF!</f>
        <v>#REF!</v>
      </c>
      <c r="S55" s="300"/>
      <c r="T55" s="289"/>
      <c r="U55" s="290"/>
      <c r="V55" s="147"/>
      <c r="W55" s="302" t="e">
        <f t="shared" si="83"/>
        <v>#REF!</v>
      </c>
      <c r="X55" s="298">
        <f t="shared" si="84"/>
        <v>0</v>
      </c>
      <c r="Y55" s="298">
        <f t="shared" si="85"/>
        <v>0</v>
      </c>
      <c r="Z55" s="303"/>
      <c r="AA55" s="298"/>
      <c r="AB55" s="302" t="e">
        <f t="shared" si="86"/>
        <v>#REF!</v>
      </c>
      <c r="AC55" s="298">
        <f t="shared" si="87"/>
        <v>0</v>
      </c>
      <c r="AD55" s="303">
        <f t="shared" si="88"/>
        <v>0</v>
      </c>
      <c r="AE55" s="298"/>
      <c r="AF55" s="302" t="e">
        <f t="shared" si="89"/>
        <v>#REF!</v>
      </c>
      <c r="AG55" s="298">
        <f t="shared" si="89"/>
        <v>0</v>
      </c>
      <c r="AH55" s="303">
        <f t="shared" si="90"/>
        <v>0</v>
      </c>
      <c r="AI55" s="298"/>
      <c r="AJ55" s="327"/>
      <c r="AK55" s="329" t="e">
        <f t="shared" si="82"/>
        <v>#REF!</v>
      </c>
      <c r="AL55" s="298"/>
      <c r="AM55" s="302" t="e">
        <f t="shared" si="91"/>
        <v>#REF!</v>
      </c>
      <c r="AN55" s="298">
        <v>0</v>
      </c>
      <c r="AO55" s="303" t="e">
        <f t="shared" si="92"/>
        <v>#REF!</v>
      </c>
      <c r="AP55" s="298"/>
      <c r="AQ55" s="299"/>
      <c r="AR55" s="299"/>
      <c r="AS55" s="298"/>
    </row>
    <row r="56" spans="1:45" x14ac:dyDescent="0.2">
      <c r="A56" s="76">
        <f t="shared" si="2"/>
        <v>49</v>
      </c>
      <c r="B56" s="670"/>
      <c r="C56" s="671" t="s">
        <v>8</v>
      </c>
      <c r="D56" s="147"/>
      <c r="E56" s="112">
        <f>ROUND('Rates in Detail'!L47,5)</f>
        <v>4.7400000000000003E-3</v>
      </c>
      <c r="F56" s="112">
        <f>'Allocation = % of Margin'!AD48</f>
        <v>-6.4000000000000005E-4</v>
      </c>
      <c r="G56" s="147"/>
      <c r="H56" s="362">
        <f>ROUND('Rates in Detail'!N47,5)</f>
        <v>5.0500000000000003E-2</v>
      </c>
      <c r="I56" s="711">
        <f t="shared" si="13"/>
        <v>5.5240000000000004E-2</v>
      </c>
      <c r="J56" s="147"/>
      <c r="K56" s="145"/>
      <c r="L56" s="146"/>
      <c r="M56" s="112"/>
      <c r="N56" s="112"/>
      <c r="O56" s="112"/>
      <c r="P56" s="711"/>
      <c r="Q56" s="147"/>
      <c r="R56" s="287" t="e">
        <f>#REF!</f>
        <v>#REF!</v>
      </c>
      <c r="S56" s="300"/>
      <c r="T56" s="289"/>
      <c r="U56" s="290"/>
      <c r="V56" s="147"/>
      <c r="W56" s="302" t="e">
        <f t="shared" si="83"/>
        <v>#REF!</v>
      </c>
      <c r="X56" s="298">
        <f t="shared" si="84"/>
        <v>0</v>
      </c>
      <c r="Y56" s="298">
        <f t="shared" si="85"/>
        <v>0</v>
      </c>
      <c r="Z56" s="303"/>
      <c r="AA56" s="298"/>
      <c r="AB56" s="302" t="e">
        <f t="shared" si="86"/>
        <v>#REF!</v>
      </c>
      <c r="AC56" s="298">
        <f t="shared" si="87"/>
        <v>0</v>
      </c>
      <c r="AD56" s="303">
        <f t="shared" si="88"/>
        <v>0</v>
      </c>
      <c r="AE56" s="298"/>
      <c r="AF56" s="302" t="e">
        <f t="shared" si="89"/>
        <v>#REF!</v>
      </c>
      <c r="AG56" s="298">
        <f t="shared" si="89"/>
        <v>0</v>
      </c>
      <c r="AH56" s="303">
        <f t="shared" si="90"/>
        <v>0</v>
      </c>
      <c r="AI56" s="298"/>
      <c r="AJ56" s="327"/>
      <c r="AK56" s="329" t="e">
        <f t="shared" si="82"/>
        <v>#REF!</v>
      </c>
      <c r="AL56" s="298"/>
      <c r="AM56" s="302" t="e">
        <f t="shared" si="91"/>
        <v>#REF!</v>
      </c>
      <c r="AN56" s="298">
        <v>0</v>
      </c>
      <c r="AO56" s="303" t="e">
        <f t="shared" si="92"/>
        <v>#REF!</v>
      </c>
      <c r="AP56" s="298"/>
      <c r="AQ56" s="299"/>
      <c r="AR56" s="299"/>
      <c r="AS56" s="298"/>
    </row>
    <row r="57" spans="1:45" x14ac:dyDescent="0.2">
      <c r="A57" s="76">
        <f t="shared" si="2"/>
        <v>50</v>
      </c>
      <c r="B57" s="670"/>
      <c r="C57" s="671" t="s">
        <v>9</v>
      </c>
      <c r="D57" s="147"/>
      <c r="E57" s="112">
        <f>ROUND('Rates in Detail'!L48,5)</f>
        <v>1.7799999999999999E-3</v>
      </c>
      <c r="F57" s="112">
        <f>'Allocation = % of Margin'!AD49</f>
        <v>-2.4000000000000001E-4</v>
      </c>
      <c r="G57" s="147"/>
      <c r="H57" s="362">
        <f>ROUND('Rates in Detail'!N48,5)</f>
        <v>1.8929999999999999E-2</v>
      </c>
      <c r="I57" s="711">
        <f t="shared" si="13"/>
        <v>2.0709999999999999E-2</v>
      </c>
      <c r="J57" s="147"/>
      <c r="K57" s="145"/>
      <c r="L57" s="146"/>
      <c r="M57" s="112"/>
      <c r="N57" s="112"/>
      <c r="O57" s="112"/>
      <c r="P57" s="711"/>
      <c r="Q57" s="147"/>
      <c r="R57" s="287" t="e">
        <f>#REF!</f>
        <v>#REF!</v>
      </c>
      <c r="S57" s="300"/>
      <c r="T57" s="289"/>
      <c r="U57" s="290"/>
      <c r="V57" s="147"/>
      <c r="W57" s="302" t="e">
        <f t="shared" si="83"/>
        <v>#REF!</v>
      </c>
      <c r="X57" s="298">
        <f t="shared" si="84"/>
        <v>0</v>
      </c>
      <c r="Y57" s="298">
        <f t="shared" si="85"/>
        <v>0</v>
      </c>
      <c r="Z57" s="303"/>
      <c r="AA57" s="298"/>
      <c r="AB57" s="302" t="e">
        <f t="shared" si="86"/>
        <v>#REF!</v>
      </c>
      <c r="AC57" s="298">
        <f t="shared" si="87"/>
        <v>0</v>
      </c>
      <c r="AD57" s="303">
        <f t="shared" si="88"/>
        <v>0</v>
      </c>
      <c r="AE57" s="298"/>
      <c r="AF57" s="302" t="e">
        <f t="shared" si="89"/>
        <v>#REF!</v>
      </c>
      <c r="AG57" s="298">
        <f t="shared" si="89"/>
        <v>0</v>
      </c>
      <c r="AH57" s="303">
        <f t="shared" si="90"/>
        <v>0</v>
      </c>
      <c r="AI57" s="298"/>
      <c r="AJ57" s="327"/>
      <c r="AK57" s="329" t="e">
        <f>AK56</f>
        <v>#REF!</v>
      </c>
      <c r="AL57" s="298"/>
      <c r="AM57" s="302" t="e">
        <f t="shared" si="91"/>
        <v>#REF!</v>
      </c>
      <c r="AN57" s="298">
        <v>0</v>
      </c>
      <c r="AO57" s="303" t="e">
        <f t="shared" si="92"/>
        <v>#REF!</v>
      </c>
      <c r="AP57" s="298"/>
      <c r="AQ57" s="307"/>
      <c r="AR57" s="299"/>
      <c r="AS57" s="298"/>
    </row>
    <row r="58" spans="1:45" x14ac:dyDescent="0.2">
      <c r="A58" s="76">
        <f t="shared" si="2"/>
        <v>51</v>
      </c>
      <c r="B58" s="668"/>
      <c r="C58" s="686" t="s">
        <v>62</v>
      </c>
      <c r="D58" s="143"/>
      <c r="E58" s="113"/>
      <c r="F58" s="113"/>
      <c r="G58" s="143"/>
      <c r="H58" s="357"/>
      <c r="I58" s="710"/>
      <c r="J58" s="147"/>
      <c r="K58" s="145"/>
      <c r="L58" s="146"/>
      <c r="M58" s="112"/>
      <c r="N58" s="112"/>
      <c r="O58" s="112"/>
      <c r="P58" s="711"/>
      <c r="Q58" s="147"/>
      <c r="R58" s="287"/>
      <c r="S58" s="300"/>
      <c r="T58" s="289"/>
      <c r="U58" s="290"/>
      <c r="V58" s="147"/>
      <c r="W58" s="304" t="e">
        <f>SUM(W52:W57)</f>
        <v>#REF!</v>
      </c>
      <c r="X58" s="305" t="e">
        <f>SUM(X52:X57)</f>
        <v>#REF!</v>
      </c>
      <c r="Y58" s="305">
        <f>SUM(Y52:Y57)</f>
        <v>19802.795040000001</v>
      </c>
      <c r="Z58" s="306" t="e">
        <f>'Rate Spread SETTLEMENT'!S$15-SUM(W58:Y58)</f>
        <v>#REF!</v>
      </c>
      <c r="AA58" s="298"/>
      <c r="AB58" s="304" t="e">
        <f>SUM(AB52:AB57)</f>
        <v>#REF!</v>
      </c>
      <c r="AC58" s="305" t="e">
        <f>SUM(AC52:AC57)</f>
        <v>#REF!</v>
      </c>
      <c r="AD58" s="306">
        <f>SUM(AD52:AD57)</f>
        <v>19802.795040000001</v>
      </c>
      <c r="AE58" s="298"/>
      <c r="AF58" s="304" t="e">
        <f>SUM(AF52:AF57)</f>
        <v>#REF!</v>
      </c>
      <c r="AG58" s="305" t="e">
        <f>SUM(AG52:AG57)</f>
        <v>#REF!</v>
      </c>
      <c r="AH58" s="306">
        <f>SUM(AH52:AH57)</f>
        <v>0</v>
      </c>
      <c r="AI58" s="298"/>
      <c r="AJ58" s="327" t="e">
        <f>SUM(AF58:AH58)/SUM(W58:Y58)</f>
        <v>#REF!</v>
      </c>
      <c r="AK58" s="328" t="e">
        <f t="shared" ref="AK58:AK70" si="93">SUM(AF58)/SUM(W58)</f>
        <v>#REF!</v>
      </c>
      <c r="AL58" s="298"/>
      <c r="AM58" s="304" t="e">
        <f>SUM(AM52:AM57)</f>
        <v>#REF!</v>
      </c>
      <c r="AN58" s="305">
        <f>SUM(AN52:AN57)</f>
        <v>0</v>
      </c>
      <c r="AO58" s="306" t="e">
        <f>SUM(AO52:AO57)</f>
        <v>#REF!</v>
      </c>
      <c r="AP58" s="298"/>
      <c r="AQ58" s="299"/>
      <c r="AR58" s="299"/>
      <c r="AS58" s="298"/>
    </row>
    <row r="59" spans="1:45" x14ac:dyDescent="0.2">
      <c r="A59" s="76">
        <f t="shared" si="2"/>
        <v>52</v>
      </c>
      <c r="B59" s="670" t="e">
        <f>#REF!</f>
        <v>#REF!</v>
      </c>
      <c r="C59" s="671" t="s">
        <v>4</v>
      </c>
      <c r="D59" s="147"/>
      <c r="E59" s="112">
        <f>ROUND('Rates in Detail'!L49,5)</f>
        <v>1.044E-2</v>
      </c>
      <c r="F59" s="112">
        <f>'Allocation = % of Margin'!AD50</f>
        <v>-1.7700000000000001E-3</v>
      </c>
      <c r="G59" s="147"/>
      <c r="H59" s="362">
        <f>ROUND('Rates in Detail'!N49,5)</f>
        <v>0.13941000000000001</v>
      </c>
      <c r="I59" s="711">
        <f t="shared" si="13"/>
        <v>0.14985000000000001</v>
      </c>
      <c r="J59" s="147"/>
      <c r="K59" s="145" t="e">
        <f>#REF!</f>
        <v>#REF!</v>
      </c>
      <c r="L59" s="146" t="e">
        <f>#REF!</f>
        <v>#REF!</v>
      </c>
      <c r="M59" s="112">
        <f>'Rates in Detail'!AH49</f>
        <v>0.15748000000000001</v>
      </c>
      <c r="N59" s="112">
        <f>'Rates in Detail'!AI49</f>
        <v>0.15748000000000001</v>
      </c>
      <c r="O59" s="112">
        <f>'Rates in Detail'!AJ49</f>
        <v>0</v>
      </c>
      <c r="P59" s="711">
        <f>'Rates in Detail'!AK49</f>
        <v>0</v>
      </c>
      <c r="Q59" s="147"/>
      <c r="R59" s="287" t="e">
        <f>#REF!</f>
        <v>#REF!</v>
      </c>
      <c r="S59" s="300">
        <v>26810</v>
      </c>
      <c r="T59" s="289" t="e">
        <f>#REF!</f>
        <v>#REF!</v>
      </c>
      <c r="U59" s="290" t="e">
        <f>#REF!</f>
        <v>#REF!</v>
      </c>
      <c r="V59" s="147"/>
      <c r="W59" s="302" t="e">
        <f t="shared" ref="W59:W64" si="94">(H59*R59)</f>
        <v>#REF!</v>
      </c>
      <c r="X59" s="298" t="e">
        <f t="shared" ref="X59:X64" si="95">(K59*T59*12)</f>
        <v>#REF!</v>
      </c>
      <c r="Y59" s="298">
        <f t="shared" ref="Y59:Y64" si="96">(S59*(M59+O59))*12</f>
        <v>50664.465600000003</v>
      </c>
      <c r="Z59" s="303"/>
      <c r="AA59" s="298"/>
      <c r="AB59" s="302" t="e">
        <f t="shared" ref="AB59:AB64" si="97">(I59*R59)</f>
        <v>#REF!</v>
      </c>
      <c r="AC59" s="298" t="e">
        <f t="shared" ref="AC59:AC64" si="98">(L59*T59*12)</f>
        <v>#REF!</v>
      </c>
      <c r="AD59" s="303">
        <f t="shared" ref="AD59:AD64" si="99">(S59*(N59+P59))*12</f>
        <v>50664.465600000003</v>
      </c>
      <c r="AE59" s="298"/>
      <c r="AF59" s="302" t="e">
        <f t="shared" ref="AF59:AG64" si="100">AB59-W59</f>
        <v>#REF!</v>
      </c>
      <c r="AG59" s="298" t="e">
        <f t="shared" si="100"/>
        <v>#REF!</v>
      </c>
      <c r="AH59" s="303">
        <f t="shared" ref="AH59:AH64" si="101">AD59-Y59</f>
        <v>0</v>
      </c>
      <c r="AI59" s="298"/>
      <c r="AJ59" s="327"/>
      <c r="AK59" s="329" t="e">
        <f t="shared" si="93"/>
        <v>#REF!</v>
      </c>
      <c r="AL59" s="298"/>
      <c r="AM59" s="302" t="e">
        <f t="shared" ref="AM59:AM64" si="102">(F59*R59)</f>
        <v>#REF!</v>
      </c>
      <c r="AN59" s="298">
        <v>0</v>
      </c>
      <c r="AO59" s="303" t="e">
        <f t="shared" ref="AO59:AO64" si="103">(AE59*(Y59+AB59))*12</f>
        <v>#REF!</v>
      </c>
      <c r="AP59" s="298"/>
      <c r="AQ59" s="299"/>
      <c r="AR59" s="299"/>
      <c r="AS59" s="298"/>
    </row>
    <row r="60" spans="1:45" x14ac:dyDescent="0.2">
      <c r="A60" s="76">
        <f t="shared" si="2"/>
        <v>53</v>
      </c>
      <c r="B60" s="670"/>
      <c r="C60" s="671" t="s">
        <v>5</v>
      </c>
      <c r="D60" s="147"/>
      <c r="E60" s="112">
        <f>ROUND('Rates in Detail'!L50,5)</f>
        <v>9.3500000000000007E-3</v>
      </c>
      <c r="F60" s="112">
        <f>'Allocation = % of Margin'!AD51</f>
        <v>-1.5900000000000001E-3</v>
      </c>
      <c r="G60" s="147"/>
      <c r="H60" s="362">
        <f>ROUND('Rates in Detail'!N50,5)</f>
        <v>0.12479</v>
      </c>
      <c r="I60" s="711">
        <f t="shared" si="13"/>
        <v>0.13414000000000001</v>
      </c>
      <c r="J60" s="147"/>
      <c r="K60" s="145"/>
      <c r="L60" s="146"/>
      <c r="M60" s="112"/>
      <c r="N60" s="112"/>
      <c r="O60" s="112"/>
      <c r="P60" s="711"/>
      <c r="Q60" s="147"/>
      <c r="R60" s="287" t="e">
        <f>#REF!</f>
        <v>#REF!</v>
      </c>
      <c r="S60" s="300"/>
      <c r="T60" s="289"/>
      <c r="U60" s="290"/>
      <c r="V60" s="147"/>
      <c r="W60" s="302" t="e">
        <f t="shared" si="94"/>
        <v>#REF!</v>
      </c>
      <c r="X60" s="298">
        <f t="shared" si="95"/>
        <v>0</v>
      </c>
      <c r="Y60" s="298">
        <f t="shared" si="96"/>
        <v>0</v>
      </c>
      <c r="Z60" s="303"/>
      <c r="AA60" s="298"/>
      <c r="AB60" s="302" t="e">
        <f t="shared" si="97"/>
        <v>#REF!</v>
      </c>
      <c r="AC60" s="298">
        <f t="shared" si="98"/>
        <v>0</v>
      </c>
      <c r="AD60" s="303">
        <f t="shared" si="99"/>
        <v>0</v>
      </c>
      <c r="AE60" s="298"/>
      <c r="AF60" s="302" t="e">
        <f t="shared" si="100"/>
        <v>#REF!</v>
      </c>
      <c r="AG60" s="298">
        <f t="shared" si="100"/>
        <v>0</v>
      </c>
      <c r="AH60" s="303">
        <f t="shared" si="101"/>
        <v>0</v>
      </c>
      <c r="AI60" s="298"/>
      <c r="AJ60" s="327"/>
      <c r="AK60" s="329" t="e">
        <f t="shared" si="93"/>
        <v>#REF!</v>
      </c>
      <c r="AL60" s="298"/>
      <c r="AM60" s="302" t="e">
        <f t="shared" si="102"/>
        <v>#REF!</v>
      </c>
      <c r="AN60" s="298">
        <v>0</v>
      </c>
      <c r="AO60" s="303" t="e">
        <f t="shared" si="103"/>
        <v>#REF!</v>
      </c>
      <c r="AP60" s="298"/>
      <c r="AQ60" s="299"/>
      <c r="AR60" s="299"/>
      <c r="AS60" s="298"/>
    </row>
    <row r="61" spans="1:45" x14ac:dyDescent="0.2">
      <c r="A61" s="76">
        <f t="shared" si="2"/>
        <v>54</v>
      </c>
      <c r="B61" s="670"/>
      <c r="C61" s="671" t="s">
        <v>6</v>
      </c>
      <c r="D61" s="147"/>
      <c r="E61" s="112">
        <f>ROUND('Rates in Detail'!L51,5)</f>
        <v>7.1700000000000002E-3</v>
      </c>
      <c r="F61" s="112">
        <f>'Allocation = % of Margin'!AD52</f>
        <v>-1.2199999999999999E-3</v>
      </c>
      <c r="G61" s="147"/>
      <c r="H61" s="362">
        <f>ROUND('Rates in Detail'!N51,5)</f>
        <v>9.5689999999999997E-2</v>
      </c>
      <c r="I61" s="711">
        <f t="shared" si="13"/>
        <v>0.10285999999999999</v>
      </c>
      <c r="J61" s="147"/>
      <c r="K61" s="145"/>
      <c r="L61" s="146"/>
      <c r="M61" s="112"/>
      <c r="N61" s="112"/>
      <c r="O61" s="112"/>
      <c r="P61" s="711"/>
      <c r="Q61" s="147"/>
      <c r="R61" s="287" t="e">
        <f>#REF!</f>
        <v>#REF!</v>
      </c>
      <c r="S61" s="300"/>
      <c r="T61" s="289"/>
      <c r="U61" s="290"/>
      <c r="V61" s="147"/>
      <c r="W61" s="302" t="e">
        <f t="shared" si="94"/>
        <v>#REF!</v>
      </c>
      <c r="X61" s="298">
        <f t="shared" si="95"/>
        <v>0</v>
      </c>
      <c r="Y61" s="298">
        <f t="shared" si="96"/>
        <v>0</v>
      </c>
      <c r="Z61" s="303"/>
      <c r="AA61" s="298"/>
      <c r="AB61" s="302" t="e">
        <f t="shared" si="97"/>
        <v>#REF!</v>
      </c>
      <c r="AC61" s="298">
        <f t="shared" si="98"/>
        <v>0</v>
      </c>
      <c r="AD61" s="303">
        <f t="shared" si="99"/>
        <v>0</v>
      </c>
      <c r="AE61" s="298"/>
      <c r="AF61" s="302" t="e">
        <f t="shared" si="100"/>
        <v>#REF!</v>
      </c>
      <c r="AG61" s="298">
        <f t="shared" si="100"/>
        <v>0</v>
      </c>
      <c r="AH61" s="303">
        <f t="shared" si="101"/>
        <v>0</v>
      </c>
      <c r="AI61" s="298"/>
      <c r="AJ61" s="327"/>
      <c r="AK61" s="329" t="e">
        <f t="shared" si="93"/>
        <v>#REF!</v>
      </c>
      <c r="AL61" s="298"/>
      <c r="AM61" s="302" t="e">
        <f t="shared" si="102"/>
        <v>#REF!</v>
      </c>
      <c r="AN61" s="298">
        <v>0</v>
      </c>
      <c r="AO61" s="303" t="e">
        <f t="shared" si="103"/>
        <v>#REF!</v>
      </c>
      <c r="AP61" s="298"/>
      <c r="AQ61" s="299"/>
      <c r="AR61" s="299"/>
      <c r="AS61" s="298"/>
    </row>
    <row r="62" spans="1:45" x14ac:dyDescent="0.2">
      <c r="A62" s="76">
        <f t="shared" si="2"/>
        <v>55</v>
      </c>
      <c r="B62" s="670"/>
      <c r="C62" s="671" t="s">
        <v>7</v>
      </c>
      <c r="D62" s="147"/>
      <c r="E62" s="112">
        <f>ROUND('Rates in Detail'!L52,5)</f>
        <v>5.7299999999999999E-3</v>
      </c>
      <c r="F62" s="112">
        <f>'Allocation = % of Margin'!AD53</f>
        <v>-9.7000000000000005E-4</v>
      </c>
      <c r="G62" s="147"/>
      <c r="H62" s="362">
        <f>ROUND('Rates in Detail'!N52,5)</f>
        <v>7.6560000000000003E-2</v>
      </c>
      <c r="I62" s="711">
        <f t="shared" si="13"/>
        <v>8.2290000000000002E-2</v>
      </c>
      <c r="J62" s="147"/>
      <c r="K62" s="145"/>
      <c r="L62" s="146"/>
      <c r="M62" s="112"/>
      <c r="N62" s="112"/>
      <c r="O62" s="112"/>
      <c r="P62" s="711"/>
      <c r="Q62" s="147"/>
      <c r="R62" s="287" t="e">
        <f>#REF!</f>
        <v>#REF!</v>
      </c>
      <c r="S62" s="300"/>
      <c r="T62" s="289"/>
      <c r="U62" s="290"/>
      <c r="V62" s="147"/>
      <c r="W62" s="302" t="e">
        <f t="shared" si="94"/>
        <v>#REF!</v>
      </c>
      <c r="X62" s="298">
        <f t="shared" si="95"/>
        <v>0</v>
      </c>
      <c r="Y62" s="298">
        <f t="shared" si="96"/>
        <v>0</v>
      </c>
      <c r="Z62" s="303"/>
      <c r="AA62" s="298"/>
      <c r="AB62" s="302" t="e">
        <f t="shared" si="97"/>
        <v>#REF!</v>
      </c>
      <c r="AC62" s="298">
        <f t="shared" si="98"/>
        <v>0</v>
      </c>
      <c r="AD62" s="303">
        <f t="shared" si="99"/>
        <v>0</v>
      </c>
      <c r="AE62" s="298"/>
      <c r="AF62" s="302" t="e">
        <f t="shared" si="100"/>
        <v>#REF!</v>
      </c>
      <c r="AG62" s="298">
        <f t="shared" si="100"/>
        <v>0</v>
      </c>
      <c r="AH62" s="303">
        <f t="shared" si="101"/>
        <v>0</v>
      </c>
      <c r="AI62" s="298"/>
      <c r="AJ62" s="327"/>
      <c r="AK62" s="329" t="e">
        <f t="shared" si="93"/>
        <v>#REF!</v>
      </c>
      <c r="AL62" s="298"/>
      <c r="AM62" s="302" t="e">
        <f t="shared" si="102"/>
        <v>#REF!</v>
      </c>
      <c r="AN62" s="298">
        <v>0</v>
      </c>
      <c r="AO62" s="303" t="e">
        <f t="shared" si="103"/>
        <v>#REF!</v>
      </c>
      <c r="AP62" s="298"/>
      <c r="AQ62" s="299"/>
      <c r="AR62" s="299"/>
      <c r="AS62" s="298"/>
    </row>
    <row r="63" spans="1:45" x14ac:dyDescent="0.2">
      <c r="A63" s="76">
        <f t="shared" si="2"/>
        <v>56</v>
      </c>
      <c r="B63" s="670"/>
      <c r="C63" s="671" t="s">
        <v>8</v>
      </c>
      <c r="D63" s="147"/>
      <c r="E63" s="112">
        <f>ROUND('Rates in Detail'!L53,5)</f>
        <v>3.82E-3</v>
      </c>
      <c r="F63" s="112">
        <f>'Allocation = % of Margin'!AD54</f>
        <v>-6.4999999999999997E-4</v>
      </c>
      <c r="G63" s="147"/>
      <c r="H63" s="362">
        <f>ROUND('Rates in Detail'!N53,5)</f>
        <v>5.1040000000000002E-2</v>
      </c>
      <c r="I63" s="711">
        <f t="shared" si="13"/>
        <v>5.4859999999999999E-2</v>
      </c>
      <c r="J63" s="147"/>
      <c r="K63" s="145"/>
      <c r="L63" s="146"/>
      <c r="M63" s="112"/>
      <c r="N63" s="112"/>
      <c r="O63" s="112"/>
      <c r="P63" s="711"/>
      <c r="Q63" s="147"/>
      <c r="R63" s="287" t="e">
        <f>#REF!</f>
        <v>#REF!</v>
      </c>
      <c r="S63" s="300"/>
      <c r="T63" s="289"/>
      <c r="U63" s="290"/>
      <c r="V63" s="147"/>
      <c r="W63" s="302" t="e">
        <f t="shared" si="94"/>
        <v>#REF!</v>
      </c>
      <c r="X63" s="298">
        <f t="shared" si="95"/>
        <v>0</v>
      </c>
      <c r="Y63" s="298">
        <f t="shared" si="96"/>
        <v>0</v>
      </c>
      <c r="Z63" s="303"/>
      <c r="AA63" s="298"/>
      <c r="AB63" s="302" t="e">
        <f t="shared" si="97"/>
        <v>#REF!</v>
      </c>
      <c r="AC63" s="298">
        <f t="shared" si="98"/>
        <v>0</v>
      </c>
      <c r="AD63" s="303">
        <f t="shared" si="99"/>
        <v>0</v>
      </c>
      <c r="AE63" s="298"/>
      <c r="AF63" s="302" t="e">
        <f t="shared" si="100"/>
        <v>#REF!</v>
      </c>
      <c r="AG63" s="298">
        <f t="shared" si="100"/>
        <v>0</v>
      </c>
      <c r="AH63" s="303">
        <f t="shared" si="101"/>
        <v>0</v>
      </c>
      <c r="AI63" s="298"/>
      <c r="AJ63" s="327"/>
      <c r="AK63" s="329" t="e">
        <f t="shared" si="93"/>
        <v>#REF!</v>
      </c>
      <c r="AL63" s="298"/>
      <c r="AM63" s="302" t="e">
        <f t="shared" si="102"/>
        <v>#REF!</v>
      </c>
      <c r="AN63" s="298">
        <v>0</v>
      </c>
      <c r="AO63" s="303" t="e">
        <f t="shared" si="103"/>
        <v>#REF!</v>
      </c>
      <c r="AP63" s="298"/>
      <c r="AQ63" s="299"/>
      <c r="AR63" s="299"/>
      <c r="AS63" s="298"/>
    </row>
    <row r="64" spans="1:45" x14ac:dyDescent="0.2">
      <c r="A64" s="76">
        <f t="shared" si="2"/>
        <v>57</v>
      </c>
      <c r="B64" s="670"/>
      <c r="C64" s="671" t="s">
        <v>9</v>
      </c>
      <c r="D64" s="147"/>
      <c r="E64" s="112">
        <f>ROUND('Rates in Detail'!L54,5)</f>
        <v>1.4300000000000001E-3</v>
      </c>
      <c r="F64" s="112">
        <f>'Allocation = % of Margin'!AD55</f>
        <v>-2.4000000000000001E-4</v>
      </c>
      <c r="G64" s="147"/>
      <c r="H64" s="362">
        <f>ROUND('Rates in Detail'!N54,5)</f>
        <v>1.9140000000000001E-2</v>
      </c>
      <c r="I64" s="711">
        <f t="shared" si="13"/>
        <v>2.0570000000000001E-2</v>
      </c>
      <c r="J64" s="147"/>
      <c r="K64" s="145"/>
      <c r="L64" s="146"/>
      <c r="M64" s="112"/>
      <c r="N64" s="112"/>
      <c r="O64" s="112"/>
      <c r="P64" s="711"/>
      <c r="Q64" s="147"/>
      <c r="R64" s="287" t="e">
        <f>#REF!</f>
        <v>#REF!</v>
      </c>
      <c r="S64" s="300"/>
      <c r="T64" s="289"/>
      <c r="U64" s="290"/>
      <c r="V64" s="147"/>
      <c r="W64" s="302" t="e">
        <f t="shared" si="94"/>
        <v>#REF!</v>
      </c>
      <c r="X64" s="298">
        <f t="shared" si="95"/>
        <v>0</v>
      </c>
      <c r="Y64" s="298">
        <f t="shared" si="96"/>
        <v>0</v>
      </c>
      <c r="Z64" s="303"/>
      <c r="AA64" s="298"/>
      <c r="AB64" s="302" t="e">
        <f t="shared" si="97"/>
        <v>#REF!</v>
      </c>
      <c r="AC64" s="298">
        <f t="shared" si="98"/>
        <v>0</v>
      </c>
      <c r="AD64" s="303">
        <f t="shared" si="99"/>
        <v>0</v>
      </c>
      <c r="AE64" s="298"/>
      <c r="AF64" s="302" t="e">
        <f t="shared" si="100"/>
        <v>#REF!</v>
      </c>
      <c r="AG64" s="298">
        <f t="shared" si="100"/>
        <v>0</v>
      </c>
      <c r="AH64" s="303">
        <f t="shared" si="101"/>
        <v>0</v>
      </c>
      <c r="AI64" s="298"/>
      <c r="AJ64" s="327"/>
      <c r="AK64" s="329" t="e">
        <f t="shared" si="93"/>
        <v>#REF!</v>
      </c>
      <c r="AL64" s="298"/>
      <c r="AM64" s="302" t="e">
        <f t="shared" si="102"/>
        <v>#REF!</v>
      </c>
      <c r="AN64" s="298">
        <v>0</v>
      </c>
      <c r="AO64" s="303" t="e">
        <f t="shared" si="103"/>
        <v>#REF!</v>
      </c>
      <c r="AP64" s="298"/>
      <c r="AQ64" s="299"/>
      <c r="AR64" s="299"/>
      <c r="AS64" s="298"/>
    </row>
    <row r="65" spans="1:45" x14ac:dyDescent="0.2">
      <c r="A65" s="76">
        <f t="shared" si="2"/>
        <v>58</v>
      </c>
      <c r="B65" s="668"/>
      <c r="C65" s="686" t="s">
        <v>62</v>
      </c>
      <c r="D65" s="143"/>
      <c r="E65" s="113"/>
      <c r="F65" s="113"/>
      <c r="G65" s="143"/>
      <c r="H65" s="357"/>
      <c r="I65" s="710"/>
      <c r="J65" s="147"/>
      <c r="K65" s="145"/>
      <c r="L65" s="146"/>
      <c r="M65" s="112"/>
      <c r="N65" s="112"/>
      <c r="O65" s="112"/>
      <c r="P65" s="711"/>
      <c r="Q65" s="147"/>
      <c r="R65" s="287"/>
      <c r="S65" s="300"/>
      <c r="T65" s="289"/>
      <c r="U65" s="290"/>
      <c r="V65" s="147"/>
      <c r="W65" s="304" t="e">
        <f>SUM(W59:W64)</f>
        <v>#REF!</v>
      </c>
      <c r="X65" s="305" t="e">
        <f>SUM(X59:X64)</f>
        <v>#REF!</v>
      </c>
      <c r="Y65" s="305">
        <f>SUM(Y59:Y64)</f>
        <v>50664.465600000003</v>
      </c>
      <c r="Z65" s="306" t="e">
        <f>'Rate Spread SETTLEMENT'!T$15-SUM(W65:Y65)</f>
        <v>#REF!</v>
      </c>
      <c r="AA65" s="298"/>
      <c r="AB65" s="304" t="e">
        <f>SUM(AB59:AB64)</f>
        <v>#REF!</v>
      </c>
      <c r="AC65" s="305" t="e">
        <f>SUM(AC59:AC64)</f>
        <v>#REF!</v>
      </c>
      <c r="AD65" s="306">
        <f>SUM(AD59:AD64)</f>
        <v>50664.465600000003</v>
      </c>
      <c r="AE65" s="298"/>
      <c r="AF65" s="304" t="e">
        <f>SUM(AF59:AF64)</f>
        <v>#REF!</v>
      </c>
      <c r="AG65" s="305" t="e">
        <f>SUM(AG59:AG64)</f>
        <v>#REF!</v>
      </c>
      <c r="AH65" s="306">
        <f>SUM(AH59:AH64)</f>
        <v>0</v>
      </c>
      <c r="AI65" s="298"/>
      <c r="AJ65" s="327" t="e">
        <f>SUM(AF65:AH65)/SUM(W65:Y65)</f>
        <v>#REF!</v>
      </c>
      <c r="AK65" s="328" t="e">
        <f t="shared" si="93"/>
        <v>#REF!</v>
      </c>
      <c r="AL65" s="298"/>
      <c r="AM65" s="304" t="e">
        <f>SUM(AM59:AM64)</f>
        <v>#REF!</v>
      </c>
      <c r="AN65" s="305">
        <f>SUM(AN59:AN64)</f>
        <v>0</v>
      </c>
      <c r="AO65" s="306" t="e">
        <f>SUM(AO59:AO64)</f>
        <v>#REF!</v>
      </c>
      <c r="AP65" s="298"/>
      <c r="AQ65" s="299"/>
      <c r="AR65" s="299"/>
      <c r="AS65" s="298"/>
    </row>
    <row r="66" spans="1:45" x14ac:dyDescent="0.2">
      <c r="A66" s="76">
        <f t="shared" si="2"/>
        <v>59</v>
      </c>
      <c r="B66" s="670" t="e">
        <f>#REF!</f>
        <v>#REF!</v>
      </c>
      <c r="C66" s="671" t="s">
        <v>4</v>
      </c>
      <c r="D66" s="147"/>
      <c r="E66" s="112">
        <f>ROUND('Rates in Detail'!L55,5)</f>
        <v>2.2440000000000002E-2</v>
      </c>
      <c r="F66" s="112">
        <f>'Allocation = % of Margin'!AD56</f>
        <v>-1.8400000000000001E-3</v>
      </c>
      <c r="G66" s="147"/>
      <c r="H66" s="362">
        <f>ROUND('Rates in Detail'!N55,5)</f>
        <v>0.13682</v>
      </c>
      <c r="I66" s="711">
        <f t="shared" si="13"/>
        <v>0.15926000000000001</v>
      </c>
      <c r="J66" s="147"/>
      <c r="K66" s="145" t="e">
        <f>#REF!</f>
        <v>#REF!</v>
      </c>
      <c r="L66" s="146" t="e">
        <f>#REF!</f>
        <v>#REF!</v>
      </c>
      <c r="M66" s="112">
        <f>'Rates in Detail'!AH55</f>
        <v>0</v>
      </c>
      <c r="N66" s="112">
        <f>'Rates in Detail'!AI55</f>
        <v>0</v>
      </c>
      <c r="O66" s="112">
        <f>'Rates in Detail'!AJ55</f>
        <v>0</v>
      </c>
      <c r="P66" s="711">
        <f>'Rates in Detail'!AK55</f>
        <v>0</v>
      </c>
      <c r="Q66" s="147"/>
      <c r="R66" s="287" t="e">
        <f>#REF!</f>
        <v>#REF!</v>
      </c>
      <c r="S66" s="300">
        <v>4620</v>
      </c>
      <c r="T66" s="289" t="e">
        <f>#REF!</f>
        <v>#REF!</v>
      </c>
      <c r="U66" s="290" t="e">
        <f>#REF!</f>
        <v>#REF!</v>
      </c>
      <c r="V66" s="147"/>
      <c r="W66" s="302" t="e">
        <f t="shared" ref="W66:W71" si="104">(H66*R66)</f>
        <v>#REF!</v>
      </c>
      <c r="X66" s="298" t="e">
        <f t="shared" ref="X66:X71" si="105">(K66*T66*12)</f>
        <v>#REF!</v>
      </c>
      <c r="Y66" s="298">
        <f t="shared" ref="Y66:Y71" si="106">(S66*(M66+O66))*12</f>
        <v>0</v>
      </c>
      <c r="Z66" s="303"/>
      <c r="AA66" s="298"/>
      <c r="AB66" s="302" t="e">
        <f t="shared" ref="AB66:AB71" si="107">(I66*R66)</f>
        <v>#REF!</v>
      </c>
      <c r="AC66" s="298" t="e">
        <f t="shared" ref="AC66:AC71" si="108">(L66*T66*12)</f>
        <v>#REF!</v>
      </c>
      <c r="AD66" s="303">
        <f t="shared" ref="AD66:AD71" si="109">(S66*(N66+P66))*12</f>
        <v>0</v>
      </c>
      <c r="AE66" s="298"/>
      <c r="AF66" s="302" t="e">
        <f t="shared" ref="AF66:AG71" si="110">AB66-W66</f>
        <v>#REF!</v>
      </c>
      <c r="AG66" s="298" t="e">
        <f t="shared" si="110"/>
        <v>#REF!</v>
      </c>
      <c r="AH66" s="303">
        <f t="shared" ref="AH66:AH71" si="111">AD66-Y66</f>
        <v>0</v>
      </c>
      <c r="AI66" s="298"/>
      <c r="AJ66" s="327"/>
      <c r="AK66" s="329" t="e">
        <f t="shared" si="93"/>
        <v>#REF!</v>
      </c>
      <c r="AL66" s="298"/>
      <c r="AM66" s="302" t="e">
        <f t="shared" ref="AM66:AM71" si="112">(F66*R66)</f>
        <v>#REF!</v>
      </c>
      <c r="AN66" s="298">
        <v>0</v>
      </c>
      <c r="AO66" s="303" t="e">
        <f t="shared" ref="AO66:AO71" si="113">(AE66*(Y66+AB66))*12</f>
        <v>#REF!</v>
      </c>
      <c r="AP66" s="298"/>
      <c r="AQ66" s="299"/>
      <c r="AR66" s="299"/>
      <c r="AS66" s="298"/>
    </row>
    <row r="67" spans="1:45" x14ac:dyDescent="0.2">
      <c r="A67" s="76">
        <f t="shared" si="2"/>
        <v>60</v>
      </c>
      <c r="B67" s="670"/>
      <c r="C67" s="671" t="s">
        <v>5</v>
      </c>
      <c r="D67" s="147"/>
      <c r="E67" s="112">
        <f>ROUND('Rates in Detail'!L56,5)</f>
        <v>2.009E-2</v>
      </c>
      <c r="F67" s="112">
        <f>'Allocation = % of Margin'!AD57</f>
        <v>-1.64E-3</v>
      </c>
      <c r="G67" s="147"/>
      <c r="H67" s="362">
        <f>ROUND('Rates in Detail'!N56,5)</f>
        <v>0.12247</v>
      </c>
      <c r="I67" s="711">
        <f t="shared" si="13"/>
        <v>0.14255999999999999</v>
      </c>
      <c r="J67" s="147"/>
      <c r="K67" s="687"/>
      <c r="L67" s="361"/>
      <c r="M67" s="112"/>
      <c r="N67" s="112"/>
      <c r="O67" s="112"/>
      <c r="P67" s="711"/>
      <c r="Q67" s="147"/>
      <c r="R67" s="287" t="e">
        <f>#REF!</f>
        <v>#REF!</v>
      </c>
      <c r="S67" s="300"/>
      <c r="T67" s="289"/>
      <c r="U67" s="290"/>
      <c r="V67" s="147"/>
      <c r="W67" s="302" t="e">
        <f t="shared" si="104"/>
        <v>#REF!</v>
      </c>
      <c r="X67" s="298">
        <f t="shared" si="105"/>
        <v>0</v>
      </c>
      <c r="Y67" s="298">
        <f t="shared" si="106"/>
        <v>0</v>
      </c>
      <c r="Z67" s="303"/>
      <c r="AA67" s="298"/>
      <c r="AB67" s="302" t="e">
        <f t="shared" si="107"/>
        <v>#REF!</v>
      </c>
      <c r="AC67" s="298">
        <f t="shared" si="108"/>
        <v>0</v>
      </c>
      <c r="AD67" s="303">
        <f t="shared" si="109"/>
        <v>0</v>
      </c>
      <c r="AE67" s="298"/>
      <c r="AF67" s="302" t="e">
        <f t="shared" si="110"/>
        <v>#REF!</v>
      </c>
      <c r="AG67" s="298">
        <f t="shared" si="110"/>
        <v>0</v>
      </c>
      <c r="AH67" s="303">
        <f t="shared" si="111"/>
        <v>0</v>
      </c>
      <c r="AI67" s="298"/>
      <c r="AJ67" s="327"/>
      <c r="AK67" s="329" t="e">
        <f t="shared" si="93"/>
        <v>#REF!</v>
      </c>
      <c r="AL67" s="298"/>
      <c r="AM67" s="302" t="e">
        <f t="shared" si="112"/>
        <v>#REF!</v>
      </c>
      <c r="AN67" s="298">
        <v>0</v>
      </c>
      <c r="AO67" s="303" t="e">
        <f t="shared" si="113"/>
        <v>#REF!</v>
      </c>
      <c r="AP67" s="298"/>
      <c r="AQ67" s="299"/>
      <c r="AR67" s="299"/>
      <c r="AS67" s="298"/>
    </row>
    <row r="68" spans="1:45" x14ac:dyDescent="0.2">
      <c r="A68" s="76">
        <f t="shared" si="2"/>
        <v>61</v>
      </c>
      <c r="B68" s="670"/>
      <c r="C68" s="671" t="s">
        <v>6</v>
      </c>
      <c r="D68" s="147"/>
      <c r="E68" s="112">
        <f>ROUND('Rates in Detail'!L57,5)</f>
        <v>1.54E-2</v>
      </c>
      <c r="F68" s="112">
        <f>'Allocation = % of Margin'!AD58</f>
        <v>-1.2600000000000001E-3</v>
      </c>
      <c r="G68" s="147"/>
      <c r="H68" s="362">
        <f>ROUND('Rates in Detail'!N57,5)</f>
        <v>9.3909999999999993E-2</v>
      </c>
      <c r="I68" s="711">
        <f t="shared" si="13"/>
        <v>0.10930999999999999</v>
      </c>
      <c r="J68" s="147"/>
      <c r="K68" s="145"/>
      <c r="L68" s="146"/>
      <c r="M68" s="112"/>
      <c r="N68" s="112"/>
      <c r="O68" s="112"/>
      <c r="P68" s="711"/>
      <c r="Q68" s="147"/>
      <c r="R68" s="287" t="e">
        <f>#REF!</f>
        <v>#REF!</v>
      </c>
      <c r="S68" s="300"/>
      <c r="T68" s="289"/>
      <c r="U68" s="290"/>
      <c r="V68" s="147"/>
      <c r="W68" s="302" t="e">
        <f t="shared" si="104"/>
        <v>#REF!</v>
      </c>
      <c r="X68" s="298">
        <f t="shared" si="105"/>
        <v>0</v>
      </c>
      <c r="Y68" s="298">
        <f t="shared" si="106"/>
        <v>0</v>
      </c>
      <c r="Z68" s="303"/>
      <c r="AA68" s="298"/>
      <c r="AB68" s="302" t="e">
        <f t="shared" si="107"/>
        <v>#REF!</v>
      </c>
      <c r="AC68" s="298">
        <f t="shared" si="108"/>
        <v>0</v>
      </c>
      <c r="AD68" s="303">
        <f t="shared" si="109"/>
        <v>0</v>
      </c>
      <c r="AE68" s="298"/>
      <c r="AF68" s="302" t="e">
        <f t="shared" si="110"/>
        <v>#REF!</v>
      </c>
      <c r="AG68" s="298">
        <f t="shared" si="110"/>
        <v>0</v>
      </c>
      <c r="AH68" s="303">
        <f t="shared" si="111"/>
        <v>0</v>
      </c>
      <c r="AI68" s="298"/>
      <c r="AJ68" s="327"/>
      <c r="AK68" s="329" t="e">
        <f t="shared" si="93"/>
        <v>#REF!</v>
      </c>
      <c r="AL68" s="298"/>
      <c r="AM68" s="302" t="e">
        <f t="shared" si="112"/>
        <v>#REF!</v>
      </c>
      <c r="AN68" s="298">
        <v>0</v>
      </c>
      <c r="AO68" s="303" t="e">
        <f t="shared" si="113"/>
        <v>#REF!</v>
      </c>
      <c r="AP68" s="298"/>
      <c r="AQ68" s="299"/>
      <c r="AR68" s="299"/>
      <c r="AS68" s="298"/>
    </row>
    <row r="69" spans="1:45" x14ac:dyDescent="0.2">
      <c r="A69" s="76">
        <f t="shared" si="2"/>
        <v>62</v>
      </c>
      <c r="B69" s="670"/>
      <c r="C69" s="671" t="s">
        <v>7</v>
      </c>
      <c r="D69" s="147"/>
      <c r="E69" s="112">
        <f>ROUND('Rates in Detail'!L58,5)</f>
        <v>1.2319999999999999E-2</v>
      </c>
      <c r="F69" s="112">
        <f>'Allocation = % of Margin'!AD59</f>
        <v>-1.01E-3</v>
      </c>
      <c r="G69" s="147"/>
      <c r="H69" s="362">
        <f>ROUND('Rates in Detail'!N58,5)</f>
        <v>7.5130000000000002E-2</v>
      </c>
      <c r="I69" s="711">
        <f t="shared" si="13"/>
        <v>8.745E-2</v>
      </c>
      <c r="J69" s="147"/>
      <c r="K69" s="145"/>
      <c r="L69" s="146"/>
      <c r="M69" s="112"/>
      <c r="N69" s="112"/>
      <c r="O69" s="112"/>
      <c r="P69" s="711"/>
      <c r="Q69" s="147"/>
      <c r="R69" s="287" t="e">
        <f>#REF!</f>
        <v>#REF!</v>
      </c>
      <c r="S69" s="300"/>
      <c r="T69" s="289"/>
      <c r="U69" s="290"/>
      <c r="V69" s="147"/>
      <c r="W69" s="302" t="e">
        <f t="shared" si="104"/>
        <v>#REF!</v>
      </c>
      <c r="X69" s="298">
        <f t="shared" si="105"/>
        <v>0</v>
      </c>
      <c r="Y69" s="298">
        <f t="shared" si="106"/>
        <v>0</v>
      </c>
      <c r="Z69" s="303"/>
      <c r="AA69" s="298"/>
      <c r="AB69" s="302" t="e">
        <f t="shared" si="107"/>
        <v>#REF!</v>
      </c>
      <c r="AC69" s="298">
        <f t="shared" si="108"/>
        <v>0</v>
      </c>
      <c r="AD69" s="303">
        <f t="shared" si="109"/>
        <v>0</v>
      </c>
      <c r="AE69" s="298"/>
      <c r="AF69" s="302" t="e">
        <f t="shared" si="110"/>
        <v>#REF!</v>
      </c>
      <c r="AG69" s="298">
        <f t="shared" si="110"/>
        <v>0</v>
      </c>
      <c r="AH69" s="303">
        <f t="shared" si="111"/>
        <v>0</v>
      </c>
      <c r="AI69" s="298"/>
      <c r="AJ69" s="327"/>
      <c r="AK69" s="329" t="e">
        <f t="shared" si="93"/>
        <v>#REF!</v>
      </c>
      <c r="AL69" s="298"/>
      <c r="AM69" s="302" t="e">
        <f t="shared" si="112"/>
        <v>#REF!</v>
      </c>
      <c r="AN69" s="298">
        <v>0</v>
      </c>
      <c r="AO69" s="303" t="e">
        <f t="shared" si="113"/>
        <v>#REF!</v>
      </c>
      <c r="AP69" s="298"/>
      <c r="AQ69" s="299"/>
      <c r="AR69" s="299"/>
      <c r="AS69" s="298"/>
    </row>
    <row r="70" spans="1:45" x14ac:dyDescent="0.2">
      <c r="A70" s="76">
        <f t="shared" si="2"/>
        <v>63</v>
      </c>
      <c r="B70" s="670"/>
      <c r="C70" s="671" t="s">
        <v>8</v>
      </c>
      <c r="D70" s="147"/>
      <c r="E70" s="112">
        <f>ROUND('Rates in Detail'!L59,5)</f>
        <v>8.2199999999999999E-3</v>
      </c>
      <c r="F70" s="112">
        <f>'Allocation = % of Margin'!AD60</f>
        <v>-6.7000000000000002E-4</v>
      </c>
      <c r="G70" s="147"/>
      <c r="H70" s="362">
        <f>ROUND('Rates in Detail'!N59,5)</f>
        <v>5.0090000000000003E-2</v>
      </c>
      <c r="I70" s="711">
        <f t="shared" si="13"/>
        <v>5.8310000000000001E-2</v>
      </c>
      <c r="J70" s="147"/>
      <c r="K70" s="145"/>
      <c r="L70" s="146"/>
      <c r="M70" s="112"/>
      <c r="N70" s="112"/>
      <c r="O70" s="112"/>
      <c r="P70" s="711"/>
      <c r="Q70" s="147"/>
      <c r="R70" s="287" t="e">
        <f>#REF!</f>
        <v>#REF!</v>
      </c>
      <c r="S70" s="300"/>
      <c r="T70" s="289"/>
      <c r="U70" s="290"/>
      <c r="V70" s="147"/>
      <c r="W70" s="302" t="e">
        <f t="shared" si="104"/>
        <v>#REF!</v>
      </c>
      <c r="X70" s="298">
        <f t="shared" si="105"/>
        <v>0</v>
      </c>
      <c r="Y70" s="298">
        <f t="shared" si="106"/>
        <v>0</v>
      </c>
      <c r="Z70" s="303"/>
      <c r="AA70" s="298"/>
      <c r="AB70" s="302" t="e">
        <f t="shared" si="107"/>
        <v>#REF!</v>
      </c>
      <c r="AC70" s="298">
        <f t="shared" si="108"/>
        <v>0</v>
      </c>
      <c r="AD70" s="303">
        <f t="shared" si="109"/>
        <v>0</v>
      </c>
      <c r="AE70" s="298"/>
      <c r="AF70" s="302" t="e">
        <f t="shared" si="110"/>
        <v>#REF!</v>
      </c>
      <c r="AG70" s="298">
        <f t="shared" si="110"/>
        <v>0</v>
      </c>
      <c r="AH70" s="303">
        <f t="shared" si="111"/>
        <v>0</v>
      </c>
      <c r="AI70" s="298"/>
      <c r="AJ70" s="327"/>
      <c r="AK70" s="329" t="e">
        <f t="shared" si="93"/>
        <v>#REF!</v>
      </c>
      <c r="AL70" s="298"/>
      <c r="AM70" s="302" t="e">
        <f t="shared" si="112"/>
        <v>#REF!</v>
      </c>
      <c r="AN70" s="298">
        <v>0</v>
      </c>
      <c r="AO70" s="303" t="e">
        <f t="shared" si="113"/>
        <v>#REF!</v>
      </c>
      <c r="AP70" s="298"/>
      <c r="AQ70" s="299"/>
      <c r="AR70" s="299"/>
      <c r="AS70" s="298"/>
    </row>
    <row r="71" spans="1:45" x14ac:dyDescent="0.2">
      <c r="A71" s="76">
        <f t="shared" si="2"/>
        <v>64</v>
      </c>
      <c r="B71" s="670"/>
      <c r="C71" s="671" t="s">
        <v>9</v>
      </c>
      <c r="D71" s="147"/>
      <c r="E71" s="112">
        <f>ROUND('Rates in Detail'!L60,5)</f>
        <v>3.0799999999999998E-3</v>
      </c>
      <c r="F71" s="112">
        <f>'Allocation = % of Margin'!AD61</f>
        <v>-2.5000000000000001E-4</v>
      </c>
      <c r="G71" s="147"/>
      <c r="H71" s="362">
        <f>ROUND('Rates in Detail'!N60,5)</f>
        <v>1.8790000000000001E-2</v>
      </c>
      <c r="I71" s="711">
        <f t="shared" si="13"/>
        <v>2.1870000000000001E-2</v>
      </c>
      <c r="J71" s="147"/>
      <c r="K71" s="145"/>
      <c r="L71" s="146"/>
      <c r="M71" s="112"/>
      <c r="N71" s="112"/>
      <c r="O71" s="112"/>
      <c r="P71" s="711"/>
      <c r="Q71" s="147"/>
      <c r="R71" s="287" t="e">
        <f>#REF!</f>
        <v>#REF!</v>
      </c>
      <c r="S71" s="300"/>
      <c r="T71" s="289"/>
      <c r="U71" s="290"/>
      <c r="V71" s="147"/>
      <c r="W71" s="302" t="e">
        <f t="shared" si="104"/>
        <v>#REF!</v>
      </c>
      <c r="X71" s="298">
        <f t="shared" si="105"/>
        <v>0</v>
      </c>
      <c r="Y71" s="298">
        <f t="shared" si="106"/>
        <v>0</v>
      </c>
      <c r="Z71" s="303"/>
      <c r="AA71" s="298"/>
      <c r="AB71" s="302" t="e">
        <f t="shared" si="107"/>
        <v>#REF!</v>
      </c>
      <c r="AC71" s="298">
        <f t="shared" si="108"/>
        <v>0</v>
      </c>
      <c r="AD71" s="303">
        <f t="shared" si="109"/>
        <v>0</v>
      </c>
      <c r="AE71" s="298"/>
      <c r="AF71" s="302" t="e">
        <f t="shared" si="110"/>
        <v>#REF!</v>
      </c>
      <c r="AG71" s="298">
        <f t="shared" si="110"/>
        <v>0</v>
      </c>
      <c r="AH71" s="303">
        <f t="shared" si="111"/>
        <v>0</v>
      </c>
      <c r="AI71" s="298"/>
      <c r="AJ71" s="327"/>
      <c r="AK71" s="329" t="e">
        <f>AK70</f>
        <v>#REF!</v>
      </c>
      <c r="AL71" s="298"/>
      <c r="AM71" s="302" t="e">
        <f t="shared" si="112"/>
        <v>#REF!</v>
      </c>
      <c r="AN71" s="298">
        <v>0</v>
      </c>
      <c r="AO71" s="303" t="e">
        <f t="shared" si="113"/>
        <v>#REF!</v>
      </c>
      <c r="AP71" s="298"/>
      <c r="AQ71" s="299"/>
      <c r="AR71" s="299"/>
      <c r="AS71" s="298"/>
    </row>
    <row r="72" spans="1:45" x14ac:dyDescent="0.2">
      <c r="A72" s="76">
        <f t="shared" si="2"/>
        <v>65</v>
      </c>
      <c r="B72" s="668"/>
      <c r="C72" s="686" t="s">
        <v>62</v>
      </c>
      <c r="D72" s="143"/>
      <c r="E72" s="113"/>
      <c r="F72" s="113"/>
      <c r="G72" s="143"/>
      <c r="H72" s="357"/>
      <c r="I72" s="710"/>
      <c r="J72" s="147"/>
      <c r="K72" s="145"/>
      <c r="L72" s="146"/>
      <c r="M72" s="112"/>
      <c r="N72" s="112"/>
      <c r="O72" s="112"/>
      <c r="P72" s="711"/>
      <c r="Q72" s="147"/>
      <c r="R72" s="287"/>
      <c r="S72" s="300"/>
      <c r="T72" s="289"/>
      <c r="U72" s="290"/>
      <c r="V72" s="147"/>
      <c r="W72" s="304" t="e">
        <f>SUM(W66:W71)</f>
        <v>#REF!</v>
      </c>
      <c r="X72" s="305" t="e">
        <f>SUM(X66:X71)</f>
        <v>#REF!</v>
      </c>
      <c r="Y72" s="305">
        <f>SUM(Y66:Y71)</f>
        <v>0</v>
      </c>
      <c r="Z72" s="306" t="e">
        <f>'Rate Spread SETTLEMENT'!U$15-SUM(W72:Y72)</f>
        <v>#REF!</v>
      </c>
      <c r="AA72" s="298"/>
      <c r="AB72" s="304" t="e">
        <f>SUM(AB66:AB71)</f>
        <v>#REF!</v>
      </c>
      <c r="AC72" s="305" t="e">
        <f>SUM(AC66:AC71)</f>
        <v>#REF!</v>
      </c>
      <c r="AD72" s="306">
        <f>SUM(AD66:AD71)</f>
        <v>0</v>
      </c>
      <c r="AE72" s="298"/>
      <c r="AF72" s="304" t="e">
        <f>SUM(AF66:AF71)</f>
        <v>#REF!</v>
      </c>
      <c r="AG72" s="305" t="e">
        <f>SUM(AG66:AG71)</f>
        <v>#REF!</v>
      </c>
      <c r="AH72" s="306">
        <f>SUM(AH66:AH71)</f>
        <v>0</v>
      </c>
      <c r="AI72" s="298"/>
      <c r="AJ72" s="327" t="e">
        <f>SUM(AF72:AH72)/SUM(W72:Y72)</f>
        <v>#REF!</v>
      </c>
      <c r="AK72" s="328" t="e">
        <f t="shared" ref="AK72:AK77" si="114">SUM(AF72)/SUM(W72)</f>
        <v>#REF!</v>
      </c>
      <c r="AL72" s="298"/>
      <c r="AM72" s="304" t="e">
        <f>SUM(AM66:AM71)</f>
        <v>#REF!</v>
      </c>
      <c r="AN72" s="305">
        <f>SUM(AN66:AN71)</f>
        <v>0</v>
      </c>
      <c r="AO72" s="306" t="e">
        <f>SUM(AO66:AO71)</f>
        <v>#REF!</v>
      </c>
      <c r="AP72" s="298"/>
      <c r="AQ72" s="308"/>
      <c r="AR72" s="299"/>
      <c r="AS72" s="298"/>
    </row>
    <row r="73" spans="1:45" x14ac:dyDescent="0.2">
      <c r="A73" s="76">
        <f t="shared" si="2"/>
        <v>66</v>
      </c>
      <c r="B73" s="670" t="e">
        <f>#REF!</f>
        <v>#REF!</v>
      </c>
      <c r="C73" s="671" t="s">
        <v>4</v>
      </c>
      <c r="D73" s="147"/>
      <c r="E73" s="112">
        <f>ROUND('Rates in Detail'!L61,5)</f>
        <v>1.495E-2</v>
      </c>
      <c r="F73" s="112">
        <f>'Allocation = % of Margin'!AD62</f>
        <v>-2.5400000000000002E-3</v>
      </c>
      <c r="G73" s="147"/>
      <c r="H73" s="362">
        <f>ROUND('Rates in Detail'!N61,5)</f>
        <v>0.14584</v>
      </c>
      <c r="I73" s="711">
        <f t="shared" si="13"/>
        <v>0.16078999999999999</v>
      </c>
      <c r="J73" s="147"/>
      <c r="K73" s="145" t="e">
        <f>#REF!</f>
        <v>#REF!</v>
      </c>
      <c r="L73" s="146" t="e">
        <f>#REF!</f>
        <v>#REF!</v>
      </c>
      <c r="M73" s="112">
        <f>'Rates in Detail'!AH61</f>
        <v>0</v>
      </c>
      <c r="N73" s="112">
        <f>'Rates in Detail'!AI61</f>
        <v>0</v>
      </c>
      <c r="O73" s="112">
        <f>'Rates in Detail'!AJ61</f>
        <v>0</v>
      </c>
      <c r="P73" s="711">
        <f>'Rates in Detail'!AK61</f>
        <v>0</v>
      </c>
      <c r="Q73" s="147"/>
      <c r="R73" s="287" t="e">
        <f>#REF!</f>
        <v>#REF!</v>
      </c>
      <c r="S73" s="300">
        <v>2934</v>
      </c>
      <c r="T73" s="289" t="e">
        <f>#REF!</f>
        <v>#REF!</v>
      </c>
      <c r="U73" s="290" t="e">
        <f>#REF!</f>
        <v>#REF!</v>
      </c>
      <c r="V73" s="147"/>
      <c r="W73" s="302" t="e">
        <f t="shared" ref="W73:W78" si="115">(H73*R73)</f>
        <v>#REF!</v>
      </c>
      <c r="X73" s="298" t="e">
        <f t="shared" ref="X73:X78" si="116">(K73*T73*12)</f>
        <v>#REF!</v>
      </c>
      <c r="Y73" s="298">
        <f t="shared" ref="Y73:Y78" si="117">(S73*(M73+O73))*12</f>
        <v>0</v>
      </c>
      <c r="Z73" s="303"/>
      <c r="AA73" s="298"/>
      <c r="AB73" s="302" t="e">
        <f t="shared" ref="AB73:AB78" si="118">(I73*R73)</f>
        <v>#REF!</v>
      </c>
      <c r="AC73" s="298" t="e">
        <f t="shared" ref="AC73:AC78" si="119">(L73*T73*12)</f>
        <v>#REF!</v>
      </c>
      <c r="AD73" s="303">
        <f t="shared" ref="AD73:AD78" si="120">(S73*(N73+P73))*12</f>
        <v>0</v>
      </c>
      <c r="AE73" s="298"/>
      <c r="AF73" s="302" t="e">
        <f t="shared" ref="AF73:AG78" si="121">AB73-W73</f>
        <v>#REF!</v>
      </c>
      <c r="AG73" s="298" t="e">
        <f t="shared" si="121"/>
        <v>#REF!</v>
      </c>
      <c r="AH73" s="303">
        <f t="shared" ref="AH73:AH78" si="122">AD73-Y73</f>
        <v>0</v>
      </c>
      <c r="AI73" s="298"/>
      <c r="AJ73" s="327"/>
      <c r="AK73" s="329" t="e">
        <f t="shared" si="114"/>
        <v>#REF!</v>
      </c>
      <c r="AL73" s="298"/>
      <c r="AM73" s="302" t="e">
        <f t="shared" ref="AM73:AM78" si="123">(F73*R73)</f>
        <v>#REF!</v>
      </c>
      <c r="AN73" s="298">
        <v>0</v>
      </c>
      <c r="AO73" s="303" t="e">
        <f t="shared" ref="AO73:AO78" si="124">(AE73*(Y73+AB73))*12</f>
        <v>#REF!</v>
      </c>
      <c r="AP73" s="298"/>
      <c r="AQ73" s="299"/>
      <c r="AR73" s="299"/>
      <c r="AS73" s="298"/>
    </row>
    <row r="74" spans="1:45" x14ac:dyDescent="0.2">
      <c r="A74" s="76">
        <f t="shared" ref="A74:A102" si="125">+A73+1</f>
        <v>67</v>
      </c>
      <c r="B74" s="670"/>
      <c r="C74" s="671" t="s">
        <v>5</v>
      </c>
      <c r="D74" s="147"/>
      <c r="E74" s="112">
        <f>ROUND('Rates in Detail'!L62,5)</f>
        <v>1.338E-2</v>
      </c>
      <c r="F74" s="112">
        <f>'Allocation = % of Margin'!AD63</f>
        <v>-2.2699999999999999E-3</v>
      </c>
      <c r="G74" s="147"/>
      <c r="H74" s="362">
        <f>ROUND('Rates in Detail'!N62,5)</f>
        <v>0.13055</v>
      </c>
      <c r="I74" s="711">
        <f t="shared" si="13"/>
        <v>0.14393</v>
      </c>
      <c r="J74" s="147"/>
      <c r="K74" s="145"/>
      <c r="L74" s="146"/>
      <c r="M74" s="112"/>
      <c r="N74" s="112"/>
      <c r="O74" s="112"/>
      <c r="P74" s="711"/>
      <c r="Q74" s="147"/>
      <c r="R74" s="287" t="e">
        <f>#REF!</f>
        <v>#REF!</v>
      </c>
      <c r="S74" s="300"/>
      <c r="T74" s="289"/>
      <c r="U74" s="290"/>
      <c r="V74" s="147"/>
      <c r="W74" s="302" t="e">
        <f t="shared" si="115"/>
        <v>#REF!</v>
      </c>
      <c r="X74" s="298">
        <f t="shared" si="116"/>
        <v>0</v>
      </c>
      <c r="Y74" s="298">
        <f t="shared" si="117"/>
        <v>0</v>
      </c>
      <c r="Z74" s="303"/>
      <c r="AA74" s="298"/>
      <c r="AB74" s="302" t="e">
        <f t="shared" si="118"/>
        <v>#REF!</v>
      </c>
      <c r="AC74" s="298">
        <f t="shared" si="119"/>
        <v>0</v>
      </c>
      <c r="AD74" s="303">
        <f t="shared" si="120"/>
        <v>0</v>
      </c>
      <c r="AE74" s="298"/>
      <c r="AF74" s="302" t="e">
        <f t="shared" si="121"/>
        <v>#REF!</v>
      </c>
      <c r="AG74" s="298">
        <f t="shared" si="121"/>
        <v>0</v>
      </c>
      <c r="AH74" s="303">
        <f t="shared" si="122"/>
        <v>0</v>
      </c>
      <c r="AI74" s="298"/>
      <c r="AJ74" s="327"/>
      <c r="AK74" s="329" t="e">
        <f t="shared" si="114"/>
        <v>#REF!</v>
      </c>
      <c r="AL74" s="298"/>
      <c r="AM74" s="302" t="e">
        <f t="shared" si="123"/>
        <v>#REF!</v>
      </c>
      <c r="AN74" s="298">
        <v>0</v>
      </c>
      <c r="AO74" s="303" t="e">
        <f t="shared" si="124"/>
        <v>#REF!</v>
      </c>
      <c r="AP74" s="298"/>
      <c r="AQ74" s="299"/>
      <c r="AR74" s="299"/>
      <c r="AS74" s="298"/>
    </row>
    <row r="75" spans="1:45" x14ac:dyDescent="0.2">
      <c r="A75" s="76">
        <f t="shared" si="125"/>
        <v>68</v>
      </c>
      <c r="B75" s="670"/>
      <c r="C75" s="671" t="s">
        <v>6</v>
      </c>
      <c r="D75" s="147"/>
      <c r="E75" s="112">
        <f>ROUND('Rates in Detail'!L63,5)</f>
        <v>1.026E-2</v>
      </c>
      <c r="F75" s="112">
        <f>'Allocation = % of Margin'!AD64</f>
        <v>-1.74E-3</v>
      </c>
      <c r="G75" s="147"/>
      <c r="H75" s="362">
        <f>ROUND('Rates in Detail'!N63,5)</f>
        <v>0.10011</v>
      </c>
      <c r="I75" s="711">
        <f t="shared" si="13"/>
        <v>0.11037000000000001</v>
      </c>
      <c r="J75" s="147"/>
      <c r="K75" s="145"/>
      <c r="L75" s="146"/>
      <c r="M75" s="112"/>
      <c r="N75" s="112"/>
      <c r="O75" s="112"/>
      <c r="P75" s="711"/>
      <c r="Q75" s="147"/>
      <c r="R75" s="287" t="e">
        <f>#REF!</f>
        <v>#REF!</v>
      </c>
      <c r="S75" s="300"/>
      <c r="T75" s="289"/>
      <c r="U75" s="290"/>
      <c r="V75" s="147"/>
      <c r="W75" s="302" t="e">
        <f t="shared" si="115"/>
        <v>#REF!</v>
      </c>
      <c r="X75" s="298">
        <f t="shared" si="116"/>
        <v>0</v>
      </c>
      <c r="Y75" s="298">
        <f t="shared" si="117"/>
        <v>0</v>
      </c>
      <c r="Z75" s="303"/>
      <c r="AA75" s="298"/>
      <c r="AB75" s="302" t="e">
        <f t="shared" si="118"/>
        <v>#REF!</v>
      </c>
      <c r="AC75" s="298">
        <f t="shared" si="119"/>
        <v>0</v>
      </c>
      <c r="AD75" s="303">
        <f t="shared" si="120"/>
        <v>0</v>
      </c>
      <c r="AE75" s="298"/>
      <c r="AF75" s="302" t="e">
        <f t="shared" si="121"/>
        <v>#REF!</v>
      </c>
      <c r="AG75" s="298">
        <f t="shared" si="121"/>
        <v>0</v>
      </c>
      <c r="AH75" s="303">
        <f t="shared" si="122"/>
        <v>0</v>
      </c>
      <c r="AI75" s="298"/>
      <c r="AJ75" s="327"/>
      <c r="AK75" s="329" t="e">
        <f t="shared" si="114"/>
        <v>#REF!</v>
      </c>
      <c r="AL75" s="298"/>
      <c r="AM75" s="302" t="e">
        <f t="shared" si="123"/>
        <v>#REF!</v>
      </c>
      <c r="AN75" s="298">
        <v>0</v>
      </c>
      <c r="AO75" s="303" t="e">
        <f t="shared" si="124"/>
        <v>#REF!</v>
      </c>
      <c r="AP75" s="298"/>
      <c r="AQ75" s="299"/>
      <c r="AR75" s="299"/>
      <c r="AS75" s="298"/>
    </row>
    <row r="76" spans="1:45" x14ac:dyDescent="0.2">
      <c r="A76" s="76">
        <f t="shared" si="125"/>
        <v>69</v>
      </c>
      <c r="B76" s="670"/>
      <c r="C76" s="671" t="s">
        <v>7</v>
      </c>
      <c r="D76" s="147"/>
      <c r="E76" s="112">
        <f>ROUND('Rates in Detail'!L64,5)</f>
        <v>8.2100000000000003E-3</v>
      </c>
      <c r="F76" s="112">
        <f>'Allocation = % of Margin'!AD65</f>
        <v>-1.39E-3</v>
      </c>
      <c r="G76" s="147"/>
      <c r="H76" s="362">
        <f>ROUND('Rates in Detail'!N64,5)</f>
        <v>8.0089999999999995E-2</v>
      </c>
      <c r="I76" s="711">
        <f t="shared" si="13"/>
        <v>8.829999999999999E-2</v>
      </c>
      <c r="J76" s="147"/>
      <c r="K76" s="145"/>
      <c r="L76" s="146"/>
      <c r="M76" s="112"/>
      <c r="N76" s="112"/>
      <c r="O76" s="112"/>
      <c r="P76" s="711"/>
      <c r="Q76" s="147"/>
      <c r="R76" s="287" t="e">
        <f>#REF!</f>
        <v>#REF!</v>
      </c>
      <c r="S76" s="300"/>
      <c r="T76" s="289"/>
      <c r="U76" s="290"/>
      <c r="V76" s="147"/>
      <c r="W76" s="302" t="e">
        <f t="shared" si="115"/>
        <v>#REF!</v>
      </c>
      <c r="X76" s="298">
        <f t="shared" si="116"/>
        <v>0</v>
      </c>
      <c r="Y76" s="298">
        <f t="shared" si="117"/>
        <v>0</v>
      </c>
      <c r="Z76" s="303"/>
      <c r="AA76" s="298"/>
      <c r="AB76" s="302" t="e">
        <f t="shared" si="118"/>
        <v>#REF!</v>
      </c>
      <c r="AC76" s="298">
        <f t="shared" si="119"/>
        <v>0</v>
      </c>
      <c r="AD76" s="303">
        <f t="shared" si="120"/>
        <v>0</v>
      </c>
      <c r="AE76" s="298"/>
      <c r="AF76" s="302" t="e">
        <f t="shared" si="121"/>
        <v>#REF!</v>
      </c>
      <c r="AG76" s="298">
        <f t="shared" si="121"/>
        <v>0</v>
      </c>
      <c r="AH76" s="303">
        <f t="shared" si="122"/>
        <v>0</v>
      </c>
      <c r="AI76" s="298"/>
      <c r="AJ76" s="327"/>
      <c r="AK76" s="329" t="e">
        <f t="shared" si="114"/>
        <v>#REF!</v>
      </c>
      <c r="AL76" s="298"/>
      <c r="AM76" s="302" t="e">
        <f t="shared" si="123"/>
        <v>#REF!</v>
      </c>
      <c r="AN76" s="298">
        <v>0</v>
      </c>
      <c r="AO76" s="303" t="e">
        <f t="shared" si="124"/>
        <v>#REF!</v>
      </c>
      <c r="AP76" s="298"/>
      <c r="AQ76" s="299"/>
      <c r="AR76" s="299"/>
      <c r="AS76" s="298"/>
    </row>
    <row r="77" spans="1:45" x14ac:dyDescent="0.2">
      <c r="A77" s="76">
        <f t="shared" si="125"/>
        <v>70</v>
      </c>
      <c r="B77" s="670"/>
      <c r="C77" s="671" t="s">
        <v>8</v>
      </c>
      <c r="D77" s="147"/>
      <c r="E77" s="112">
        <f>ROUND('Rates in Detail'!L65,5)</f>
        <v>5.47E-3</v>
      </c>
      <c r="F77" s="112">
        <f>'Allocation = % of Margin'!AD66</f>
        <v>-9.3000000000000005E-4</v>
      </c>
      <c r="G77" s="147"/>
      <c r="H77" s="362">
        <f>ROUND('Rates in Detail'!N65,5)</f>
        <v>5.339E-2</v>
      </c>
      <c r="I77" s="711">
        <f t="shared" si="13"/>
        <v>5.8860000000000003E-2</v>
      </c>
      <c r="J77" s="147"/>
      <c r="K77" s="145"/>
      <c r="L77" s="146"/>
      <c r="M77" s="112"/>
      <c r="N77" s="112"/>
      <c r="O77" s="112"/>
      <c r="P77" s="711"/>
      <c r="Q77" s="147"/>
      <c r="R77" s="287" t="e">
        <f>#REF!</f>
        <v>#REF!</v>
      </c>
      <c r="S77" s="300"/>
      <c r="T77" s="289"/>
      <c r="U77" s="290"/>
      <c r="V77" s="147"/>
      <c r="W77" s="302" t="e">
        <f t="shared" si="115"/>
        <v>#REF!</v>
      </c>
      <c r="X77" s="298">
        <f t="shared" si="116"/>
        <v>0</v>
      </c>
      <c r="Y77" s="298">
        <f t="shared" si="117"/>
        <v>0</v>
      </c>
      <c r="Z77" s="303"/>
      <c r="AA77" s="298"/>
      <c r="AB77" s="302" t="e">
        <f t="shared" si="118"/>
        <v>#REF!</v>
      </c>
      <c r="AC77" s="298">
        <f t="shared" si="119"/>
        <v>0</v>
      </c>
      <c r="AD77" s="303">
        <f t="shared" si="120"/>
        <v>0</v>
      </c>
      <c r="AE77" s="298"/>
      <c r="AF77" s="302" t="e">
        <f t="shared" si="121"/>
        <v>#REF!</v>
      </c>
      <c r="AG77" s="298">
        <f t="shared" si="121"/>
        <v>0</v>
      </c>
      <c r="AH77" s="303">
        <f t="shared" si="122"/>
        <v>0</v>
      </c>
      <c r="AI77" s="298"/>
      <c r="AJ77" s="327"/>
      <c r="AK77" s="329" t="e">
        <f t="shared" si="114"/>
        <v>#REF!</v>
      </c>
      <c r="AL77" s="298"/>
      <c r="AM77" s="302" t="e">
        <f t="shared" si="123"/>
        <v>#REF!</v>
      </c>
      <c r="AN77" s="298">
        <v>0</v>
      </c>
      <c r="AO77" s="303" t="e">
        <f t="shared" si="124"/>
        <v>#REF!</v>
      </c>
      <c r="AP77" s="298"/>
      <c r="AQ77" s="299"/>
      <c r="AR77" s="299"/>
      <c r="AS77" s="298"/>
    </row>
    <row r="78" spans="1:45" x14ac:dyDescent="0.2">
      <c r="A78" s="76">
        <f t="shared" si="125"/>
        <v>71</v>
      </c>
      <c r="B78" s="670"/>
      <c r="C78" s="671" t="s">
        <v>9</v>
      </c>
      <c r="D78" s="147"/>
      <c r="E78" s="112">
        <f>ROUND('Rates in Detail'!L66,5)</f>
        <v>2.0500000000000002E-3</v>
      </c>
      <c r="F78" s="112">
        <f>'Allocation = % of Margin'!AD67</f>
        <v>-3.5E-4</v>
      </c>
      <c r="G78" s="147"/>
      <c r="H78" s="362">
        <f>ROUND('Rates in Detail'!N66,5)</f>
        <v>2.002E-2</v>
      </c>
      <c r="I78" s="711">
        <f t="shared" ref="I78:I96" si="126">H78+E78</f>
        <v>2.2069999999999999E-2</v>
      </c>
      <c r="J78" s="147"/>
      <c r="K78" s="687"/>
      <c r="L78" s="361"/>
      <c r="M78" s="112"/>
      <c r="N78" s="112"/>
      <c r="O78" s="112"/>
      <c r="P78" s="711"/>
      <c r="Q78" s="147"/>
      <c r="R78" s="287" t="e">
        <f>#REF!</f>
        <v>#REF!</v>
      </c>
      <c r="S78" s="300"/>
      <c r="T78" s="289"/>
      <c r="U78" s="290"/>
      <c r="V78" s="147"/>
      <c r="W78" s="302" t="e">
        <f t="shared" si="115"/>
        <v>#REF!</v>
      </c>
      <c r="X78" s="298">
        <f t="shared" si="116"/>
        <v>0</v>
      </c>
      <c r="Y78" s="298">
        <f t="shared" si="117"/>
        <v>0</v>
      </c>
      <c r="Z78" s="303"/>
      <c r="AA78" s="298"/>
      <c r="AB78" s="302" t="e">
        <f t="shared" si="118"/>
        <v>#REF!</v>
      </c>
      <c r="AC78" s="298">
        <f t="shared" si="119"/>
        <v>0</v>
      </c>
      <c r="AD78" s="303">
        <f t="shared" si="120"/>
        <v>0</v>
      </c>
      <c r="AE78" s="298"/>
      <c r="AF78" s="302" t="e">
        <f t="shared" si="121"/>
        <v>#REF!</v>
      </c>
      <c r="AG78" s="298">
        <f t="shared" si="121"/>
        <v>0</v>
      </c>
      <c r="AH78" s="303">
        <f t="shared" si="122"/>
        <v>0</v>
      </c>
      <c r="AI78" s="298"/>
      <c r="AJ78" s="327"/>
      <c r="AK78" s="329" t="e">
        <f>AK77</f>
        <v>#REF!</v>
      </c>
      <c r="AL78" s="298"/>
      <c r="AM78" s="302" t="e">
        <f t="shared" si="123"/>
        <v>#REF!</v>
      </c>
      <c r="AN78" s="298">
        <v>0</v>
      </c>
      <c r="AO78" s="303" t="e">
        <f t="shared" si="124"/>
        <v>#REF!</v>
      </c>
      <c r="AP78" s="298"/>
      <c r="AQ78" s="299"/>
      <c r="AR78" s="299"/>
      <c r="AS78" s="298"/>
    </row>
    <row r="79" spans="1:45" x14ac:dyDescent="0.2">
      <c r="A79" s="76">
        <f t="shared" si="125"/>
        <v>72</v>
      </c>
      <c r="B79" s="668"/>
      <c r="C79" s="686" t="s">
        <v>62</v>
      </c>
      <c r="D79" s="143"/>
      <c r="E79" s="113"/>
      <c r="F79" s="113"/>
      <c r="G79" s="143"/>
      <c r="H79" s="357"/>
      <c r="I79" s="710"/>
      <c r="J79" s="147"/>
      <c r="K79" s="687"/>
      <c r="L79" s="361"/>
      <c r="M79" s="112"/>
      <c r="N79" s="112"/>
      <c r="O79" s="112"/>
      <c r="P79" s="711"/>
      <c r="Q79" s="147"/>
      <c r="R79" s="287"/>
      <c r="S79" s="300"/>
      <c r="T79" s="289"/>
      <c r="U79" s="290"/>
      <c r="V79" s="147"/>
      <c r="W79" s="304" t="e">
        <f>SUM(W73:W78)</f>
        <v>#REF!</v>
      </c>
      <c r="X79" s="305" t="e">
        <f>SUM(X73:X78)</f>
        <v>#REF!</v>
      </c>
      <c r="Y79" s="305">
        <f>SUM(Y73:Y78)</f>
        <v>0</v>
      </c>
      <c r="Z79" s="306" t="e">
        <f>'Rate Spread SETTLEMENT'!V$15-SUM(W79:Y79)</f>
        <v>#REF!</v>
      </c>
      <c r="AA79" s="298"/>
      <c r="AB79" s="304" t="e">
        <f>SUM(AB73:AB78)</f>
        <v>#REF!</v>
      </c>
      <c r="AC79" s="305" t="e">
        <f>SUM(AC73:AC78)</f>
        <v>#REF!</v>
      </c>
      <c r="AD79" s="306">
        <f>SUM(AD73:AD78)</f>
        <v>0</v>
      </c>
      <c r="AE79" s="298"/>
      <c r="AF79" s="304" t="e">
        <f>SUM(AF73:AF78)</f>
        <v>#REF!</v>
      </c>
      <c r="AG79" s="305" t="e">
        <f>SUM(AG73:AG78)</f>
        <v>#REF!</v>
      </c>
      <c r="AH79" s="306">
        <f>SUM(AH73:AH78)</f>
        <v>0</v>
      </c>
      <c r="AI79" s="298"/>
      <c r="AJ79" s="327" t="e">
        <f>SUM(AF79:AH79)/SUM(W79:Y79)</f>
        <v>#REF!</v>
      </c>
      <c r="AK79" s="328" t="e">
        <f t="shared" ref="AK79:AK84" si="127">SUM(AF79)/SUM(W79)</f>
        <v>#REF!</v>
      </c>
      <c r="AL79" s="298"/>
      <c r="AM79" s="304" t="e">
        <f>SUM(AM73:AM78)</f>
        <v>#REF!</v>
      </c>
      <c r="AN79" s="305">
        <f>SUM(AN73:AN78)</f>
        <v>0</v>
      </c>
      <c r="AO79" s="306" t="e">
        <f>SUM(AO73:AO78)</f>
        <v>#REF!</v>
      </c>
      <c r="AP79" s="298"/>
      <c r="AQ79" s="299"/>
      <c r="AR79" s="299"/>
      <c r="AS79" s="298"/>
    </row>
    <row r="80" spans="1:45" x14ac:dyDescent="0.2">
      <c r="A80" s="76">
        <f t="shared" si="125"/>
        <v>73</v>
      </c>
      <c r="B80" s="670" t="e">
        <f>#REF!</f>
        <v>#REF!</v>
      </c>
      <c r="C80" s="671" t="s">
        <v>4</v>
      </c>
      <c r="D80" s="147"/>
      <c r="E80" s="112">
        <f>ROUND('Rates in Detail'!L67,5)</f>
        <v>6.1399999999999996E-3</v>
      </c>
      <c r="F80" s="112">
        <f>'Allocation = % of Margin'!AD68</f>
        <v>-1.2600000000000001E-3</v>
      </c>
      <c r="G80" s="147"/>
      <c r="H80" s="362">
        <f>ROUND('Rates in Detail'!N67,5)</f>
        <v>0.13403000000000001</v>
      </c>
      <c r="I80" s="711">
        <f t="shared" si="126"/>
        <v>0.14017000000000002</v>
      </c>
      <c r="J80" s="147"/>
      <c r="K80" s="145" t="e">
        <f>#REF!</f>
        <v>#REF!</v>
      </c>
      <c r="L80" s="146" t="e">
        <f>#REF!</f>
        <v>#REF!</v>
      </c>
      <c r="M80" s="112">
        <f>'Rates in Detail'!AH67</f>
        <v>0</v>
      </c>
      <c r="N80" s="112">
        <f>'Rates in Detail'!AI67</f>
        <v>0</v>
      </c>
      <c r="O80" s="112">
        <f>'Rates in Detail'!AJ67</f>
        <v>0</v>
      </c>
      <c r="P80" s="711">
        <f>'Rates in Detail'!AK67</f>
        <v>0</v>
      </c>
      <c r="Q80" s="147"/>
      <c r="R80" s="287" t="e">
        <f>#REF!</f>
        <v>#REF!</v>
      </c>
      <c r="S80" s="300"/>
      <c r="T80" s="289" t="e">
        <f>#REF!</f>
        <v>#REF!</v>
      </c>
      <c r="U80" s="290" t="e">
        <f>#REF!</f>
        <v>#REF!</v>
      </c>
      <c r="V80" s="147"/>
      <c r="W80" s="302" t="e">
        <f t="shared" ref="W80:W85" si="128">(H80*R80)</f>
        <v>#REF!</v>
      </c>
      <c r="X80" s="298" t="e">
        <f t="shared" ref="X80:X85" si="129">(K80*T80*12)</f>
        <v>#REF!</v>
      </c>
      <c r="Y80" s="298">
        <f t="shared" ref="Y80:Y85" si="130">(S80*(M80+O80))*12</f>
        <v>0</v>
      </c>
      <c r="Z80" s="303"/>
      <c r="AA80" s="298"/>
      <c r="AB80" s="302" t="e">
        <f t="shared" ref="AB80:AB85" si="131">(I80*R80)</f>
        <v>#REF!</v>
      </c>
      <c r="AC80" s="298" t="e">
        <f t="shared" ref="AC80:AC85" si="132">(L80*T80*12)</f>
        <v>#REF!</v>
      </c>
      <c r="AD80" s="303">
        <f t="shared" ref="AD80:AD85" si="133">(S80*(N80+P80))*12</f>
        <v>0</v>
      </c>
      <c r="AE80" s="298"/>
      <c r="AF80" s="302" t="e">
        <f t="shared" ref="AF80:AG85" si="134">AB80-W80</f>
        <v>#REF!</v>
      </c>
      <c r="AG80" s="298" t="e">
        <f t="shared" si="134"/>
        <v>#REF!</v>
      </c>
      <c r="AH80" s="303">
        <f t="shared" ref="AH80:AH85" si="135">AD80-Y80</f>
        <v>0</v>
      </c>
      <c r="AI80" s="298"/>
      <c r="AJ80" s="327"/>
      <c r="AK80" s="329" t="e">
        <f t="shared" si="127"/>
        <v>#REF!</v>
      </c>
      <c r="AL80" s="298"/>
      <c r="AM80" s="302" t="e">
        <f t="shared" ref="AM80:AM85" si="136">(F80*R80)</f>
        <v>#REF!</v>
      </c>
      <c r="AN80" s="298">
        <v>0</v>
      </c>
      <c r="AO80" s="303" t="e">
        <f t="shared" ref="AO80:AO85" si="137">(AE80*(Y80+AB80))*12</f>
        <v>#REF!</v>
      </c>
      <c r="AP80" s="298"/>
      <c r="AQ80" s="299"/>
      <c r="AR80" s="299"/>
      <c r="AS80" s="298"/>
    </row>
    <row r="81" spans="1:45" x14ac:dyDescent="0.2">
      <c r="A81" s="76">
        <f t="shared" si="125"/>
        <v>74</v>
      </c>
      <c r="B81" s="670"/>
      <c r="C81" s="671" t="s">
        <v>5</v>
      </c>
      <c r="D81" s="147"/>
      <c r="E81" s="112">
        <f>ROUND('Rates in Detail'!L68,5)</f>
        <v>5.4999999999999997E-3</v>
      </c>
      <c r="F81" s="112">
        <f>'Allocation = % of Margin'!AD69</f>
        <v>-1.1199999999999999E-3</v>
      </c>
      <c r="G81" s="147"/>
      <c r="H81" s="362">
        <f>ROUND('Rates in Detail'!N68,5)</f>
        <v>0.11998</v>
      </c>
      <c r="I81" s="711">
        <f t="shared" si="126"/>
        <v>0.12548000000000001</v>
      </c>
      <c r="J81" s="147"/>
      <c r="K81" s="145"/>
      <c r="L81" s="146"/>
      <c r="M81" s="112"/>
      <c r="N81" s="112"/>
      <c r="O81" s="112"/>
      <c r="P81" s="711"/>
      <c r="Q81" s="147"/>
      <c r="R81" s="287" t="e">
        <f>#REF!</f>
        <v>#REF!</v>
      </c>
      <c r="S81" s="300"/>
      <c r="T81" s="289"/>
      <c r="U81" s="290"/>
      <c r="V81" s="147"/>
      <c r="W81" s="302" t="e">
        <f t="shared" si="128"/>
        <v>#REF!</v>
      </c>
      <c r="X81" s="298">
        <f t="shared" si="129"/>
        <v>0</v>
      </c>
      <c r="Y81" s="298">
        <f t="shared" si="130"/>
        <v>0</v>
      </c>
      <c r="Z81" s="303"/>
      <c r="AA81" s="298"/>
      <c r="AB81" s="302" t="e">
        <f t="shared" si="131"/>
        <v>#REF!</v>
      </c>
      <c r="AC81" s="298">
        <f t="shared" si="132"/>
        <v>0</v>
      </c>
      <c r="AD81" s="303">
        <f t="shared" si="133"/>
        <v>0</v>
      </c>
      <c r="AE81" s="298"/>
      <c r="AF81" s="302" t="e">
        <f t="shared" si="134"/>
        <v>#REF!</v>
      </c>
      <c r="AG81" s="298">
        <f t="shared" si="134"/>
        <v>0</v>
      </c>
      <c r="AH81" s="303">
        <f t="shared" si="135"/>
        <v>0</v>
      </c>
      <c r="AI81" s="298"/>
      <c r="AJ81" s="327"/>
      <c r="AK81" s="329" t="e">
        <f t="shared" si="127"/>
        <v>#REF!</v>
      </c>
      <c r="AL81" s="298"/>
      <c r="AM81" s="302" t="e">
        <f t="shared" si="136"/>
        <v>#REF!</v>
      </c>
      <c r="AN81" s="298">
        <v>0</v>
      </c>
      <c r="AO81" s="303" t="e">
        <f t="shared" si="137"/>
        <v>#REF!</v>
      </c>
      <c r="AP81" s="298"/>
      <c r="AQ81" s="299"/>
      <c r="AR81" s="299"/>
      <c r="AS81" s="298"/>
    </row>
    <row r="82" spans="1:45" x14ac:dyDescent="0.2">
      <c r="A82" s="76">
        <f t="shared" si="125"/>
        <v>75</v>
      </c>
      <c r="B82" s="670"/>
      <c r="C82" s="671" t="s">
        <v>6</v>
      </c>
      <c r="D82" s="147"/>
      <c r="E82" s="112">
        <f>ROUND('Rates in Detail'!L69,5)</f>
        <v>4.2199999999999998E-3</v>
      </c>
      <c r="F82" s="112">
        <f>'Allocation = % of Margin'!AD70</f>
        <v>-8.5999999999999998E-4</v>
      </c>
      <c r="G82" s="147"/>
      <c r="H82" s="362">
        <f>ROUND('Rates in Detail'!N69,5)</f>
        <v>9.1999999999999998E-2</v>
      </c>
      <c r="I82" s="711">
        <f t="shared" si="126"/>
        <v>9.622E-2</v>
      </c>
      <c r="J82" s="147"/>
      <c r="K82" s="145"/>
      <c r="L82" s="146"/>
      <c r="M82" s="112"/>
      <c r="N82" s="112"/>
      <c r="O82" s="112"/>
      <c r="P82" s="711"/>
      <c r="Q82" s="147"/>
      <c r="R82" s="287" t="e">
        <f>#REF!</f>
        <v>#REF!</v>
      </c>
      <c r="S82" s="300"/>
      <c r="T82" s="289"/>
      <c r="U82" s="290"/>
      <c r="V82" s="147"/>
      <c r="W82" s="302" t="e">
        <f t="shared" si="128"/>
        <v>#REF!</v>
      </c>
      <c r="X82" s="298">
        <f t="shared" si="129"/>
        <v>0</v>
      </c>
      <c r="Y82" s="298">
        <f t="shared" si="130"/>
        <v>0</v>
      </c>
      <c r="Z82" s="303"/>
      <c r="AA82" s="298"/>
      <c r="AB82" s="302" t="e">
        <f t="shared" si="131"/>
        <v>#REF!</v>
      </c>
      <c r="AC82" s="298">
        <f t="shared" si="132"/>
        <v>0</v>
      </c>
      <c r="AD82" s="303">
        <f t="shared" si="133"/>
        <v>0</v>
      </c>
      <c r="AE82" s="298"/>
      <c r="AF82" s="302" t="e">
        <f t="shared" si="134"/>
        <v>#REF!</v>
      </c>
      <c r="AG82" s="298">
        <f t="shared" si="134"/>
        <v>0</v>
      </c>
      <c r="AH82" s="303">
        <f t="shared" si="135"/>
        <v>0</v>
      </c>
      <c r="AI82" s="298"/>
      <c r="AJ82" s="327"/>
      <c r="AK82" s="329" t="e">
        <f t="shared" si="127"/>
        <v>#REF!</v>
      </c>
      <c r="AL82" s="298"/>
      <c r="AM82" s="302" t="e">
        <f t="shared" si="136"/>
        <v>#REF!</v>
      </c>
      <c r="AN82" s="298">
        <v>0</v>
      </c>
      <c r="AO82" s="303" t="e">
        <f t="shared" si="137"/>
        <v>#REF!</v>
      </c>
      <c r="AP82" s="298"/>
      <c r="AQ82" s="299"/>
      <c r="AR82" s="299"/>
      <c r="AS82" s="298"/>
    </row>
    <row r="83" spans="1:45" x14ac:dyDescent="0.2">
      <c r="A83" s="76">
        <f t="shared" si="125"/>
        <v>76</v>
      </c>
      <c r="B83" s="670"/>
      <c r="C83" s="671" t="s">
        <v>7</v>
      </c>
      <c r="D83" s="147"/>
      <c r="E83" s="112">
        <f>ROUND('Rates in Detail'!L70,5)</f>
        <v>3.3700000000000002E-3</v>
      </c>
      <c r="F83" s="112">
        <f>'Allocation = % of Margin'!AD71</f>
        <v>-6.8999999999999997E-4</v>
      </c>
      <c r="G83" s="147"/>
      <c r="H83" s="362">
        <f>ROUND('Rates in Detail'!N70,5)</f>
        <v>7.3609999999999995E-2</v>
      </c>
      <c r="I83" s="711">
        <f t="shared" si="126"/>
        <v>7.6979999999999993E-2</v>
      </c>
      <c r="J83" s="147"/>
      <c r="K83" s="145"/>
      <c r="L83" s="146"/>
      <c r="M83" s="112"/>
      <c r="N83" s="112"/>
      <c r="O83" s="112"/>
      <c r="P83" s="711"/>
      <c r="Q83" s="147"/>
      <c r="R83" s="287" t="e">
        <f>#REF!</f>
        <v>#REF!</v>
      </c>
      <c r="S83" s="300"/>
      <c r="T83" s="289"/>
      <c r="U83" s="290"/>
      <c r="V83" s="147"/>
      <c r="W83" s="302" t="e">
        <f t="shared" si="128"/>
        <v>#REF!</v>
      </c>
      <c r="X83" s="298">
        <f t="shared" si="129"/>
        <v>0</v>
      </c>
      <c r="Y83" s="298">
        <f t="shared" si="130"/>
        <v>0</v>
      </c>
      <c r="Z83" s="303"/>
      <c r="AA83" s="298"/>
      <c r="AB83" s="302" t="e">
        <f t="shared" si="131"/>
        <v>#REF!</v>
      </c>
      <c r="AC83" s="298">
        <f t="shared" si="132"/>
        <v>0</v>
      </c>
      <c r="AD83" s="303">
        <f t="shared" si="133"/>
        <v>0</v>
      </c>
      <c r="AE83" s="298"/>
      <c r="AF83" s="302" t="e">
        <f t="shared" si="134"/>
        <v>#REF!</v>
      </c>
      <c r="AG83" s="298">
        <f t="shared" si="134"/>
        <v>0</v>
      </c>
      <c r="AH83" s="303">
        <f t="shared" si="135"/>
        <v>0</v>
      </c>
      <c r="AI83" s="298"/>
      <c r="AJ83" s="327"/>
      <c r="AK83" s="329" t="e">
        <f t="shared" si="127"/>
        <v>#REF!</v>
      </c>
      <c r="AL83" s="298"/>
      <c r="AM83" s="302" t="e">
        <f t="shared" si="136"/>
        <v>#REF!</v>
      </c>
      <c r="AN83" s="298">
        <v>0</v>
      </c>
      <c r="AO83" s="303" t="e">
        <f t="shared" si="137"/>
        <v>#REF!</v>
      </c>
      <c r="AP83" s="298"/>
      <c r="AQ83" s="299"/>
      <c r="AR83" s="299"/>
      <c r="AS83" s="298"/>
    </row>
    <row r="84" spans="1:45" x14ac:dyDescent="0.2">
      <c r="A84" s="76">
        <f t="shared" si="125"/>
        <v>77</v>
      </c>
      <c r="B84" s="670"/>
      <c r="C84" s="671" t="s">
        <v>8</v>
      </c>
      <c r="D84" s="147"/>
      <c r="E84" s="112">
        <f>ROUND('Rates in Detail'!L71,5)</f>
        <v>2.2499999999999998E-3</v>
      </c>
      <c r="F84" s="112">
        <f>'Allocation = % of Margin'!AD72</f>
        <v>-4.6000000000000001E-4</v>
      </c>
      <c r="G84" s="147"/>
      <c r="H84" s="362">
        <f>ROUND('Rates in Detail'!N71,5)</f>
        <v>4.9079999999999999E-2</v>
      </c>
      <c r="I84" s="711">
        <f t="shared" si="126"/>
        <v>5.1330000000000001E-2</v>
      </c>
      <c r="J84" s="147"/>
      <c r="K84" s="145"/>
      <c r="L84" s="146"/>
      <c r="M84" s="112"/>
      <c r="N84" s="112"/>
      <c r="O84" s="112"/>
      <c r="P84" s="711"/>
      <c r="Q84" s="147"/>
      <c r="R84" s="287" t="e">
        <f>#REF!</f>
        <v>#REF!</v>
      </c>
      <c r="S84" s="300"/>
      <c r="T84" s="289"/>
      <c r="U84" s="290"/>
      <c r="V84" s="147"/>
      <c r="W84" s="302" t="e">
        <f t="shared" si="128"/>
        <v>#REF!</v>
      </c>
      <c r="X84" s="298">
        <f t="shared" si="129"/>
        <v>0</v>
      </c>
      <c r="Y84" s="298">
        <f t="shared" si="130"/>
        <v>0</v>
      </c>
      <c r="Z84" s="303"/>
      <c r="AA84" s="298"/>
      <c r="AB84" s="302" t="e">
        <f t="shared" si="131"/>
        <v>#REF!</v>
      </c>
      <c r="AC84" s="298">
        <f t="shared" si="132"/>
        <v>0</v>
      </c>
      <c r="AD84" s="303">
        <f t="shared" si="133"/>
        <v>0</v>
      </c>
      <c r="AE84" s="298"/>
      <c r="AF84" s="302" t="e">
        <f t="shared" si="134"/>
        <v>#REF!</v>
      </c>
      <c r="AG84" s="298">
        <f t="shared" si="134"/>
        <v>0</v>
      </c>
      <c r="AH84" s="303">
        <f t="shared" si="135"/>
        <v>0</v>
      </c>
      <c r="AI84" s="298"/>
      <c r="AJ84" s="327"/>
      <c r="AK84" s="329" t="e">
        <f t="shared" si="127"/>
        <v>#REF!</v>
      </c>
      <c r="AL84" s="298"/>
      <c r="AM84" s="302" t="e">
        <f t="shared" si="136"/>
        <v>#REF!</v>
      </c>
      <c r="AN84" s="298">
        <v>0</v>
      </c>
      <c r="AO84" s="303" t="e">
        <f t="shared" si="137"/>
        <v>#REF!</v>
      </c>
      <c r="AP84" s="298"/>
      <c r="AQ84" s="299"/>
      <c r="AR84" s="299"/>
      <c r="AS84" s="298"/>
    </row>
    <row r="85" spans="1:45" x14ac:dyDescent="0.2">
      <c r="A85" s="76">
        <f t="shared" si="125"/>
        <v>78</v>
      </c>
      <c r="B85" s="670"/>
      <c r="C85" s="671" t="s">
        <v>9</v>
      </c>
      <c r="D85" s="147"/>
      <c r="E85" s="112">
        <f>ROUND('Rates in Detail'!L72,5)</f>
        <v>8.4000000000000003E-4</v>
      </c>
      <c r="F85" s="112">
        <f>'Allocation = % of Margin'!AD73</f>
        <v>-1.7000000000000001E-4</v>
      </c>
      <c r="G85" s="147"/>
      <c r="H85" s="362">
        <f>ROUND('Rates in Detail'!N72,5)</f>
        <v>1.839E-2</v>
      </c>
      <c r="I85" s="711">
        <f t="shared" si="126"/>
        <v>1.9230000000000001E-2</v>
      </c>
      <c r="J85" s="147"/>
      <c r="K85" s="687"/>
      <c r="L85" s="361"/>
      <c r="M85" s="112"/>
      <c r="N85" s="112"/>
      <c r="O85" s="112"/>
      <c r="P85" s="711"/>
      <c r="Q85" s="147"/>
      <c r="R85" s="287" t="e">
        <f>#REF!</f>
        <v>#REF!</v>
      </c>
      <c r="S85" s="300"/>
      <c r="T85" s="289"/>
      <c r="U85" s="290"/>
      <c r="V85" s="147"/>
      <c r="W85" s="302" t="e">
        <f t="shared" si="128"/>
        <v>#REF!</v>
      </c>
      <c r="X85" s="298">
        <f t="shared" si="129"/>
        <v>0</v>
      </c>
      <c r="Y85" s="298">
        <f t="shared" si="130"/>
        <v>0</v>
      </c>
      <c r="Z85" s="303"/>
      <c r="AA85" s="298"/>
      <c r="AB85" s="302" t="e">
        <f t="shared" si="131"/>
        <v>#REF!</v>
      </c>
      <c r="AC85" s="298">
        <f t="shared" si="132"/>
        <v>0</v>
      </c>
      <c r="AD85" s="303">
        <f t="shared" si="133"/>
        <v>0</v>
      </c>
      <c r="AE85" s="298"/>
      <c r="AF85" s="302" t="e">
        <f t="shared" si="134"/>
        <v>#REF!</v>
      </c>
      <c r="AG85" s="298">
        <f t="shared" si="134"/>
        <v>0</v>
      </c>
      <c r="AH85" s="303">
        <f t="shared" si="135"/>
        <v>0</v>
      </c>
      <c r="AI85" s="298"/>
      <c r="AJ85" s="327"/>
      <c r="AK85" s="329" t="e">
        <f>AK84</f>
        <v>#REF!</v>
      </c>
      <c r="AL85" s="298"/>
      <c r="AM85" s="302" t="e">
        <f t="shared" si="136"/>
        <v>#REF!</v>
      </c>
      <c r="AN85" s="298">
        <v>0</v>
      </c>
      <c r="AO85" s="303" t="e">
        <f t="shared" si="137"/>
        <v>#REF!</v>
      </c>
      <c r="AP85" s="298"/>
      <c r="AQ85" s="299"/>
      <c r="AR85" s="299"/>
      <c r="AS85" s="298"/>
    </row>
    <row r="86" spans="1:45" x14ac:dyDescent="0.2">
      <c r="A86" s="76">
        <f t="shared" si="125"/>
        <v>79</v>
      </c>
      <c r="B86" s="668"/>
      <c r="C86" s="686" t="s">
        <v>62</v>
      </c>
      <c r="D86" s="143"/>
      <c r="E86" s="113"/>
      <c r="F86" s="113"/>
      <c r="G86" s="143"/>
      <c r="H86" s="357"/>
      <c r="I86" s="710"/>
      <c r="J86" s="147"/>
      <c r="K86" s="687"/>
      <c r="L86" s="361"/>
      <c r="M86" s="112"/>
      <c r="N86" s="112"/>
      <c r="O86" s="112"/>
      <c r="P86" s="711"/>
      <c r="Q86" s="147"/>
      <c r="R86" s="287"/>
      <c r="S86" s="300"/>
      <c r="T86" s="289"/>
      <c r="U86" s="290"/>
      <c r="V86" s="147"/>
      <c r="W86" s="304" t="e">
        <f>SUM(W80:W85)</f>
        <v>#REF!</v>
      </c>
      <c r="X86" s="305" t="e">
        <f>SUM(X80:X85)</f>
        <v>#REF!</v>
      </c>
      <c r="Y86" s="305">
        <f>SUM(Y80:Y85)</f>
        <v>0</v>
      </c>
      <c r="Z86" s="306" t="e">
        <f>'Rate Spread SETTLEMENT'!W$15-SUM(W86:Y86)</f>
        <v>#REF!</v>
      </c>
      <c r="AA86" s="298"/>
      <c r="AB86" s="304" t="e">
        <f>SUM(AB80:AB85)</f>
        <v>#REF!</v>
      </c>
      <c r="AC86" s="305" t="e">
        <f>SUM(AC80:AC85)</f>
        <v>#REF!</v>
      </c>
      <c r="AD86" s="306">
        <f>SUM(AD80:AD85)</f>
        <v>0</v>
      </c>
      <c r="AE86" s="298"/>
      <c r="AF86" s="304" t="e">
        <f>SUM(AF80:AF85)</f>
        <v>#REF!</v>
      </c>
      <c r="AG86" s="305" t="e">
        <f>SUM(AG80:AG85)</f>
        <v>#REF!</v>
      </c>
      <c r="AH86" s="306">
        <f>SUM(AH80:AH85)</f>
        <v>0</v>
      </c>
      <c r="AI86" s="298"/>
      <c r="AJ86" s="327" t="e">
        <f>SUM(AF86:AH86)/SUM(W86:Y86)</f>
        <v>#REF!</v>
      </c>
      <c r="AK86" s="328" t="e">
        <f t="shared" ref="AK86:AK93" si="138">SUM(AF86)/SUM(W86)</f>
        <v>#REF!</v>
      </c>
      <c r="AL86" s="298"/>
      <c r="AM86" s="304" t="e">
        <f>SUM(AM80:AM85)</f>
        <v>#REF!</v>
      </c>
      <c r="AN86" s="305">
        <f>SUM(AN80:AN85)</f>
        <v>0</v>
      </c>
      <c r="AO86" s="306" t="e">
        <f>SUM(AO80:AO85)</f>
        <v>#REF!</v>
      </c>
      <c r="AP86" s="298"/>
      <c r="AQ86" s="299"/>
      <c r="AR86" s="299"/>
      <c r="AS86" s="298"/>
    </row>
    <row r="87" spans="1:45" x14ac:dyDescent="0.2">
      <c r="A87" s="76">
        <f t="shared" si="125"/>
        <v>80</v>
      </c>
      <c r="B87" s="670" t="e">
        <f>#REF!</f>
        <v>#REF!</v>
      </c>
      <c r="C87" s="671" t="s">
        <v>4</v>
      </c>
      <c r="D87" s="152"/>
      <c r="E87" s="112">
        <f>ROUND('Rates in Detail'!L73,5)</f>
        <v>8.7899999999999992E-3</v>
      </c>
      <c r="F87" s="112">
        <f>'Allocation = % of Margin'!AD74</f>
        <v>-1.49E-3</v>
      </c>
      <c r="G87" s="152"/>
      <c r="H87" s="362">
        <f>ROUND('Rates in Detail'!N73,5)</f>
        <v>0.13403000000000001</v>
      </c>
      <c r="I87" s="711">
        <f t="shared" si="126"/>
        <v>0.14282</v>
      </c>
      <c r="J87" s="152"/>
      <c r="K87" s="145" t="e">
        <f>#REF!</f>
        <v>#REF!</v>
      </c>
      <c r="L87" s="146" t="e">
        <f>#REF!</f>
        <v>#REF!</v>
      </c>
      <c r="M87" s="112">
        <f>'Rates in Detail'!AH73</f>
        <v>0</v>
      </c>
      <c r="N87" s="112">
        <f>'Rates in Detail'!AI73</f>
        <v>0</v>
      </c>
      <c r="O87" s="112">
        <f>'Rates in Detail'!AJ73</f>
        <v>0</v>
      </c>
      <c r="P87" s="711">
        <f>'Rates in Detail'!AK73</f>
        <v>0</v>
      </c>
      <c r="Q87" s="152"/>
      <c r="R87" s="287" t="e">
        <f>#REF!</f>
        <v>#REF!</v>
      </c>
      <c r="S87" s="300"/>
      <c r="T87" s="289" t="e">
        <f>#REF!</f>
        <v>#REF!</v>
      </c>
      <c r="U87" s="290" t="e">
        <f>#REF!</f>
        <v>#REF!</v>
      </c>
      <c r="V87" s="152"/>
      <c r="W87" s="302" t="e">
        <f t="shared" ref="W87:W92" si="139">(H87*R87)</f>
        <v>#REF!</v>
      </c>
      <c r="X87" s="298" t="e">
        <f>(K87*T87*12)</f>
        <v>#REF!</v>
      </c>
      <c r="Y87" s="298">
        <f t="shared" ref="Y87:Y92" si="140">(S87*(M87+O87))*12</f>
        <v>0</v>
      </c>
      <c r="Z87" s="303"/>
      <c r="AA87" s="309"/>
      <c r="AB87" s="302" t="e">
        <f t="shared" ref="AB87:AB92" si="141">(I87*R87)</f>
        <v>#REF!</v>
      </c>
      <c r="AC87" s="298" t="e">
        <f t="shared" ref="AC87:AC92" si="142">(L87*T87*12)</f>
        <v>#REF!</v>
      </c>
      <c r="AD87" s="303">
        <f t="shared" ref="AD87:AD92" si="143">(S87*(N87+P87))*12</f>
        <v>0</v>
      </c>
      <c r="AE87" s="309"/>
      <c r="AF87" s="302" t="e">
        <f t="shared" ref="AF87:AG92" si="144">AB87-W87</f>
        <v>#REF!</v>
      </c>
      <c r="AG87" s="298" t="e">
        <f t="shared" si="144"/>
        <v>#REF!</v>
      </c>
      <c r="AH87" s="303">
        <f t="shared" ref="AH87:AH92" si="145">AD87-Y87</f>
        <v>0</v>
      </c>
      <c r="AI87" s="309"/>
      <c r="AJ87" s="327"/>
      <c r="AK87" s="329" t="e">
        <f t="shared" si="138"/>
        <v>#REF!</v>
      </c>
      <c r="AL87" s="309"/>
      <c r="AM87" s="302" t="e">
        <f t="shared" ref="AM87:AM92" si="146">(F87*R87)</f>
        <v>#REF!</v>
      </c>
      <c r="AN87" s="298">
        <v>0</v>
      </c>
      <c r="AO87" s="303" t="e">
        <f t="shared" ref="AO87:AO92" si="147">(AE87*(Y87+AB87))*12</f>
        <v>#REF!</v>
      </c>
      <c r="AP87" s="309"/>
      <c r="AQ87" s="299"/>
      <c r="AR87" s="299"/>
      <c r="AS87" s="309"/>
    </row>
    <row r="88" spans="1:45" x14ac:dyDescent="0.2">
      <c r="A88" s="76">
        <f t="shared" si="125"/>
        <v>81</v>
      </c>
      <c r="B88" s="670"/>
      <c r="C88" s="671" t="s">
        <v>5</v>
      </c>
      <c r="D88" s="152"/>
      <c r="E88" s="112">
        <f>ROUND('Rates in Detail'!L74,5)</f>
        <v>7.8600000000000007E-3</v>
      </c>
      <c r="F88" s="112">
        <f>'Allocation = % of Margin'!AD75</f>
        <v>-1.33E-3</v>
      </c>
      <c r="G88" s="152"/>
      <c r="H88" s="362">
        <f>ROUND('Rates in Detail'!N74,5)</f>
        <v>0.11998</v>
      </c>
      <c r="I88" s="711">
        <f t="shared" si="126"/>
        <v>0.12784000000000001</v>
      </c>
      <c r="J88" s="152"/>
      <c r="K88" s="687"/>
      <c r="L88" s="361"/>
      <c r="M88" s="112"/>
      <c r="N88" s="112"/>
      <c r="O88" s="112"/>
      <c r="P88" s="711"/>
      <c r="Q88" s="152"/>
      <c r="R88" s="287" t="e">
        <f>#REF!</f>
        <v>#REF!</v>
      </c>
      <c r="S88" s="150"/>
      <c r="T88" s="147"/>
      <c r="U88" s="148"/>
      <c r="V88" s="152"/>
      <c r="W88" s="302" t="e">
        <f t="shared" si="139"/>
        <v>#REF!</v>
      </c>
      <c r="X88" s="298">
        <f t="shared" ref="X88:X92" si="148">(K88*T88*12)</f>
        <v>0</v>
      </c>
      <c r="Y88" s="298">
        <f t="shared" si="140"/>
        <v>0</v>
      </c>
      <c r="Z88" s="303"/>
      <c r="AA88" s="309"/>
      <c r="AB88" s="302" t="e">
        <f t="shared" si="141"/>
        <v>#REF!</v>
      </c>
      <c r="AC88" s="298">
        <f t="shared" si="142"/>
        <v>0</v>
      </c>
      <c r="AD88" s="303">
        <f t="shared" si="143"/>
        <v>0</v>
      </c>
      <c r="AE88" s="309"/>
      <c r="AF88" s="302" t="e">
        <f t="shared" si="144"/>
        <v>#REF!</v>
      </c>
      <c r="AG88" s="298">
        <f t="shared" si="144"/>
        <v>0</v>
      </c>
      <c r="AH88" s="303">
        <f t="shared" si="145"/>
        <v>0</v>
      </c>
      <c r="AI88" s="309"/>
      <c r="AJ88" s="327"/>
      <c r="AK88" s="329" t="e">
        <f t="shared" si="138"/>
        <v>#REF!</v>
      </c>
      <c r="AL88" s="309"/>
      <c r="AM88" s="302" t="e">
        <f t="shared" si="146"/>
        <v>#REF!</v>
      </c>
      <c r="AN88" s="298">
        <v>0</v>
      </c>
      <c r="AO88" s="303" t="e">
        <f t="shared" si="147"/>
        <v>#REF!</v>
      </c>
      <c r="AP88" s="309"/>
      <c r="AQ88" s="299"/>
      <c r="AR88" s="146"/>
      <c r="AS88" s="309"/>
    </row>
    <row r="89" spans="1:45" x14ac:dyDescent="0.2">
      <c r="A89" s="76">
        <f t="shared" si="125"/>
        <v>82</v>
      </c>
      <c r="B89" s="670"/>
      <c r="C89" s="671" t="s">
        <v>6</v>
      </c>
      <c r="D89" s="152"/>
      <c r="E89" s="112">
        <f>ROUND('Rates in Detail'!L75,5)</f>
        <v>6.0299999999999998E-3</v>
      </c>
      <c r="F89" s="112">
        <f>'Allocation = % of Margin'!AD76</f>
        <v>-1.0200000000000001E-3</v>
      </c>
      <c r="G89" s="152"/>
      <c r="H89" s="362">
        <f>ROUND('Rates in Detail'!N75,5)</f>
        <v>9.1999999999999998E-2</v>
      </c>
      <c r="I89" s="711">
        <f t="shared" si="126"/>
        <v>9.8029999999999992E-2</v>
      </c>
      <c r="J89" s="152"/>
      <c r="K89" s="145"/>
      <c r="L89" s="146"/>
      <c r="M89" s="112"/>
      <c r="N89" s="112"/>
      <c r="O89" s="112"/>
      <c r="P89" s="711"/>
      <c r="Q89" s="152"/>
      <c r="R89" s="287" t="e">
        <f>#REF!</f>
        <v>#REF!</v>
      </c>
      <c r="S89" s="150"/>
      <c r="T89" s="147"/>
      <c r="U89" s="148"/>
      <c r="V89" s="152"/>
      <c r="W89" s="302" t="e">
        <f t="shared" si="139"/>
        <v>#REF!</v>
      </c>
      <c r="X89" s="298">
        <f t="shared" si="148"/>
        <v>0</v>
      </c>
      <c r="Y89" s="298">
        <f t="shared" si="140"/>
        <v>0</v>
      </c>
      <c r="Z89" s="303"/>
      <c r="AA89" s="309"/>
      <c r="AB89" s="302" t="e">
        <f t="shared" si="141"/>
        <v>#REF!</v>
      </c>
      <c r="AC89" s="298">
        <f t="shared" si="142"/>
        <v>0</v>
      </c>
      <c r="AD89" s="303">
        <f t="shared" si="143"/>
        <v>0</v>
      </c>
      <c r="AE89" s="309"/>
      <c r="AF89" s="302" t="e">
        <f t="shared" si="144"/>
        <v>#REF!</v>
      </c>
      <c r="AG89" s="298">
        <f t="shared" si="144"/>
        <v>0</v>
      </c>
      <c r="AH89" s="303">
        <f t="shared" si="145"/>
        <v>0</v>
      </c>
      <c r="AI89" s="309"/>
      <c r="AJ89" s="327"/>
      <c r="AK89" s="329" t="e">
        <f t="shared" si="138"/>
        <v>#REF!</v>
      </c>
      <c r="AL89" s="309"/>
      <c r="AM89" s="302" t="e">
        <f t="shared" si="146"/>
        <v>#REF!</v>
      </c>
      <c r="AN89" s="298">
        <v>0</v>
      </c>
      <c r="AO89" s="303" t="e">
        <f t="shared" si="147"/>
        <v>#REF!</v>
      </c>
      <c r="AP89" s="309"/>
      <c r="AQ89" s="299"/>
      <c r="AR89" s="146"/>
      <c r="AS89" s="309"/>
    </row>
    <row r="90" spans="1:45" x14ac:dyDescent="0.2">
      <c r="A90" s="76">
        <f t="shared" si="125"/>
        <v>83</v>
      </c>
      <c r="B90" s="670"/>
      <c r="C90" s="671" t="s">
        <v>7</v>
      </c>
      <c r="D90" s="152"/>
      <c r="E90" s="112">
        <f>ROUND('Rates in Detail'!L76,5)</f>
        <v>4.8300000000000001E-3</v>
      </c>
      <c r="F90" s="112">
        <f>'Allocation = % of Margin'!AD77</f>
        <v>-8.1999999999999998E-4</v>
      </c>
      <c r="G90" s="152"/>
      <c r="H90" s="362">
        <f>ROUND('Rates in Detail'!N76,5)</f>
        <v>7.3609999999999995E-2</v>
      </c>
      <c r="I90" s="711">
        <f t="shared" si="126"/>
        <v>7.8439999999999996E-2</v>
      </c>
      <c r="J90" s="152"/>
      <c r="K90" s="145"/>
      <c r="L90" s="146"/>
      <c r="M90" s="112"/>
      <c r="N90" s="112"/>
      <c r="O90" s="112"/>
      <c r="P90" s="711"/>
      <c r="Q90" s="152"/>
      <c r="R90" s="287" t="e">
        <f>#REF!</f>
        <v>#REF!</v>
      </c>
      <c r="S90" s="150"/>
      <c r="T90" s="147"/>
      <c r="U90" s="148"/>
      <c r="V90" s="152"/>
      <c r="W90" s="302" t="e">
        <f t="shared" si="139"/>
        <v>#REF!</v>
      </c>
      <c r="X90" s="298">
        <f t="shared" si="148"/>
        <v>0</v>
      </c>
      <c r="Y90" s="298">
        <f t="shared" si="140"/>
        <v>0</v>
      </c>
      <c r="Z90" s="303"/>
      <c r="AA90" s="309"/>
      <c r="AB90" s="302" t="e">
        <f t="shared" si="141"/>
        <v>#REF!</v>
      </c>
      <c r="AC90" s="298">
        <f t="shared" si="142"/>
        <v>0</v>
      </c>
      <c r="AD90" s="303">
        <f t="shared" si="143"/>
        <v>0</v>
      </c>
      <c r="AE90" s="309"/>
      <c r="AF90" s="302" t="e">
        <f t="shared" si="144"/>
        <v>#REF!</v>
      </c>
      <c r="AG90" s="298">
        <f t="shared" si="144"/>
        <v>0</v>
      </c>
      <c r="AH90" s="303">
        <f t="shared" si="145"/>
        <v>0</v>
      </c>
      <c r="AI90" s="309"/>
      <c r="AJ90" s="327"/>
      <c r="AK90" s="329" t="e">
        <f t="shared" si="138"/>
        <v>#REF!</v>
      </c>
      <c r="AL90" s="309"/>
      <c r="AM90" s="302" t="e">
        <f t="shared" si="146"/>
        <v>#REF!</v>
      </c>
      <c r="AN90" s="298">
        <v>0</v>
      </c>
      <c r="AO90" s="303" t="e">
        <f t="shared" si="147"/>
        <v>#REF!</v>
      </c>
      <c r="AP90" s="309"/>
      <c r="AQ90" s="299"/>
      <c r="AR90" s="146"/>
      <c r="AS90" s="309"/>
    </row>
    <row r="91" spans="1:45" x14ac:dyDescent="0.2">
      <c r="A91" s="76">
        <f t="shared" si="125"/>
        <v>84</v>
      </c>
      <c r="B91" s="670"/>
      <c r="C91" s="671" t="s">
        <v>8</v>
      </c>
      <c r="D91" s="152"/>
      <c r="E91" s="112">
        <f>ROUND('Rates in Detail'!L77,5)</f>
        <v>3.2200000000000002E-3</v>
      </c>
      <c r="F91" s="112">
        <f>'Allocation = % of Margin'!AD78</f>
        <v>-5.5000000000000003E-4</v>
      </c>
      <c r="G91" s="152"/>
      <c r="H91" s="362">
        <f>ROUND('Rates in Detail'!N77,5)</f>
        <v>4.9079999999999999E-2</v>
      </c>
      <c r="I91" s="711">
        <f t="shared" si="126"/>
        <v>5.2299999999999999E-2</v>
      </c>
      <c r="J91" s="152"/>
      <c r="K91" s="145"/>
      <c r="L91" s="146"/>
      <c r="M91" s="112"/>
      <c r="N91" s="112"/>
      <c r="O91" s="112"/>
      <c r="P91" s="711"/>
      <c r="Q91" s="152"/>
      <c r="R91" s="287" t="e">
        <f>#REF!</f>
        <v>#REF!</v>
      </c>
      <c r="S91" s="150"/>
      <c r="T91" s="147"/>
      <c r="U91" s="148"/>
      <c r="V91" s="152"/>
      <c r="W91" s="302" t="e">
        <f t="shared" si="139"/>
        <v>#REF!</v>
      </c>
      <c r="X91" s="298">
        <f t="shared" si="148"/>
        <v>0</v>
      </c>
      <c r="Y91" s="298">
        <f t="shared" si="140"/>
        <v>0</v>
      </c>
      <c r="Z91" s="303"/>
      <c r="AA91" s="309"/>
      <c r="AB91" s="302" t="e">
        <f t="shared" si="141"/>
        <v>#REF!</v>
      </c>
      <c r="AC91" s="298">
        <f t="shared" si="142"/>
        <v>0</v>
      </c>
      <c r="AD91" s="303">
        <f t="shared" si="143"/>
        <v>0</v>
      </c>
      <c r="AE91" s="309"/>
      <c r="AF91" s="302" t="e">
        <f t="shared" si="144"/>
        <v>#REF!</v>
      </c>
      <c r="AG91" s="298">
        <f t="shared" si="144"/>
        <v>0</v>
      </c>
      <c r="AH91" s="303">
        <f t="shared" si="145"/>
        <v>0</v>
      </c>
      <c r="AI91" s="309"/>
      <c r="AJ91" s="327"/>
      <c r="AK91" s="329" t="e">
        <f t="shared" si="138"/>
        <v>#REF!</v>
      </c>
      <c r="AL91" s="309"/>
      <c r="AM91" s="302" t="e">
        <f t="shared" si="146"/>
        <v>#REF!</v>
      </c>
      <c r="AN91" s="298">
        <v>0</v>
      </c>
      <c r="AO91" s="303" t="e">
        <f t="shared" si="147"/>
        <v>#REF!</v>
      </c>
      <c r="AP91" s="309"/>
      <c r="AQ91" s="299"/>
      <c r="AR91" s="144"/>
      <c r="AS91" s="309"/>
    </row>
    <row r="92" spans="1:45" x14ac:dyDescent="0.2">
      <c r="A92" s="76">
        <f t="shared" si="125"/>
        <v>85</v>
      </c>
      <c r="B92" s="670"/>
      <c r="C92" s="671" t="s">
        <v>9</v>
      </c>
      <c r="D92" s="152"/>
      <c r="E92" s="112">
        <f>ROUND('Rates in Detail'!L78,5)</f>
        <v>1.2099999999999999E-3</v>
      </c>
      <c r="F92" s="112">
        <f>'Allocation = % of Margin'!AD79</f>
        <v>-2.0000000000000001E-4</v>
      </c>
      <c r="G92" s="152"/>
      <c r="H92" s="362">
        <f>ROUND('Rates in Detail'!N78,5)</f>
        <v>1.839E-2</v>
      </c>
      <c r="I92" s="711">
        <f t="shared" si="126"/>
        <v>1.9599999999999999E-2</v>
      </c>
      <c r="J92" s="152"/>
      <c r="K92" s="145"/>
      <c r="L92" s="146"/>
      <c r="M92" s="112"/>
      <c r="N92" s="112"/>
      <c r="O92" s="112"/>
      <c r="P92" s="711"/>
      <c r="Q92" s="152"/>
      <c r="R92" s="287" t="e">
        <f>#REF!</f>
        <v>#REF!</v>
      </c>
      <c r="S92" s="150"/>
      <c r="T92" s="147"/>
      <c r="U92" s="148"/>
      <c r="V92" s="152"/>
      <c r="W92" s="302" t="e">
        <f t="shared" si="139"/>
        <v>#REF!</v>
      </c>
      <c r="X92" s="298">
        <f t="shared" si="148"/>
        <v>0</v>
      </c>
      <c r="Y92" s="298">
        <f t="shared" si="140"/>
        <v>0</v>
      </c>
      <c r="Z92" s="303"/>
      <c r="AA92" s="309"/>
      <c r="AB92" s="302" t="e">
        <f t="shared" si="141"/>
        <v>#REF!</v>
      </c>
      <c r="AC92" s="298">
        <f t="shared" si="142"/>
        <v>0</v>
      </c>
      <c r="AD92" s="303">
        <f t="shared" si="143"/>
        <v>0</v>
      </c>
      <c r="AE92" s="309"/>
      <c r="AF92" s="302" t="e">
        <f t="shared" si="144"/>
        <v>#REF!</v>
      </c>
      <c r="AG92" s="298">
        <f t="shared" si="144"/>
        <v>0</v>
      </c>
      <c r="AH92" s="303">
        <f t="shared" si="145"/>
        <v>0</v>
      </c>
      <c r="AI92" s="309"/>
      <c r="AJ92" s="327"/>
      <c r="AK92" s="329" t="e">
        <f t="shared" si="138"/>
        <v>#REF!</v>
      </c>
      <c r="AL92" s="309"/>
      <c r="AM92" s="302" t="e">
        <f t="shared" si="146"/>
        <v>#REF!</v>
      </c>
      <c r="AN92" s="298">
        <v>0</v>
      </c>
      <c r="AO92" s="303" t="e">
        <f t="shared" si="147"/>
        <v>#REF!</v>
      </c>
      <c r="AP92" s="309"/>
      <c r="AQ92" s="299"/>
      <c r="AR92" s="144"/>
      <c r="AS92" s="309"/>
    </row>
    <row r="93" spans="1:45" x14ac:dyDescent="0.2">
      <c r="A93" s="76">
        <f t="shared" si="125"/>
        <v>86</v>
      </c>
      <c r="B93" s="668"/>
      <c r="C93" s="686" t="s">
        <v>62</v>
      </c>
      <c r="D93" s="153"/>
      <c r="E93" s="113"/>
      <c r="F93" s="113"/>
      <c r="G93" s="153"/>
      <c r="H93" s="357"/>
      <c r="I93" s="710"/>
      <c r="J93" s="152"/>
      <c r="K93" s="145"/>
      <c r="L93" s="146"/>
      <c r="M93" s="112"/>
      <c r="N93" s="112"/>
      <c r="O93" s="112"/>
      <c r="P93" s="711"/>
      <c r="Q93" s="152"/>
      <c r="R93" s="287"/>
      <c r="S93" s="150"/>
      <c r="T93" s="147"/>
      <c r="U93" s="148"/>
      <c r="V93" s="152"/>
      <c r="W93" s="304" t="e">
        <f>SUM(W87:W92)</f>
        <v>#REF!</v>
      </c>
      <c r="X93" s="305" t="e">
        <f>SUM(X87:X92)</f>
        <v>#REF!</v>
      </c>
      <c r="Y93" s="305">
        <f>SUM(Y87:Y92)</f>
        <v>0</v>
      </c>
      <c r="Z93" s="306" t="e">
        <f>'Rate Spread SETTLEMENT'!X$15-SUM(W93:Y93)</f>
        <v>#REF!</v>
      </c>
      <c r="AA93" s="309"/>
      <c r="AB93" s="304" t="e">
        <f>SUM(AB87:AB92)</f>
        <v>#REF!</v>
      </c>
      <c r="AC93" s="305" t="e">
        <f>SUM(AC87:AC92)</f>
        <v>#REF!</v>
      </c>
      <c r="AD93" s="306">
        <f>SUM(AD87:AD92)</f>
        <v>0</v>
      </c>
      <c r="AE93" s="309"/>
      <c r="AF93" s="304" t="e">
        <f>SUM(AF87:AF92)</f>
        <v>#REF!</v>
      </c>
      <c r="AG93" s="305" t="e">
        <f>SUM(AG87:AG92)</f>
        <v>#REF!</v>
      </c>
      <c r="AH93" s="306">
        <f>SUM(AH87:AH92)</f>
        <v>0</v>
      </c>
      <c r="AI93" s="309"/>
      <c r="AJ93" s="327" t="e">
        <f>SUM(AF93:AH93)/SUM(W93:Y93)</f>
        <v>#REF!</v>
      </c>
      <c r="AK93" s="328" t="e">
        <f t="shared" si="138"/>
        <v>#REF!</v>
      </c>
      <c r="AL93" s="309"/>
      <c r="AM93" s="304" t="e">
        <f>SUM(AM87:AM92)</f>
        <v>#REF!</v>
      </c>
      <c r="AN93" s="305">
        <f>SUM(AN87:AN92)</f>
        <v>0</v>
      </c>
      <c r="AO93" s="306" t="e">
        <f>SUM(AO87:AO92)</f>
        <v>#REF!</v>
      </c>
      <c r="AP93" s="309"/>
      <c r="AQ93" s="299"/>
      <c r="AR93" s="144"/>
      <c r="AS93" s="309"/>
    </row>
    <row r="94" spans="1:45" x14ac:dyDescent="0.2">
      <c r="A94" s="76">
        <f t="shared" si="125"/>
        <v>87</v>
      </c>
      <c r="B94" s="668" t="e">
        <f>#REF!</f>
        <v>#REF!</v>
      </c>
      <c r="C94" s="668" t="s">
        <v>248</v>
      </c>
      <c r="D94" s="152"/>
      <c r="E94" s="381">
        <f>ROUND('Rates in Detail'!L79,5)</f>
        <v>0</v>
      </c>
      <c r="F94" s="381">
        <f>'Allocation = % of Margin'!AD80</f>
        <v>0</v>
      </c>
      <c r="G94" s="152"/>
      <c r="H94" s="382">
        <f>ROUND('Rates in Detail'!N79,5)</f>
        <v>4.9100000000000003E-3</v>
      </c>
      <c r="I94" s="712">
        <f t="shared" si="126"/>
        <v>4.9100000000000003E-3</v>
      </c>
      <c r="J94" s="152"/>
      <c r="K94" s="145" t="e">
        <f>#REF!</f>
        <v>#REF!</v>
      </c>
      <c r="L94" s="146" t="e">
        <f>#REF!</f>
        <v>#REF!</v>
      </c>
      <c r="M94" s="112">
        <f>'Rates in Detail'!AH79</f>
        <v>0.15748000000000001</v>
      </c>
      <c r="N94" s="112">
        <f>'Rates in Detail'!AI79</f>
        <v>0</v>
      </c>
      <c r="O94" s="112">
        <f>'Rates in Detail'!AJ79</f>
        <v>0</v>
      </c>
      <c r="P94" s="711">
        <f>'Rates in Detail'!AK79</f>
        <v>0</v>
      </c>
      <c r="Q94" s="152"/>
      <c r="R94" s="287" t="e">
        <f>#REF!</f>
        <v>#REF!</v>
      </c>
      <c r="S94" s="300"/>
      <c r="T94" s="289" t="e">
        <f>#REF!</f>
        <v>#REF!</v>
      </c>
      <c r="U94" s="290" t="e">
        <f>#REF!</f>
        <v>#REF!</v>
      </c>
      <c r="V94" s="152"/>
      <c r="W94" s="295" t="e">
        <f t="shared" ref="W94:W96" si="149">(H94*R94)</f>
        <v>#REF!</v>
      </c>
      <c r="X94" s="296" t="e">
        <f t="shared" ref="X94:X96" si="150">(K94*T94*12)</f>
        <v>#REF!</v>
      </c>
      <c r="Y94" s="296">
        <f>(S94*(M94+O94))*12</f>
        <v>0</v>
      </c>
      <c r="Z94" s="297"/>
      <c r="AA94" s="310"/>
      <c r="AB94" s="295" t="e">
        <f>(I94*R94)</f>
        <v>#REF!</v>
      </c>
      <c r="AC94" s="296" t="e">
        <f>(L94*T94*12)</f>
        <v>#REF!</v>
      </c>
      <c r="AD94" s="297">
        <f>(S94*(N94+P94))*12</f>
        <v>0</v>
      </c>
      <c r="AE94" s="310"/>
      <c r="AF94" s="295" t="e">
        <f t="shared" ref="AF94:AG96" si="151">AB94-W94</f>
        <v>#REF!</v>
      </c>
      <c r="AG94" s="296" t="e">
        <f t="shared" si="151"/>
        <v>#REF!</v>
      </c>
      <c r="AH94" s="297">
        <f t="shared" ref="AH94:AH96" si="152">AD94-Y94</f>
        <v>0</v>
      </c>
      <c r="AI94" s="309"/>
      <c r="AJ94" s="327"/>
      <c r="AK94" s="328"/>
      <c r="AL94" s="309"/>
      <c r="AM94" s="295" t="e">
        <f>(F94*R94)</f>
        <v>#REF!</v>
      </c>
      <c r="AN94" s="296">
        <v>0</v>
      </c>
      <c r="AO94" s="297" t="e">
        <f t="shared" ref="AO94:AO96" si="153">(AE94*(Y94+AB94))*12</f>
        <v>#REF!</v>
      </c>
      <c r="AP94" s="309"/>
      <c r="AQ94" s="144"/>
      <c r="AR94" s="144"/>
      <c r="AS94" s="309"/>
    </row>
    <row r="95" spans="1:45" x14ac:dyDescent="0.2">
      <c r="A95" s="76">
        <f t="shared" si="125"/>
        <v>88</v>
      </c>
      <c r="B95" s="668" t="e">
        <f>#REF!</f>
        <v>#REF!</v>
      </c>
      <c r="C95" s="669" t="s">
        <v>248</v>
      </c>
      <c r="D95" s="152"/>
      <c r="E95" s="381">
        <f>ROUND('Rates in Detail'!L80,5)</f>
        <v>0</v>
      </c>
      <c r="F95" s="381">
        <f>'Allocation = % of Margin'!AD81</f>
        <v>0</v>
      </c>
      <c r="G95" s="152"/>
      <c r="H95" s="385">
        <f>ROUND('Rates in Detail'!N80,5)</f>
        <v>4.9100000000000003E-3</v>
      </c>
      <c r="I95" s="713">
        <f t="shared" si="126"/>
        <v>4.9100000000000003E-3</v>
      </c>
      <c r="J95" s="152"/>
      <c r="K95" s="145" t="e">
        <f>#REF!</f>
        <v>#REF!</v>
      </c>
      <c r="L95" s="146" t="e">
        <f>#REF!</f>
        <v>#REF!</v>
      </c>
      <c r="M95" s="112">
        <f>'Rates in Detail'!AH80</f>
        <v>0</v>
      </c>
      <c r="N95" s="112">
        <f>'Rates in Detail'!AI80</f>
        <v>0</v>
      </c>
      <c r="O95" s="112">
        <f>'Rates in Detail'!AJ80</f>
        <v>0</v>
      </c>
      <c r="P95" s="711">
        <f>'Rates in Detail'!AK80</f>
        <v>0</v>
      </c>
      <c r="Q95" s="152"/>
      <c r="R95" s="287" t="e">
        <f>#REF!</f>
        <v>#REF!</v>
      </c>
      <c r="S95" s="150"/>
      <c r="T95" s="289" t="e">
        <f>#REF!</f>
        <v>#REF!</v>
      </c>
      <c r="U95" s="290" t="e">
        <f>#REF!</f>
        <v>#REF!</v>
      </c>
      <c r="V95" s="152"/>
      <c r="W95" s="311" t="e">
        <f t="shared" si="149"/>
        <v>#REF!</v>
      </c>
      <c r="X95" s="310" t="e">
        <f t="shared" si="150"/>
        <v>#REF!</v>
      </c>
      <c r="Y95" s="310">
        <f>(S95*(M95+O95))*12</f>
        <v>0</v>
      </c>
      <c r="Z95" s="312"/>
      <c r="AA95" s="309"/>
      <c r="AB95" s="311" t="e">
        <f>(I95*R95)</f>
        <v>#REF!</v>
      </c>
      <c r="AC95" s="310" t="e">
        <f>(L95*T95*12)</f>
        <v>#REF!</v>
      </c>
      <c r="AD95" s="312">
        <f>(S95*(N95+P95))*12</f>
        <v>0</v>
      </c>
      <c r="AE95" s="309"/>
      <c r="AF95" s="311" t="e">
        <f t="shared" si="151"/>
        <v>#REF!</v>
      </c>
      <c r="AG95" s="310" t="e">
        <f t="shared" si="151"/>
        <v>#REF!</v>
      </c>
      <c r="AH95" s="312">
        <f t="shared" si="152"/>
        <v>0</v>
      </c>
      <c r="AI95" s="309"/>
      <c r="AJ95" s="309"/>
      <c r="AK95" s="309"/>
      <c r="AL95" s="309"/>
      <c r="AM95" s="311" t="e">
        <f>(F95*R95)</f>
        <v>#REF!</v>
      </c>
      <c r="AN95" s="310">
        <v>0</v>
      </c>
      <c r="AO95" s="312" t="e">
        <f t="shared" si="153"/>
        <v>#REF!</v>
      </c>
      <c r="AP95" s="309"/>
      <c r="AQ95" s="144"/>
      <c r="AR95" s="144"/>
      <c r="AS95" s="309"/>
    </row>
    <row r="96" spans="1:45" ht="13.5" thickBot="1" x14ac:dyDescent="0.25">
      <c r="A96" s="76">
        <f t="shared" si="125"/>
        <v>89</v>
      </c>
      <c r="B96" s="716" t="e">
        <f>#REF!</f>
        <v>#REF!</v>
      </c>
      <c r="C96" s="717" t="s">
        <v>248</v>
      </c>
      <c r="D96" s="156"/>
      <c r="E96" s="718">
        <f>ROUND('Rates in Detail'!L81,5)</f>
        <v>0</v>
      </c>
      <c r="F96" s="773">
        <f>'Allocation = % of Margin'!AD82</f>
        <v>0</v>
      </c>
      <c r="G96" s="719"/>
      <c r="H96" s="714">
        <f>ROUND('Rates in Detail'!N81,5)</f>
        <v>0</v>
      </c>
      <c r="I96" s="715">
        <f t="shared" si="126"/>
        <v>0</v>
      </c>
      <c r="J96" s="152"/>
      <c r="K96" s="722" t="e">
        <f>#REF!</f>
        <v>#REF!</v>
      </c>
      <c r="L96" s="723" t="e">
        <f>#REF!</f>
        <v>#REF!</v>
      </c>
      <c r="M96" s="732">
        <f>'Rates in Detail'!AH81</f>
        <v>0</v>
      </c>
      <c r="N96" s="732">
        <f>'Rates in Detail'!AI81</f>
        <v>0</v>
      </c>
      <c r="O96" s="732">
        <f>'Rates in Detail'!AJ81</f>
        <v>0</v>
      </c>
      <c r="P96" s="715">
        <f>'Rates in Detail'!AK81</f>
        <v>0</v>
      </c>
      <c r="Q96" s="152"/>
      <c r="R96" s="733" t="e">
        <f>#REF!</f>
        <v>#REF!</v>
      </c>
      <c r="S96" s="157"/>
      <c r="T96" s="738" t="e">
        <f>#REF!</f>
        <v>#REF!</v>
      </c>
      <c r="U96" s="739" t="e">
        <f>#REF!</f>
        <v>#REF!</v>
      </c>
      <c r="V96" s="152"/>
      <c r="W96" s="582" t="e">
        <f t="shared" si="149"/>
        <v>#REF!</v>
      </c>
      <c r="X96" s="583" t="e">
        <f t="shared" si="150"/>
        <v>#REF!</v>
      </c>
      <c r="Y96" s="583">
        <f>(S96*(M96+O96))*12</f>
        <v>0</v>
      </c>
      <c r="Z96" s="584"/>
      <c r="AA96" s="309"/>
      <c r="AB96" s="313" t="e">
        <f>(I96*R96)</f>
        <v>#REF!</v>
      </c>
      <c r="AC96" s="314" t="e">
        <f>(L96*T96*12)</f>
        <v>#REF!</v>
      </c>
      <c r="AD96" s="315">
        <f>(S96*(N96+P96))*12</f>
        <v>0</v>
      </c>
      <c r="AE96" s="309"/>
      <c r="AF96" s="313" t="e">
        <f t="shared" si="151"/>
        <v>#REF!</v>
      </c>
      <c r="AG96" s="314" t="e">
        <f t="shared" si="151"/>
        <v>#REF!</v>
      </c>
      <c r="AH96" s="315">
        <f t="shared" si="152"/>
        <v>0</v>
      </c>
      <c r="AI96" s="309"/>
      <c r="AJ96" s="309"/>
      <c r="AK96" s="309"/>
      <c r="AL96" s="309"/>
      <c r="AM96" s="582" t="e">
        <f>(F96*R96)</f>
        <v>#REF!</v>
      </c>
      <c r="AN96" s="583">
        <v>0</v>
      </c>
      <c r="AO96" s="584" t="e">
        <f t="shared" si="153"/>
        <v>#REF!</v>
      </c>
      <c r="AP96" s="309"/>
      <c r="AQ96" s="152"/>
      <c r="AR96" s="152"/>
      <c r="AS96" s="309"/>
    </row>
    <row r="97" spans="1:45" x14ac:dyDescent="0.2">
      <c r="A97" s="76">
        <f t="shared" si="125"/>
        <v>90</v>
      </c>
      <c r="F97" s="1042"/>
    </row>
    <row r="98" spans="1:45" x14ac:dyDescent="0.2">
      <c r="A98" s="76">
        <f t="shared" si="125"/>
        <v>91</v>
      </c>
      <c r="B98" s="158" t="s">
        <v>45</v>
      </c>
    </row>
    <row r="99" spans="1:45" x14ac:dyDescent="0.2">
      <c r="A99" s="76">
        <f t="shared" si="125"/>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02"/>
      <c r="AJ99" s="702"/>
      <c r="AK99" s="702"/>
      <c r="AL99" s="702"/>
      <c r="AM99" s="735"/>
      <c r="AN99" s="735"/>
      <c r="AO99" s="735"/>
      <c r="AP99" s="736"/>
      <c r="AS99" s="45"/>
    </row>
    <row r="100" spans="1:45" x14ac:dyDescent="0.2">
      <c r="A100" s="76">
        <f t="shared" si="125"/>
        <v>93</v>
      </c>
      <c r="B100" s="159"/>
      <c r="R100" s="316"/>
      <c r="S100" s="316"/>
      <c r="T100" s="316"/>
    </row>
    <row r="101" spans="1:45" x14ac:dyDescent="0.2">
      <c r="A101" s="76">
        <f t="shared" si="125"/>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37"/>
      <c r="AS101" s="45"/>
    </row>
    <row r="102" spans="1:45" x14ac:dyDescent="0.2">
      <c r="A102" s="76">
        <f t="shared" si="125"/>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37"/>
      <c r="AS102" s="45"/>
    </row>
    <row r="103" spans="1:45" x14ac:dyDescent="0.2">
      <c r="A103" s="76"/>
      <c r="B103" s="159"/>
      <c r="F103" s="1042"/>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zoomScale="90" zoomScaleNormal="90" workbookViewId="0">
      <pane xSplit="10" ySplit="13" topLeftCell="K14" activePane="bottomRight" state="frozen"/>
      <selection activeCell="A5" sqref="A5"/>
      <selection pane="topRight" activeCell="A5" sqref="A5"/>
      <selection pane="bottomLeft" activeCell="A5" sqref="A5"/>
      <selection pane="bottomRight" activeCell="A5" sqref="A5"/>
    </sheetView>
  </sheetViews>
  <sheetFormatPr defaultColWidth="9.33203125" defaultRowHeight="12.75" outlineLevelCol="1" x14ac:dyDescent="0.2"/>
  <cols>
    <col min="1" max="1" width="6.83203125" style="45" customWidth="1"/>
    <col min="2" max="2" width="19" style="46" customWidth="1"/>
    <col min="3" max="3" width="10.33203125" style="46" customWidth="1"/>
    <col min="4" max="4" width="2.83203125" style="46" customWidth="1"/>
    <col min="5" max="5" width="14.83203125" style="46" customWidth="1"/>
    <col min="6" max="6" width="14.83203125" style="46" hidden="1" customWidth="1" outlineLevel="1"/>
    <col min="7" max="7" width="2.83203125" style="46" customWidth="1" collapsed="1"/>
    <col min="8" max="9" width="15.83203125" style="46" customWidth="1"/>
    <col min="10" max="10" width="2.83203125" style="46" customWidth="1"/>
    <col min="11" max="16" width="15.83203125" style="46" customWidth="1"/>
    <col min="17" max="17" width="2.83203125" style="46" customWidth="1"/>
    <col min="18" max="21" width="15.83203125" style="46" customWidth="1"/>
    <col min="22" max="22" width="2.83203125" style="46" customWidth="1"/>
    <col min="23" max="26" width="15.83203125" style="46" customWidth="1"/>
    <col min="27" max="27" width="2.83203125" style="46" customWidth="1"/>
    <col min="28" max="30" width="15.83203125" style="46" customWidth="1"/>
    <col min="31" max="31" width="2.83203125" style="46" customWidth="1"/>
    <col min="32" max="34" width="15.83203125" style="46" customWidth="1"/>
    <col min="35" max="35" width="2.83203125" style="46" customWidth="1"/>
    <col min="36" max="36" width="15.6640625" style="46" hidden="1" customWidth="1"/>
    <col min="37" max="37" width="15.83203125" style="46" hidden="1" customWidth="1"/>
    <col min="38" max="38" width="2.83203125" style="46" customWidth="1"/>
    <col min="39" max="41" width="15.83203125" style="46" customWidth="1"/>
    <col min="42" max="42" width="2.83203125" style="46" customWidth="1"/>
    <col min="43" max="43" width="23.83203125" style="46" customWidth="1"/>
    <col min="44" max="44" width="22.1640625" style="46" customWidth="1"/>
    <col min="45" max="45" width="2.83203125" style="46" customWidth="1"/>
    <col min="46" max="46" width="9.33203125" style="45"/>
    <col min="47" max="47" width="17" style="45" bestFit="1" customWidth="1"/>
    <col min="48" max="16384" width="9.33203125" style="45"/>
  </cols>
  <sheetData>
    <row r="1" spans="1:52" ht="13.5" thickBot="1" x14ac:dyDescent="0.25">
      <c r="A1" s="129" t="e">
        <f>+#REF!</f>
        <v>#REF!</v>
      </c>
    </row>
    <row r="2" spans="1:52" ht="13.5" thickBot="1" x14ac:dyDescent="0.25">
      <c r="A2" s="129" t="e">
        <f>+#REF!</f>
        <v>#REF!</v>
      </c>
      <c r="E2" s="130"/>
      <c r="F2" s="130"/>
      <c r="T2" s="254"/>
      <c r="W2" s="255" t="s">
        <v>95</v>
      </c>
      <c r="X2" s="256" t="s">
        <v>96</v>
      </c>
      <c r="Y2" s="256" t="s">
        <v>80</v>
      </c>
      <c r="Z2" s="1048" t="s">
        <v>370</v>
      </c>
      <c r="AB2" s="255" t="s">
        <v>95</v>
      </c>
      <c r="AC2" s="256" t="s">
        <v>96</v>
      </c>
      <c r="AD2" s="257" t="s">
        <v>80</v>
      </c>
      <c r="AF2" s="255" t="s">
        <v>95</v>
      </c>
      <c r="AG2" s="256" t="s">
        <v>96</v>
      </c>
      <c r="AH2" s="257" t="s">
        <v>80</v>
      </c>
      <c r="AK2" s="135"/>
      <c r="AM2" s="255" t="s">
        <v>95</v>
      </c>
      <c r="AN2" s="256" t="s">
        <v>96</v>
      </c>
      <c r="AO2" s="257" t="s">
        <v>80</v>
      </c>
      <c r="AQ2" s="1629" t="s">
        <v>244</v>
      </c>
      <c r="AR2" s="1630"/>
    </row>
    <row r="3" spans="1:52" x14ac:dyDescent="0.2">
      <c r="A3" s="129" t="e">
        <f>+#REF!</f>
        <v>#REF!</v>
      </c>
      <c r="E3" s="130"/>
      <c r="F3" s="130"/>
      <c r="W3" s="258" t="e">
        <f>SUM(W14:W19)+W22+W28+W31+W37+W44+W51+W58+W65+W72+W79+W93+W94+W25+W34+W86+W95+W96</f>
        <v>#REF!</v>
      </c>
      <c r="X3" s="259" t="e">
        <f>SUM(X14:X19)+X22+X28+X31+X37+X44+X51+X58+X65+X72+X79+X93+X94+X25+X34+X86+X95+X96</f>
        <v>#REF!</v>
      </c>
      <c r="Y3" s="259">
        <f>SUM(Y14:Y19)+Y22+Y28+Y31+Y37+Y44+Y51+Y58+Y65+Y72+Y79+Y93+Y94+Y25+Y34+Y86+Y95+Y96</f>
        <v>141275.86116</v>
      </c>
      <c r="Z3" s="260" t="e">
        <f>SUM(Z14:Z19)+Z22+Z28+Z31+Z37+Z44+Z51+Z58+Z65+Z72+Z79+Z93+Z94+Z25+Z34+Z86+Z95+Z96</f>
        <v>#REF!</v>
      </c>
      <c r="AB3" s="258" t="e">
        <f>SUM(AB14:AB19)+AB22+AB28+AB31+AB37+AB44+AB51+AB58+AB65+AB72+AB79+AB93+AB94+AB25+AB34+AB86+AB95+AB96</f>
        <v>#REF!</v>
      </c>
      <c r="AC3" s="259" t="e">
        <f>SUM(AC14:AC19)+AC22+AC28+AC31+AC37+AC44+AC51+AC58+AC65+AC72+AC79+AC93+AC94+AC25+AC34+AC86+AC95+AC96</f>
        <v>#REF!</v>
      </c>
      <c r="AD3" s="260">
        <f>SUM(AD14:AD19)+AD22+AD28+AD31+AD37+AD44+AD51+AD58+AD65+AD72+AD79+AD93+AD94+AD25+AD34+AD86+AD95+AD96</f>
        <v>141275.86116</v>
      </c>
      <c r="AF3" s="258" t="e">
        <f t="shared" ref="AF3:AH3" si="0">SUM(AF14:AF19)+AF22+AF28+AF31+AF37+AF44+AF51+AF58+AF65+AF72+AF79+AF93+AF94+AF25+AF34+AF86+AF95+AF96</f>
        <v>#REF!</v>
      </c>
      <c r="AG3" s="259" t="e">
        <f t="shared" si="0"/>
        <v>#REF!</v>
      </c>
      <c r="AH3" s="260">
        <f t="shared" si="0"/>
        <v>0</v>
      </c>
      <c r="AK3" s="259"/>
      <c r="AM3" s="258" t="e">
        <f t="shared" ref="AM3:AO3" si="1">SUM(AM14:AM19)+AM22+AM28+AM31+AM37+AM44+AM51+AM58+AM65+AM72+AM79+AM93+AM94+AM25+AM34+AM86+AM95+AM96</f>
        <v>#REF!</v>
      </c>
      <c r="AN3" s="259">
        <f t="shared" si="1"/>
        <v>0</v>
      </c>
      <c r="AO3" s="260" t="e">
        <f t="shared" si="1"/>
        <v>#REF!</v>
      </c>
      <c r="AQ3" s="46" t="s">
        <v>81</v>
      </c>
      <c r="AR3" s="261" t="e">
        <f>AF3</f>
        <v>#REF!</v>
      </c>
    </row>
    <row r="4" spans="1:52" x14ac:dyDescent="0.2">
      <c r="A4" s="129" t="s">
        <v>499</v>
      </c>
      <c r="D4" s="130"/>
      <c r="E4" s="130"/>
      <c r="F4" s="130"/>
      <c r="G4" s="130"/>
      <c r="H4" s="130"/>
      <c r="J4" s="130"/>
      <c r="K4" s="130"/>
      <c r="L4" s="130"/>
      <c r="Q4" s="130"/>
      <c r="V4" s="130"/>
      <c r="W4" s="262"/>
      <c r="X4" s="45"/>
      <c r="Y4" s="45"/>
      <c r="Z4" s="1049" t="s">
        <v>62</v>
      </c>
      <c r="AA4" s="130"/>
      <c r="AB4" s="262"/>
      <c r="AC4" s="45"/>
      <c r="AD4" s="263" t="s">
        <v>62</v>
      </c>
      <c r="AE4" s="130"/>
      <c r="AF4" s="262"/>
      <c r="AG4" s="45"/>
      <c r="AH4" s="263" t="s">
        <v>62</v>
      </c>
      <c r="AI4" s="130"/>
      <c r="AJ4" s="130"/>
      <c r="AK4" s="135"/>
      <c r="AL4" s="130"/>
      <c r="AM4" s="262"/>
      <c r="AN4" s="45"/>
      <c r="AO4" s="263" t="s">
        <v>62</v>
      </c>
      <c r="AP4" s="130"/>
      <c r="AQ4" s="46" t="s">
        <v>82</v>
      </c>
      <c r="AR4" s="261" t="e">
        <f>AG3</f>
        <v>#REF!</v>
      </c>
    </row>
    <row r="5" spans="1:52" ht="13.5" thickBot="1" x14ac:dyDescent="0.25">
      <c r="E5" s="130"/>
      <c r="F5" s="130"/>
      <c r="W5" s="542"/>
      <c r="X5" s="543"/>
      <c r="Y5" s="543"/>
      <c r="Z5" s="1050" t="e">
        <f>SUM(W3:Z3)</f>
        <v>#REF!</v>
      </c>
      <c r="AB5" s="264"/>
      <c r="AC5" s="265"/>
      <c r="AD5" s="266" t="e">
        <f>SUM(AB3:AD3)</f>
        <v>#REF!</v>
      </c>
      <c r="AF5" s="264"/>
      <c r="AG5" s="265"/>
      <c r="AH5" s="266" t="e">
        <f>SUM(AF3:AH3)</f>
        <v>#REF!</v>
      </c>
      <c r="AK5" s="259"/>
      <c r="AM5" s="264"/>
      <c r="AN5" s="265"/>
      <c r="AO5" s="266" t="e">
        <f>SUM(AM3:AO3)</f>
        <v>#REF!</v>
      </c>
      <c r="AQ5" s="46" t="s">
        <v>83</v>
      </c>
      <c r="AR5" s="261">
        <f>AH3</f>
        <v>0</v>
      </c>
    </row>
    <row r="6" spans="1:52" ht="13.5" thickBot="1" x14ac:dyDescent="0.25">
      <c r="E6" s="130"/>
      <c r="F6" s="130"/>
      <c r="W6" s="45"/>
      <c r="X6" s="45"/>
      <c r="Y6" s="259"/>
      <c r="Z6" s="1045" t="s">
        <v>369</v>
      </c>
      <c r="AB6" s="45"/>
      <c r="AC6" s="45"/>
      <c r="AD6" s="259"/>
      <c r="AF6" s="45"/>
      <c r="AG6" s="45"/>
      <c r="AH6" s="259"/>
      <c r="AK6" s="259"/>
      <c r="AM6" s="45"/>
      <c r="AN6" s="45"/>
      <c r="AO6" s="259"/>
      <c r="AR6" s="261"/>
    </row>
    <row r="7" spans="1:52" ht="13.5" thickBot="1" x14ac:dyDescent="0.25">
      <c r="E7" s="506"/>
      <c r="F7" s="506"/>
      <c r="H7" s="1631" t="s">
        <v>103</v>
      </c>
      <c r="I7" s="1632"/>
      <c r="K7" s="1631" t="s">
        <v>105</v>
      </c>
      <c r="L7" s="1633"/>
      <c r="M7" s="1633"/>
      <c r="N7" s="1633"/>
      <c r="O7" s="1633"/>
      <c r="P7" s="1632"/>
      <c r="R7" s="1631" t="s">
        <v>104</v>
      </c>
      <c r="S7" s="1633"/>
      <c r="T7" s="1633"/>
      <c r="U7" s="1632"/>
      <c r="AD7" s="269"/>
      <c r="AO7" s="269"/>
      <c r="AQ7" s="46" t="s">
        <v>84</v>
      </c>
      <c r="AR7" s="270" t="e">
        <f>SUM(AR3:AR5)</f>
        <v>#REF!</v>
      </c>
      <c r="AU7" s="1053"/>
    </row>
    <row r="8" spans="1:52" x14ac:dyDescent="0.2">
      <c r="A8" s="76">
        <v>1</v>
      </c>
      <c r="D8" s="132"/>
      <c r="E8" s="506" t="s">
        <v>494</v>
      </c>
      <c r="F8" s="506" t="str">
        <f>E8</f>
        <v>UG-200994</v>
      </c>
      <c r="G8" s="132"/>
      <c r="H8" s="138"/>
      <c r="I8" s="286"/>
      <c r="J8" s="132"/>
      <c r="K8" s="318" t="s">
        <v>17</v>
      </c>
      <c r="L8" s="319" t="s">
        <v>20</v>
      </c>
      <c r="M8" s="319" t="s">
        <v>17</v>
      </c>
      <c r="N8" s="319" t="s">
        <v>20</v>
      </c>
      <c r="O8" s="319" t="s">
        <v>17</v>
      </c>
      <c r="P8" s="320" t="s">
        <v>20</v>
      </c>
      <c r="Q8" s="132"/>
      <c r="R8" s="131"/>
      <c r="S8" s="271"/>
      <c r="T8" s="271"/>
      <c r="U8" s="272"/>
      <c r="V8" s="132"/>
      <c r="W8" s="1634" t="s">
        <v>106</v>
      </c>
      <c r="X8" s="1634"/>
      <c r="Y8" s="1634"/>
      <c r="Z8" s="1634"/>
      <c r="AA8" s="135"/>
      <c r="AB8" s="267"/>
      <c r="AC8" s="268" t="s">
        <v>218</v>
      </c>
      <c r="AD8" s="267"/>
      <c r="AE8" s="132"/>
      <c r="AG8" s="740" t="s">
        <v>107</v>
      </c>
      <c r="AI8" s="132"/>
      <c r="AJ8" s="410"/>
      <c r="AL8" s="132"/>
      <c r="AM8" s="267"/>
      <c r="AN8" s="268"/>
      <c r="AO8" s="267"/>
      <c r="AP8" s="132"/>
      <c r="AQ8" s="46" t="s">
        <v>85</v>
      </c>
      <c r="AR8" s="261"/>
      <c r="AU8" s="462"/>
      <c r="AV8" s="282"/>
    </row>
    <row r="9" spans="1:52" ht="13.5" thickBot="1" x14ac:dyDescent="0.25">
      <c r="A9" s="76">
        <f>+A8+1</f>
        <v>2</v>
      </c>
      <c r="D9" s="133"/>
      <c r="E9" s="134" t="s">
        <v>158</v>
      </c>
      <c r="F9" s="134" t="s">
        <v>158</v>
      </c>
      <c r="G9" s="133"/>
      <c r="H9" s="411" t="s">
        <v>99</v>
      </c>
      <c r="I9" s="938" t="str">
        <f>E8</f>
        <v>UG-200994</v>
      </c>
      <c r="J9" s="133"/>
      <c r="K9" s="321" t="str">
        <f>H9</f>
        <v>CURRENT</v>
      </c>
      <c r="L9" s="485" t="str">
        <f>E8</f>
        <v>UG-200994</v>
      </c>
      <c r="M9" s="133" t="str">
        <f>K9</f>
        <v>CURRENT</v>
      </c>
      <c r="N9" s="485" t="str">
        <f>E8</f>
        <v>UG-200994</v>
      </c>
      <c r="O9" s="133" t="str">
        <f>K9</f>
        <v>CURRENT</v>
      </c>
      <c r="P9" s="938" t="str">
        <f>E8</f>
        <v>UG-200994</v>
      </c>
      <c r="Q9" s="133"/>
      <c r="R9" s="939" t="str">
        <f>E8</f>
        <v>UG-200994</v>
      </c>
      <c r="S9" s="940" t="str">
        <f>R9</f>
        <v>UG-200994</v>
      </c>
      <c r="T9" s="940" t="str">
        <f>S9</f>
        <v>UG-200994</v>
      </c>
      <c r="U9" s="941" t="str">
        <f>T9</f>
        <v>UG-200994</v>
      </c>
      <c r="V9" s="133"/>
      <c r="W9" s="267"/>
      <c r="X9" s="267"/>
      <c r="Y9" s="267"/>
      <c r="Z9" s="267"/>
      <c r="AA9" s="135"/>
      <c r="AB9" s="267"/>
      <c r="AC9" s="1052"/>
      <c r="AD9" s="267"/>
      <c r="AE9" s="133"/>
      <c r="AF9" s="267"/>
      <c r="AG9" s="1052"/>
      <c r="AH9" s="267"/>
      <c r="AI9" s="133"/>
      <c r="AJ9" s="133"/>
      <c r="AK9" s="267"/>
      <c r="AL9" s="133"/>
      <c r="AM9" s="267"/>
      <c r="AN9" s="268"/>
      <c r="AO9" s="267"/>
      <c r="AP9" s="133"/>
      <c r="AQ9" s="589" t="s">
        <v>325</v>
      </c>
      <c r="AR9" s="261" t="e">
        <f>AO5</f>
        <v>#REF!</v>
      </c>
      <c r="AU9" s="581"/>
      <c r="AV9" s="282"/>
    </row>
    <row r="10" spans="1:52" ht="15.75" thickBot="1" x14ac:dyDescent="0.4">
      <c r="A10" s="76">
        <f t="shared" ref="A10:A73" si="2">+A9+1</f>
        <v>3</v>
      </c>
      <c r="D10" s="135"/>
      <c r="E10" s="49" t="s">
        <v>72</v>
      </c>
      <c r="F10" s="49" t="s">
        <v>72</v>
      </c>
      <c r="G10" s="135"/>
      <c r="H10" s="411" t="s">
        <v>86</v>
      </c>
      <c r="I10" s="720" t="s">
        <v>86</v>
      </c>
      <c r="J10" s="135"/>
      <c r="K10" s="278" t="s">
        <v>66</v>
      </c>
      <c r="L10" s="76" t="s">
        <v>66</v>
      </c>
      <c r="M10" s="135" t="s">
        <v>289</v>
      </c>
      <c r="N10" s="76" t="s">
        <v>289</v>
      </c>
      <c r="O10" s="135" t="s">
        <v>90</v>
      </c>
      <c r="P10" s="720" t="s">
        <v>90</v>
      </c>
      <c r="Q10" s="135"/>
      <c r="R10" s="273" t="s">
        <v>91</v>
      </c>
      <c r="S10" s="267" t="s">
        <v>91</v>
      </c>
      <c r="T10" s="267" t="s">
        <v>101</v>
      </c>
      <c r="U10" s="274" t="s">
        <v>55</v>
      </c>
      <c r="V10" s="135"/>
      <c r="W10" s="1626" t="s">
        <v>97</v>
      </c>
      <c r="X10" s="1627"/>
      <c r="Y10" s="1627"/>
      <c r="Z10" s="1628"/>
      <c r="AA10" s="133"/>
      <c r="AB10" s="1626" t="s">
        <v>98</v>
      </c>
      <c r="AC10" s="1627"/>
      <c r="AD10" s="1628"/>
      <c r="AE10" s="135"/>
      <c r="AF10" s="1626" t="s">
        <v>88</v>
      </c>
      <c r="AG10" s="1627"/>
      <c r="AH10" s="1628"/>
      <c r="AI10" s="135"/>
      <c r="AJ10" s="48" t="s">
        <v>116</v>
      </c>
      <c r="AK10" s="48" t="s">
        <v>95</v>
      </c>
      <c r="AL10" s="135"/>
      <c r="AM10" s="1626" t="s">
        <v>98</v>
      </c>
      <c r="AN10" s="1627"/>
      <c r="AO10" s="1628"/>
      <c r="AP10" s="135"/>
      <c r="AQ10" s="50" t="s">
        <v>73</v>
      </c>
      <c r="AR10" s="270" t="e">
        <f>AR7+AR9</f>
        <v>#REF!</v>
      </c>
      <c r="AU10" s="1076"/>
      <c r="AV10" s="1077"/>
      <c r="AW10" s="598"/>
      <c r="AX10" s="598"/>
      <c r="AY10" s="598"/>
      <c r="AZ10" s="598"/>
    </row>
    <row r="11" spans="1:52" s="47" customFormat="1" ht="13.5" thickBot="1" x14ac:dyDescent="0.25">
      <c r="A11" s="76">
        <f t="shared" si="2"/>
        <v>4</v>
      </c>
      <c r="B11" s="137"/>
      <c r="C11" s="137"/>
      <c r="D11" s="135"/>
      <c r="E11" s="162" t="s">
        <v>79</v>
      </c>
      <c r="F11" s="1047"/>
      <c r="G11" s="135"/>
      <c r="H11" s="414" t="s">
        <v>87</v>
      </c>
      <c r="I11" s="721" t="s">
        <v>87</v>
      </c>
      <c r="J11" s="135"/>
      <c r="K11" s="322" t="s">
        <v>56</v>
      </c>
      <c r="L11" s="347" t="s">
        <v>56</v>
      </c>
      <c r="M11" s="323" t="s">
        <v>56</v>
      </c>
      <c r="N11" s="347" t="s">
        <v>56</v>
      </c>
      <c r="O11" s="323" t="s">
        <v>56</v>
      </c>
      <c r="P11" s="721" t="s">
        <v>56</v>
      </c>
      <c r="Q11" s="135"/>
      <c r="R11" s="275" t="s">
        <v>92</v>
      </c>
      <c r="S11" s="276" t="s">
        <v>94</v>
      </c>
      <c r="T11" s="276" t="s">
        <v>60</v>
      </c>
      <c r="U11" s="277" t="s">
        <v>93</v>
      </c>
      <c r="V11" s="135"/>
      <c r="W11" s="278" t="s">
        <v>95</v>
      </c>
      <c r="X11" s="135" t="s">
        <v>96</v>
      </c>
      <c r="Y11" s="256" t="s">
        <v>80</v>
      </c>
      <c r="Z11" s="263" t="s">
        <v>370</v>
      </c>
      <c r="AA11" s="48"/>
      <c r="AB11" s="278" t="s">
        <v>95</v>
      </c>
      <c r="AC11" s="135" t="s">
        <v>96</v>
      </c>
      <c r="AD11" s="263" t="s">
        <v>80</v>
      </c>
      <c r="AE11" s="135"/>
      <c r="AF11" s="278" t="s">
        <v>95</v>
      </c>
      <c r="AG11" s="135" t="s">
        <v>96</v>
      </c>
      <c r="AH11" s="263" t="s">
        <v>80</v>
      </c>
      <c r="AI11" s="135"/>
      <c r="AJ11" s="48" t="s">
        <v>27</v>
      </c>
      <c r="AK11" s="48" t="s">
        <v>27</v>
      </c>
      <c r="AL11" s="135"/>
      <c r="AM11" s="255" t="s">
        <v>95</v>
      </c>
      <c r="AN11" s="256" t="s">
        <v>96</v>
      </c>
      <c r="AO11" s="257" t="s">
        <v>80</v>
      </c>
      <c r="AP11" s="135"/>
      <c r="AQ11" s="267"/>
      <c r="AR11" s="267"/>
      <c r="AS11" s="135"/>
      <c r="AU11" s="581"/>
      <c r="AV11" s="282"/>
    </row>
    <row r="12" spans="1:52" s="47" customFormat="1" ht="15" x14ac:dyDescent="0.35">
      <c r="A12" s="76">
        <f t="shared" si="2"/>
        <v>5</v>
      </c>
      <c r="B12" s="46"/>
      <c r="C12" s="46"/>
      <c r="D12" s="48"/>
      <c r="E12" s="140"/>
      <c r="F12" s="140"/>
      <c r="G12" s="48"/>
      <c r="H12" s="141"/>
      <c r="I12" s="588"/>
      <c r="J12" s="48"/>
      <c r="K12" s="324"/>
      <c r="L12" s="325"/>
      <c r="M12" s="325"/>
      <c r="N12" s="325"/>
      <c r="O12" s="325"/>
      <c r="P12" s="326"/>
      <c r="Q12" s="48"/>
      <c r="R12" s="279"/>
      <c r="S12" s="136"/>
      <c r="T12" s="136"/>
      <c r="U12" s="280"/>
      <c r="V12" s="48"/>
      <c r="W12" s="141"/>
      <c r="Z12" s="139"/>
      <c r="AB12" s="141"/>
      <c r="AD12" s="139"/>
      <c r="AE12" s="48"/>
      <c r="AF12" s="141"/>
      <c r="AH12" s="139"/>
      <c r="AI12" s="48"/>
      <c r="AJ12" s="48" t="s">
        <v>108</v>
      </c>
      <c r="AK12" s="48" t="s">
        <v>108</v>
      </c>
      <c r="AL12" s="48"/>
      <c r="AM12" s="141"/>
      <c r="AO12" s="139"/>
      <c r="AP12" s="48"/>
      <c r="AQ12" s="135"/>
      <c r="AR12" s="281">
        <f>'Rate Spread SETTLEMENT'!D28</f>
        <v>3000000</v>
      </c>
      <c r="AS12" s="282" t="s">
        <v>137</v>
      </c>
      <c r="AU12" s="1076"/>
      <c r="AV12" s="1077"/>
      <c r="AW12" s="599"/>
      <c r="AX12" s="599"/>
      <c r="AY12" s="599"/>
      <c r="AZ12" s="599"/>
    </row>
    <row r="13" spans="1:52" s="47" customFormat="1" ht="13.5" thickBot="1" x14ac:dyDescent="0.25">
      <c r="A13" s="76">
        <f t="shared" si="2"/>
        <v>6</v>
      </c>
      <c r="B13" s="708" t="s">
        <v>2</v>
      </c>
      <c r="C13" s="708" t="s">
        <v>3</v>
      </c>
      <c r="D13" s="283"/>
      <c r="E13" s="283" t="s">
        <v>35</v>
      </c>
      <c r="F13" s="283" t="s">
        <v>36</v>
      </c>
      <c r="G13" s="283"/>
      <c r="H13" s="284" t="s">
        <v>13</v>
      </c>
      <c r="I13" s="285" t="s">
        <v>37</v>
      </c>
      <c r="J13" s="283"/>
      <c r="K13" s="284" t="s">
        <v>38</v>
      </c>
      <c r="L13" s="283" t="s">
        <v>39</v>
      </c>
      <c r="M13" s="283" t="s">
        <v>40</v>
      </c>
      <c r="N13" s="283" t="s">
        <v>41</v>
      </c>
      <c r="O13" s="283" t="s">
        <v>42</v>
      </c>
      <c r="P13" s="285" t="s">
        <v>109</v>
      </c>
      <c r="Q13" s="283"/>
      <c r="R13" s="284" t="s">
        <v>110</v>
      </c>
      <c r="S13" s="283" t="s">
        <v>43</v>
      </c>
      <c r="T13" s="283" t="s">
        <v>111</v>
      </c>
      <c r="U13" s="285" t="s">
        <v>112</v>
      </c>
      <c r="V13" s="48"/>
      <c r="W13" s="138" t="s">
        <v>113</v>
      </c>
      <c r="X13" s="48" t="s">
        <v>114</v>
      </c>
      <c r="Y13" s="48" t="s">
        <v>115</v>
      </c>
      <c r="Z13" s="286" t="s">
        <v>71</v>
      </c>
      <c r="AA13" s="48"/>
      <c r="AB13" s="138" t="s">
        <v>74</v>
      </c>
      <c r="AC13" s="48" t="s">
        <v>75</v>
      </c>
      <c r="AD13" s="286" t="s">
        <v>76</v>
      </c>
      <c r="AE13" s="48"/>
      <c r="AF13" s="138" t="s">
        <v>165</v>
      </c>
      <c r="AG13" s="48" t="s">
        <v>208</v>
      </c>
      <c r="AH13" s="286" t="s">
        <v>203</v>
      </c>
      <c r="AI13" s="48"/>
      <c r="AJ13" s="48" t="s">
        <v>107</v>
      </c>
      <c r="AK13" s="48" t="s">
        <v>107</v>
      </c>
      <c r="AL13" s="48"/>
      <c r="AM13" s="138" t="s">
        <v>209</v>
      </c>
      <c r="AN13" s="48" t="s">
        <v>210</v>
      </c>
      <c r="AO13" s="286" t="s">
        <v>211</v>
      </c>
      <c r="AP13" s="48"/>
      <c r="AR13" s="857" t="e">
        <f>AR12-AR10</f>
        <v>#REF!</v>
      </c>
      <c r="AS13" s="282" t="s">
        <v>147</v>
      </c>
      <c r="AT13" s="858"/>
      <c r="AU13" s="1078"/>
      <c r="AV13" s="595"/>
    </row>
    <row r="14" spans="1:52" ht="12.95" customHeight="1" x14ac:dyDescent="0.2">
      <c r="A14" s="76">
        <f t="shared" si="2"/>
        <v>7</v>
      </c>
      <c r="B14" s="668" t="e">
        <f>#REF!</f>
        <v>#REF!</v>
      </c>
      <c r="C14" s="668" t="s">
        <v>248</v>
      </c>
      <c r="D14" s="144"/>
      <c r="E14" s="709">
        <f>ROUND('Rates in Detail'!Y13,5)</f>
        <v>6.1650000000000003E-2</v>
      </c>
      <c r="F14" s="113"/>
      <c r="G14" s="144"/>
      <c r="H14" s="357">
        <f>ROUND('Rates in Detail'!R13,5)</f>
        <v>0.77856999999999998</v>
      </c>
      <c r="I14" s="710">
        <f>H14+E14</f>
        <v>0.84021999999999997</v>
      </c>
      <c r="J14" s="144"/>
      <c r="K14" s="145" t="e">
        <f>#REF!</f>
        <v>#REF!</v>
      </c>
      <c r="L14" s="146" t="e">
        <f>#REF!</f>
        <v>#REF!</v>
      </c>
      <c r="M14" s="112">
        <f>'Rates in Detail'!AH13</f>
        <v>0</v>
      </c>
      <c r="N14" s="112">
        <f>'Rates in Detail'!AI13</f>
        <v>0</v>
      </c>
      <c r="O14" s="112">
        <f>'Rates in Detail'!AJ13</f>
        <v>0</v>
      </c>
      <c r="P14" s="711">
        <f>'Rates in Detail'!AK13</f>
        <v>0</v>
      </c>
      <c r="Q14" s="144"/>
      <c r="R14" s="287" t="e">
        <f>#REF!</f>
        <v>#REF!</v>
      </c>
      <c r="S14" s="288"/>
      <c r="T14" s="289" t="e">
        <f>#REF!</f>
        <v>#REF!</v>
      </c>
      <c r="U14" s="290" t="e">
        <f>#REF!</f>
        <v>#REF!</v>
      </c>
      <c r="V14" s="144"/>
      <c r="W14" s="291" t="e">
        <f>(H14*R14)</f>
        <v>#REF!</v>
      </c>
      <c r="X14" s="292" t="e">
        <f>(K14*T14*12)</f>
        <v>#REF!</v>
      </c>
      <c r="Y14" s="292">
        <f t="shared" ref="Y14:Y21" si="3">(S14*(M14+O14))*12</f>
        <v>0</v>
      </c>
      <c r="Z14" s="293" t="e">
        <f>'Rate Spread SETTLEMENT'!E$76-SUM(W14:Y14)</f>
        <v>#REF!</v>
      </c>
      <c r="AA14" s="294"/>
      <c r="AB14" s="291" t="e">
        <f>(I14*R14)</f>
        <v>#REF!</v>
      </c>
      <c r="AC14" s="292" t="e">
        <f t="shared" ref="AC14:AC21" si="4">(L14*T14*12)</f>
        <v>#REF!</v>
      </c>
      <c r="AD14" s="293">
        <f t="shared" ref="AD14:AD21" si="5">(S14*(N14+P14))*12</f>
        <v>0</v>
      </c>
      <c r="AE14" s="294"/>
      <c r="AF14" s="291" t="e">
        <f>AB14-W14</f>
        <v>#REF!</v>
      </c>
      <c r="AG14" s="292" t="e">
        <f>AC14-X14</f>
        <v>#REF!</v>
      </c>
      <c r="AH14" s="293">
        <f>AD14-Y14</f>
        <v>0</v>
      </c>
      <c r="AI14" s="294"/>
      <c r="AJ14" s="327"/>
      <c r="AK14" s="328"/>
      <c r="AL14" s="294"/>
      <c r="AM14" s="291" t="e">
        <f t="shared" ref="AM14:AM21" si="6">(F14*R14)</f>
        <v>#REF!</v>
      </c>
      <c r="AN14" s="292">
        <v>0</v>
      </c>
      <c r="AO14" s="293" t="e">
        <f t="shared" ref="AO14:AO21" si="7">(AE14*(Y14+AB14))*12</f>
        <v>#REF!</v>
      </c>
      <c r="AP14" s="294"/>
      <c r="AQ14" s="1625" t="s">
        <v>148</v>
      </c>
      <c r="AR14" s="1625"/>
      <c r="AS14" s="1625"/>
    </row>
    <row r="15" spans="1:52" x14ac:dyDescent="0.2">
      <c r="A15" s="76">
        <f t="shared" si="2"/>
        <v>8</v>
      </c>
      <c r="B15" s="669" t="e">
        <f>#REF!</f>
        <v>#REF!</v>
      </c>
      <c r="C15" s="669" t="s">
        <v>248</v>
      </c>
      <c r="D15" s="147"/>
      <c r="E15" s="113">
        <f>ROUND('Rates in Detail'!Y14,5)</f>
        <v>5.126E-2</v>
      </c>
      <c r="F15" s="113"/>
      <c r="G15" s="147"/>
      <c r="H15" s="357">
        <f>ROUND('Rates in Detail'!R14,5)</f>
        <v>0.81633999999999995</v>
      </c>
      <c r="I15" s="710">
        <f>H15+E15</f>
        <v>0.86759999999999993</v>
      </c>
      <c r="J15" s="147"/>
      <c r="K15" s="145" t="e">
        <f>#REF!</f>
        <v>#REF!</v>
      </c>
      <c r="L15" s="146" t="e">
        <f>#REF!</f>
        <v>#REF!</v>
      </c>
      <c r="M15" s="112">
        <f>'Rates in Detail'!AH14</f>
        <v>0</v>
      </c>
      <c r="N15" s="112">
        <f>'Rates in Detail'!AI14</f>
        <v>0</v>
      </c>
      <c r="O15" s="112">
        <f>'Rates in Detail'!AJ14</f>
        <v>0</v>
      </c>
      <c r="P15" s="711">
        <f>'Rates in Detail'!AK14</f>
        <v>0</v>
      </c>
      <c r="Q15" s="147"/>
      <c r="R15" s="287" t="e">
        <f>#REF!</f>
        <v>#REF!</v>
      </c>
      <c r="S15" s="288"/>
      <c r="T15" s="289" t="e">
        <f>#REF!</f>
        <v>#REF!</v>
      </c>
      <c r="U15" s="290" t="e">
        <f>#REF!</f>
        <v>#REF!</v>
      </c>
      <c r="V15" s="147"/>
      <c r="W15" s="295" t="e">
        <f>(H15*R15)</f>
        <v>#REF!</v>
      </c>
      <c r="X15" s="296" t="e">
        <f>(K15*T15*12)</f>
        <v>#REF!</v>
      </c>
      <c r="Y15" s="296">
        <f t="shared" si="3"/>
        <v>0</v>
      </c>
      <c r="Z15" s="297" t="e">
        <f>'Rate Spread SETTLEMENT'!F$76-SUM(W15:Y15)</f>
        <v>#REF!</v>
      </c>
      <c r="AA15" s="298"/>
      <c r="AB15" s="295" t="e">
        <f>(I15*R15)</f>
        <v>#REF!</v>
      </c>
      <c r="AC15" s="296" t="e">
        <f>(L15*T15*12)</f>
        <v>#REF!</v>
      </c>
      <c r="AD15" s="297">
        <f>(S15*(N15+P15))*12</f>
        <v>0</v>
      </c>
      <c r="AE15" s="298"/>
      <c r="AF15" s="295" t="e">
        <f t="shared" ref="AF15:AH21" si="8">AB15-W15</f>
        <v>#REF!</v>
      </c>
      <c r="AG15" s="296" t="e">
        <f t="shared" si="8"/>
        <v>#REF!</v>
      </c>
      <c r="AH15" s="297">
        <f t="shared" si="8"/>
        <v>0</v>
      </c>
      <c r="AI15" s="298"/>
      <c r="AJ15" s="327"/>
      <c r="AK15" s="328"/>
      <c r="AL15" s="298"/>
      <c r="AM15" s="295" t="e">
        <f>(F15*R15)</f>
        <v>#REF!</v>
      </c>
      <c r="AN15" s="296">
        <v>0</v>
      </c>
      <c r="AO15" s="297" t="e">
        <f t="shared" si="7"/>
        <v>#REF!</v>
      </c>
      <c r="AP15" s="298"/>
      <c r="AQ15" s="299"/>
      <c r="AR15" s="299"/>
      <c r="AS15" s="298"/>
    </row>
    <row r="16" spans="1:52" x14ac:dyDescent="0.2">
      <c r="A16" s="76">
        <f t="shared" si="2"/>
        <v>9</v>
      </c>
      <c r="B16" s="669" t="e">
        <f>#REF!</f>
        <v>#REF!</v>
      </c>
      <c r="C16" s="669" t="s">
        <v>248</v>
      </c>
      <c r="D16" s="147"/>
      <c r="E16" s="709">
        <f>ROUND('Rates in Detail'!Y15,5)</f>
        <v>3.9019999999999999E-2</v>
      </c>
      <c r="F16" s="709"/>
      <c r="G16" s="147"/>
      <c r="H16" s="357">
        <f>ROUND('Rates in Detail'!R15,5)</f>
        <v>0.52273999999999998</v>
      </c>
      <c r="I16" s="710">
        <f t="shared" ref="I16:I78" si="9">H16+E16</f>
        <v>0.56176000000000004</v>
      </c>
      <c r="J16" s="147"/>
      <c r="K16" s="145" t="e">
        <f>#REF!</f>
        <v>#REF!</v>
      </c>
      <c r="L16" s="146" t="e">
        <f>#REF!</f>
        <v>#REF!</v>
      </c>
      <c r="M16" s="112">
        <f>'Rates in Detail'!AH15</f>
        <v>0</v>
      </c>
      <c r="N16" s="112">
        <f>'Rates in Detail'!AI15</f>
        <v>0</v>
      </c>
      <c r="O16" s="112">
        <f>'Rates in Detail'!AJ15</f>
        <v>0</v>
      </c>
      <c r="P16" s="711">
        <f>'Rates in Detail'!AK15</f>
        <v>0</v>
      </c>
      <c r="Q16" s="147"/>
      <c r="R16" s="287" t="e">
        <f>#REF!</f>
        <v>#REF!</v>
      </c>
      <c r="S16" s="300"/>
      <c r="T16" s="289" t="e">
        <f>#REF!</f>
        <v>#REF!</v>
      </c>
      <c r="U16" s="290" t="e">
        <f>#REF!</f>
        <v>#REF!</v>
      </c>
      <c r="V16" s="147"/>
      <c r="W16" s="295" t="e">
        <f t="shared" ref="W16:W21" si="10">(H16*R16)</f>
        <v>#REF!</v>
      </c>
      <c r="X16" s="296" t="e">
        <f t="shared" ref="X16:X18" si="11">(K16*T16*12)</f>
        <v>#REF!</v>
      </c>
      <c r="Y16" s="296">
        <f t="shared" si="3"/>
        <v>0</v>
      </c>
      <c r="Z16" s="297" t="e">
        <f>'Rate Spread SETTLEMENT'!G$76-SUM(W16:Y16)</f>
        <v>#REF!</v>
      </c>
      <c r="AA16" s="298"/>
      <c r="AB16" s="295" t="e">
        <f t="shared" ref="AB16:AB21" si="12">(I16*R16)</f>
        <v>#REF!</v>
      </c>
      <c r="AC16" s="296" t="e">
        <f t="shared" si="4"/>
        <v>#REF!</v>
      </c>
      <c r="AD16" s="297">
        <f t="shared" si="5"/>
        <v>0</v>
      </c>
      <c r="AE16" s="298"/>
      <c r="AF16" s="295" t="e">
        <f t="shared" si="8"/>
        <v>#REF!</v>
      </c>
      <c r="AG16" s="296" t="e">
        <f t="shared" si="8"/>
        <v>#REF!</v>
      </c>
      <c r="AH16" s="297">
        <f t="shared" si="8"/>
        <v>0</v>
      </c>
      <c r="AI16" s="298"/>
      <c r="AJ16" s="327" t="e">
        <f>SUM(AF16:AH16)/SUM(W16:Y16)</f>
        <v>#REF!</v>
      </c>
      <c r="AK16" s="328" t="e">
        <f t="shared" ref="AK16:AK41" si="13">SUM(AF16)/SUM(W16)</f>
        <v>#REF!</v>
      </c>
      <c r="AL16" s="298"/>
      <c r="AM16" s="295" t="e">
        <f t="shared" si="6"/>
        <v>#REF!</v>
      </c>
      <c r="AN16" s="296">
        <v>0</v>
      </c>
      <c r="AO16" s="297" t="e">
        <f t="shared" si="7"/>
        <v>#REF!</v>
      </c>
      <c r="AP16" s="298"/>
      <c r="AQ16" s="299"/>
      <c r="AR16" s="40"/>
      <c r="AS16" s="298"/>
    </row>
    <row r="17" spans="1:45" x14ac:dyDescent="0.2">
      <c r="A17" s="76">
        <f t="shared" si="2"/>
        <v>10</v>
      </c>
      <c r="B17" s="669" t="e">
        <f>#REF!</f>
        <v>#REF!</v>
      </c>
      <c r="C17" s="669" t="s">
        <v>248</v>
      </c>
      <c r="D17" s="147"/>
      <c r="E17" s="113">
        <f>ROUND('Rates in Detail'!Y16,5)</f>
        <v>3.5029999999999999E-2</v>
      </c>
      <c r="F17" s="113"/>
      <c r="G17" s="147"/>
      <c r="H17" s="357">
        <f>ROUND('Rates in Detail'!R16,5)</f>
        <v>0.50166999999999995</v>
      </c>
      <c r="I17" s="710">
        <f t="shared" si="9"/>
        <v>0.53669999999999995</v>
      </c>
      <c r="J17" s="147"/>
      <c r="K17" s="145" t="e">
        <f>#REF!</f>
        <v>#REF!</v>
      </c>
      <c r="L17" s="146" t="e">
        <f>#REF!</f>
        <v>#REF!</v>
      </c>
      <c r="M17" s="112">
        <f>'Rates in Detail'!AH16</f>
        <v>0</v>
      </c>
      <c r="N17" s="112">
        <f>'Rates in Detail'!AI16</f>
        <v>0</v>
      </c>
      <c r="O17" s="112">
        <f>'Rates in Detail'!AJ16</f>
        <v>0</v>
      </c>
      <c r="P17" s="711">
        <f>'Rates in Detail'!AK16</f>
        <v>0</v>
      </c>
      <c r="Q17" s="147"/>
      <c r="R17" s="287" t="e">
        <f>#REF!</f>
        <v>#REF!</v>
      </c>
      <c r="S17" s="300"/>
      <c r="T17" s="289" t="e">
        <f>#REF!</f>
        <v>#REF!</v>
      </c>
      <c r="U17" s="290" t="e">
        <f>#REF!</f>
        <v>#REF!</v>
      </c>
      <c r="V17" s="147"/>
      <c r="W17" s="295" t="e">
        <f t="shared" si="10"/>
        <v>#REF!</v>
      </c>
      <c r="X17" s="296" t="e">
        <f t="shared" si="11"/>
        <v>#REF!</v>
      </c>
      <c r="Y17" s="296">
        <f t="shared" si="3"/>
        <v>0</v>
      </c>
      <c r="Z17" s="297" t="e">
        <f>'Rate Spread SETTLEMENT'!H$76-SUM(W17:Y17)</f>
        <v>#REF!</v>
      </c>
      <c r="AA17" s="298"/>
      <c r="AB17" s="295" t="e">
        <f t="shared" si="12"/>
        <v>#REF!</v>
      </c>
      <c r="AC17" s="296" t="e">
        <f t="shared" si="4"/>
        <v>#REF!</v>
      </c>
      <c r="AD17" s="297">
        <f t="shared" si="5"/>
        <v>0</v>
      </c>
      <c r="AE17" s="298"/>
      <c r="AF17" s="295" t="e">
        <f t="shared" si="8"/>
        <v>#REF!</v>
      </c>
      <c r="AG17" s="296" t="e">
        <f t="shared" si="8"/>
        <v>#REF!</v>
      </c>
      <c r="AH17" s="297">
        <f t="shared" si="8"/>
        <v>0</v>
      </c>
      <c r="AI17" s="298"/>
      <c r="AJ17" s="327" t="e">
        <f>SUM(AF17:AH17)/SUM(W17:Y17)</f>
        <v>#REF!</v>
      </c>
      <c r="AK17" s="328" t="e">
        <f t="shared" si="13"/>
        <v>#REF!</v>
      </c>
      <c r="AL17" s="298"/>
      <c r="AM17" s="295" t="e">
        <f t="shared" si="6"/>
        <v>#REF!</v>
      </c>
      <c r="AN17" s="296">
        <v>0</v>
      </c>
      <c r="AO17" s="297" t="e">
        <f t="shared" si="7"/>
        <v>#REF!</v>
      </c>
      <c r="AP17" s="298"/>
      <c r="AQ17" s="299"/>
      <c r="AR17" s="299"/>
      <c r="AS17" s="298"/>
    </row>
    <row r="18" spans="1:45" x14ac:dyDescent="0.2">
      <c r="A18" s="76">
        <f t="shared" si="2"/>
        <v>11</v>
      </c>
      <c r="B18" s="669" t="e">
        <f>#REF!</f>
        <v>#REF!</v>
      </c>
      <c r="C18" s="669" t="s">
        <v>248</v>
      </c>
      <c r="D18" s="147"/>
      <c r="E18" s="113">
        <f>ROUND('Rates in Detail'!Y17,5)</f>
        <v>3.1730000000000001E-2</v>
      </c>
      <c r="F18" s="113"/>
      <c r="G18" s="147"/>
      <c r="H18" s="357">
        <f>ROUND('Rates in Detail'!R17,5)</f>
        <v>0.51500999999999997</v>
      </c>
      <c r="I18" s="710">
        <f t="shared" si="9"/>
        <v>0.54674</v>
      </c>
      <c r="J18" s="147"/>
      <c r="K18" s="145" t="e">
        <f>#REF!</f>
        <v>#REF!</v>
      </c>
      <c r="L18" s="146" t="e">
        <f>#REF!</f>
        <v>#REF!</v>
      </c>
      <c r="M18" s="112">
        <f>'Rates in Detail'!AH17</f>
        <v>0</v>
      </c>
      <c r="N18" s="112">
        <f>'Rates in Detail'!AI17</f>
        <v>0</v>
      </c>
      <c r="O18" s="112">
        <f>'Rates in Detail'!AJ17</f>
        <v>0</v>
      </c>
      <c r="P18" s="711">
        <f>'Rates in Detail'!AK17</f>
        <v>0</v>
      </c>
      <c r="Q18" s="147"/>
      <c r="R18" s="287" t="e">
        <f>#REF!</f>
        <v>#REF!</v>
      </c>
      <c r="S18" s="300"/>
      <c r="T18" s="289" t="e">
        <f>#REF!</f>
        <v>#REF!</v>
      </c>
      <c r="U18" s="290" t="e">
        <f>#REF!</f>
        <v>#REF!</v>
      </c>
      <c r="V18" s="147"/>
      <c r="W18" s="295" t="e">
        <f t="shared" si="10"/>
        <v>#REF!</v>
      </c>
      <c r="X18" s="296" t="e">
        <f t="shared" si="11"/>
        <v>#REF!</v>
      </c>
      <c r="Y18" s="296">
        <f t="shared" si="3"/>
        <v>0</v>
      </c>
      <c r="Z18" s="297" t="e">
        <f>'Rate Spread SETTLEMENT'!I$76-SUM(W18:Y18)</f>
        <v>#REF!</v>
      </c>
      <c r="AA18" s="298"/>
      <c r="AB18" s="295" t="e">
        <f t="shared" si="12"/>
        <v>#REF!</v>
      </c>
      <c r="AC18" s="296" t="e">
        <f t="shared" si="4"/>
        <v>#REF!</v>
      </c>
      <c r="AD18" s="297">
        <f t="shared" si="5"/>
        <v>0</v>
      </c>
      <c r="AE18" s="298"/>
      <c r="AF18" s="295" t="e">
        <f t="shared" si="8"/>
        <v>#REF!</v>
      </c>
      <c r="AG18" s="296" t="e">
        <f t="shared" si="8"/>
        <v>#REF!</v>
      </c>
      <c r="AH18" s="297">
        <f t="shared" si="8"/>
        <v>0</v>
      </c>
      <c r="AI18" s="298"/>
      <c r="AJ18" s="327" t="e">
        <f>SUM(AF18:AH18)/SUM(W18:Y18)</f>
        <v>#REF!</v>
      </c>
      <c r="AK18" s="328" t="e">
        <f t="shared" si="13"/>
        <v>#REF!</v>
      </c>
      <c r="AL18" s="298"/>
      <c r="AM18" s="295" t="e">
        <f t="shared" si="6"/>
        <v>#REF!</v>
      </c>
      <c r="AN18" s="296">
        <v>0</v>
      </c>
      <c r="AO18" s="297" t="e">
        <f t="shared" si="7"/>
        <v>#REF!</v>
      </c>
      <c r="AP18" s="298"/>
      <c r="AQ18" s="299"/>
      <c r="AR18" s="299"/>
      <c r="AS18" s="298"/>
    </row>
    <row r="19" spans="1:45" x14ac:dyDescent="0.2">
      <c r="A19" s="76">
        <f t="shared" si="2"/>
        <v>12</v>
      </c>
      <c r="B19" s="669" t="e">
        <f>#REF!</f>
        <v>#REF!</v>
      </c>
      <c r="C19" s="669" t="s">
        <v>248</v>
      </c>
      <c r="D19" s="147"/>
      <c r="E19" s="113">
        <f>ROUND('Rates in Detail'!Y18,5)</f>
        <v>2.777E-2</v>
      </c>
      <c r="F19" s="113"/>
      <c r="G19" s="147"/>
      <c r="H19" s="357">
        <f>ROUND('Rates in Detail'!R18,5)</f>
        <v>0.28683999999999998</v>
      </c>
      <c r="I19" s="710">
        <f t="shared" si="9"/>
        <v>0.31461</v>
      </c>
      <c r="J19" s="147"/>
      <c r="K19" s="145" t="e">
        <f>#REF!</f>
        <v>#REF!</v>
      </c>
      <c r="L19" s="146" t="e">
        <f>#REF!</f>
        <v>#REF!</v>
      </c>
      <c r="M19" s="112">
        <f>'Rates in Detail'!AH18</f>
        <v>0</v>
      </c>
      <c r="N19" s="112">
        <f>'Rates in Detail'!AI18</f>
        <v>0</v>
      </c>
      <c r="O19" s="112">
        <f>'Rates in Detail'!AJ18</f>
        <v>0</v>
      </c>
      <c r="P19" s="711">
        <f>'Rates in Detail'!AK18</f>
        <v>0</v>
      </c>
      <c r="Q19" s="147"/>
      <c r="R19" s="287" t="e">
        <f>#REF!</f>
        <v>#REF!</v>
      </c>
      <c r="S19" s="300"/>
      <c r="T19" s="289" t="e">
        <f>#REF!</f>
        <v>#REF!</v>
      </c>
      <c r="U19" s="290" t="e">
        <f>#REF!</f>
        <v>#REF!</v>
      </c>
      <c r="V19" s="147"/>
      <c r="W19" s="295" t="e">
        <f t="shared" si="10"/>
        <v>#REF!</v>
      </c>
      <c r="X19" s="296" t="e">
        <f>(K19*T19*12)</f>
        <v>#REF!</v>
      </c>
      <c r="Y19" s="296">
        <f t="shared" si="3"/>
        <v>0</v>
      </c>
      <c r="Z19" s="297" t="e">
        <f>'Rate Spread SETTLEMENT'!J$76-SUM(W19:Y19)</f>
        <v>#REF!</v>
      </c>
      <c r="AA19" s="298"/>
      <c r="AB19" s="295" t="e">
        <f t="shared" si="12"/>
        <v>#REF!</v>
      </c>
      <c r="AC19" s="296" t="e">
        <f t="shared" si="4"/>
        <v>#REF!</v>
      </c>
      <c r="AD19" s="297">
        <f t="shared" si="5"/>
        <v>0</v>
      </c>
      <c r="AE19" s="298"/>
      <c r="AF19" s="295" t="e">
        <f t="shared" si="8"/>
        <v>#REF!</v>
      </c>
      <c r="AG19" s="296" t="e">
        <f t="shared" si="8"/>
        <v>#REF!</v>
      </c>
      <c r="AH19" s="297">
        <f t="shared" si="8"/>
        <v>0</v>
      </c>
      <c r="AI19" s="298"/>
      <c r="AJ19" s="327" t="e">
        <f>SUM(AF19:AH19)/SUM(W19:Y19)</f>
        <v>#REF!</v>
      </c>
      <c r="AK19" s="328" t="e">
        <f t="shared" si="13"/>
        <v>#REF!</v>
      </c>
      <c r="AL19" s="298"/>
      <c r="AM19" s="295" t="e">
        <f t="shared" si="6"/>
        <v>#REF!</v>
      </c>
      <c r="AN19" s="296">
        <v>0</v>
      </c>
      <c r="AO19" s="297" t="e">
        <f t="shared" si="7"/>
        <v>#REF!</v>
      </c>
      <c r="AP19" s="298"/>
      <c r="AQ19" s="299"/>
      <c r="AR19" s="299"/>
      <c r="AS19" s="298"/>
    </row>
    <row r="20" spans="1:45" x14ac:dyDescent="0.2">
      <c r="A20" s="76">
        <f t="shared" si="2"/>
        <v>13</v>
      </c>
      <c r="B20" s="677" t="e">
        <f>#REF!</f>
        <v>#REF!</v>
      </c>
      <c r="C20" s="671" t="s">
        <v>4</v>
      </c>
      <c r="D20" s="147"/>
      <c r="E20" s="112">
        <f>ROUND('Rates in Detail'!Y19,5)</f>
        <v>2.7820000000000001E-2</v>
      </c>
      <c r="F20" s="112"/>
      <c r="G20" s="147"/>
      <c r="H20" s="362">
        <f>ROUND('Rates in Detail'!R19,5)</f>
        <v>0.39079000000000003</v>
      </c>
      <c r="I20" s="711">
        <f t="shared" si="9"/>
        <v>0.41861000000000004</v>
      </c>
      <c r="J20" s="147"/>
      <c r="K20" s="145" t="e">
        <f>#REF!</f>
        <v>#REF!</v>
      </c>
      <c r="L20" s="146" t="e">
        <f>#REF!</f>
        <v>#REF!</v>
      </c>
      <c r="M20" s="112">
        <f>'Rates in Detail'!AH19</f>
        <v>0</v>
      </c>
      <c r="N20" s="112">
        <f>'Rates in Detail'!AI19</f>
        <v>0</v>
      </c>
      <c r="O20" s="112">
        <f>'Rates in Detail'!AJ19</f>
        <v>0</v>
      </c>
      <c r="P20" s="711">
        <f>'Rates in Detail'!AK19</f>
        <v>0</v>
      </c>
      <c r="Q20" s="147"/>
      <c r="R20" s="287" t="e">
        <f>#REF!</f>
        <v>#REF!</v>
      </c>
      <c r="S20" s="300"/>
      <c r="T20" s="289" t="e">
        <f>#REF!</f>
        <v>#REF!</v>
      </c>
      <c r="U20" s="290" t="e">
        <f>#REF!</f>
        <v>#REF!</v>
      </c>
      <c r="V20" s="147"/>
      <c r="W20" s="302" t="e">
        <f t="shared" si="10"/>
        <v>#REF!</v>
      </c>
      <c r="X20" s="298" t="e">
        <f t="shared" ref="X20:X21" si="14">(K20*T20*12)</f>
        <v>#REF!</v>
      </c>
      <c r="Y20" s="298">
        <f t="shared" si="3"/>
        <v>0</v>
      </c>
      <c r="Z20" s="303"/>
      <c r="AA20" s="298"/>
      <c r="AB20" s="302" t="e">
        <f t="shared" si="12"/>
        <v>#REF!</v>
      </c>
      <c r="AC20" s="298" t="e">
        <f t="shared" si="4"/>
        <v>#REF!</v>
      </c>
      <c r="AD20" s="303">
        <f t="shared" si="5"/>
        <v>0</v>
      </c>
      <c r="AE20" s="298"/>
      <c r="AF20" s="302" t="e">
        <f t="shared" si="8"/>
        <v>#REF!</v>
      </c>
      <c r="AG20" s="298" t="e">
        <f t="shared" si="8"/>
        <v>#REF!</v>
      </c>
      <c r="AH20" s="303">
        <f t="shared" si="8"/>
        <v>0</v>
      </c>
      <c r="AI20" s="298"/>
      <c r="AJ20" s="327"/>
      <c r="AK20" s="329" t="e">
        <f t="shared" si="13"/>
        <v>#REF!</v>
      </c>
      <c r="AL20" s="298"/>
      <c r="AM20" s="302" t="e">
        <f t="shared" si="6"/>
        <v>#REF!</v>
      </c>
      <c r="AN20" s="298">
        <v>0</v>
      </c>
      <c r="AO20" s="303" t="e">
        <f t="shared" si="7"/>
        <v>#REF!</v>
      </c>
      <c r="AP20" s="298"/>
      <c r="AQ20" s="299"/>
      <c r="AR20" s="299"/>
      <c r="AS20" s="298"/>
    </row>
    <row r="21" spans="1:45" x14ac:dyDescent="0.2">
      <c r="A21" s="76">
        <f t="shared" si="2"/>
        <v>14</v>
      </c>
      <c r="B21" s="670"/>
      <c r="C21" s="671" t="s">
        <v>5</v>
      </c>
      <c r="D21" s="147"/>
      <c r="E21" s="112">
        <f>ROUND('Rates in Detail'!Y20,5)</f>
        <v>2.4510000000000001E-2</v>
      </c>
      <c r="F21" s="112"/>
      <c r="G21" s="147"/>
      <c r="H21" s="362">
        <f>ROUND('Rates in Detail'!R20,5)</f>
        <v>0.34434999999999999</v>
      </c>
      <c r="I21" s="711">
        <f t="shared" si="9"/>
        <v>0.36885999999999997</v>
      </c>
      <c r="J21" s="147"/>
      <c r="K21" s="145"/>
      <c r="L21" s="146"/>
      <c r="M21" s="147"/>
      <c r="N21" s="147"/>
      <c r="O21" s="147"/>
      <c r="P21" s="148"/>
      <c r="Q21" s="147"/>
      <c r="R21" s="287" t="e">
        <f>#REF!</f>
        <v>#REF!</v>
      </c>
      <c r="S21" s="300"/>
      <c r="T21" s="289"/>
      <c r="U21" s="290"/>
      <c r="V21" s="147"/>
      <c r="W21" s="302" t="e">
        <f t="shared" si="10"/>
        <v>#REF!</v>
      </c>
      <c r="X21" s="298">
        <f t="shared" si="14"/>
        <v>0</v>
      </c>
      <c r="Y21" s="298">
        <f t="shared" si="3"/>
        <v>0</v>
      </c>
      <c r="Z21" s="303"/>
      <c r="AA21" s="298"/>
      <c r="AB21" s="302" t="e">
        <f t="shared" si="12"/>
        <v>#REF!</v>
      </c>
      <c r="AC21" s="298">
        <f t="shared" si="4"/>
        <v>0</v>
      </c>
      <c r="AD21" s="303">
        <f t="shared" si="5"/>
        <v>0</v>
      </c>
      <c r="AE21" s="298"/>
      <c r="AF21" s="302" t="e">
        <f t="shared" si="8"/>
        <v>#REF!</v>
      </c>
      <c r="AG21" s="298">
        <f t="shared" si="8"/>
        <v>0</v>
      </c>
      <c r="AH21" s="303">
        <f t="shared" si="8"/>
        <v>0</v>
      </c>
      <c r="AI21" s="298"/>
      <c r="AJ21" s="327"/>
      <c r="AK21" s="329" t="e">
        <f t="shared" si="13"/>
        <v>#REF!</v>
      </c>
      <c r="AL21" s="298"/>
      <c r="AM21" s="302" t="e">
        <f t="shared" si="6"/>
        <v>#REF!</v>
      </c>
      <c r="AN21" s="298">
        <v>0</v>
      </c>
      <c r="AO21" s="303" t="e">
        <f t="shared" si="7"/>
        <v>#REF!</v>
      </c>
      <c r="AP21" s="298"/>
      <c r="AQ21" s="299"/>
      <c r="AR21" s="299"/>
      <c r="AS21" s="298"/>
    </row>
    <row r="22" spans="1:45" x14ac:dyDescent="0.2">
      <c r="A22" s="76">
        <f t="shared" si="2"/>
        <v>15</v>
      </c>
      <c r="B22" s="668"/>
      <c r="C22" s="686" t="s">
        <v>62</v>
      </c>
      <c r="D22" s="143"/>
      <c r="E22" s="113"/>
      <c r="F22" s="113"/>
      <c r="G22" s="143"/>
      <c r="H22" s="357"/>
      <c r="I22" s="710"/>
      <c r="J22" s="147"/>
      <c r="K22" s="145"/>
      <c r="L22" s="146"/>
      <c r="M22" s="147"/>
      <c r="N22" s="147"/>
      <c r="O22" s="147"/>
      <c r="P22" s="148"/>
      <c r="Q22" s="147"/>
      <c r="R22" s="287"/>
      <c r="S22" s="300"/>
      <c r="T22" s="289"/>
      <c r="U22" s="290"/>
      <c r="V22" s="147"/>
      <c r="W22" s="304" t="e">
        <f>SUM(W20:W21)</f>
        <v>#REF!</v>
      </c>
      <c r="X22" s="305" t="e">
        <f t="shared" ref="X22:Y22" si="15">SUM(X20:X21)</f>
        <v>#REF!</v>
      </c>
      <c r="Y22" s="305">
        <f t="shared" si="15"/>
        <v>0</v>
      </c>
      <c r="Z22" s="306" t="e">
        <f>'Rate Spread SETTLEMENT'!K$76-SUM(W22:Y22)</f>
        <v>#REF!</v>
      </c>
      <c r="AA22" s="298"/>
      <c r="AB22" s="304" t="e">
        <f>SUM(AB20:AB21)</f>
        <v>#REF!</v>
      </c>
      <c r="AC22" s="305" t="e">
        <f t="shared" ref="AC22:AD22" si="16">SUM(AC20:AC21)</f>
        <v>#REF!</v>
      </c>
      <c r="AD22" s="306">
        <f t="shared" si="16"/>
        <v>0</v>
      </c>
      <c r="AE22" s="298"/>
      <c r="AF22" s="304" t="e">
        <f>SUM(AF20:AF21)</f>
        <v>#REF!</v>
      </c>
      <c r="AG22" s="305" t="e">
        <f t="shared" ref="AG22:AH22" si="17">SUM(AG20:AG21)</f>
        <v>#REF!</v>
      </c>
      <c r="AH22" s="306">
        <f t="shared" si="17"/>
        <v>0</v>
      </c>
      <c r="AI22" s="298"/>
      <c r="AJ22" s="327" t="e">
        <f>SUM(AF22:AH22)/SUM(W22:Y22)</f>
        <v>#REF!</v>
      </c>
      <c r="AK22" s="328" t="e">
        <f t="shared" si="13"/>
        <v>#REF!</v>
      </c>
      <c r="AL22" s="298"/>
      <c r="AM22" s="304" t="e">
        <f>SUM(AM20:AM21)</f>
        <v>#REF!</v>
      </c>
      <c r="AN22" s="305">
        <f t="shared" ref="AN22:AO22" si="18">SUM(AN20:AN21)</f>
        <v>0</v>
      </c>
      <c r="AO22" s="306" t="e">
        <f t="shared" si="18"/>
        <v>#REF!</v>
      </c>
      <c r="AP22" s="298"/>
      <c r="AQ22" s="299"/>
      <c r="AR22" s="299"/>
      <c r="AS22" s="298"/>
    </row>
    <row r="23" spans="1:45" x14ac:dyDescent="0.2">
      <c r="A23" s="76">
        <f t="shared" si="2"/>
        <v>16</v>
      </c>
      <c r="B23" s="677" t="e">
        <f>#REF!</f>
        <v>#REF!</v>
      </c>
      <c r="C23" s="671" t="s">
        <v>4</v>
      </c>
      <c r="D23" s="147"/>
      <c r="E23" s="112">
        <f>ROUND('Rates in Detail'!Y21,5)</f>
        <v>8.7299999999999999E-3</v>
      </c>
      <c r="F23" s="112"/>
      <c r="G23" s="147"/>
      <c r="H23" s="362">
        <f>ROUND('Rates in Detail'!R21,5)</f>
        <v>0.36329</v>
      </c>
      <c r="I23" s="711">
        <f t="shared" si="9"/>
        <v>0.37202000000000002</v>
      </c>
      <c r="J23" s="147"/>
      <c r="K23" s="145" t="e">
        <f>#REF!</f>
        <v>#REF!</v>
      </c>
      <c r="L23" s="146" t="e">
        <f>#REF!</f>
        <v>#REF!</v>
      </c>
      <c r="M23" s="112">
        <f>'Rates in Detail'!AH21</f>
        <v>0</v>
      </c>
      <c r="N23" s="112">
        <f>'Rates in Detail'!AI21</f>
        <v>0</v>
      </c>
      <c r="O23" s="112">
        <f>'Rates in Detail'!AJ21</f>
        <v>0</v>
      </c>
      <c r="P23" s="711">
        <f>'Rates in Detail'!AK21</f>
        <v>0</v>
      </c>
      <c r="Q23" s="147"/>
      <c r="R23" s="287" t="e">
        <f>#REF!</f>
        <v>#REF!</v>
      </c>
      <c r="S23" s="300"/>
      <c r="T23" s="289" t="e">
        <f>#REF!</f>
        <v>#REF!</v>
      </c>
      <c r="U23" s="290" t="e">
        <f>#REF!</f>
        <v>#REF!</v>
      </c>
      <c r="V23" s="147"/>
      <c r="W23" s="302" t="e">
        <f t="shared" ref="W23:W24" si="19">(H23*R23)</f>
        <v>#REF!</v>
      </c>
      <c r="X23" s="298" t="e">
        <f t="shared" ref="X23:X24" si="20">(K23*T23*12)</f>
        <v>#REF!</v>
      </c>
      <c r="Y23" s="298">
        <f>(S23*(M23+O23))*12</f>
        <v>0</v>
      </c>
      <c r="Z23" s="303"/>
      <c r="AA23" s="298"/>
      <c r="AB23" s="302" t="e">
        <f>(I23*R23)</f>
        <v>#REF!</v>
      </c>
      <c r="AC23" s="298" t="e">
        <f>(L23*T23*12)</f>
        <v>#REF!</v>
      </c>
      <c r="AD23" s="303">
        <f>(S23*(N23+P23))*12</f>
        <v>0</v>
      </c>
      <c r="AE23" s="298"/>
      <c r="AF23" s="302" t="e">
        <f>AB23-W23</f>
        <v>#REF!</v>
      </c>
      <c r="AG23" s="298" t="e">
        <f>AC23-X23</f>
        <v>#REF!</v>
      </c>
      <c r="AH23" s="303">
        <f t="shared" ref="AH23:AH24" si="21">AD23-Y23</f>
        <v>0</v>
      </c>
      <c r="AI23" s="298"/>
      <c r="AJ23" s="327"/>
      <c r="AK23" s="329" t="e">
        <f t="shared" si="13"/>
        <v>#REF!</v>
      </c>
      <c r="AL23" s="298"/>
      <c r="AM23" s="302" t="e">
        <f>(F23*R23)</f>
        <v>#REF!</v>
      </c>
      <c r="AN23" s="298">
        <v>0</v>
      </c>
      <c r="AO23" s="303" t="e">
        <f t="shared" ref="AO23:AO24" si="22">(AE23*(Y23+AB23))*12</f>
        <v>#REF!</v>
      </c>
      <c r="AP23" s="298"/>
      <c r="AQ23" s="299"/>
      <c r="AR23" s="299"/>
      <c r="AS23" s="298"/>
    </row>
    <row r="24" spans="1:45" x14ac:dyDescent="0.2">
      <c r="A24" s="76">
        <f t="shared" si="2"/>
        <v>17</v>
      </c>
      <c r="B24" s="670"/>
      <c r="C24" s="671" t="s">
        <v>5</v>
      </c>
      <c r="D24" s="147"/>
      <c r="E24" s="112">
        <f>ROUND('Rates in Detail'!Y22,5)</f>
        <v>7.6899999999999998E-3</v>
      </c>
      <c r="F24" s="112"/>
      <c r="G24" s="147"/>
      <c r="H24" s="362">
        <f>ROUND('Rates in Detail'!R22,5)</f>
        <v>0.32011000000000001</v>
      </c>
      <c r="I24" s="711">
        <f t="shared" si="9"/>
        <v>0.32779999999999998</v>
      </c>
      <c r="J24" s="147"/>
      <c r="K24" s="145"/>
      <c r="L24" s="146"/>
      <c r="M24" s="147"/>
      <c r="N24" s="147"/>
      <c r="O24" s="147"/>
      <c r="P24" s="148"/>
      <c r="Q24" s="147"/>
      <c r="R24" s="287" t="e">
        <f>#REF!</f>
        <v>#REF!</v>
      </c>
      <c r="S24" s="300"/>
      <c r="T24" s="289"/>
      <c r="U24" s="290"/>
      <c r="V24" s="147"/>
      <c r="W24" s="302" t="e">
        <f t="shared" si="19"/>
        <v>#REF!</v>
      </c>
      <c r="X24" s="298">
        <f t="shared" si="20"/>
        <v>0</v>
      </c>
      <c r="Y24" s="298">
        <f>(S24*(M24+O24))*12</f>
        <v>0</v>
      </c>
      <c r="Z24" s="303"/>
      <c r="AA24" s="298"/>
      <c r="AB24" s="302" t="e">
        <f>(I24*R24)</f>
        <v>#REF!</v>
      </c>
      <c r="AC24" s="298">
        <f>(L24*T24*12)</f>
        <v>0</v>
      </c>
      <c r="AD24" s="303">
        <f>(S24*(N24+P24))*12</f>
        <v>0</v>
      </c>
      <c r="AE24" s="298"/>
      <c r="AF24" s="302" t="e">
        <f>AB24-W24</f>
        <v>#REF!</v>
      </c>
      <c r="AG24" s="298">
        <f>AC24-X24</f>
        <v>0</v>
      </c>
      <c r="AH24" s="303">
        <f t="shared" si="21"/>
        <v>0</v>
      </c>
      <c r="AI24" s="298"/>
      <c r="AJ24" s="327"/>
      <c r="AK24" s="329" t="e">
        <f t="shared" si="13"/>
        <v>#REF!</v>
      </c>
      <c r="AL24" s="298"/>
      <c r="AM24" s="302" t="e">
        <f>(F24*R24)</f>
        <v>#REF!</v>
      </c>
      <c r="AN24" s="298">
        <v>0</v>
      </c>
      <c r="AO24" s="303" t="e">
        <f t="shared" si="22"/>
        <v>#REF!</v>
      </c>
      <c r="AP24" s="298"/>
      <c r="AQ24" s="299"/>
      <c r="AR24" s="299"/>
      <c r="AS24" s="298"/>
    </row>
    <row r="25" spans="1:45" x14ac:dyDescent="0.2">
      <c r="A25" s="76">
        <f t="shared" si="2"/>
        <v>18</v>
      </c>
      <c r="B25" s="668"/>
      <c r="C25" s="686" t="s">
        <v>62</v>
      </c>
      <c r="D25" s="143"/>
      <c r="E25" s="113"/>
      <c r="F25" s="113"/>
      <c r="G25" s="143"/>
      <c r="H25" s="357"/>
      <c r="I25" s="710"/>
      <c r="J25" s="147"/>
      <c r="K25" s="145"/>
      <c r="L25" s="146"/>
      <c r="M25" s="147"/>
      <c r="N25" s="147"/>
      <c r="O25" s="147"/>
      <c r="P25" s="148"/>
      <c r="Q25" s="147"/>
      <c r="R25" s="287"/>
      <c r="S25" s="300"/>
      <c r="T25" s="289"/>
      <c r="U25" s="290"/>
      <c r="V25" s="147"/>
      <c r="W25" s="304" t="e">
        <f>SUM(W23:W24)</f>
        <v>#REF!</v>
      </c>
      <c r="X25" s="305" t="e">
        <f t="shared" ref="X25:Y25" si="23">SUM(X23:X24)</f>
        <v>#REF!</v>
      </c>
      <c r="Y25" s="305">
        <f t="shared" si="23"/>
        <v>0</v>
      </c>
      <c r="Z25" s="306" t="e">
        <f>'Rate Spread SETTLEMENT'!L$76-SUM(W25:Y25)</f>
        <v>#REF!</v>
      </c>
      <c r="AA25" s="298"/>
      <c r="AB25" s="304" t="e">
        <f>SUM(AB23:AB24)</f>
        <v>#REF!</v>
      </c>
      <c r="AC25" s="305" t="e">
        <f t="shared" ref="AC25:AD25" si="24">SUM(AC23:AC24)</f>
        <v>#REF!</v>
      </c>
      <c r="AD25" s="306">
        <f t="shared" si="24"/>
        <v>0</v>
      </c>
      <c r="AE25" s="298"/>
      <c r="AF25" s="304" t="e">
        <f>SUM(AF23:AF24)</f>
        <v>#REF!</v>
      </c>
      <c r="AG25" s="305" t="e">
        <f t="shared" ref="AG25:AH25" si="25">SUM(AG23:AG24)</f>
        <v>#REF!</v>
      </c>
      <c r="AH25" s="306">
        <f t="shared" si="25"/>
        <v>0</v>
      </c>
      <c r="AI25" s="298"/>
      <c r="AJ25" s="327" t="e">
        <f>SUM(AF25:AH25)/SUM(W25:Y25)</f>
        <v>#REF!</v>
      </c>
      <c r="AK25" s="328" t="e">
        <f t="shared" si="13"/>
        <v>#REF!</v>
      </c>
      <c r="AL25" s="298"/>
      <c r="AM25" s="304" t="e">
        <f>SUM(AM23:AM24)</f>
        <v>#REF!</v>
      </c>
      <c r="AN25" s="305">
        <f t="shared" ref="AN25:AO25" si="26">SUM(AN23:AN24)</f>
        <v>0</v>
      </c>
      <c r="AO25" s="306" t="e">
        <f t="shared" si="26"/>
        <v>#REF!</v>
      </c>
      <c r="AP25" s="298"/>
      <c r="AQ25" s="299"/>
      <c r="AR25" s="299"/>
      <c r="AS25" s="298"/>
    </row>
    <row r="26" spans="1:45" x14ac:dyDescent="0.2">
      <c r="A26" s="76">
        <f t="shared" si="2"/>
        <v>19</v>
      </c>
      <c r="B26" s="670" t="e">
        <f>#REF!</f>
        <v>#REF!</v>
      </c>
      <c r="C26" s="671" t="s">
        <v>4</v>
      </c>
      <c r="D26" s="147"/>
      <c r="E26" s="112">
        <f>ROUND('Rates in Detail'!Y23,5)</f>
        <v>2.162E-2</v>
      </c>
      <c r="F26" s="112"/>
      <c r="G26" s="147"/>
      <c r="H26" s="362">
        <f>ROUND('Rates in Detail'!R23,5)</f>
        <v>0.37659999999999999</v>
      </c>
      <c r="I26" s="711">
        <f t="shared" si="9"/>
        <v>0.39822000000000002</v>
      </c>
      <c r="J26" s="147"/>
      <c r="K26" s="145" t="e">
        <f>#REF!</f>
        <v>#REF!</v>
      </c>
      <c r="L26" s="146" t="e">
        <f>#REF!</f>
        <v>#REF!</v>
      </c>
      <c r="M26" s="112">
        <f>'Rates in Detail'!AH23</f>
        <v>0</v>
      </c>
      <c r="N26" s="112">
        <f>'Rates in Detail'!AI23</f>
        <v>0</v>
      </c>
      <c r="O26" s="112">
        <f>'Rates in Detail'!AJ23</f>
        <v>0</v>
      </c>
      <c r="P26" s="711">
        <f>'Rates in Detail'!AK23</f>
        <v>0</v>
      </c>
      <c r="Q26" s="147"/>
      <c r="R26" s="287" t="e">
        <f>#REF!</f>
        <v>#REF!</v>
      </c>
      <c r="S26" s="300"/>
      <c r="T26" s="289" t="e">
        <f>#REF!</f>
        <v>#REF!</v>
      </c>
      <c r="U26" s="290" t="e">
        <f>#REF!</f>
        <v>#REF!</v>
      </c>
      <c r="V26" s="147"/>
      <c r="W26" s="302" t="e">
        <f t="shared" ref="W26:W27" si="27">(H26*R26)</f>
        <v>#REF!</v>
      </c>
      <c r="X26" s="298" t="e">
        <f t="shared" ref="X26:X27" si="28">(K26*T26*12)</f>
        <v>#REF!</v>
      </c>
      <c r="Y26" s="298">
        <f>(S26*(M26+O26))*12</f>
        <v>0</v>
      </c>
      <c r="Z26" s="303"/>
      <c r="AA26" s="298"/>
      <c r="AB26" s="302" t="e">
        <f>(I26*R26)</f>
        <v>#REF!</v>
      </c>
      <c r="AC26" s="298" t="e">
        <f>(L26*T26*12)</f>
        <v>#REF!</v>
      </c>
      <c r="AD26" s="303">
        <f>(S26*(N26+P26))*12</f>
        <v>0</v>
      </c>
      <c r="AE26" s="298"/>
      <c r="AF26" s="302" t="e">
        <f>AB26-W26</f>
        <v>#REF!</v>
      </c>
      <c r="AG26" s="298" t="e">
        <f>AC26-X26</f>
        <v>#REF!</v>
      </c>
      <c r="AH26" s="303">
        <f t="shared" ref="AH26:AH27" si="29">AD26-Y26</f>
        <v>0</v>
      </c>
      <c r="AI26" s="298"/>
      <c r="AJ26" s="327"/>
      <c r="AK26" s="329" t="e">
        <f t="shared" si="13"/>
        <v>#REF!</v>
      </c>
      <c r="AL26" s="298"/>
      <c r="AM26" s="302" t="e">
        <f>(F26*R26)</f>
        <v>#REF!</v>
      </c>
      <c r="AN26" s="298">
        <v>0</v>
      </c>
      <c r="AO26" s="303" t="e">
        <f t="shared" ref="AO26:AO27" si="30">(AE26*(Y26+AB26))*12</f>
        <v>#REF!</v>
      </c>
      <c r="AP26" s="298"/>
      <c r="AQ26" s="299"/>
      <c r="AR26" s="299"/>
      <c r="AS26" s="298"/>
    </row>
    <row r="27" spans="1:45" x14ac:dyDescent="0.2">
      <c r="A27" s="76">
        <f t="shared" si="2"/>
        <v>20</v>
      </c>
      <c r="B27" s="670"/>
      <c r="C27" s="671" t="s">
        <v>5</v>
      </c>
      <c r="D27" s="147"/>
      <c r="E27" s="112">
        <f>ROUND('Rates in Detail'!Y24,5)</f>
        <v>1.9050000000000001E-2</v>
      </c>
      <c r="F27" s="112"/>
      <c r="G27" s="147"/>
      <c r="H27" s="362">
        <f>ROUND('Rates in Detail'!R24,5)</f>
        <v>0.33180999999999999</v>
      </c>
      <c r="I27" s="711">
        <f t="shared" si="9"/>
        <v>0.35086000000000001</v>
      </c>
      <c r="J27" s="147"/>
      <c r="K27" s="145"/>
      <c r="L27" s="146"/>
      <c r="M27" s="147"/>
      <c r="N27" s="147"/>
      <c r="O27" s="147"/>
      <c r="P27" s="148"/>
      <c r="Q27" s="147"/>
      <c r="R27" s="287" t="e">
        <f>#REF!</f>
        <v>#REF!</v>
      </c>
      <c r="S27" s="300"/>
      <c r="T27" s="289"/>
      <c r="U27" s="290"/>
      <c r="V27" s="147"/>
      <c r="W27" s="302" t="e">
        <f t="shared" si="27"/>
        <v>#REF!</v>
      </c>
      <c r="X27" s="298">
        <f t="shared" si="28"/>
        <v>0</v>
      </c>
      <c r="Y27" s="298">
        <f>(S27*(M27+O27))*12</f>
        <v>0</v>
      </c>
      <c r="Z27" s="303"/>
      <c r="AA27" s="298"/>
      <c r="AB27" s="302" t="e">
        <f>(I27*R27)</f>
        <v>#REF!</v>
      </c>
      <c r="AC27" s="298">
        <f>(L27*T27*12)</f>
        <v>0</v>
      </c>
      <c r="AD27" s="303">
        <f>(S27*(N27+P27))*12</f>
        <v>0</v>
      </c>
      <c r="AE27" s="298"/>
      <c r="AF27" s="302" t="e">
        <f>AB27-W27</f>
        <v>#REF!</v>
      </c>
      <c r="AG27" s="298">
        <f>AC27-X27</f>
        <v>0</v>
      </c>
      <c r="AH27" s="303">
        <f t="shared" si="29"/>
        <v>0</v>
      </c>
      <c r="AI27" s="298"/>
      <c r="AJ27" s="327"/>
      <c r="AK27" s="329" t="e">
        <f t="shared" si="13"/>
        <v>#REF!</v>
      </c>
      <c r="AL27" s="298"/>
      <c r="AM27" s="302" t="e">
        <f>(F27*R27)</f>
        <v>#REF!</v>
      </c>
      <c r="AN27" s="298">
        <v>0</v>
      </c>
      <c r="AO27" s="303" t="e">
        <f t="shared" si="30"/>
        <v>#REF!</v>
      </c>
      <c r="AP27" s="298"/>
      <c r="AQ27" s="299"/>
      <c r="AR27" s="299"/>
      <c r="AS27" s="298"/>
    </row>
    <row r="28" spans="1:45" x14ac:dyDescent="0.2">
      <c r="A28" s="76">
        <f t="shared" si="2"/>
        <v>21</v>
      </c>
      <c r="B28" s="668"/>
      <c r="C28" s="686" t="s">
        <v>62</v>
      </c>
      <c r="D28" s="143"/>
      <c r="E28" s="113"/>
      <c r="F28" s="113"/>
      <c r="G28" s="143"/>
      <c r="H28" s="357"/>
      <c r="I28" s="710"/>
      <c r="J28" s="147"/>
      <c r="K28" s="145"/>
      <c r="L28" s="146"/>
      <c r="M28" s="147"/>
      <c r="N28" s="147"/>
      <c r="O28" s="147"/>
      <c r="P28" s="148"/>
      <c r="Q28" s="147"/>
      <c r="R28" s="287"/>
      <c r="S28" s="300"/>
      <c r="T28" s="289"/>
      <c r="U28" s="290"/>
      <c r="V28" s="147"/>
      <c r="W28" s="304" t="e">
        <f>SUM(W26:W27)</f>
        <v>#REF!</v>
      </c>
      <c r="X28" s="305" t="e">
        <f t="shared" ref="X28:Y28" si="31">SUM(X26:X27)</f>
        <v>#REF!</v>
      </c>
      <c r="Y28" s="305">
        <f t="shared" si="31"/>
        <v>0</v>
      </c>
      <c r="Z28" s="306" t="e">
        <f>'Rate Spread SETTLEMENT'!M$76-SUM(W28:Y28)</f>
        <v>#REF!</v>
      </c>
      <c r="AA28" s="298"/>
      <c r="AB28" s="304" t="e">
        <f>SUM(AB26:AB27)</f>
        <v>#REF!</v>
      </c>
      <c r="AC28" s="305" t="e">
        <f t="shared" ref="AC28:AD28" si="32">SUM(AC26:AC27)</f>
        <v>#REF!</v>
      </c>
      <c r="AD28" s="306">
        <f t="shared" si="32"/>
        <v>0</v>
      </c>
      <c r="AE28" s="298"/>
      <c r="AF28" s="304" t="e">
        <f>SUM(AF26:AF27)</f>
        <v>#REF!</v>
      </c>
      <c r="AG28" s="305" t="e">
        <f t="shared" ref="AG28:AH28" si="33">SUM(AG26:AG27)</f>
        <v>#REF!</v>
      </c>
      <c r="AH28" s="306">
        <f t="shared" si="33"/>
        <v>0</v>
      </c>
      <c r="AI28" s="298"/>
      <c r="AJ28" s="327" t="e">
        <f>SUM(AF28:AH28)/SUM(W28:Y28)</f>
        <v>#REF!</v>
      </c>
      <c r="AK28" s="328" t="e">
        <f t="shared" si="13"/>
        <v>#REF!</v>
      </c>
      <c r="AL28" s="298"/>
      <c r="AM28" s="304" t="e">
        <f>SUM(AM26:AM27)</f>
        <v>#REF!</v>
      </c>
      <c r="AN28" s="305">
        <f t="shared" ref="AN28:AO28" si="34">SUM(AN26:AN27)</f>
        <v>0</v>
      </c>
      <c r="AO28" s="306" t="e">
        <f t="shared" si="34"/>
        <v>#REF!</v>
      </c>
      <c r="AP28" s="298"/>
      <c r="AQ28" s="299"/>
      <c r="AR28" s="299"/>
      <c r="AS28" s="298"/>
    </row>
    <row r="29" spans="1:45" x14ac:dyDescent="0.2">
      <c r="A29" s="76">
        <f t="shared" si="2"/>
        <v>22</v>
      </c>
      <c r="B29" s="670" t="e">
        <f>#REF!</f>
        <v>#REF!</v>
      </c>
      <c r="C29" s="671" t="s">
        <v>4</v>
      </c>
      <c r="D29" s="147"/>
      <c r="E29" s="112">
        <f>ROUND('Rates in Detail'!Y25,5)</f>
        <v>7.1300000000000001E-3</v>
      </c>
      <c r="F29" s="112"/>
      <c r="G29" s="147"/>
      <c r="H29" s="362">
        <f>ROUND('Rates in Detail'!R25,5)</f>
        <v>0.35626999999999998</v>
      </c>
      <c r="I29" s="711">
        <f t="shared" si="9"/>
        <v>0.3634</v>
      </c>
      <c r="J29" s="147"/>
      <c r="K29" s="145" t="e">
        <f>#REF!</f>
        <v>#REF!</v>
      </c>
      <c r="L29" s="146" t="e">
        <f>#REF!</f>
        <v>#REF!</v>
      </c>
      <c r="M29" s="112">
        <f>'Rates in Detail'!AH25</f>
        <v>0</v>
      </c>
      <c r="N29" s="112">
        <f>'Rates in Detail'!AI25</f>
        <v>0</v>
      </c>
      <c r="O29" s="112">
        <f>'Rates in Detail'!AJ25</f>
        <v>0</v>
      </c>
      <c r="P29" s="711">
        <f>'Rates in Detail'!AK25</f>
        <v>0</v>
      </c>
      <c r="Q29" s="147"/>
      <c r="R29" s="287" t="e">
        <f>#REF!</f>
        <v>#REF!</v>
      </c>
      <c r="S29" s="300"/>
      <c r="T29" s="289" t="e">
        <f>#REF!</f>
        <v>#REF!</v>
      </c>
      <c r="U29" s="290" t="e">
        <f>#REF!</f>
        <v>#REF!</v>
      </c>
      <c r="V29" s="147"/>
      <c r="W29" s="302" t="e">
        <f t="shared" ref="W29:W30" si="35">(H29*R29)</f>
        <v>#REF!</v>
      </c>
      <c r="X29" s="298" t="e">
        <f t="shared" ref="X29:X30" si="36">(K29*T29*12)</f>
        <v>#REF!</v>
      </c>
      <c r="Y29" s="298">
        <f>(S29*(M29+O29))*12</f>
        <v>0</v>
      </c>
      <c r="Z29" s="303"/>
      <c r="AA29" s="298"/>
      <c r="AB29" s="302" t="e">
        <f>(I29*R29)</f>
        <v>#REF!</v>
      </c>
      <c r="AC29" s="298" t="e">
        <f>(L29*T29*12)</f>
        <v>#REF!</v>
      </c>
      <c r="AD29" s="303">
        <f>(S29*(N29+P29))*12</f>
        <v>0</v>
      </c>
      <c r="AE29" s="298"/>
      <c r="AF29" s="302" t="e">
        <f>AB29-W29</f>
        <v>#REF!</v>
      </c>
      <c r="AG29" s="298" t="e">
        <f>AC29-X29</f>
        <v>#REF!</v>
      </c>
      <c r="AH29" s="303">
        <f t="shared" ref="AH29:AH30" si="37">AD29-Y29</f>
        <v>0</v>
      </c>
      <c r="AI29" s="298"/>
      <c r="AJ29" s="327"/>
      <c r="AK29" s="329" t="e">
        <f t="shared" si="13"/>
        <v>#REF!</v>
      </c>
      <c r="AL29" s="298"/>
      <c r="AM29" s="302" t="e">
        <f>(F29*R29)</f>
        <v>#REF!</v>
      </c>
      <c r="AN29" s="298">
        <v>0</v>
      </c>
      <c r="AO29" s="303" t="e">
        <f t="shared" ref="AO29:AO30" si="38">(AE29*(Y29+AB29))*12</f>
        <v>#REF!</v>
      </c>
      <c r="AP29" s="298"/>
      <c r="AQ29" s="299"/>
      <c r="AR29" s="299"/>
      <c r="AS29" s="298"/>
    </row>
    <row r="30" spans="1:45" x14ac:dyDescent="0.2">
      <c r="A30" s="76">
        <f t="shared" si="2"/>
        <v>23</v>
      </c>
      <c r="B30" s="670"/>
      <c r="C30" s="671" t="s">
        <v>5</v>
      </c>
      <c r="D30" s="147"/>
      <c r="E30" s="112">
        <f>ROUND('Rates in Detail'!Y26,5)</f>
        <v>6.28E-3</v>
      </c>
      <c r="F30" s="112"/>
      <c r="G30" s="147"/>
      <c r="H30" s="362">
        <f>ROUND('Rates in Detail'!R26,5)</f>
        <v>0.31389</v>
      </c>
      <c r="I30" s="711">
        <f t="shared" si="9"/>
        <v>0.32017000000000001</v>
      </c>
      <c r="J30" s="147"/>
      <c r="K30" s="145"/>
      <c r="L30" s="146"/>
      <c r="M30" s="147"/>
      <c r="N30" s="147"/>
      <c r="O30" s="147"/>
      <c r="P30" s="148"/>
      <c r="Q30" s="147"/>
      <c r="R30" s="287" t="e">
        <f>#REF!</f>
        <v>#REF!</v>
      </c>
      <c r="S30" s="300"/>
      <c r="T30" s="289"/>
      <c r="U30" s="290"/>
      <c r="V30" s="147"/>
      <c r="W30" s="302" t="e">
        <f t="shared" si="35"/>
        <v>#REF!</v>
      </c>
      <c r="X30" s="298">
        <f t="shared" si="36"/>
        <v>0</v>
      </c>
      <c r="Y30" s="298">
        <f>(S30*(M30+O30))*12</f>
        <v>0</v>
      </c>
      <c r="Z30" s="303"/>
      <c r="AA30" s="298"/>
      <c r="AB30" s="302" t="e">
        <f>(I30*R30)</f>
        <v>#REF!</v>
      </c>
      <c r="AC30" s="298">
        <f>(L30*T30*12)</f>
        <v>0</v>
      </c>
      <c r="AD30" s="303">
        <f>(S30*(N30+P30))*12</f>
        <v>0</v>
      </c>
      <c r="AE30" s="298"/>
      <c r="AF30" s="302" t="e">
        <f>AB30-W30</f>
        <v>#REF!</v>
      </c>
      <c r="AG30" s="298">
        <f>AC30-X30</f>
        <v>0</v>
      </c>
      <c r="AH30" s="303">
        <f t="shared" si="37"/>
        <v>0</v>
      </c>
      <c r="AI30" s="298"/>
      <c r="AJ30" s="327"/>
      <c r="AK30" s="329" t="e">
        <f t="shared" si="13"/>
        <v>#REF!</v>
      </c>
      <c r="AL30" s="298"/>
      <c r="AM30" s="302" t="e">
        <f>(F30*R30)</f>
        <v>#REF!</v>
      </c>
      <c r="AN30" s="298">
        <v>0</v>
      </c>
      <c r="AO30" s="303" t="e">
        <f t="shared" si="38"/>
        <v>#REF!</v>
      </c>
      <c r="AP30" s="298"/>
      <c r="AQ30" s="299"/>
      <c r="AR30" s="299"/>
      <c r="AS30" s="298"/>
    </row>
    <row r="31" spans="1:45" x14ac:dyDescent="0.2">
      <c r="A31" s="76">
        <f t="shared" si="2"/>
        <v>24</v>
      </c>
      <c r="B31" s="668"/>
      <c r="C31" s="686" t="s">
        <v>62</v>
      </c>
      <c r="D31" s="143"/>
      <c r="E31" s="113"/>
      <c r="F31" s="113"/>
      <c r="G31" s="143"/>
      <c r="H31" s="357"/>
      <c r="I31" s="710"/>
      <c r="J31" s="147"/>
      <c r="K31" s="145"/>
      <c r="L31" s="146"/>
      <c r="M31" s="147"/>
      <c r="N31" s="147"/>
      <c r="O31" s="147"/>
      <c r="P31" s="148"/>
      <c r="Q31" s="147"/>
      <c r="R31" s="287"/>
      <c r="S31" s="300"/>
      <c r="T31" s="289"/>
      <c r="U31" s="290"/>
      <c r="V31" s="147"/>
      <c r="W31" s="304" t="e">
        <f>SUM(W29:W30)</f>
        <v>#REF!</v>
      </c>
      <c r="X31" s="305" t="e">
        <f t="shared" ref="X31:Y31" si="39">SUM(X29:X30)</f>
        <v>#REF!</v>
      </c>
      <c r="Y31" s="305">
        <f t="shared" si="39"/>
        <v>0</v>
      </c>
      <c r="Z31" s="306" t="e">
        <f>'Rate Spread SETTLEMENT'!N$76-SUM(W31:Y31)</f>
        <v>#REF!</v>
      </c>
      <c r="AA31" s="298"/>
      <c r="AB31" s="304" t="e">
        <f>SUM(AB29:AB30)</f>
        <v>#REF!</v>
      </c>
      <c r="AC31" s="305" t="e">
        <f t="shared" ref="AC31:AD31" si="40">SUM(AC29:AC30)</f>
        <v>#REF!</v>
      </c>
      <c r="AD31" s="306">
        <f t="shared" si="40"/>
        <v>0</v>
      </c>
      <c r="AE31" s="298"/>
      <c r="AF31" s="304" t="e">
        <f>SUM(AF29:AF30)</f>
        <v>#REF!</v>
      </c>
      <c r="AG31" s="305" t="e">
        <f t="shared" ref="AG31:AH31" si="41">SUM(AG29:AG30)</f>
        <v>#REF!</v>
      </c>
      <c r="AH31" s="306">
        <f t="shared" si="41"/>
        <v>0</v>
      </c>
      <c r="AI31" s="298"/>
      <c r="AJ31" s="327" t="e">
        <f>SUM(AF31:AH31)/SUM(W31:Y31)</f>
        <v>#REF!</v>
      </c>
      <c r="AK31" s="328" t="e">
        <f t="shared" si="13"/>
        <v>#REF!</v>
      </c>
      <c r="AL31" s="298"/>
      <c r="AM31" s="304" t="e">
        <f>SUM(AM29:AM30)</f>
        <v>#REF!</v>
      </c>
      <c r="AN31" s="305">
        <f t="shared" ref="AN31:AO31" si="42">SUM(AN29:AN30)</f>
        <v>0</v>
      </c>
      <c r="AO31" s="306" t="e">
        <f t="shared" si="42"/>
        <v>#REF!</v>
      </c>
      <c r="AP31" s="298"/>
      <c r="AQ31" s="299"/>
      <c r="AR31" s="299"/>
      <c r="AS31" s="298"/>
    </row>
    <row r="32" spans="1:45" x14ac:dyDescent="0.2">
      <c r="A32" s="76">
        <f t="shared" si="2"/>
        <v>25</v>
      </c>
      <c r="B32" s="670" t="e">
        <f>#REF!</f>
        <v>#REF!</v>
      </c>
      <c r="C32" s="671" t="s">
        <v>4</v>
      </c>
      <c r="D32" s="147"/>
      <c r="E32" s="112">
        <f>ROUND('Rates in Detail'!Y27,5)</f>
        <v>9.7099999999999999E-3</v>
      </c>
      <c r="F32" s="112"/>
      <c r="G32" s="147"/>
      <c r="H32" s="362">
        <f>ROUND('Rates in Detail'!R27,5)</f>
        <v>0.36918000000000001</v>
      </c>
      <c r="I32" s="711">
        <f t="shared" si="9"/>
        <v>0.37889</v>
      </c>
      <c r="J32" s="147"/>
      <c r="K32" s="145" t="e">
        <f>#REF!</f>
        <v>#REF!</v>
      </c>
      <c r="L32" s="146" t="e">
        <f>#REF!</f>
        <v>#REF!</v>
      </c>
      <c r="M32" s="112">
        <f>'Rates in Detail'!AH27</f>
        <v>0</v>
      </c>
      <c r="N32" s="112">
        <f>'Rates in Detail'!AI27</f>
        <v>0</v>
      </c>
      <c r="O32" s="112">
        <f>'Rates in Detail'!AJ27</f>
        <v>0</v>
      </c>
      <c r="P32" s="711">
        <f>'Rates in Detail'!AK27</f>
        <v>0</v>
      </c>
      <c r="Q32" s="147"/>
      <c r="R32" s="287" t="e">
        <f>#REF!</f>
        <v>#REF!</v>
      </c>
      <c r="S32" s="300"/>
      <c r="T32" s="289" t="e">
        <f>#REF!</f>
        <v>#REF!</v>
      </c>
      <c r="U32" s="290" t="e">
        <f>#REF!</f>
        <v>#REF!</v>
      </c>
      <c r="V32" s="147"/>
      <c r="W32" s="302" t="e">
        <f t="shared" ref="W32:W33" si="43">(H32*R32)</f>
        <v>#REF!</v>
      </c>
      <c r="X32" s="298" t="e">
        <f t="shared" ref="X32:X33" si="44">(K32*T32*12)</f>
        <v>#REF!</v>
      </c>
      <c r="Y32" s="298">
        <f>(S32*(M32+O32))*12</f>
        <v>0</v>
      </c>
      <c r="Z32" s="303"/>
      <c r="AA32" s="298"/>
      <c r="AB32" s="302" t="e">
        <f>(I32*R32)</f>
        <v>#REF!</v>
      </c>
      <c r="AC32" s="298" t="e">
        <f>(L32*T32*12)</f>
        <v>#REF!</v>
      </c>
      <c r="AD32" s="303">
        <f>(S32*(N32+P32))*12</f>
        <v>0</v>
      </c>
      <c r="AE32" s="298"/>
      <c r="AF32" s="302" t="e">
        <f>AB32-W32</f>
        <v>#REF!</v>
      </c>
      <c r="AG32" s="298" t="e">
        <f>AC32-X32</f>
        <v>#REF!</v>
      </c>
      <c r="AH32" s="303">
        <f t="shared" ref="AH32:AH33" si="45">AD32-Y32</f>
        <v>0</v>
      </c>
      <c r="AI32" s="298"/>
      <c r="AJ32" s="327"/>
      <c r="AK32" s="329" t="e">
        <f t="shared" si="13"/>
        <v>#REF!</v>
      </c>
      <c r="AL32" s="298"/>
      <c r="AM32" s="302" t="e">
        <f>(F32*R32)</f>
        <v>#REF!</v>
      </c>
      <c r="AN32" s="298">
        <v>0</v>
      </c>
      <c r="AO32" s="303" t="e">
        <f t="shared" ref="AO32:AO33" si="46">(AE32*(Y32+AB32))*12</f>
        <v>#REF!</v>
      </c>
      <c r="AP32" s="298"/>
      <c r="AQ32" s="299"/>
      <c r="AR32" s="299"/>
      <c r="AS32" s="298"/>
    </row>
    <row r="33" spans="1:45" x14ac:dyDescent="0.2">
      <c r="A33" s="76">
        <f t="shared" si="2"/>
        <v>26</v>
      </c>
      <c r="B33" s="670"/>
      <c r="C33" s="671" t="s">
        <v>5</v>
      </c>
      <c r="D33" s="147"/>
      <c r="E33" s="112">
        <f>ROUND('Rates in Detail'!Y28,5)</f>
        <v>8.5500000000000003E-3</v>
      </c>
      <c r="F33" s="112"/>
      <c r="G33" s="147"/>
      <c r="H33" s="362">
        <f>ROUND('Rates in Detail'!R28,5)</f>
        <v>0.32527</v>
      </c>
      <c r="I33" s="711">
        <f t="shared" si="9"/>
        <v>0.33382000000000001</v>
      </c>
      <c r="J33" s="147"/>
      <c r="K33" s="145"/>
      <c r="L33" s="146"/>
      <c r="M33" s="147"/>
      <c r="N33" s="147"/>
      <c r="O33" s="147"/>
      <c r="P33" s="148"/>
      <c r="Q33" s="147"/>
      <c r="R33" s="287" t="e">
        <f>#REF!</f>
        <v>#REF!</v>
      </c>
      <c r="S33" s="300"/>
      <c r="T33" s="289"/>
      <c r="U33" s="290"/>
      <c r="V33" s="147"/>
      <c r="W33" s="302" t="e">
        <f t="shared" si="43"/>
        <v>#REF!</v>
      </c>
      <c r="X33" s="298">
        <f t="shared" si="44"/>
        <v>0</v>
      </c>
      <c r="Y33" s="298">
        <f>(S33*(M33+O33))*12</f>
        <v>0</v>
      </c>
      <c r="Z33" s="303"/>
      <c r="AA33" s="298"/>
      <c r="AB33" s="302" t="e">
        <f>(I33*R33)</f>
        <v>#REF!</v>
      </c>
      <c r="AC33" s="298">
        <f>(L33*T33*12)</f>
        <v>0</v>
      </c>
      <c r="AD33" s="303">
        <f>(S33*(N33+P33))*12</f>
        <v>0</v>
      </c>
      <c r="AE33" s="298"/>
      <c r="AF33" s="302" t="e">
        <f>AB33-W33</f>
        <v>#REF!</v>
      </c>
      <c r="AG33" s="298">
        <f>AC33-X33</f>
        <v>0</v>
      </c>
      <c r="AH33" s="303">
        <f t="shared" si="45"/>
        <v>0</v>
      </c>
      <c r="AI33" s="298"/>
      <c r="AJ33" s="327"/>
      <c r="AK33" s="329" t="e">
        <f t="shared" si="13"/>
        <v>#REF!</v>
      </c>
      <c r="AL33" s="298"/>
      <c r="AM33" s="302" t="e">
        <f>(F33*R33)</f>
        <v>#REF!</v>
      </c>
      <c r="AN33" s="298">
        <v>0</v>
      </c>
      <c r="AO33" s="303" t="e">
        <f t="shared" si="46"/>
        <v>#REF!</v>
      </c>
      <c r="AP33" s="298"/>
      <c r="AQ33" s="299"/>
      <c r="AR33" s="299"/>
      <c r="AS33" s="298"/>
    </row>
    <row r="34" spans="1:45" x14ac:dyDescent="0.2">
      <c r="A34" s="76">
        <f t="shared" si="2"/>
        <v>27</v>
      </c>
      <c r="B34" s="668"/>
      <c r="C34" s="686" t="s">
        <v>62</v>
      </c>
      <c r="D34" s="143"/>
      <c r="E34" s="113"/>
      <c r="F34" s="113"/>
      <c r="G34" s="143"/>
      <c r="H34" s="357"/>
      <c r="I34" s="710"/>
      <c r="J34" s="147"/>
      <c r="K34" s="145"/>
      <c r="L34" s="146"/>
      <c r="M34" s="147"/>
      <c r="N34" s="147"/>
      <c r="O34" s="147"/>
      <c r="P34" s="148"/>
      <c r="Q34" s="147"/>
      <c r="R34" s="287"/>
      <c r="S34" s="300"/>
      <c r="T34" s="289"/>
      <c r="U34" s="290"/>
      <c r="V34" s="147"/>
      <c r="W34" s="304" t="e">
        <f>SUM(W32:W33)</f>
        <v>#REF!</v>
      </c>
      <c r="X34" s="305" t="e">
        <f t="shared" ref="X34:Y34" si="47">SUM(X32:X33)</f>
        <v>#REF!</v>
      </c>
      <c r="Y34" s="305">
        <f t="shared" si="47"/>
        <v>0</v>
      </c>
      <c r="Z34" s="306" t="e">
        <f>'Rate Spread SETTLEMENT'!O$76-SUM(W34:Y34)</f>
        <v>#REF!</v>
      </c>
      <c r="AA34" s="298"/>
      <c r="AB34" s="304" t="e">
        <f>SUM(AB32:AB33)</f>
        <v>#REF!</v>
      </c>
      <c r="AC34" s="305" t="e">
        <f t="shared" ref="AC34:AD34" si="48">SUM(AC32:AC33)</f>
        <v>#REF!</v>
      </c>
      <c r="AD34" s="306">
        <f t="shared" si="48"/>
        <v>0</v>
      </c>
      <c r="AE34" s="298"/>
      <c r="AF34" s="304" t="e">
        <f>SUM(AF32:AF33)</f>
        <v>#REF!</v>
      </c>
      <c r="AG34" s="305" t="e">
        <f t="shared" ref="AG34:AH34" si="49">SUM(AG32:AG33)</f>
        <v>#REF!</v>
      </c>
      <c r="AH34" s="306">
        <f t="shared" si="49"/>
        <v>0</v>
      </c>
      <c r="AI34" s="298"/>
      <c r="AJ34" s="327" t="e">
        <f>SUM(AF34:AH34)/SUM(W34:Y34)</f>
        <v>#REF!</v>
      </c>
      <c r="AK34" s="328" t="e">
        <f t="shared" si="13"/>
        <v>#REF!</v>
      </c>
      <c r="AL34" s="298"/>
      <c r="AM34" s="304" t="e">
        <f>SUM(AM32:AM33)</f>
        <v>#REF!</v>
      </c>
      <c r="AN34" s="305">
        <f t="shared" ref="AN34:AO34" si="50">SUM(AN32:AN33)</f>
        <v>0</v>
      </c>
      <c r="AO34" s="306" t="e">
        <f t="shared" si="50"/>
        <v>#REF!</v>
      </c>
      <c r="AP34" s="298"/>
      <c r="AQ34" s="299"/>
      <c r="AR34" s="299"/>
      <c r="AS34" s="298"/>
    </row>
    <row r="35" spans="1:45" x14ac:dyDescent="0.2">
      <c r="A35" s="76">
        <f t="shared" si="2"/>
        <v>28</v>
      </c>
      <c r="B35" s="670" t="e">
        <f>#REF!</f>
        <v>#REF!</v>
      </c>
      <c r="C35" s="671" t="s">
        <v>4</v>
      </c>
      <c r="D35" s="147"/>
      <c r="E35" s="112">
        <f>ROUND('Rates in Detail'!Y29,5)</f>
        <v>7.2100000000000003E-3</v>
      </c>
      <c r="F35" s="112"/>
      <c r="G35" s="147"/>
      <c r="H35" s="362">
        <f>ROUND('Rates in Detail'!R29,5)</f>
        <v>0.36059999999999998</v>
      </c>
      <c r="I35" s="711">
        <f t="shared" si="9"/>
        <v>0.36780999999999997</v>
      </c>
      <c r="J35" s="147"/>
      <c r="K35" s="145" t="e">
        <f>#REF!</f>
        <v>#REF!</v>
      </c>
      <c r="L35" s="146" t="e">
        <f>#REF!</f>
        <v>#REF!</v>
      </c>
      <c r="M35" s="112">
        <f>'Rates in Detail'!AH29</f>
        <v>0</v>
      </c>
      <c r="N35" s="112">
        <f>'Rates in Detail'!AI29</f>
        <v>0</v>
      </c>
      <c r="O35" s="112">
        <f>'Rates in Detail'!AJ29</f>
        <v>0</v>
      </c>
      <c r="P35" s="711">
        <f>'Rates in Detail'!AK29</f>
        <v>0</v>
      </c>
      <c r="Q35" s="147"/>
      <c r="R35" s="287" t="e">
        <f>#REF!</f>
        <v>#REF!</v>
      </c>
      <c r="S35" s="300"/>
      <c r="T35" s="289" t="e">
        <f>#REF!</f>
        <v>#REF!</v>
      </c>
      <c r="U35" s="290" t="e">
        <f>#REF!</f>
        <v>#REF!</v>
      </c>
      <c r="V35" s="147"/>
      <c r="W35" s="302" t="e">
        <f t="shared" ref="W35:W36" si="51">(H35*R35)</f>
        <v>#REF!</v>
      </c>
      <c r="X35" s="298" t="e">
        <f t="shared" ref="X35:X36" si="52">(K35*T35*12)</f>
        <v>#REF!</v>
      </c>
      <c r="Y35" s="298">
        <f>(S35*(M35+O35))*12</f>
        <v>0</v>
      </c>
      <c r="Z35" s="303"/>
      <c r="AA35" s="298"/>
      <c r="AB35" s="302" t="e">
        <f>(I35*R35)</f>
        <v>#REF!</v>
      </c>
      <c r="AC35" s="298" t="e">
        <f>(L35*T35*12)</f>
        <v>#REF!</v>
      </c>
      <c r="AD35" s="303">
        <f>(S35*(N35+P35))*12</f>
        <v>0</v>
      </c>
      <c r="AE35" s="298"/>
      <c r="AF35" s="302" t="e">
        <f>AB35-W35</f>
        <v>#REF!</v>
      </c>
      <c r="AG35" s="298" t="e">
        <f>AC35-X35</f>
        <v>#REF!</v>
      </c>
      <c r="AH35" s="303">
        <f t="shared" ref="AH35:AH36" si="53">AD35-Y35</f>
        <v>0</v>
      </c>
      <c r="AI35" s="298"/>
      <c r="AJ35" s="327"/>
      <c r="AK35" s="329" t="e">
        <f t="shared" si="13"/>
        <v>#REF!</v>
      </c>
      <c r="AL35" s="298"/>
      <c r="AM35" s="302" t="e">
        <f>(F35*R35)</f>
        <v>#REF!</v>
      </c>
      <c r="AN35" s="298">
        <v>0</v>
      </c>
      <c r="AO35" s="303" t="e">
        <f t="shared" ref="AO35:AO36" si="54">(AE35*(Y35+AB35))*12</f>
        <v>#REF!</v>
      </c>
      <c r="AP35" s="298"/>
      <c r="AQ35" s="299"/>
      <c r="AR35" s="299"/>
      <c r="AS35" s="298"/>
    </row>
    <row r="36" spans="1:45" x14ac:dyDescent="0.2">
      <c r="A36" s="76">
        <f t="shared" si="2"/>
        <v>29</v>
      </c>
      <c r="B36" s="670"/>
      <c r="C36" s="671" t="s">
        <v>5</v>
      </c>
      <c r="D36" s="147"/>
      <c r="E36" s="112">
        <f>ROUND('Rates in Detail'!Y30,5)</f>
        <v>6.3499999999999997E-3</v>
      </c>
      <c r="F36" s="112"/>
      <c r="G36" s="147"/>
      <c r="H36" s="362">
        <f>ROUND('Rates in Detail'!R30,5)</f>
        <v>0.31770999999999999</v>
      </c>
      <c r="I36" s="711">
        <f t="shared" si="9"/>
        <v>0.32406000000000001</v>
      </c>
      <c r="J36" s="147"/>
      <c r="K36" s="262"/>
      <c r="L36" s="45"/>
      <c r="M36" s="147"/>
      <c r="N36" s="147"/>
      <c r="O36" s="147"/>
      <c r="P36" s="148"/>
      <c r="Q36" s="147"/>
      <c r="R36" s="287" t="e">
        <f>#REF!</f>
        <v>#REF!</v>
      </c>
      <c r="S36" s="300"/>
      <c r="T36" s="289"/>
      <c r="U36" s="290"/>
      <c r="V36" s="147"/>
      <c r="W36" s="302" t="e">
        <f t="shared" si="51"/>
        <v>#REF!</v>
      </c>
      <c r="X36" s="298">
        <f t="shared" si="52"/>
        <v>0</v>
      </c>
      <c r="Y36" s="298">
        <f>(S36*(M36+O36))*12</f>
        <v>0</v>
      </c>
      <c r="Z36" s="303"/>
      <c r="AA36" s="298"/>
      <c r="AB36" s="302" t="e">
        <f>(I36*R36)</f>
        <v>#REF!</v>
      </c>
      <c r="AC36" s="298">
        <f>(L36*T36*12)</f>
        <v>0</v>
      </c>
      <c r="AD36" s="303">
        <f>(S36*(N36+P36))*12</f>
        <v>0</v>
      </c>
      <c r="AE36" s="298"/>
      <c r="AF36" s="302" t="e">
        <f>AB36-W36</f>
        <v>#REF!</v>
      </c>
      <c r="AG36" s="298">
        <f>AC36-X36</f>
        <v>0</v>
      </c>
      <c r="AH36" s="303">
        <f t="shared" si="53"/>
        <v>0</v>
      </c>
      <c r="AI36" s="298"/>
      <c r="AJ36" s="327"/>
      <c r="AK36" s="329" t="e">
        <f t="shared" si="13"/>
        <v>#REF!</v>
      </c>
      <c r="AL36" s="298"/>
      <c r="AM36" s="302" t="e">
        <f>(F36*R36)</f>
        <v>#REF!</v>
      </c>
      <c r="AN36" s="298">
        <v>0</v>
      </c>
      <c r="AO36" s="303" t="e">
        <f t="shared" si="54"/>
        <v>#REF!</v>
      </c>
      <c r="AP36" s="298"/>
      <c r="AQ36" s="299"/>
      <c r="AR36" s="299"/>
      <c r="AS36" s="298"/>
    </row>
    <row r="37" spans="1:45" x14ac:dyDescent="0.2">
      <c r="A37" s="76">
        <f t="shared" si="2"/>
        <v>30</v>
      </c>
      <c r="B37" s="668"/>
      <c r="C37" s="686" t="s">
        <v>62</v>
      </c>
      <c r="D37" s="143"/>
      <c r="E37" s="113"/>
      <c r="F37" s="113"/>
      <c r="G37" s="143"/>
      <c r="H37" s="357"/>
      <c r="I37" s="710"/>
      <c r="J37" s="147"/>
      <c r="K37" s="262"/>
      <c r="L37" s="45"/>
      <c r="M37" s="147"/>
      <c r="N37" s="147"/>
      <c r="O37" s="147"/>
      <c r="P37" s="148"/>
      <c r="Q37" s="147"/>
      <c r="R37" s="287"/>
      <c r="S37" s="300"/>
      <c r="T37" s="289"/>
      <c r="U37" s="290"/>
      <c r="V37" s="147"/>
      <c r="W37" s="304" t="e">
        <f>SUM(W35:W36)</f>
        <v>#REF!</v>
      </c>
      <c r="X37" s="305" t="e">
        <f t="shared" ref="X37:Y37" si="55">SUM(X35:X36)</f>
        <v>#REF!</v>
      </c>
      <c r="Y37" s="305">
        <f t="shared" si="55"/>
        <v>0</v>
      </c>
      <c r="Z37" s="306" t="e">
        <f>'Rate Spread SETTLEMENT'!P$76-SUM(W37:Y37)</f>
        <v>#REF!</v>
      </c>
      <c r="AA37" s="298"/>
      <c r="AB37" s="304" t="e">
        <f>SUM(AB35:AB36)</f>
        <v>#REF!</v>
      </c>
      <c r="AC37" s="305" t="e">
        <f t="shared" ref="AC37:AD37" si="56">SUM(AC35:AC36)</f>
        <v>#REF!</v>
      </c>
      <c r="AD37" s="306">
        <f t="shared" si="56"/>
        <v>0</v>
      </c>
      <c r="AE37" s="298"/>
      <c r="AF37" s="304" t="e">
        <f>SUM(AF35:AF36)</f>
        <v>#REF!</v>
      </c>
      <c r="AG37" s="305" t="e">
        <f t="shared" ref="AG37:AH37" si="57">SUM(AG35:AG36)</f>
        <v>#REF!</v>
      </c>
      <c r="AH37" s="306">
        <f t="shared" si="57"/>
        <v>0</v>
      </c>
      <c r="AI37" s="298"/>
      <c r="AJ37" s="327" t="e">
        <f>SUM(AF37:AH37)/SUM(W37:Y37)</f>
        <v>#REF!</v>
      </c>
      <c r="AK37" s="328" t="e">
        <f t="shared" si="13"/>
        <v>#REF!</v>
      </c>
      <c r="AL37" s="298"/>
      <c r="AM37" s="304" t="e">
        <f>SUM(AM35:AM36)</f>
        <v>#REF!</v>
      </c>
      <c r="AN37" s="305">
        <f t="shared" ref="AN37:AO37" si="58">SUM(AN35:AN36)</f>
        <v>0</v>
      </c>
      <c r="AO37" s="306" t="e">
        <f t="shared" si="58"/>
        <v>#REF!</v>
      </c>
      <c r="AP37" s="298"/>
      <c r="AQ37" s="299"/>
      <c r="AR37" s="299"/>
      <c r="AS37" s="298"/>
    </row>
    <row r="38" spans="1:45" x14ac:dyDescent="0.2">
      <c r="A38" s="76">
        <f t="shared" si="2"/>
        <v>31</v>
      </c>
      <c r="B38" s="670" t="e">
        <f>#REF!</f>
        <v>#REF!</v>
      </c>
      <c r="C38" s="671" t="s">
        <v>4</v>
      </c>
      <c r="D38" s="147"/>
      <c r="E38" s="112">
        <f>ROUND('Rates in Detail'!Y31,5)</f>
        <v>2.095E-2</v>
      </c>
      <c r="F38" s="112"/>
      <c r="G38" s="147"/>
      <c r="H38" s="362">
        <f>ROUND('Rates in Detail'!R31,5)</f>
        <v>0.18714</v>
      </c>
      <c r="I38" s="711">
        <f t="shared" si="9"/>
        <v>0.20809</v>
      </c>
      <c r="J38" s="147"/>
      <c r="K38" s="145" t="e">
        <f>#REF!</f>
        <v>#REF!</v>
      </c>
      <c r="L38" s="146" t="e">
        <f>#REF!</f>
        <v>#REF!</v>
      </c>
      <c r="M38" s="112">
        <f>'Rates in Detail'!AH31</f>
        <v>0.15748000000000001</v>
      </c>
      <c r="N38" s="112">
        <f>'Rates in Detail'!AI31</f>
        <v>0.15748000000000001</v>
      </c>
      <c r="O38" s="112">
        <f>'Rates in Detail'!AJ31</f>
        <v>0.20415</v>
      </c>
      <c r="P38" s="711">
        <f>'Rates in Detail'!AK31</f>
        <v>0.20415</v>
      </c>
      <c r="Q38" s="147"/>
      <c r="R38" s="287" t="e">
        <f>#REF!</f>
        <v>#REF!</v>
      </c>
      <c r="S38" s="300">
        <v>6761</v>
      </c>
      <c r="T38" s="289" t="e">
        <f>#REF!</f>
        <v>#REF!</v>
      </c>
      <c r="U38" s="290" t="e">
        <f>#REF!</f>
        <v>#REF!</v>
      </c>
      <c r="V38" s="147"/>
      <c r="W38" s="302" t="e">
        <f t="shared" ref="W38:W43" si="59">(H38*R38)</f>
        <v>#REF!</v>
      </c>
      <c r="X38" s="298" t="e">
        <f t="shared" ref="X38:X43" si="60">(K38*T38*12)</f>
        <v>#REF!</v>
      </c>
      <c r="Y38" s="298">
        <f t="shared" ref="Y38:Y43" si="61">(S38*(M38+O38))*12</f>
        <v>29339.765160000003</v>
      </c>
      <c r="Z38" s="303"/>
      <c r="AA38" s="298"/>
      <c r="AB38" s="302" t="e">
        <f t="shared" ref="AB38:AB43" si="62">(I38*R38)</f>
        <v>#REF!</v>
      </c>
      <c r="AC38" s="298" t="e">
        <f t="shared" ref="AC38:AC43" si="63">(L38*T38*12)</f>
        <v>#REF!</v>
      </c>
      <c r="AD38" s="303">
        <f t="shared" ref="AD38:AD43" si="64">(S38*(N38+P38))*12</f>
        <v>29339.765160000003</v>
      </c>
      <c r="AE38" s="298"/>
      <c r="AF38" s="302" t="e">
        <f t="shared" ref="AF38:AH43" si="65">AB38-W38</f>
        <v>#REF!</v>
      </c>
      <c r="AG38" s="298" t="e">
        <f t="shared" si="65"/>
        <v>#REF!</v>
      </c>
      <c r="AH38" s="303">
        <f t="shared" si="65"/>
        <v>0</v>
      </c>
      <c r="AI38" s="298"/>
      <c r="AJ38" s="327"/>
      <c r="AK38" s="329" t="e">
        <f t="shared" si="13"/>
        <v>#REF!</v>
      </c>
      <c r="AL38" s="298"/>
      <c r="AM38" s="302" t="e">
        <f t="shared" ref="AM38:AM43" si="66">(F38*R38)</f>
        <v>#REF!</v>
      </c>
      <c r="AN38" s="298">
        <v>0</v>
      </c>
      <c r="AO38" s="303" t="e">
        <f t="shared" ref="AO38:AO43" si="67">(AE38*(Y38+AB38))*12</f>
        <v>#REF!</v>
      </c>
      <c r="AP38" s="298"/>
      <c r="AQ38" s="299"/>
      <c r="AR38" s="299"/>
      <c r="AS38" s="298"/>
    </row>
    <row r="39" spans="1:45" x14ac:dyDescent="0.2">
      <c r="A39" s="76">
        <f t="shared" si="2"/>
        <v>32</v>
      </c>
      <c r="B39" s="670"/>
      <c r="C39" s="671" t="s">
        <v>5</v>
      </c>
      <c r="D39" s="147"/>
      <c r="E39" s="112">
        <f>ROUND('Rates in Detail'!Y32,5)</f>
        <v>1.8749999999999999E-2</v>
      </c>
      <c r="F39" s="112"/>
      <c r="G39" s="147"/>
      <c r="H39" s="362">
        <f>ROUND('Rates in Detail'!R32,5)</f>
        <v>0.16750999999999999</v>
      </c>
      <c r="I39" s="711">
        <f t="shared" si="9"/>
        <v>0.18625999999999998</v>
      </c>
      <c r="J39" s="147"/>
      <c r="K39" s="145"/>
      <c r="L39" s="146"/>
      <c r="M39" s="112"/>
      <c r="N39" s="112"/>
      <c r="O39" s="112"/>
      <c r="P39" s="711"/>
      <c r="Q39" s="147"/>
      <c r="R39" s="287" t="e">
        <f>#REF!</f>
        <v>#REF!</v>
      </c>
      <c r="S39" s="300"/>
      <c r="T39" s="289"/>
      <c r="U39" s="290"/>
      <c r="V39" s="147"/>
      <c r="W39" s="302" t="e">
        <f t="shared" si="59"/>
        <v>#REF!</v>
      </c>
      <c r="X39" s="298">
        <f t="shared" si="60"/>
        <v>0</v>
      </c>
      <c r="Y39" s="298">
        <f t="shared" si="61"/>
        <v>0</v>
      </c>
      <c r="Z39" s="303"/>
      <c r="AA39" s="298"/>
      <c r="AB39" s="302" t="e">
        <f t="shared" si="62"/>
        <v>#REF!</v>
      </c>
      <c r="AC39" s="298">
        <f t="shared" si="63"/>
        <v>0</v>
      </c>
      <c r="AD39" s="303">
        <f t="shared" si="64"/>
        <v>0</v>
      </c>
      <c r="AE39" s="298"/>
      <c r="AF39" s="302" t="e">
        <f t="shared" si="65"/>
        <v>#REF!</v>
      </c>
      <c r="AG39" s="298">
        <f t="shared" si="65"/>
        <v>0</v>
      </c>
      <c r="AH39" s="303">
        <f t="shared" si="65"/>
        <v>0</v>
      </c>
      <c r="AI39" s="298"/>
      <c r="AJ39" s="327"/>
      <c r="AK39" s="329" t="e">
        <f t="shared" si="13"/>
        <v>#REF!</v>
      </c>
      <c r="AL39" s="298"/>
      <c r="AM39" s="302" t="e">
        <f t="shared" si="66"/>
        <v>#REF!</v>
      </c>
      <c r="AN39" s="298">
        <v>0</v>
      </c>
      <c r="AO39" s="303" t="e">
        <f t="shared" si="67"/>
        <v>#REF!</v>
      </c>
      <c r="AP39" s="298"/>
      <c r="AQ39" s="299"/>
      <c r="AR39" s="299"/>
      <c r="AS39" s="298"/>
    </row>
    <row r="40" spans="1:45" x14ac:dyDescent="0.2">
      <c r="A40" s="76">
        <f t="shared" si="2"/>
        <v>33</v>
      </c>
      <c r="B40" s="670"/>
      <c r="C40" s="671" t="s">
        <v>6</v>
      </c>
      <c r="D40" s="147"/>
      <c r="E40" s="112">
        <f>ROUND('Rates in Detail'!Y33,5)</f>
        <v>1.438E-2</v>
      </c>
      <c r="F40" s="112"/>
      <c r="G40" s="147"/>
      <c r="H40" s="362">
        <f>ROUND('Rates in Detail'!R33,5)</f>
        <v>0.12848000000000001</v>
      </c>
      <c r="I40" s="711">
        <f t="shared" si="9"/>
        <v>0.14286000000000001</v>
      </c>
      <c r="J40" s="147"/>
      <c r="K40" s="687"/>
      <c r="L40" s="361"/>
      <c r="M40" s="112"/>
      <c r="N40" s="112"/>
      <c r="O40" s="112"/>
      <c r="P40" s="711"/>
      <c r="Q40" s="147"/>
      <c r="R40" s="287" t="e">
        <f>#REF!</f>
        <v>#REF!</v>
      </c>
      <c r="S40" s="300"/>
      <c r="T40" s="289"/>
      <c r="U40" s="290"/>
      <c r="V40" s="147"/>
      <c r="W40" s="302" t="e">
        <f t="shared" si="59"/>
        <v>#REF!</v>
      </c>
      <c r="X40" s="298">
        <f t="shared" si="60"/>
        <v>0</v>
      </c>
      <c r="Y40" s="298">
        <f t="shared" si="61"/>
        <v>0</v>
      </c>
      <c r="Z40" s="303"/>
      <c r="AA40" s="298"/>
      <c r="AB40" s="302" t="e">
        <f t="shared" si="62"/>
        <v>#REF!</v>
      </c>
      <c r="AC40" s="298">
        <f t="shared" si="63"/>
        <v>0</v>
      </c>
      <c r="AD40" s="303">
        <f t="shared" si="64"/>
        <v>0</v>
      </c>
      <c r="AE40" s="298"/>
      <c r="AF40" s="302" t="e">
        <f t="shared" si="65"/>
        <v>#REF!</v>
      </c>
      <c r="AG40" s="298">
        <f t="shared" si="65"/>
        <v>0</v>
      </c>
      <c r="AH40" s="303">
        <f t="shared" si="65"/>
        <v>0</v>
      </c>
      <c r="AI40" s="298"/>
      <c r="AJ40" s="327"/>
      <c r="AK40" s="329" t="e">
        <f t="shared" si="13"/>
        <v>#REF!</v>
      </c>
      <c r="AL40" s="298"/>
      <c r="AM40" s="302" t="e">
        <f t="shared" si="66"/>
        <v>#REF!</v>
      </c>
      <c r="AN40" s="298">
        <v>0</v>
      </c>
      <c r="AO40" s="303" t="e">
        <f t="shared" si="67"/>
        <v>#REF!</v>
      </c>
      <c r="AP40" s="298"/>
      <c r="AQ40" s="299"/>
      <c r="AR40" s="299"/>
      <c r="AS40" s="298"/>
    </row>
    <row r="41" spans="1:45" x14ac:dyDescent="0.2">
      <c r="A41" s="76">
        <f t="shared" si="2"/>
        <v>34</v>
      </c>
      <c r="B41" s="670"/>
      <c r="C41" s="671" t="s">
        <v>7</v>
      </c>
      <c r="D41" s="147"/>
      <c r="E41" s="112">
        <f>ROUND('Rates in Detail'!Y34,5)</f>
        <v>1.1509999999999999E-2</v>
      </c>
      <c r="F41" s="112"/>
      <c r="G41" s="147"/>
      <c r="H41" s="362">
        <f>ROUND('Rates in Detail'!R34,5)</f>
        <v>0.10277</v>
      </c>
      <c r="I41" s="711">
        <f t="shared" si="9"/>
        <v>0.11427999999999999</v>
      </c>
      <c r="J41" s="147"/>
      <c r="K41" s="145"/>
      <c r="L41" s="146"/>
      <c r="M41" s="112"/>
      <c r="N41" s="112"/>
      <c r="O41" s="112"/>
      <c r="P41" s="711"/>
      <c r="Q41" s="147"/>
      <c r="R41" s="287" t="e">
        <f>#REF!</f>
        <v>#REF!</v>
      </c>
      <c r="S41" s="300"/>
      <c r="T41" s="289"/>
      <c r="U41" s="290"/>
      <c r="V41" s="147"/>
      <c r="W41" s="302" t="e">
        <f t="shared" si="59"/>
        <v>#REF!</v>
      </c>
      <c r="X41" s="298">
        <f t="shared" si="60"/>
        <v>0</v>
      </c>
      <c r="Y41" s="298">
        <f t="shared" si="61"/>
        <v>0</v>
      </c>
      <c r="Z41" s="303"/>
      <c r="AA41" s="298"/>
      <c r="AB41" s="302" t="e">
        <f t="shared" si="62"/>
        <v>#REF!</v>
      </c>
      <c r="AC41" s="298">
        <f t="shared" si="63"/>
        <v>0</v>
      </c>
      <c r="AD41" s="303">
        <f t="shared" si="64"/>
        <v>0</v>
      </c>
      <c r="AE41" s="298"/>
      <c r="AF41" s="302" t="e">
        <f t="shared" si="65"/>
        <v>#REF!</v>
      </c>
      <c r="AG41" s="298">
        <f t="shared" si="65"/>
        <v>0</v>
      </c>
      <c r="AH41" s="303">
        <f t="shared" si="65"/>
        <v>0</v>
      </c>
      <c r="AI41" s="298"/>
      <c r="AJ41" s="327"/>
      <c r="AK41" s="329" t="e">
        <f t="shared" si="13"/>
        <v>#REF!</v>
      </c>
      <c r="AL41" s="298"/>
      <c r="AM41" s="302" t="e">
        <f t="shared" si="66"/>
        <v>#REF!</v>
      </c>
      <c r="AN41" s="298">
        <v>0</v>
      </c>
      <c r="AO41" s="303" t="e">
        <f t="shared" si="67"/>
        <v>#REF!</v>
      </c>
      <c r="AP41" s="298"/>
      <c r="AQ41" s="299"/>
      <c r="AR41" s="299"/>
      <c r="AS41" s="298"/>
    </row>
    <row r="42" spans="1:45" x14ac:dyDescent="0.2">
      <c r="A42" s="76">
        <f t="shared" si="2"/>
        <v>35</v>
      </c>
      <c r="B42" s="670"/>
      <c r="C42" s="671" t="s">
        <v>8</v>
      </c>
      <c r="D42" s="147"/>
      <c r="E42" s="112">
        <f>ROUND('Rates in Detail'!Y35,5)</f>
        <v>7.6699999999999997E-3</v>
      </c>
      <c r="F42" s="112"/>
      <c r="G42" s="147"/>
      <c r="H42" s="362">
        <f>ROUND('Rates in Detail'!R35,5)</f>
        <v>6.8510000000000001E-2</v>
      </c>
      <c r="I42" s="711">
        <f t="shared" si="9"/>
        <v>7.6179999999999998E-2</v>
      </c>
      <c r="J42" s="147"/>
      <c r="K42" s="145"/>
      <c r="L42" s="146"/>
      <c r="M42" s="112"/>
      <c r="N42" s="112"/>
      <c r="O42" s="112"/>
      <c r="P42" s="711"/>
      <c r="Q42" s="147"/>
      <c r="R42" s="287" t="e">
        <f>#REF!</f>
        <v>#REF!</v>
      </c>
      <c r="S42" s="300"/>
      <c r="T42" s="289"/>
      <c r="U42" s="290"/>
      <c r="V42" s="147"/>
      <c r="W42" s="302" t="e">
        <f t="shared" si="59"/>
        <v>#REF!</v>
      </c>
      <c r="X42" s="298">
        <f t="shared" si="60"/>
        <v>0</v>
      </c>
      <c r="Y42" s="298">
        <f t="shared" si="61"/>
        <v>0</v>
      </c>
      <c r="Z42" s="303"/>
      <c r="AA42" s="298"/>
      <c r="AB42" s="302" t="e">
        <f t="shared" si="62"/>
        <v>#REF!</v>
      </c>
      <c r="AC42" s="298">
        <f t="shared" si="63"/>
        <v>0</v>
      </c>
      <c r="AD42" s="303">
        <f t="shared" si="64"/>
        <v>0</v>
      </c>
      <c r="AE42" s="298"/>
      <c r="AF42" s="302" t="e">
        <f t="shared" si="65"/>
        <v>#REF!</v>
      </c>
      <c r="AG42" s="298">
        <f t="shared" si="65"/>
        <v>0</v>
      </c>
      <c r="AH42" s="303">
        <f t="shared" si="65"/>
        <v>0</v>
      </c>
      <c r="AI42" s="298"/>
      <c r="AJ42" s="327"/>
      <c r="AK42" s="329" t="e">
        <f>AK41</f>
        <v>#REF!</v>
      </c>
      <c r="AL42" s="298"/>
      <c r="AM42" s="302" t="e">
        <f t="shared" si="66"/>
        <v>#REF!</v>
      </c>
      <c r="AN42" s="298">
        <v>0</v>
      </c>
      <c r="AO42" s="303" t="e">
        <f t="shared" si="67"/>
        <v>#REF!</v>
      </c>
      <c r="AP42" s="298"/>
      <c r="AQ42" s="299"/>
      <c r="AR42" s="299"/>
      <c r="AS42" s="298"/>
    </row>
    <row r="43" spans="1:45" x14ac:dyDescent="0.2">
      <c r="A43" s="76">
        <f t="shared" si="2"/>
        <v>36</v>
      </c>
      <c r="B43" s="670"/>
      <c r="C43" s="671" t="s">
        <v>9</v>
      </c>
      <c r="D43" s="147"/>
      <c r="E43" s="112">
        <f>ROUND('Rates in Detail'!Y36,5)</f>
        <v>2.8800000000000002E-3</v>
      </c>
      <c r="F43" s="112"/>
      <c r="G43" s="147"/>
      <c r="H43" s="362">
        <f>ROUND('Rates in Detail'!R36,5)</f>
        <v>2.5680000000000001E-2</v>
      </c>
      <c r="I43" s="711">
        <f t="shared" si="9"/>
        <v>2.8560000000000002E-2</v>
      </c>
      <c r="J43" s="147"/>
      <c r="K43" s="687"/>
      <c r="L43" s="361"/>
      <c r="M43" s="112"/>
      <c r="N43" s="112"/>
      <c r="O43" s="112"/>
      <c r="P43" s="711"/>
      <c r="Q43" s="147"/>
      <c r="R43" s="287" t="e">
        <f>#REF!</f>
        <v>#REF!</v>
      </c>
      <c r="S43" s="300"/>
      <c r="T43" s="289"/>
      <c r="U43" s="290"/>
      <c r="V43" s="147"/>
      <c r="W43" s="302" t="e">
        <f t="shared" si="59"/>
        <v>#REF!</v>
      </c>
      <c r="X43" s="298">
        <f t="shared" si="60"/>
        <v>0</v>
      </c>
      <c r="Y43" s="298">
        <f t="shared" si="61"/>
        <v>0</v>
      </c>
      <c r="Z43" s="303"/>
      <c r="AA43" s="298"/>
      <c r="AB43" s="302" t="e">
        <f t="shared" si="62"/>
        <v>#REF!</v>
      </c>
      <c r="AC43" s="298">
        <f t="shared" si="63"/>
        <v>0</v>
      </c>
      <c r="AD43" s="303">
        <f t="shared" si="64"/>
        <v>0</v>
      </c>
      <c r="AE43" s="298"/>
      <c r="AF43" s="302" t="e">
        <f t="shared" si="65"/>
        <v>#REF!</v>
      </c>
      <c r="AG43" s="298">
        <f t="shared" si="65"/>
        <v>0</v>
      </c>
      <c r="AH43" s="303">
        <f t="shared" si="65"/>
        <v>0</v>
      </c>
      <c r="AI43" s="298"/>
      <c r="AJ43" s="327"/>
      <c r="AK43" s="329" t="e">
        <f>AK42</f>
        <v>#REF!</v>
      </c>
      <c r="AL43" s="298"/>
      <c r="AM43" s="302" t="e">
        <f t="shared" si="66"/>
        <v>#REF!</v>
      </c>
      <c r="AN43" s="298">
        <v>0</v>
      </c>
      <c r="AO43" s="303" t="e">
        <f t="shared" si="67"/>
        <v>#REF!</v>
      </c>
      <c r="AP43" s="298"/>
      <c r="AQ43" s="299"/>
      <c r="AR43" s="299"/>
      <c r="AS43" s="298"/>
    </row>
    <row r="44" spans="1:45" x14ac:dyDescent="0.2">
      <c r="A44" s="76">
        <f t="shared" si="2"/>
        <v>37</v>
      </c>
      <c r="B44" s="668"/>
      <c r="C44" s="686" t="s">
        <v>62</v>
      </c>
      <c r="D44" s="143"/>
      <c r="E44" s="113"/>
      <c r="F44" s="113"/>
      <c r="G44" s="143"/>
      <c r="H44" s="357"/>
      <c r="I44" s="710"/>
      <c r="J44" s="147"/>
      <c r="K44" s="687"/>
      <c r="L44" s="361"/>
      <c r="M44" s="112"/>
      <c r="N44" s="112"/>
      <c r="O44" s="112"/>
      <c r="P44" s="711"/>
      <c r="Q44" s="147"/>
      <c r="R44" s="287"/>
      <c r="S44" s="300"/>
      <c r="T44" s="289"/>
      <c r="U44" s="290"/>
      <c r="V44" s="147"/>
      <c r="W44" s="304" t="e">
        <f>SUM(W38:W43)</f>
        <v>#REF!</v>
      </c>
      <c r="X44" s="305" t="e">
        <f>SUM(X38:X43)</f>
        <v>#REF!</v>
      </c>
      <c r="Y44" s="305">
        <f>SUM(Y38:Y43)</f>
        <v>29339.765160000003</v>
      </c>
      <c r="Z44" s="306" t="e">
        <f>'Rate Spread SETTLEMENT'!Q$76-SUM(W44:Y44)</f>
        <v>#REF!</v>
      </c>
      <c r="AA44" s="298"/>
      <c r="AB44" s="304" t="e">
        <f>SUM(AB38:AB43)</f>
        <v>#REF!</v>
      </c>
      <c r="AC44" s="305" t="e">
        <f>SUM(AC38:AC43)</f>
        <v>#REF!</v>
      </c>
      <c r="AD44" s="306">
        <f>SUM(AD38:AD43)</f>
        <v>29339.765160000003</v>
      </c>
      <c r="AE44" s="298"/>
      <c r="AF44" s="304" t="e">
        <f>SUM(AF38:AF43)</f>
        <v>#REF!</v>
      </c>
      <c r="AG44" s="305" t="e">
        <f>SUM(AG38:AG43)</f>
        <v>#REF!</v>
      </c>
      <c r="AH44" s="306">
        <f>SUM(AH38:AH43)</f>
        <v>0</v>
      </c>
      <c r="AI44" s="298"/>
      <c r="AJ44" s="327" t="e">
        <f>SUM(AF44:AH44)/SUM(W44:Y44)</f>
        <v>#REF!</v>
      </c>
      <c r="AK44" s="328" t="e">
        <f>SUM(AF44)/SUM(W44)</f>
        <v>#REF!</v>
      </c>
      <c r="AL44" s="298"/>
      <c r="AM44" s="304" t="e">
        <f>SUM(AM38:AM43)</f>
        <v>#REF!</v>
      </c>
      <c r="AN44" s="305">
        <f>SUM(AN38:AN43)</f>
        <v>0</v>
      </c>
      <c r="AO44" s="306" t="e">
        <f>SUM(AO38:AO43)</f>
        <v>#REF!</v>
      </c>
      <c r="AP44" s="298"/>
      <c r="AQ44" s="299"/>
      <c r="AR44" s="299"/>
      <c r="AS44" s="298"/>
    </row>
    <row r="45" spans="1:45" x14ac:dyDescent="0.2">
      <c r="A45" s="76">
        <f t="shared" si="2"/>
        <v>38</v>
      </c>
      <c r="B45" s="670" t="e">
        <f>#REF!</f>
        <v>#REF!</v>
      </c>
      <c r="C45" s="671" t="s">
        <v>4</v>
      </c>
      <c r="D45" s="147"/>
      <c r="E45" s="112">
        <f>ROUND('Rates in Detail'!Y37,5)</f>
        <v>6.1399999999999996E-3</v>
      </c>
      <c r="F45" s="112"/>
      <c r="G45" s="147"/>
      <c r="H45" s="362">
        <f>ROUND('Rates in Detail'!R37,5)</f>
        <v>0.16067999999999999</v>
      </c>
      <c r="I45" s="711">
        <f t="shared" si="9"/>
        <v>0.16682</v>
      </c>
      <c r="J45" s="147"/>
      <c r="K45" s="145" t="e">
        <f>#REF!</f>
        <v>#REF!</v>
      </c>
      <c r="L45" s="146" t="e">
        <f>#REF!</f>
        <v>#REF!</v>
      </c>
      <c r="M45" s="112">
        <f>'Rates in Detail'!AH37</f>
        <v>0.15748000000000001</v>
      </c>
      <c r="N45" s="112">
        <f>'Rates in Detail'!AI37</f>
        <v>0.15748000000000001</v>
      </c>
      <c r="O45" s="112">
        <f>'Rates in Detail'!AJ37</f>
        <v>0.20415</v>
      </c>
      <c r="P45" s="711">
        <f>'Rates in Detail'!AK37</f>
        <v>0.20415</v>
      </c>
      <c r="Q45" s="147"/>
      <c r="R45" s="287" t="e">
        <f>#REF!</f>
        <v>#REF!</v>
      </c>
      <c r="S45" s="300">
        <v>9556</v>
      </c>
      <c r="T45" s="289" t="e">
        <f>#REF!</f>
        <v>#REF!</v>
      </c>
      <c r="U45" s="290" t="e">
        <f>#REF!</f>
        <v>#REF!</v>
      </c>
      <c r="V45" s="147"/>
      <c r="W45" s="302" t="e">
        <f t="shared" ref="W45:W50" si="68">(H45*R45)</f>
        <v>#REF!</v>
      </c>
      <c r="X45" s="298" t="e">
        <f t="shared" ref="X45:X50" si="69">(K45*T45*12)</f>
        <v>#REF!</v>
      </c>
      <c r="Y45" s="298">
        <f t="shared" ref="Y45:Y50" si="70">(S45*(M45+O45))*12</f>
        <v>41468.835359999997</v>
      </c>
      <c r="Z45" s="303"/>
      <c r="AA45" s="298"/>
      <c r="AB45" s="302" t="e">
        <f t="shared" ref="AB45:AB50" si="71">(I45*R45)</f>
        <v>#REF!</v>
      </c>
      <c r="AC45" s="298" t="e">
        <f t="shared" ref="AC45:AC50" si="72">(L45*T45*12)</f>
        <v>#REF!</v>
      </c>
      <c r="AD45" s="303">
        <f t="shared" ref="AD45:AD50" si="73">(S45*(N45+P45))*12</f>
        <v>41468.835359999997</v>
      </c>
      <c r="AE45" s="298"/>
      <c r="AF45" s="302" t="e">
        <f t="shared" ref="AF45:AH50" si="74">AB45-W45</f>
        <v>#REF!</v>
      </c>
      <c r="AG45" s="298" t="e">
        <f t="shared" si="74"/>
        <v>#REF!</v>
      </c>
      <c r="AH45" s="303">
        <f t="shared" si="74"/>
        <v>0</v>
      </c>
      <c r="AI45" s="298"/>
      <c r="AJ45" s="327"/>
      <c r="AK45" s="329" t="e">
        <f>SUM(AF45)/SUM(W45)</f>
        <v>#REF!</v>
      </c>
      <c r="AL45" s="298"/>
      <c r="AM45" s="302" t="e">
        <f t="shared" ref="AM45:AM50" si="75">(F45*R45)</f>
        <v>#REF!</v>
      </c>
      <c r="AN45" s="298">
        <v>0</v>
      </c>
      <c r="AO45" s="303" t="e">
        <f t="shared" ref="AO45:AO50" si="76">(AE45*(Y45+AB45))*12</f>
        <v>#REF!</v>
      </c>
      <c r="AP45" s="298"/>
      <c r="AQ45" s="299"/>
      <c r="AR45" s="299"/>
      <c r="AS45" s="298"/>
    </row>
    <row r="46" spans="1:45" x14ac:dyDescent="0.2">
      <c r="A46" s="76">
        <f t="shared" si="2"/>
        <v>39</v>
      </c>
      <c r="B46" s="670"/>
      <c r="C46" s="671" t="s">
        <v>5</v>
      </c>
      <c r="D46" s="147"/>
      <c r="E46" s="112">
        <f>ROUND('Rates in Detail'!Y38,5)</f>
        <v>5.4999999999999997E-3</v>
      </c>
      <c r="F46" s="112"/>
      <c r="G46" s="147"/>
      <c r="H46" s="362">
        <f>ROUND('Rates in Detail'!R38,5)</f>
        <v>0.14383000000000001</v>
      </c>
      <c r="I46" s="711">
        <f t="shared" si="9"/>
        <v>0.14933000000000002</v>
      </c>
      <c r="J46" s="147"/>
      <c r="K46" s="145"/>
      <c r="L46" s="146"/>
      <c r="M46" s="112"/>
      <c r="N46" s="112"/>
      <c r="O46" s="112"/>
      <c r="P46" s="711"/>
      <c r="Q46" s="147"/>
      <c r="R46" s="287" t="e">
        <f>#REF!</f>
        <v>#REF!</v>
      </c>
      <c r="S46" s="300"/>
      <c r="T46" s="289"/>
      <c r="U46" s="290"/>
      <c r="V46" s="147"/>
      <c r="W46" s="302" t="e">
        <f t="shared" si="68"/>
        <v>#REF!</v>
      </c>
      <c r="X46" s="298">
        <f t="shared" si="69"/>
        <v>0</v>
      </c>
      <c r="Y46" s="298">
        <f t="shared" si="70"/>
        <v>0</v>
      </c>
      <c r="Z46" s="303"/>
      <c r="AA46" s="298"/>
      <c r="AB46" s="302" t="e">
        <f t="shared" si="71"/>
        <v>#REF!</v>
      </c>
      <c r="AC46" s="298">
        <f t="shared" si="72"/>
        <v>0</v>
      </c>
      <c r="AD46" s="303">
        <f t="shared" si="73"/>
        <v>0</v>
      </c>
      <c r="AE46" s="298"/>
      <c r="AF46" s="302" t="e">
        <f t="shared" si="74"/>
        <v>#REF!</v>
      </c>
      <c r="AG46" s="298">
        <f t="shared" si="74"/>
        <v>0</v>
      </c>
      <c r="AH46" s="303">
        <f t="shared" si="74"/>
        <v>0</v>
      </c>
      <c r="AI46" s="298"/>
      <c r="AJ46" s="327"/>
      <c r="AK46" s="329" t="e">
        <f>SUM(AF46)/SUM(W46)</f>
        <v>#REF!</v>
      </c>
      <c r="AL46" s="298"/>
      <c r="AM46" s="302" t="e">
        <f t="shared" si="75"/>
        <v>#REF!</v>
      </c>
      <c r="AN46" s="298">
        <v>0</v>
      </c>
      <c r="AO46" s="303" t="e">
        <f t="shared" si="76"/>
        <v>#REF!</v>
      </c>
      <c r="AP46" s="298"/>
      <c r="AQ46" s="299"/>
      <c r="AR46" s="299"/>
      <c r="AS46" s="298"/>
    </row>
    <row r="47" spans="1:45" x14ac:dyDescent="0.2">
      <c r="A47" s="76">
        <f t="shared" si="2"/>
        <v>40</v>
      </c>
      <c r="B47" s="670"/>
      <c r="C47" s="671" t="s">
        <v>6</v>
      </c>
      <c r="D47" s="147"/>
      <c r="E47" s="112">
        <f>ROUND('Rates in Detail'!Y39,5)</f>
        <v>4.2199999999999998E-3</v>
      </c>
      <c r="F47" s="112"/>
      <c r="G47" s="147"/>
      <c r="H47" s="362">
        <f>ROUND('Rates in Detail'!R39,5)</f>
        <v>0.11029</v>
      </c>
      <c r="I47" s="711">
        <f t="shared" si="9"/>
        <v>0.11451</v>
      </c>
      <c r="J47" s="147"/>
      <c r="K47" s="145"/>
      <c r="L47" s="146"/>
      <c r="M47" s="112"/>
      <c r="N47" s="112"/>
      <c r="O47" s="112"/>
      <c r="P47" s="711"/>
      <c r="Q47" s="147"/>
      <c r="R47" s="287" t="e">
        <f>#REF!</f>
        <v>#REF!</v>
      </c>
      <c r="S47" s="300"/>
      <c r="T47" s="289"/>
      <c r="U47" s="290"/>
      <c r="V47" s="147"/>
      <c r="W47" s="302" t="e">
        <f t="shared" si="68"/>
        <v>#REF!</v>
      </c>
      <c r="X47" s="298">
        <f t="shared" si="69"/>
        <v>0</v>
      </c>
      <c r="Y47" s="298">
        <f t="shared" si="70"/>
        <v>0</v>
      </c>
      <c r="Z47" s="303"/>
      <c r="AA47" s="298"/>
      <c r="AB47" s="302" t="e">
        <f t="shared" si="71"/>
        <v>#REF!</v>
      </c>
      <c r="AC47" s="298">
        <f t="shared" si="72"/>
        <v>0</v>
      </c>
      <c r="AD47" s="303">
        <f t="shared" si="73"/>
        <v>0</v>
      </c>
      <c r="AE47" s="298"/>
      <c r="AF47" s="302" t="e">
        <f t="shared" si="74"/>
        <v>#REF!</v>
      </c>
      <c r="AG47" s="298">
        <f t="shared" si="74"/>
        <v>0</v>
      </c>
      <c r="AH47" s="303">
        <f t="shared" si="74"/>
        <v>0</v>
      </c>
      <c r="AI47" s="298"/>
      <c r="AJ47" s="327"/>
      <c r="AK47" s="329" t="e">
        <f>SUM(AF47)/SUM(W47)</f>
        <v>#REF!</v>
      </c>
      <c r="AL47" s="298"/>
      <c r="AM47" s="302" t="e">
        <f t="shared" si="75"/>
        <v>#REF!</v>
      </c>
      <c r="AN47" s="298">
        <v>0</v>
      </c>
      <c r="AO47" s="303" t="e">
        <f t="shared" si="76"/>
        <v>#REF!</v>
      </c>
      <c r="AP47" s="298"/>
      <c r="AQ47" s="299"/>
      <c r="AR47" s="299"/>
      <c r="AS47" s="298"/>
    </row>
    <row r="48" spans="1:45" x14ac:dyDescent="0.2">
      <c r="A48" s="76">
        <f t="shared" si="2"/>
        <v>41</v>
      </c>
      <c r="B48" s="670"/>
      <c r="C48" s="671" t="s">
        <v>7</v>
      </c>
      <c r="D48" s="147"/>
      <c r="E48" s="112">
        <f>ROUND('Rates in Detail'!Y40,5)</f>
        <v>3.3700000000000002E-3</v>
      </c>
      <c r="F48" s="112"/>
      <c r="G48" s="147"/>
      <c r="H48" s="362">
        <f>ROUND('Rates in Detail'!R40,5)</f>
        <v>8.8239999999999999E-2</v>
      </c>
      <c r="I48" s="711">
        <f t="shared" si="9"/>
        <v>9.1609999999999997E-2</v>
      </c>
      <c r="J48" s="147"/>
      <c r="K48" s="145"/>
      <c r="L48" s="146"/>
      <c r="M48" s="112"/>
      <c r="N48" s="112"/>
      <c r="O48" s="112"/>
      <c r="P48" s="711"/>
      <c r="Q48" s="147"/>
      <c r="R48" s="287" t="e">
        <f>#REF!</f>
        <v>#REF!</v>
      </c>
      <c r="S48" s="300"/>
      <c r="T48" s="289"/>
      <c r="U48" s="290"/>
      <c r="V48" s="147"/>
      <c r="W48" s="302" t="e">
        <f t="shared" si="68"/>
        <v>#REF!</v>
      </c>
      <c r="X48" s="298">
        <f t="shared" si="69"/>
        <v>0</v>
      </c>
      <c r="Y48" s="298">
        <f t="shared" si="70"/>
        <v>0</v>
      </c>
      <c r="Z48" s="303"/>
      <c r="AA48" s="298"/>
      <c r="AB48" s="302" t="e">
        <f t="shared" si="71"/>
        <v>#REF!</v>
      </c>
      <c r="AC48" s="298">
        <f t="shared" si="72"/>
        <v>0</v>
      </c>
      <c r="AD48" s="303">
        <f t="shared" si="73"/>
        <v>0</v>
      </c>
      <c r="AE48" s="298"/>
      <c r="AF48" s="302" t="e">
        <f t="shared" si="74"/>
        <v>#REF!</v>
      </c>
      <c r="AG48" s="298">
        <f t="shared" si="74"/>
        <v>0</v>
      </c>
      <c r="AH48" s="303">
        <f t="shared" si="74"/>
        <v>0</v>
      </c>
      <c r="AI48" s="298"/>
      <c r="AJ48" s="327"/>
      <c r="AK48" s="329" t="e">
        <f>SUM(AF48)/SUM(W48)</f>
        <v>#REF!</v>
      </c>
      <c r="AL48" s="298"/>
      <c r="AM48" s="302" t="e">
        <f t="shared" si="75"/>
        <v>#REF!</v>
      </c>
      <c r="AN48" s="298">
        <v>0</v>
      </c>
      <c r="AO48" s="303" t="e">
        <f t="shared" si="76"/>
        <v>#REF!</v>
      </c>
      <c r="AP48" s="298"/>
      <c r="AQ48" s="299"/>
      <c r="AR48" s="299"/>
      <c r="AS48" s="298"/>
    </row>
    <row r="49" spans="1:45" x14ac:dyDescent="0.2">
      <c r="A49" s="76">
        <f t="shared" si="2"/>
        <v>42</v>
      </c>
      <c r="B49" s="670"/>
      <c r="C49" s="671" t="s">
        <v>8</v>
      </c>
      <c r="D49" s="147"/>
      <c r="E49" s="112">
        <f>ROUND('Rates in Detail'!Y41,5)</f>
        <v>2.2499999999999998E-3</v>
      </c>
      <c r="F49" s="112"/>
      <c r="G49" s="147"/>
      <c r="H49" s="362">
        <f>ROUND('Rates in Detail'!R41,5)</f>
        <v>5.8840000000000003E-2</v>
      </c>
      <c r="I49" s="711">
        <f t="shared" si="9"/>
        <v>6.1090000000000005E-2</v>
      </c>
      <c r="J49" s="147"/>
      <c r="K49" s="145"/>
      <c r="L49" s="146"/>
      <c r="M49" s="112"/>
      <c r="N49" s="112"/>
      <c r="O49" s="112"/>
      <c r="P49" s="711"/>
      <c r="Q49" s="147"/>
      <c r="R49" s="287" t="e">
        <f>#REF!</f>
        <v>#REF!</v>
      </c>
      <c r="S49" s="300"/>
      <c r="T49" s="289"/>
      <c r="U49" s="290"/>
      <c r="V49" s="147"/>
      <c r="W49" s="302" t="e">
        <f t="shared" si="68"/>
        <v>#REF!</v>
      </c>
      <c r="X49" s="298">
        <f t="shared" si="69"/>
        <v>0</v>
      </c>
      <c r="Y49" s="298">
        <f t="shared" si="70"/>
        <v>0</v>
      </c>
      <c r="Z49" s="303"/>
      <c r="AA49" s="298"/>
      <c r="AB49" s="302" t="e">
        <f t="shared" si="71"/>
        <v>#REF!</v>
      </c>
      <c r="AC49" s="298">
        <f t="shared" si="72"/>
        <v>0</v>
      </c>
      <c r="AD49" s="303">
        <f t="shared" si="73"/>
        <v>0</v>
      </c>
      <c r="AE49" s="298"/>
      <c r="AF49" s="302" t="e">
        <f t="shared" si="74"/>
        <v>#REF!</v>
      </c>
      <c r="AG49" s="298">
        <f t="shared" si="74"/>
        <v>0</v>
      </c>
      <c r="AH49" s="303">
        <f t="shared" si="74"/>
        <v>0</v>
      </c>
      <c r="AI49" s="298"/>
      <c r="AJ49" s="327"/>
      <c r="AK49" s="329" t="e">
        <f>AK48</f>
        <v>#REF!</v>
      </c>
      <c r="AL49" s="298"/>
      <c r="AM49" s="302" t="e">
        <f t="shared" si="75"/>
        <v>#REF!</v>
      </c>
      <c r="AN49" s="298">
        <v>0</v>
      </c>
      <c r="AO49" s="303" t="e">
        <f t="shared" si="76"/>
        <v>#REF!</v>
      </c>
      <c r="AP49" s="298"/>
      <c r="AQ49" s="299"/>
      <c r="AR49" s="299"/>
      <c r="AS49" s="298"/>
    </row>
    <row r="50" spans="1:45" x14ac:dyDescent="0.2">
      <c r="A50" s="76">
        <f t="shared" si="2"/>
        <v>43</v>
      </c>
      <c r="B50" s="670"/>
      <c r="C50" s="671" t="s">
        <v>9</v>
      </c>
      <c r="D50" s="147"/>
      <c r="E50" s="112">
        <f>ROUND('Rates in Detail'!Y42,5)</f>
        <v>8.4000000000000003E-4</v>
      </c>
      <c r="F50" s="112"/>
      <c r="G50" s="147"/>
      <c r="H50" s="362">
        <f>ROUND('Rates in Detail'!R42,5)</f>
        <v>2.205E-2</v>
      </c>
      <c r="I50" s="711">
        <f t="shared" si="9"/>
        <v>2.2890000000000001E-2</v>
      </c>
      <c r="J50" s="147"/>
      <c r="K50" s="145"/>
      <c r="L50" s="146"/>
      <c r="M50" s="112"/>
      <c r="N50" s="112"/>
      <c r="O50" s="112"/>
      <c r="P50" s="711"/>
      <c r="Q50" s="147"/>
      <c r="R50" s="287" t="e">
        <f>#REF!</f>
        <v>#REF!</v>
      </c>
      <c r="S50" s="300"/>
      <c r="T50" s="289"/>
      <c r="U50" s="290"/>
      <c r="V50" s="147"/>
      <c r="W50" s="302" t="e">
        <f t="shared" si="68"/>
        <v>#REF!</v>
      </c>
      <c r="X50" s="298">
        <f t="shared" si="69"/>
        <v>0</v>
      </c>
      <c r="Y50" s="298">
        <f t="shared" si="70"/>
        <v>0</v>
      </c>
      <c r="Z50" s="303"/>
      <c r="AA50" s="298"/>
      <c r="AB50" s="302" t="e">
        <f t="shared" si="71"/>
        <v>#REF!</v>
      </c>
      <c r="AC50" s="298">
        <f t="shared" si="72"/>
        <v>0</v>
      </c>
      <c r="AD50" s="303">
        <f t="shared" si="73"/>
        <v>0</v>
      </c>
      <c r="AE50" s="298"/>
      <c r="AF50" s="302" t="e">
        <f t="shared" si="74"/>
        <v>#REF!</v>
      </c>
      <c r="AG50" s="298">
        <f t="shared" si="74"/>
        <v>0</v>
      </c>
      <c r="AH50" s="303">
        <f t="shared" si="74"/>
        <v>0</v>
      </c>
      <c r="AI50" s="298"/>
      <c r="AJ50" s="327"/>
      <c r="AK50" s="329" t="e">
        <f>AK49</f>
        <v>#REF!</v>
      </c>
      <c r="AL50" s="298"/>
      <c r="AM50" s="302" t="e">
        <f t="shared" si="75"/>
        <v>#REF!</v>
      </c>
      <c r="AN50" s="298">
        <v>0</v>
      </c>
      <c r="AO50" s="303" t="e">
        <f t="shared" si="76"/>
        <v>#REF!</v>
      </c>
      <c r="AP50" s="298"/>
      <c r="AQ50" s="299"/>
      <c r="AR50" s="299"/>
      <c r="AS50" s="298"/>
    </row>
    <row r="51" spans="1:45" x14ac:dyDescent="0.2">
      <c r="A51" s="76">
        <f t="shared" si="2"/>
        <v>44</v>
      </c>
      <c r="B51" s="668"/>
      <c r="C51" s="686" t="s">
        <v>62</v>
      </c>
      <c r="D51" s="143"/>
      <c r="E51" s="113"/>
      <c r="F51" s="113"/>
      <c r="G51" s="143"/>
      <c r="H51" s="357"/>
      <c r="I51" s="710"/>
      <c r="J51" s="147"/>
      <c r="K51" s="145"/>
      <c r="L51" s="146"/>
      <c r="M51" s="112"/>
      <c r="N51" s="112"/>
      <c r="O51" s="112"/>
      <c r="P51" s="711"/>
      <c r="Q51" s="147"/>
      <c r="R51" s="287"/>
      <c r="S51" s="300"/>
      <c r="T51" s="289"/>
      <c r="U51" s="290"/>
      <c r="V51" s="147"/>
      <c r="W51" s="304" t="e">
        <f>SUM(W45:W50)</f>
        <v>#REF!</v>
      </c>
      <c r="X51" s="305" t="e">
        <f>SUM(X45:X50)</f>
        <v>#REF!</v>
      </c>
      <c r="Y51" s="305">
        <f>SUM(Y45:Y50)</f>
        <v>41468.835359999997</v>
      </c>
      <c r="Z51" s="306" t="e">
        <f>'Rate Spread SETTLEMENT'!R$76-SUM(W51:Y51)</f>
        <v>#REF!</v>
      </c>
      <c r="AA51" s="298"/>
      <c r="AB51" s="304" t="e">
        <f>SUM(AB45:AB50)</f>
        <v>#REF!</v>
      </c>
      <c r="AC51" s="305" t="e">
        <f>SUM(AC45:AC50)</f>
        <v>#REF!</v>
      </c>
      <c r="AD51" s="306">
        <f>SUM(AD45:AD50)</f>
        <v>41468.835359999997</v>
      </c>
      <c r="AE51" s="298"/>
      <c r="AF51" s="304" t="e">
        <f>SUM(AF45:AF50)</f>
        <v>#REF!</v>
      </c>
      <c r="AG51" s="305" t="e">
        <f>SUM(AG45:AG50)</f>
        <v>#REF!</v>
      </c>
      <c r="AH51" s="306">
        <f>SUM(AH45:AH50)</f>
        <v>0</v>
      </c>
      <c r="AI51" s="298"/>
      <c r="AJ51" s="327" t="e">
        <f>SUM(AF51:AH51)/SUM(W51:Y51)</f>
        <v>#REF!</v>
      </c>
      <c r="AK51" s="328" t="e">
        <f t="shared" ref="AK51:AK56" si="77">SUM(AF51)/SUM(W51)</f>
        <v>#REF!</v>
      </c>
      <c r="AL51" s="298"/>
      <c r="AM51" s="304" t="e">
        <f>SUM(AM45:AM50)</f>
        <v>#REF!</v>
      </c>
      <c r="AN51" s="305">
        <f>SUM(AN45:AN50)</f>
        <v>0</v>
      </c>
      <c r="AO51" s="306" t="e">
        <f>SUM(AO45:AO50)</f>
        <v>#REF!</v>
      </c>
      <c r="AP51" s="298"/>
      <c r="AQ51" s="299"/>
      <c r="AR51" s="299"/>
      <c r="AS51" s="298"/>
    </row>
    <row r="52" spans="1:45" x14ac:dyDescent="0.2">
      <c r="A52" s="76">
        <f t="shared" si="2"/>
        <v>45</v>
      </c>
      <c r="B52" s="670" t="e">
        <f>#REF!</f>
        <v>#REF!</v>
      </c>
      <c r="C52" s="671" t="s">
        <v>4</v>
      </c>
      <c r="D52" s="147"/>
      <c r="E52" s="112">
        <f>ROUND('Rates in Detail'!Y43,5)</f>
        <v>5.94E-3</v>
      </c>
      <c r="F52" s="112"/>
      <c r="G52" s="147"/>
      <c r="H52" s="362">
        <f>ROUND('Rates in Detail'!R43,5)</f>
        <v>0.14912</v>
      </c>
      <c r="I52" s="711">
        <f t="shared" si="9"/>
        <v>0.15506</v>
      </c>
      <c r="J52" s="147"/>
      <c r="K52" s="145" t="e">
        <f>#REF!</f>
        <v>#REF!</v>
      </c>
      <c r="L52" s="146" t="e">
        <f>#REF!</f>
        <v>#REF!</v>
      </c>
      <c r="M52" s="112">
        <f>'Rates in Detail'!AH43</f>
        <v>0.15748000000000001</v>
      </c>
      <c r="N52" s="112">
        <f>'Rates in Detail'!AI43</f>
        <v>0.15748000000000001</v>
      </c>
      <c r="O52" s="112">
        <f>'Rates in Detail'!AJ43</f>
        <v>0</v>
      </c>
      <c r="P52" s="711">
        <f>'Rates in Detail'!AK43</f>
        <v>0</v>
      </c>
      <c r="Q52" s="147"/>
      <c r="R52" s="287" t="e">
        <f>#REF!</f>
        <v>#REF!</v>
      </c>
      <c r="S52" s="300">
        <v>10479</v>
      </c>
      <c r="T52" s="289" t="e">
        <f>#REF!</f>
        <v>#REF!</v>
      </c>
      <c r="U52" s="290" t="e">
        <f>#REF!</f>
        <v>#REF!</v>
      </c>
      <c r="V52" s="147"/>
      <c r="W52" s="302" t="e">
        <f t="shared" ref="W52:W57" si="78">(H52*R52)</f>
        <v>#REF!</v>
      </c>
      <c r="X52" s="298" t="e">
        <f t="shared" ref="X52:X57" si="79">(K52*T52*12)</f>
        <v>#REF!</v>
      </c>
      <c r="Y52" s="298">
        <f t="shared" ref="Y52:Y57" si="80">(S52*(M52+O52))*12</f>
        <v>19802.795040000001</v>
      </c>
      <c r="Z52" s="303"/>
      <c r="AA52" s="298"/>
      <c r="AB52" s="302" t="e">
        <f t="shared" ref="AB52:AB57" si="81">(I52*R52)</f>
        <v>#REF!</v>
      </c>
      <c r="AC52" s="298" t="e">
        <f t="shared" ref="AC52:AC57" si="82">(L52*T52*12)</f>
        <v>#REF!</v>
      </c>
      <c r="AD52" s="303">
        <f t="shared" ref="AD52:AD57" si="83">(S52*(N52+P52))*12</f>
        <v>19802.795040000001</v>
      </c>
      <c r="AE52" s="298"/>
      <c r="AF52" s="302" t="e">
        <f t="shared" ref="AF52:AH57" si="84">AB52-W52</f>
        <v>#REF!</v>
      </c>
      <c r="AG52" s="298" t="e">
        <f t="shared" si="84"/>
        <v>#REF!</v>
      </c>
      <c r="AH52" s="303">
        <f t="shared" si="84"/>
        <v>0</v>
      </c>
      <c r="AI52" s="298"/>
      <c r="AJ52" s="327"/>
      <c r="AK52" s="329" t="e">
        <f t="shared" si="77"/>
        <v>#REF!</v>
      </c>
      <c r="AL52" s="298"/>
      <c r="AM52" s="302" t="e">
        <f t="shared" ref="AM52:AM57" si="85">(F52*R52)</f>
        <v>#REF!</v>
      </c>
      <c r="AN52" s="298">
        <v>0</v>
      </c>
      <c r="AO52" s="303" t="e">
        <f t="shared" ref="AO52:AO57" si="86">(AE52*(Y52+AB52))*12</f>
        <v>#REF!</v>
      </c>
      <c r="AP52" s="298"/>
      <c r="AQ52" s="299"/>
      <c r="AR52" s="299"/>
      <c r="AS52" s="298"/>
    </row>
    <row r="53" spans="1:45" x14ac:dyDescent="0.2">
      <c r="A53" s="76">
        <f t="shared" si="2"/>
        <v>46</v>
      </c>
      <c r="B53" s="670"/>
      <c r="C53" s="671" t="s">
        <v>5</v>
      </c>
      <c r="D53" s="147"/>
      <c r="E53" s="112">
        <f>ROUND('Rates in Detail'!Y44,5)</f>
        <v>5.3099999999999996E-3</v>
      </c>
      <c r="F53" s="112"/>
      <c r="G53" s="147"/>
      <c r="H53" s="362">
        <f>ROUND('Rates in Detail'!R44,5)</f>
        <v>0.13349</v>
      </c>
      <c r="I53" s="711">
        <f t="shared" si="9"/>
        <v>0.13880000000000001</v>
      </c>
      <c r="J53" s="147"/>
      <c r="K53" s="145"/>
      <c r="L53" s="146"/>
      <c r="M53" s="112"/>
      <c r="N53" s="112"/>
      <c r="O53" s="112"/>
      <c r="P53" s="711"/>
      <c r="Q53" s="147"/>
      <c r="R53" s="287" t="e">
        <f>#REF!</f>
        <v>#REF!</v>
      </c>
      <c r="S53" s="300"/>
      <c r="T53" s="289"/>
      <c r="U53" s="290"/>
      <c r="V53" s="147"/>
      <c r="W53" s="302" t="e">
        <f t="shared" si="78"/>
        <v>#REF!</v>
      </c>
      <c r="X53" s="298">
        <f t="shared" si="79"/>
        <v>0</v>
      </c>
      <c r="Y53" s="298">
        <f t="shared" si="80"/>
        <v>0</v>
      </c>
      <c r="Z53" s="303"/>
      <c r="AA53" s="298"/>
      <c r="AB53" s="302" t="e">
        <f t="shared" si="81"/>
        <v>#REF!</v>
      </c>
      <c r="AC53" s="298">
        <f t="shared" si="82"/>
        <v>0</v>
      </c>
      <c r="AD53" s="303">
        <f t="shared" si="83"/>
        <v>0</v>
      </c>
      <c r="AE53" s="298"/>
      <c r="AF53" s="302" t="e">
        <f t="shared" si="84"/>
        <v>#REF!</v>
      </c>
      <c r="AG53" s="298">
        <f t="shared" si="84"/>
        <v>0</v>
      </c>
      <c r="AH53" s="303">
        <f t="shared" si="84"/>
        <v>0</v>
      </c>
      <c r="AI53" s="298"/>
      <c r="AJ53" s="327"/>
      <c r="AK53" s="329" t="e">
        <f t="shared" si="77"/>
        <v>#REF!</v>
      </c>
      <c r="AL53" s="298"/>
      <c r="AM53" s="302" t="e">
        <f t="shared" si="85"/>
        <v>#REF!</v>
      </c>
      <c r="AN53" s="298">
        <v>0</v>
      </c>
      <c r="AO53" s="303" t="e">
        <f t="shared" si="86"/>
        <v>#REF!</v>
      </c>
      <c r="AP53" s="298"/>
      <c r="AQ53" s="299"/>
      <c r="AR53" s="299"/>
      <c r="AS53" s="298"/>
    </row>
    <row r="54" spans="1:45" x14ac:dyDescent="0.2">
      <c r="A54" s="76">
        <f t="shared" si="2"/>
        <v>47</v>
      </c>
      <c r="B54" s="670"/>
      <c r="C54" s="671" t="s">
        <v>6</v>
      </c>
      <c r="D54" s="147"/>
      <c r="E54" s="112">
        <f>ROUND('Rates in Detail'!Y45,5)</f>
        <v>4.0699999999999998E-3</v>
      </c>
      <c r="F54" s="112"/>
      <c r="G54" s="147"/>
      <c r="H54" s="362">
        <f>ROUND('Rates in Detail'!R45,5)</f>
        <v>0.10236000000000001</v>
      </c>
      <c r="I54" s="711">
        <f t="shared" si="9"/>
        <v>0.10643000000000001</v>
      </c>
      <c r="J54" s="147"/>
      <c r="K54" s="145"/>
      <c r="L54" s="146"/>
      <c r="M54" s="112"/>
      <c r="N54" s="112"/>
      <c r="O54" s="112"/>
      <c r="P54" s="711"/>
      <c r="Q54" s="147"/>
      <c r="R54" s="287" t="e">
        <f>#REF!</f>
        <v>#REF!</v>
      </c>
      <c r="S54" s="300"/>
      <c r="T54" s="289"/>
      <c r="U54" s="290"/>
      <c r="V54" s="147"/>
      <c r="W54" s="302" t="e">
        <f t="shared" si="78"/>
        <v>#REF!</v>
      </c>
      <c r="X54" s="298">
        <f t="shared" si="79"/>
        <v>0</v>
      </c>
      <c r="Y54" s="298">
        <f t="shared" si="80"/>
        <v>0</v>
      </c>
      <c r="Z54" s="303"/>
      <c r="AA54" s="298"/>
      <c r="AB54" s="302" t="e">
        <f t="shared" si="81"/>
        <v>#REF!</v>
      </c>
      <c r="AC54" s="298">
        <f t="shared" si="82"/>
        <v>0</v>
      </c>
      <c r="AD54" s="303">
        <f t="shared" si="83"/>
        <v>0</v>
      </c>
      <c r="AE54" s="298"/>
      <c r="AF54" s="302" t="e">
        <f t="shared" si="84"/>
        <v>#REF!</v>
      </c>
      <c r="AG54" s="298">
        <f t="shared" si="84"/>
        <v>0</v>
      </c>
      <c r="AH54" s="303">
        <f t="shared" si="84"/>
        <v>0</v>
      </c>
      <c r="AI54" s="298"/>
      <c r="AJ54" s="327"/>
      <c r="AK54" s="329" t="e">
        <f t="shared" si="77"/>
        <v>#REF!</v>
      </c>
      <c r="AL54" s="298"/>
      <c r="AM54" s="302" t="e">
        <f t="shared" si="85"/>
        <v>#REF!</v>
      </c>
      <c r="AN54" s="298">
        <v>0</v>
      </c>
      <c r="AO54" s="303" t="e">
        <f t="shared" si="86"/>
        <v>#REF!</v>
      </c>
      <c r="AP54" s="298"/>
      <c r="AQ54" s="299"/>
      <c r="AR54" s="299"/>
      <c r="AS54" s="298"/>
    </row>
    <row r="55" spans="1:45" x14ac:dyDescent="0.2">
      <c r="A55" s="76">
        <f t="shared" si="2"/>
        <v>48</v>
      </c>
      <c r="B55" s="670"/>
      <c r="C55" s="671" t="s">
        <v>7</v>
      </c>
      <c r="D55" s="147"/>
      <c r="E55" s="112">
        <f>ROUND('Rates in Detail'!Y46,5)</f>
        <v>3.2599999999999999E-3</v>
      </c>
      <c r="F55" s="112"/>
      <c r="G55" s="147"/>
      <c r="H55" s="362">
        <f>ROUND('Rates in Detail'!R46,5)</f>
        <v>8.1900000000000001E-2</v>
      </c>
      <c r="I55" s="711">
        <f t="shared" si="9"/>
        <v>8.516E-2</v>
      </c>
      <c r="J55" s="147"/>
      <c r="K55" s="145"/>
      <c r="L55" s="146"/>
      <c r="M55" s="112"/>
      <c r="N55" s="112"/>
      <c r="O55" s="112"/>
      <c r="P55" s="711"/>
      <c r="Q55" s="147"/>
      <c r="R55" s="287" t="e">
        <f>#REF!</f>
        <v>#REF!</v>
      </c>
      <c r="S55" s="300"/>
      <c r="T55" s="289"/>
      <c r="U55" s="290"/>
      <c r="V55" s="147"/>
      <c r="W55" s="302" t="e">
        <f t="shared" si="78"/>
        <v>#REF!</v>
      </c>
      <c r="X55" s="298">
        <f t="shared" si="79"/>
        <v>0</v>
      </c>
      <c r="Y55" s="298">
        <f t="shared" si="80"/>
        <v>0</v>
      </c>
      <c r="Z55" s="303"/>
      <c r="AA55" s="298"/>
      <c r="AB55" s="302" t="e">
        <f t="shared" si="81"/>
        <v>#REF!</v>
      </c>
      <c r="AC55" s="298">
        <f t="shared" si="82"/>
        <v>0</v>
      </c>
      <c r="AD55" s="303">
        <f t="shared" si="83"/>
        <v>0</v>
      </c>
      <c r="AE55" s="298"/>
      <c r="AF55" s="302" t="e">
        <f t="shared" si="84"/>
        <v>#REF!</v>
      </c>
      <c r="AG55" s="298">
        <f t="shared" si="84"/>
        <v>0</v>
      </c>
      <c r="AH55" s="303">
        <f t="shared" si="84"/>
        <v>0</v>
      </c>
      <c r="AI55" s="298"/>
      <c r="AJ55" s="327"/>
      <c r="AK55" s="329" t="e">
        <f t="shared" si="77"/>
        <v>#REF!</v>
      </c>
      <c r="AL55" s="298"/>
      <c r="AM55" s="302" t="e">
        <f t="shared" si="85"/>
        <v>#REF!</v>
      </c>
      <c r="AN55" s="298">
        <v>0</v>
      </c>
      <c r="AO55" s="303" t="e">
        <f t="shared" si="86"/>
        <v>#REF!</v>
      </c>
      <c r="AP55" s="298"/>
      <c r="AQ55" s="299"/>
      <c r="AR55" s="299"/>
      <c r="AS55" s="298"/>
    </row>
    <row r="56" spans="1:45" x14ac:dyDescent="0.2">
      <c r="A56" s="76">
        <f t="shared" si="2"/>
        <v>49</v>
      </c>
      <c r="B56" s="670"/>
      <c r="C56" s="671" t="s">
        <v>8</v>
      </c>
      <c r="D56" s="147"/>
      <c r="E56" s="112">
        <f>ROUND('Rates in Detail'!Y47,5)</f>
        <v>2.1700000000000001E-3</v>
      </c>
      <c r="F56" s="112"/>
      <c r="G56" s="147"/>
      <c r="H56" s="362">
        <f>ROUND('Rates in Detail'!R47,5)</f>
        <v>5.4600000000000003E-2</v>
      </c>
      <c r="I56" s="711">
        <f t="shared" si="9"/>
        <v>5.6770000000000001E-2</v>
      </c>
      <c r="J56" s="147"/>
      <c r="K56" s="145"/>
      <c r="L56" s="146"/>
      <c r="M56" s="112"/>
      <c r="N56" s="112"/>
      <c r="O56" s="112"/>
      <c r="P56" s="711"/>
      <c r="Q56" s="147"/>
      <c r="R56" s="287" t="e">
        <f>#REF!</f>
        <v>#REF!</v>
      </c>
      <c r="S56" s="300"/>
      <c r="T56" s="289"/>
      <c r="U56" s="290"/>
      <c r="V56" s="147"/>
      <c r="W56" s="302" t="e">
        <f t="shared" si="78"/>
        <v>#REF!</v>
      </c>
      <c r="X56" s="298">
        <f t="shared" si="79"/>
        <v>0</v>
      </c>
      <c r="Y56" s="298">
        <f t="shared" si="80"/>
        <v>0</v>
      </c>
      <c r="Z56" s="303"/>
      <c r="AA56" s="298"/>
      <c r="AB56" s="302" t="e">
        <f t="shared" si="81"/>
        <v>#REF!</v>
      </c>
      <c r="AC56" s="298">
        <f t="shared" si="82"/>
        <v>0</v>
      </c>
      <c r="AD56" s="303">
        <f t="shared" si="83"/>
        <v>0</v>
      </c>
      <c r="AE56" s="298"/>
      <c r="AF56" s="302" t="e">
        <f t="shared" si="84"/>
        <v>#REF!</v>
      </c>
      <c r="AG56" s="298">
        <f t="shared" si="84"/>
        <v>0</v>
      </c>
      <c r="AH56" s="303">
        <f t="shared" si="84"/>
        <v>0</v>
      </c>
      <c r="AI56" s="298"/>
      <c r="AJ56" s="327"/>
      <c r="AK56" s="329" t="e">
        <f t="shared" si="77"/>
        <v>#REF!</v>
      </c>
      <c r="AL56" s="298"/>
      <c r="AM56" s="302" t="e">
        <f t="shared" si="85"/>
        <v>#REF!</v>
      </c>
      <c r="AN56" s="298">
        <v>0</v>
      </c>
      <c r="AO56" s="303" t="e">
        <f t="shared" si="86"/>
        <v>#REF!</v>
      </c>
      <c r="AP56" s="298"/>
      <c r="AQ56" s="299"/>
      <c r="AR56" s="299"/>
      <c r="AS56" s="298"/>
    </row>
    <row r="57" spans="1:45" x14ac:dyDescent="0.2">
      <c r="A57" s="76">
        <f t="shared" si="2"/>
        <v>50</v>
      </c>
      <c r="B57" s="670"/>
      <c r="C57" s="671" t="s">
        <v>9</v>
      </c>
      <c r="D57" s="147"/>
      <c r="E57" s="112">
        <f>ROUND('Rates in Detail'!Y48,5)</f>
        <v>8.0999999999999996E-4</v>
      </c>
      <c r="F57" s="112"/>
      <c r="G57" s="147"/>
      <c r="H57" s="362">
        <f>ROUND('Rates in Detail'!R48,5)</f>
        <v>2.0469999999999999E-2</v>
      </c>
      <c r="I57" s="711">
        <f t="shared" si="9"/>
        <v>2.128E-2</v>
      </c>
      <c r="J57" s="147"/>
      <c r="K57" s="145"/>
      <c r="L57" s="146"/>
      <c r="M57" s="112"/>
      <c r="N57" s="112"/>
      <c r="O57" s="112"/>
      <c r="P57" s="711"/>
      <c r="Q57" s="147"/>
      <c r="R57" s="287" t="e">
        <f>#REF!</f>
        <v>#REF!</v>
      </c>
      <c r="S57" s="300"/>
      <c r="T57" s="289"/>
      <c r="U57" s="290"/>
      <c r="V57" s="147"/>
      <c r="W57" s="302" t="e">
        <f t="shared" si="78"/>
        <v>#REF!</v>
      </c>
      <c r="X57" s="298">
        <f t="shared" si="79"/>
        <v>0</v>
      </c>
      <c r="Y57" s="298">
        <f t="shared" si="80"/>
        <v>0</v>
      </c>
      <c r="Z57" s="303"/>
      <c r="AA57" s="298"/>
      <c r="AB57" s="302" t="e">
        <f t="shared" si="81"/>
        <v>#REF!</v>
      </c>
      <c r="AC57" s="298">
        <f t="shared" si="82"/>
        <v>0</v>
      </c>
      <c r="AD57" s="303">
        <f t="shared" si="83"/>
        <v>0</v>
      </c>
      <c r="AE57" s="298"/>
      <c r="AF57" s="302" t="e">
        <f t="shared" si="84"/>
        <v>#REF!</v>
      </c>
      <c r="AG57" s="298">
        <f t="shared" si="84"/>
        <v>0</v>
      </c>
      <c r="AH57" s="303">
        <f t="shared" si="84"/>
        <v>0</v>
      </c>
      <c r="AI57" s="298"/>
      <c r="AJ57" s="327"/>
      <c r="AK57" s="329" t="e">
        <f>AK56</f>
        <v>#REF!</v>
      </c>
      <c r="AL57" s="298"/>
      <c r="AM57" s="302" t="e">
        <f t="shared" si="85"/>
        <v>#REF!</v>
      </c>
      <c r="AN57" s="298">
        <v>0</v>
      </c>
      <c r="AO57" s="303" t="e">
        <f t="shared" si="86"/>
        <v>#REF!</v>
      </c>
      <c r="AP57" s="298"/>
      <c r="AQ57" s="307"/>
      <c r="AR57" s="299"/>
      <c r="AS57" s="298"/>
    </row>
    <row r="58" spans="1:45" x14ac:dyDescent="0.2">
      <c r="A58" s="76">
        <f t="shared" si="2"/>
        <v>51</v>
      </c>
      <c r="B58" s="668"/>
      <c r="C58" s="686" t="s">
        <v>62</v>
      </c>
      <c r="D58" s="143"/>
      <c r="E58" s="113"/>
      <c r="F58" s="113"/>
      <c r="G58" s="143"/>
      <c r="H58" s="357"/>
      <c r="I58" s="710"/>
      <c r="J58" s="147"/>
      <c r="K58" s="145"/>
      <c r="L58" s="146"/>
      <c r="M58" s="112"/>
      <c r="N58" s="112"/>
      <c r="O58" s="112"/>
      <c r="P58" s="711"/>
      <c r="Q58" s="147"/>
      <c r="R58" s="287"/>
      <c r="S58" s="300"/>
      <c r="T58" s="289"/>
      <c r="U58" s="290"/>
      <c r="V58" s="147"/>
      <c r="W58" s="304" t="e">
        <f>SUM(W52:W57)</f>
        <v>#REF!</v>
      </c>
      <c r="X58" s="305" t="e">
        <f>SUM(X52:X57)</f>
        <v>#REF!</v>
      </c>
      <c r="Y58" s="305">
        <f>SUM(Y52:Y57)</f>
        <v>19802.795040000001</v>
      </c>
      <c r="Z58" s="306" t="e">
        <f>'Rate Spread SETTLEMENT'!S$76-SUM(W58:Y58)</f>
        <v>#REF!</v>
      </c>
      <c r="AA58" s="298"/>
      <c r="AB58" s="304" t="e">
        <f>SUM(AB52:AB57)</f>
        <v>#REF!</v>
      </c>
      <c r="AC58" s="305" t="e">
        <f>SUM(AC52:AC57)</f>
        <v>#REF!</v>
      </c>
      <c r="AD58" s="306">
        <f>SUM(AD52:AD57)</f>
        <v>19802.795040000001</v>
      </c>
      <c r="AE58" s="298"/>
      <c r="AF58" s="304" t="e">
        <f>SUM(AF52:AF57)</f>
        <v>#REF!</v>
      </c>
      <c r="AG58" s="305" t="e">
        <f>SUM(AG52:AG57)</f>
        <v>#REF!</v>
      </c>
      <c r="AH58" s="306">
        <f>SUM(AH52:AH57)</f>
        <v>0</v>
      </c>
      <c r="AI58" s="298"/>
      <c r="AJ58" s="327" t="e">
        <f>SUM(AF58:AH58)/SUM(W58:Y58)</f>
        <v>#REF!</v>
      </c>
      <c r="AK58" s="328" t="e">
        <f t="shared" ref="AK58:AK70" si="87">SUM(AF58)/SUM(W58)</f>
        <v>#REF!</v>
      </c>
      <c r="AL58" s="298"/>
      <c r="AM58" s="304" t="e">
        <f>SUM(AM52:AM57)</f>
        <v>#REF!</v>
      </c>
      <c r="AN58" s="305">
        <f>SUM(AN52:AN57)</f>
        <v>0</v>
      </c>
      <c r="AO58" s="306" t="e">
        <f>SUM(AO52:AO57)</f>
        <v>#REF!</v>
      </c>
      <c r="AP58" s="298"/>
      <c r="AQ58" s="299"/>
      <c r="AR58" s="299"/>
      <c r="AS58" s="298"/>
    </row>
    <row r="59" spans="1:45" x14ac:dyDescent="0.2">
      <c r="A59" s="76">
        <f t="shared" si="2"/>
        <v>52</v>
      </c>
      <c r="B59" s="670" t="e">
        <f>#REF!</f>
        <v>#REF!</v>
      </c>
      <c r="C59" s="671" t="s">
        <v>4</v>
      </c>
      <c r="D59" s="147"/>
      <c r="E59" s="112">
        <f>ROUND('Rates in Detail'!Y49,5)</f>
        <v>3.96E-3</v>
      </c>
      <c r="F59" s="112"/>
      <c r="G59" s="147"/>
      <c r="H59" s="362">
        <f>ROUND('Rates in Detail'!R49,5)</f>
        <v>0.14807999999999999</v>
      </c>
      <c r="I59" s="711">
        <f t="shared" si="9"/>
        <v>0.15203999999999998</v>
      </c>
      <c r="J59" s="147"/>
      <c r="K59" s="145" t="e">
        <f>#REF!</f>
        <v>#REF!</v>
      </c>
      <c r="L59" s="146" t="e">
        <f>#REF!</f>
        <v>#REF!</v>
      </c>
      <c r="M59" s="112">
        <f>'Rates in Detail'!AH49</f>
        <v>0.15748000000000001</v>
      </c>
      <c r="N59" s="112">
        <f>'Rates in Detail'!AI49</f>
        <v>0.15748000000000001</v>
      </c>
      <c r="O59" s="112">
        <f>'Rates in Detail'!AJ49</f>
        <v>0</v>
      </c>
      <c r="P59" s="711">
        <f>'Rates in Detail'!AK49</f>
        <v>0</v>
      </c>
      <c r="Q59" s="147"/>
      <c r="R59" s="287" t="e">
        <f>#REF!</f>
        <v>#REF!</v>
      </c>
      <c r="S59" s="300">
        <v>26810</v>
      </c>
      <c r="T59" s="289" t="e">
        <f>#REF!</f>
        <v>#REF!</v>
      </c>
      <c r="U59" s="290" t="e">
        <f>#REF!</f>
        <v>#REF!</v>
      </c>
      <c r="V59" s="147"/>
      <c r="W59" s="302" t="e">
        <f t="shared" ref="W59:W64" si="88">(H59*R59)</f>
        <v>#REF!</v>
      </c>
      <c r="X59" s="298" t="e">
        <f t="shared" ref="X59:X64" si="89">(K59*T59*12)</f>
        <v>#REF!</v>
      </c>
      <c r="Y59" s="298">
        <f t="shared" ref="Y59:Y64" si="90">(S59*(M59+O59))*12</f>
        <v>50664.465600000003</v>
      </c>
      <c r="Z59" s="303"/>
      <c r="AA59" s="298"/>
      <c r="AB59" s="302" t="e">
        <f t="shared" ref="AB59:AB64" si="91">(I59*R59)</f>
        <v>#REF!</v>
      </c>
      <c r="AC59" s="298" t="e">
        <f t="shared" ref="AC59:AC64" si="92">(L59*T59*12)</f>
        <v>#REF!</v>
      </c>
      <c r="AD59" s="303">
        <f t="shared" ref="AD59:AD64" si="93">(S59*(N59+P59))*12</f>
        <v>50664.465600000003</v>
      </c>
      <c r="AE59" s="298"/>
      <c r="AF59" s="302" t="e">
        <f t="shared" ref="AF59:AH64" si="94">AB59-W59</f>
        <v>#REF!</v>
      </c>
      <c r="AG59" s="298" t="e">
        <f t="shared" si="94"/>
        <v>#REF!</v>
      </c>
      <c r="AH59" s="303">
        <f t="shared" si="94"/>
        <v>0</v>
      </c>
      <c r="AI59" s="298"/>
      <c r="AJ59" s="327"/>
      <c r="AK59" s="329" t="e">
        <f t="shared" si="87"/>
        <v>#REF!</v>
      </c>
      <c r="AL59" s="298"/>
      <c r="AM59" s="302" t="e">
        <f t="shared" ref="AM59:AM64" si="95">(F59*R59)</f>
        <v>#REF!</v>
      </c>
      <c r="AN59" s="298">
        <v>0</v>
      </c>
      <c r="AO59" s="303" t="e">
        <f t="shared" ref="AO59:AO64" si="96">(AE59*(Y59+AB59))*12</f>
        <v>#REF!</v>
      </c>
      <c r="AP59" s="298"/>
      <c r="AQ59" s="299"/>
      <c r="AR59" s="299"/>
      <c r="AS59" s="298"/>
    </row>
    <row r="60" spans="1:45" x14ac:dyDescent="0.2">
      <c r="A60" s="76">
        <f t="shared" si="2"/>
        <v>53</v>
      </c>
      <c r="B60" s="670"/>
      <c r="C60" s="671" t="s">
        <v>5</v>
      </c>
      <c r="D60" s="147"/>
      <c r="E60" s="112">
        <f>ROUND('Rates in Detail'!Y50,5)</f>
        <v>3.5400000000000002E-3</v>
      </c>
      <c r="F60" s="112"/>
      <c r="G60" s="147"/>
      <c r="H60" s="362">
        <f>ROUND('Rates in Detail'!R50,5)</f>
        <v>0.13255</v>
      </c>
      <c r="I60" s="711">
        <f t="shared" si="9"/>
        <v>0.13608999999999999</v>
      </c>
      <c r="J60" s="147"/>
      <c r="K60" s="145"/>
      <c r="L60" s="146"/>
      <c r="M60" s="112"/>
      <c r="N60" s="112"/>
      <c r="O60" s="112"/>
      <c r="P60" s="711"/>
      <c r="Q60" s="147"/>
      <c r="R60" s="287" t="e">
        <f>#REF!</f>
        <v>#REF!</v>
      </c>
      <c r="S60" s="300"/>
      <c r="T60" s="289"/>
      <c r="U60" s="290"/>
      <c r="V60" s="147"/>
      <c r="W60" s="302" t="e">
        <f t="shared" si="88"/>
        <v>#REF!</v>
      </c>
      <c r="X60" s="298">
        <f t="shared" si="89"/>
        <v>0</v>
      </c>
      <c r="Y60" s="298">
        <f t="shared" si="90"/>
        <v>0</v>
      </c>
      <c r="Z60" s="303"/>
      <c r="AA60" s="298"/>
      <c r="AB60" s="302" t="e">
        <f t="shared" si="91"/>
        <v>#REF!</v>
      </c>
      <c r="AC60" s="298">
        <f t="shared" si="92"/>
        <v>0</v>
      </c>
      <c r="AD60" s="303">
        <f t="shared" si="93"/>
        <v>0</v>
      </c>
      <c r="AE60" s="298"/>
      <c r="AF60" s="302" t="e">
        <f t="shared" si="94"/>
        <v>#REF!</v>
      </c>
      <c r="AG60" s="298">
        <f t="shared" si="94"/>
        <v>0</v>
      </c>
      <c r="AH60" s="303">
        <f t="shared" si="94"/>
        <v>0</v>
      </c>
      <c r="AI60" s="298"/>
      <c r="AJ60" s="327"/>
      <c r="AK60" s="329" t="e">
        <f t="shared" si="87"/>
        <v>#REF!</v>
      </c>
      <c r="AL60" s="298"/>
      <c r="AM60" s="302" t="e">
        <f t="shared" si="95"/>
        <v>#REF!</v>
      </c>
      <c r="AN60" s="298">
        <v>0</v>
      </c>
      <c r="AO60" s="303" t="e">
        <f t="shared" si="96"/>
        <v>#REF!</v>
      </c>
      <c r="AP60" s="298"/>
      <c r="AQ60" s="299"/>
      <c r="AR60" s="299"/>
      <c r="AS60" s="298"/>
    </row>
    <row r="61" spans="1:45" x14ac:dyDescent="0.2">
      <c r="A61" s="76">
        <f t="shared" si="2"/>
        <v>54</v>
      </c>
      <c r="B61" s="670"/>
      <c r="C61" s="671" t="s">
        <v>6</v>
      </c>
      <c r="D61" s="147"/>
      <c r="E61" s="112">
        <f>ROUND('Rates in Detail'!Y51,5)</f>
        <v>2.7200000000000002E-3</v>
      </c>
      <c r="F61" s="112"/>
      <c r="G61" s="147"/>
      <c r="H61" s="362">
        <f>ROUND('Rates in Detail'!R51,5)</f>
        <v>0.10163999999999999</v>
      </c>
      <c r="I61" s="711">
        <f t="shared" si="9"/>
        <v>0.10435999999999999</v>
      </c>
      <c r="J61" s="147"/>
      <c r="K61" s="145"/>
      <c r="L61" s="146"/>
      <c r="M61" s="112"/>
      <c r="N61" s="112"/>
      <c r="O61" s="112"/>
      <c r="P61" s="711"/>
      <c r="Q61" s="147"/>
      <c r="R61" s="287" t="e">
        <f>#REF!</f>
        <v>#REF!</v>
      </c>
      <c r="S61" s="300"/>
      <c r="T61" s="289"/>
      <c r="U61" s="290"/>
      <c r="V61" s="147"/>
      <c r="W61" s="302" t="e">
        <f t="shared" si="88"/>
        <v>#REF!</v>
      </c>
      <c r="X61" s="298">
        <f t="shared" si="89"/>
        <v>0</v>
      </c>
      <c r="Y61" s="298">
        <f t="shared" si="90"/>
        <v>0</v>
      </c>
      <c r="Z61" s="303"/>
      <c r="AA61" s="298"/>
      <c r="AB61" s="302" t="e">
        <f t="shared" si="91"/>
        <v>#REF!</v>
      </c>
      <c r="AC61" s="298">
        <f t="shared" si="92"/>
        <v>0</v>
      </c>
      <c r="AD61" s="303">
        <f t="shared" si="93"/>
        <v>0</v>
      </c>
      <c r="AE61" s="298"/>
      <c r="AF61" s="302" t="e">
        <f t="shared" si="94"/>
        <v>#REF!</v>
      </c>
      <c r="AG61" s="298">
        <f t="shared" si="94"/>
        <v>0</v>
      </c>
      <c r="AH61" s="303">
        <f t="shared" si="94"/>
        <v>0</v>
      </c>
      <c r="AI61" s="298"/>
      <c r="AJ61" s="327"/>
      <c r="AK61" s="329" t="e">
        <f t="shared" si="87"/>
        <v>#REF!</v>
      </c>
      <c r="AL61" s="298"/>
      <c r="AM61" s="302" t="e">
        <f t="shared" si="95"/>
        <v>#REF!</v>
      </c>
      <c r="AN61" s="298">
        <v>0</v>
      </c>
      <c r="AO61" s="303" t="e">
        <f t="shared" si="96"/>
        <v>#REF!</v>
      </c>
      <c r="AP61" s="298"/>
      <c r="AQ61" s="299"/>
      <c r="AR61" s="299"/>
      <c r="AS61" s="298"/>
    </row>
    <row r="62" spans="1:45" x14ac:dyDescent="0.2">
      <c r="A62" s="76">
        <f t="shared" si="2"/>
        <v>55</v>
      </c>
      <c r="B62" s="670"/>
      <c r="C62" s="671" t="s">
        <v>7</v>
      </c>
      <c r="D62" s="147"/>
      <c r="E62" s="112">
        <f>ROUND('Rates in Detail'!Y52,5)</f>
        <v>2.1700000000000001E-3</v>
      </c>
      <c r="F62" s="112"/>
      <c r="G62" s="147"/>
      <c r="H62" s="362">
        <f>ROUND('Rates in Detail'!R52,5)</f>
        <v>8.1320000000000003E-2</v>
      </c>
      <c r="I62" s="711">
        <f t="shared" si="9"/>
        <v>8.3490000000000009E-2</v>
      </c>
      <c r="J62" s="147"/>
      <c r="K62" s="145"/>
      <c r="L62" s="146"/>
      <c r="M62" s="112"/>
      <c r="N62" s="112"/>
      <c r="O62" s="112"/>
      <c r="P62" s="711"/>
      <c r="Q62" s="147"/>
      <c r="R62" s="287" t="e">
        <f>#REF!</f>
        <v>#REF!</v>
      </c>
      <c r="S62" s="300"/>
      <c r="T62" s="289"/>
      <c r="U62" s="290"/>
      <c r="V62" s="147"/>
      <c r="W62" s="302" t="e">
        <f t="shared" si="88"/>
        <v>#REF!</v>
      </c>
      <c r="X62" s="298">
        <f t="shared" si="89"/>
        <v>0</v>
      </c>
      <c r="Y62" s="298">
        <f t="shared" si="90"/>
        <v>0</v>
      </c>
      <c r="Z62" s="303"/>
      <c r="AA62" s="298"/>
      <c r="AB62" s="302" t="e">
        <f t="shared" si="91"/>
        <v>#REF!</v>
      </c>
      <c r="AC62" s="298">
        <f t="shared" si="92"/>
        <v>0</v>
      </c>
      <c r="AD62" s="303">
        <f t="shared" si="93"/>
        <v>0</v>
      </c>
      <c r="AE62" s="298"/>
      <c r="AF62" s="302" t="e">
        <f t="shared" si="94"/>
        <v>#REF!</v>
      </c>
      <c r="AG62" s="298">
        <f t="shared" si="94"/>
        <v>0</v>
      </c>
      <c r="AH62" s="303">
        <f t="shared" si="94"/>
        <v>0</v>
      </c>
      <c r="AI62" s="298"/>
      <c r="AJ62" s="327"/>
      <c r="AK62" s="329" t="e">
        <f t="shared" si="87"/>
        <v>#REF!</v>
      </c>
      <c r="AL62" s="298"/>
      <c r="AM62" s="302" t="e">
        <f t="shared" si="95"/>
        <v>#REF!</v>
      </c>
      <c r="AN62" s="298">
        <v>0</v>
      </c>
      <c r="AO62" s="303" t="e">
        <f t="shared" si="96"/>
        <v>#REF!</v>
      </c>
      <c r="AP62" s="298"/>
      <c r="AQ62" s="299"/>
      <c r="AR62" s="299"/>
      <c r="AS62" s="298"/>
    </row>
    <row r="63" spans="1:45" x14ac:dyDescent="0.2">
      <c r="A63" s="76">
        <f t="shared" si="2"/>
        <v>56</v>
      </c>
      <c r="B63" s="670"/>
      <c r="C63" s="671" t="s">
        <v>8</v>
      </c>
      <c r="D63" s="147"/>
      <c r="E63" s="112">
        <f>ROUND('Rates in Detail'!Y53,5)</f>
        <v>1.4499999999999999E-3</v>
      </c>
      <c r="F63" s="112"/>
      <c r="G63" s="147"/>
      <c r="H63" s="362">
        <f>ROUND('Rates in Detail'!R53,5)</f>
        <v>5.4210000000000001E-2</v>
      </c>
      <c r="I63" s="711">
        <f t="shared" si="9"/>
        <v>5.5660000000000001E-2</v>
      </c>
      <c r="J63" s="147"/>
      <c r="K63" s="145"/>
      <c r="L63" s="146"/>
      <c r="M63" s="112"/>
      <c r="N63" s="112"/>
      <c r="O63" s="112"/>
      <c r="P63" s="711"/>
      <c r="Q63" s="147"/>
      <c r="R63" s="287" t="e">
        <f>#REF!</f>
        <v>#REF!</v>
      </c>
      <c r="S63" s="300"/>
      <c r="T63" s="289"/>
      <c r="U63" s="290"/>
      <c r="V63" s="147"/>
      <c r="W63" s="302" t="e">
        <f t="shared" si="88"/>
        <v>#REF!</v>
      </c>
      <c r="X63" s="298">
        <f t="shared" si="89"/>
        <v>0</v>
      </c>
      <c r="Y63" s="298">
        <f t="shared" si="90"/>
        <v>0</v>
      </c>
      <c r="Z63" s="303"/>
      <c r="AA63" s="298"/>
      <c r="AB63" s="302" t="e">
        <f t="shared" si="91"/>
        <v>#REF!</v>
      </c>
      <c r="AC63" s="298">
        <f t="shared" si="92"/>
        <v>0</v>
      </c>
      <c r="AD63" s="303">
        <f t="shared" si="93"/>
        <v>0</v>
      </c>
      <c r="AE63" s="298"/>
      <c r="AF63" s="302" t="e">
        <f t="shared" si="94"/>
        <v>#REF!</v>
      </c>
      <c r="AG63" s="298">
        <f t="shared" si="94"/>
        <v>0</v>
      </c>
      <c r="AH63" s="303">
        <f t="shared" si="94"/>
        <v>0</v>
      </c>
      <c r="AI63" s="298"/>
      <c r="AJ63" s="327"/>
      <c r="AK63" s="329" t="e">
        <f t="shared" si="87"/>
        <v>#REF!</v>
      </c>
      <c r="AL63" s="298"/>
      <c r="AM63" s="302" t="e">
        <f t="shared" si="95"/>
        <v>#REF!</v>
      </c>
      <c r="AN63" s="298">
        <v>0</v>
      </c>
      <c r="AO63" s="303" t="e">
        <f t="shared" si="96"/>
        <v>#REF!</v>
      </c>
      <c r="AP63" s="298"/>
      <c r="AQ63" s="299"/>
      <c r="AR63" s="299"/>
      <c r="AS63" s="298"/>
    </row>
    <row r="64" spans="1:45" x14ac:dyDescent="0.2">
      <c r="A64" s="76">
        <f t="shared" si="2"/>
        <v>57</v>
      </c>
      <c r="B64" s="670"/>
      <c r="C64" s="671" t="s">
        <v>9</v>
      </c>
      <c r="D64" s="147"/>
      <c r="E64" s="112">
        <f>ROUND('Rates in Detail'!Y54,5)</f>
        <v>5.4000000000000001E-4</v>
      </c>
      <c r="F64" s="112"/>
      <c r="G64" s="147"/>
      <c r="H64" s="362">
        <f>ROUND('Rates in Detail'!R54,5)</f>
        <v>2.0330000000000001E-2</v>
      </c>
      <c r="I64" s="711">
        <f t="shared" si="9"/>
        <v>2.087E-2</v>
      </c>
      <c r="J64" s="147"/>
      <c r="K64" s="145"/>
      <c r="L64" s="146"/>
      <c r="M64" s="112"/>
      <c r="N64" s="112"/>
      <c r="O64" s="112"/>
      <c r="P64" s="711"/>
      <c r="Q64" s="147"/>
      <c r="R64" s="287" t="e">
        <f>#REF!</f>
        <v>#REF!</v>
      </c>
      <c r="S64" s="300"/>
      <c r="T64" s="289"/>
      <c r="U64" s="290"/>
      <c r="V64" s="147"/>
      <c r="W64" s="302" t="e">
        <f t="shared" si="88"/>
        <v>#REF!</v>
      </c>
      <c r="X64" s="298">
        <f t="shared" si="89"/>
        <v>0</v>
      </c>
      <c r="Y64" s="298">
        <f t="shared" si="90"/>
        <v>0</v>
      </c>
      <c r="Z64" s="303"/>
      <c r="AA64" s="298"/>
      <c r="AB64" s="302" t="e">
        <f t="shared" si="91"/>
        <v>#REF!</v>
      </c>
      <c r="AC64" s="298">
        <f t="shared" si="92"/>
        <v>0</v>
      </c>
      <c r="AD64" s="303">
        <f t="shared" si="93"/>
        <v>0</v>
      </c>
      <c r="AE64" s="298"/>
      <c r="AF64" s="302" t="e">
        <f t="shared" si="94"/>
        <v>#REF!</v>
      </c>
      <c r="AG64" s="298">
        <f t="shared" si="94"/>
        <v>0</v>
      </c>
      <c r="AH64" s="303">
        <f t="shared" si="94"/>
        <v>0</v>
      </c>
      <c r="AI64" s="298"/>
      <c r="AJ64" s="327"/>
      <c r="AK64" s="329" t="e">
        <f t="shared" si="87"/>
        <v>#REF!</v>
      </c>
      <c r="AL64" s="298"/>
      <c r="AM64" s="302" t="e">
        <f t="shared" si="95"/>
        <v>#REF!</v>
      </c>
      <c r="AN64" s="298">
        <v>0</v>
      </c>
      <c r="AO64" s="303" t="e">
        <f t="shared" si="96"/>
        <v>#REF!</v>
      </c>
      <c r="AP64" s="298"/>
      <c r="AQ64" s="299"/>
      <c r="AR64" s="299"/>
      <c r="AS64" s="298"/>
    </row>
    <row r="65" spans="1:45" x14ac:dyDescent="0.2">
      <c r="A65" s="76">
        <f t="shared" si="2"/>
        <v>58</v>
      </c>
      <c r="B65" s="668"/>
      <c r="C65" s="686" t="s">
        <v>62</v>
      </c>
      <c r="D65" s="143"/>
      <c r="E65" s="113"/>
      <c r="F65" s="113"/>
      <c r="G65" s="143"/>
      <c r="H65" s="357"/>
      <c r="I65" s="710"/>
      <c r="J65" s="147"/>
      <c r="K65" s="145"/>
      <c r="L65" s="146"/>
      <c r="M65" s="112"/>
      <c r="N65" s="112"/>
      <c r="O65" s="112"/>
      <c r="P65" s="711"/>
      <c r="Q65" s="147"/>
      <c r="R65" s="287"/>
      <c r="S65" s="300"/>
      <c r="T65" s="289"/>
      <c r="U65" s="290"/>
      <c r="V65" s="147"/>
      <c r="W65" s="304" t="e">
        <f>SUM(W59:W64)</f>
        <v>#REF!</v>
      </c>
      <c r="X65" s="305" t="e">
        <f>SUM(X59:X64)</f>
        <v>#REF!</v>
      </c>
      <c r="Y65" s="305">
        <f>SUM(Y59:Y64)</f>
        <v>50664.465600000003</v>
      </c>
      <c r="Z65" s="306" t="e">
        <f>'Rate Spread SETTLEMENT'!T$76-SUM(W65:Y65)</f>
        <v>#REF!</v>
      </c>
      <c r="AA65" s="298"/>
      <c r="AB65" s="304" t="e">
        <f>SUM(AB59:AB64)</f>
        <v>#REF!</v>
      </c>
      <c r="AC65" s="305" t="e">
        <f>SUM(AC59:AC64)</f>
        <v>#REF!</v>
      </c>
      <c r="AD65" s="306">
        <f>SUM(AD59:AD64)</f>
        <v>50664.465600000003</v>
      </c>
      <c r="AE65" s="298"/>
      <c r="AF65" s="304" t="e">
        <f>SUM(AF59:AF64)</f>
        <v>#REF!</v>
      </c>
      <c r="AG65" s="305" t="e">
        <f>SUM(AG59:AG64)</f>
        <v>#REF!</v>
      </c>
      <c r="AH65" s="306">
        <f>SUM(AH59:AH64)</f>
        <v>0</v>
      </c>
      <c r="AI65" s="298"/>
      <c r="AJ65" s="327" t="e">
        <f>SUM(AF65:AH65)/SUM(W65:Y65)</f>
        <v>#REF!</v>
      </c>
      <c r="AK65" s="328" t="e">
        <f t="shared" si="87"/>
        <v>#REF!</v>
      </c>
      <c r="AL65" s="298"/>
      <c r="AM65" s="304" t="e">
        <f>SUM(AM59:AM64)</f>
        <v>#REF!</v>
      </c>
      <c r="AN65" s="305">
        <f>SUM(AN59:AN64)</f>
        <v>0</v>
      </c>
      <c r="AO65" s="306" t="e">
        <f>SUM(AO59:AO64)</f>
        <v>#REF!</v>
      </c>
      <c r="AP65" s="298"/>
      <c r="AQ65" s="299"/>
      <c r="AR65" s="299"/>
      <c r="AS65" s="298"/>
    </row>
    <row r="66" spans="1:45" x14ac:dyDescent="0.2">
      <c r="A66" s="76">
        <f t="shared" si="2"/>
        <v>59</v>
      </c>
      <c r="B66" s="670" t="e">
        <f>#REF!</f>
        <v>#REF!</v>
      </c>
      <c r="C66" s="671" t="s">
        <v>4</v>
      </c>
      <c r="D66" s="147"/>
      <c r="E66" s="112">
        <f>ROUND('Rates in Detail'!Y55,5)</f>
        <v>1.2449999999999999E-2</v>
      </c>
      <c r="F66" s="112"/>
      <c r="G66" s="147"/>
      <c r="H66" s="362">
        <f>ROUND('Rates in Detail'!R55,5)</f>
        <v>0.15742</v>
      </c>
      <c r="I66" s="711">
        <f t="shared" si="9"/>
        <v>0.16986999999999999</v>
      </c>
      <c r="J66" s="147"/>
      <c r="K66" s="145" t="e">
        <f>#REF!</f>
        <v>#REF!</v>
      </c>
      <c r="L66" s="146" t="e">
        <f>#REF!</f>
        <v>#REF!</v>
      </c>
      <c r="M66" s="112">
        <f>'Rates in Detail'!AH55</f>
        <v>0</v>
      </c>
      <c r="N66" s="112">
        <f>'Rates in Detail'!AI55</f>
        <v>0</v>
      </c>
      <c r="O66" s="112">
        <f>'Rates in Detail'!AJ55</f>
        <v>0</v>
      </c>
      <c r="P66" s="711">
        <f>'Rates in Detail'!AK55</f>
        <v>0</v>
      </c>
      <c r="Q66" s="147"/>
      <c r="R66" s="287" t="e">
        <f>#REF!</f>
        <v>#REF!</v>
      </c>
      <c r="S66" s="300">
        <v>4620</v>
      </c>
      <c r="T66" s="289" t="e">
        <f>#REF!</f>
        <v>#REF!</v>
      </c>
      <c r="U66" s="290" t="e">
        <f>#REF!</f>
        <v>#REF!</v>
      </c>
      <c r="V66" s="147"/>
      <c r="W66" s="302" t="e">
        <f t="shared" ref="W66:W71" si="97">(H66*R66)</f>
        <v>#REF!</v>
      </c>
      <c r="X66" s="298" t="e">
        <f t="shared" ref="X66:X71" si="98">(K66*T66*12)</f>
        <v>#REF!</v>
      </c>
      <c r="Y66" s="298">
        <f t="shared" ref="Y66:Y71" si="99">(S66*(M66+O66))*12</f>
        <v>0</v>
      </c>
      <c r="Z66" s="303"/>
      <c r="AA66" s="298"/>
      <c r="AB66" s="302" t="e">
        <f t="shared" ref="AB66:AB71" si="100">(I66*R66)</f>
        <v>#REF!</v>
      </c>
      <c r="AC66" s="298" t="e">
        <f t="shared" ref="AC66:AC71" si="101">(L66*T66*12)</f>
        <v>#REF!</v>
      </c>
      <c r="AD66" s="303">
        <f t="shared" ref="AD66:AD71" si="102">(S66*(N66+P66))*12</f>
        <v>0</v>
      </c>
      <c r="AE66" s="298"/>
      <c r="AF66" s="302" t="e">
        <f t="shared" ref="AF66:AH71" si="103">AB66-W66</f>
        <v>#REF!</v>
      </c>
      <c r="AG66" s="298" t="e">
        <f t="shared" si="103"/>
        <v>#REF!</v>
      </c>
      <c r="AH66" s="303">
        <f t="shared" si="103"/>
        <v>0</v>
      </c>
      <c r="AI66" s="298"/>
      <c r="AJ66" s="327"/>
      <c r="AK66" s="329" t="e">
        <f t="shared" si="87"/>
        <v>#REF!</v>
      </c>
      <c r="AL66" s="298"/>
      <c r="AM66" s="302" t="e">
        <f t="shared" ref="AM66:AM71" si="104">(F66*R66)</f>
        <v>#REF!</v>
      </c>
      <c r="AN66" s="298">
        <v>0</v>
      </c>
      <c r="AO66" s="303" t="e">
        <f t="shared" ref="AO66:AO71" si="105">(AE66*(Y66+AB66))*12</f>
        <v>#REF!</v>
      </c>
      <c r="AP66" s="298"/>
      <c r="AQ66" s="299"/>
      <c r="AR66" s="299"/>
      <c r="AS66" s="298"/>
    </row>
    <row r="67" spans="1:45" x14ac:dyDescent="0.2">
      <c r="A67" s="76">
        <f t="shared" si="2"/>
        <v>60</v>
      </c>
      <c r="B67" s="670"/>
      <c r="C67" s="671" t="s">
        <v>5</v>
      </c>
      <c r="D67" s="147"/>
      <c r="E67" s="112">
        <f>ROUND('Rates in Detail'!Y56,5)</f>
        <v>1.1140000000000001E-2</v>
      </c>
      <c r="F67" s="112"/>
      <c r="G67" s="147"/>
      <c r="H67" s="362">
        <f>ROUND('Rates in Detail'!R56,5)</f>
        <v>0.14091999999999999</v>
      </c>
      <c r="I67" s="711">
        <f t="shared" si="9"/>
        <v>0.15206</v>
      </c>
      <c r="J67" s="147"/>
      <c r="K67" s="687"/>
      <c r="L67" s="361"/>
      <c r="M67" s="112"/>
      <c r="N67" s="112"/>
      <c r="O67" s="112"/>
      <c r="P67" s="711"/>
      <c r="Q67" s="147"/>
      <c r="R67" s="287" t="e">
        <f>#REF!</f>
        <v>#REF!</v>
      </c>
      <c r="S67" s="300"/>
      <c r="T67" s="289"/>
      <c r="U67" s="290"/>
      <c r="V67" s="147"/>
      <c r="W67" s="302" t="e">
        <f t="shared" si="97"/>
        <v>#REF!</v>
      </c>
      <c r="X67" s="298">
        <f t="shared" si="98"/>
        <v>0</v>
      </c>
      <c r="Y67" s="298">
        <f t="shared" si="99"/>
        <v>0</v>
      </c>
      <c r="Z67" s="303"/>
      <c r="AA67" s="298"/>
      <c r="AB67" s="302" t="e">
        <f t="shared" si="100"/>
        <v>#REF!</v>
      </c>
      <c r="AC67" s="298">
        <f t="shared" si="101"/>
        <v>0</v>
      </c>
      <c r="AD67" s="303">
        <f t="shared" si="102"/>
        <v>0</v>
      </c>
      <c r="AE67" s="298"/>
      <c r="AF67" s="302" t="e">
        <f t="shared" si="103"/>
        <v>#REF!</v>
      </c>
      <c r="AG67" s="298">
        <f t="shared" si="103"/>
        <v>0</v>
      </c>
      <c r="AH67" s="303">
        <f t="shared" si="103"/>
        <v>0</v>
      </c>
      <c r="AI67" s="298"/>
      <c r="AJ67" s="327"/>
      <c r="AK67" s="329" t="e">
        <f t="shared" si="87"/>
        <v>#REF!</v>
      </c>
      <c r="AL67" s="298"/>
      <c r="AM67" s="302" t="e">
        <f t="shared" si="104"/>
        <v>#REF!</v>
      </c>
      <c r="AN67" s="298">
        <v>0</v>
      </c>
      <c r="AO67" s="303" t="e">
        <f t="shared" si="105"/>
        <v>#REF!</v>
      </c>
      <c r="AP67" s="298"/>
      <c r="AQ67" s="299"/>
      <c r="AR67" s="299"/>
      <c r="AS67" s="298"/>
    </row>
    <row r="68" spans="1:45" x14ac:dyDescent="0.2">
      <c r="A68" s="76">
        <f t="shared" si="2"/>
        <v>61</v>
      </c>
      <c r="B68" s="670"/>
      <c r="C68" s="671" t="s">
        <v>6</v>
      </c>
      <c r="D68" s="147"/>
      <c r="E68" s="112">
        <f>ROUND('Rates in Detail'!Y57,5)</f>
        <v>8.5400000000000007E-3</v>
      </c>
      <c r="F68" s="112"/>
      <c r="G68" s="147"/>
      <c r="H68" s="362">
        <f>ROUND('Rates in Detail'!R57,5)</f>
        <v>0.10804999999999999</v>
      </c>
      <c r="I68" s="711">
        <f t="shared" si="9"/>
        <v>0.11659</v>
      </c>
      <c r="J68" s="147"/>
      <c r="K68" s="145"/>
      <c r="L68" s="146"/>
      <c r="M68" s="112"/>
      <c r="N68" s="112"/>
      <c r="O68" s="112"/>
      <c r="P68" s="711"/>
      <c r="Q68" s="147"/>
      <c r="R68" s="287" t="e">
        <f>#REF!</f>
        <v>#REF!</v>
      </c>
      <c r="S68" s="300"/>
      <c r="T68" s="289"/>
      <c r="U68" s="290"/>
      <c r="V68" s="147"/>
      <c r="W68" s="302" t="e">
        <f t="shared" si="97"/>
        <v>#REF!</v>
      </c>
      <c r="X68" s="298">
        <f t="shared" si="98"/>
        <v>0</v>
      </c>
      <c r="Y68" s="298">
        <f t="shared" si="99"/>
        <v>0</v>
      </c>
      <c r="Z68" s="303"/>
      <c r="AA68" s="298"/>
      <c r="AB68" s="302" t="e">
        <f t="shared" si="100"/>
        <v>#REF!</v>
      </c>
      <c r="AC68" s="298">
        <f t="shared" si="101"/>
        <v>0</v>
      </c>
      <c r="AD68" s="303">
        <f t="shared" si="102"/>
        <v>0</v>
      </c>
      <c r="AE68" s="298"/>
      <c r="AF68" s="302" t="e">
        <f t="shared" si="103"/>
        <v>#REF!</v>
      </c>
      <c r="AG68" s="298">
        <f t="shared" si="103"/>
        <v>0</v>
      </c>
      <c r="AH68" s="303">
        <f t="shared" si="103"/>
        <v>0</v>
      </c>
      <c r="AI68" s="298"/>
      <c r="AJ68" s="327"/>
      <c r="AK68" s="329" t="e">
        <f t="shared" si="87"/>
        <v>#REF!</v>
      </c>
      <c r="AL68" s="298"/>
      <c r="AM68" s="302" t="e">
        <f t="shared" si="104"/>
        <v>#REF!</v>
      </c>
      <c r="AN68" s="298">
        <v>0</v>
      </c>
      <c r="AO68" s="303" t="e">
        <f t="shared" si="105"/>
        <v>#REF!</v>
      </c>
      <c r="AP68" s="298"/>
      <c r="AQ68" s="299"/>
      <c r="AR68" s="299"/>
      <c r="AS68" s="298"/>
    </row>
    <row r="69" spans="1:45" x14ac:dyDescent="0.2">
      <c r="A69" s="76">
        <f t="shared" si="2"/>
        <v>62</v>
      </c>
      <c r="B69" s="670"/>
      <c r="C69" s="671" t="s">
        <v>7</v>
      </c>
      <c r="D69" s="147"/>
      <c r="E69" s="112">
        <f>ROUND('Rates in Detail'!Y58,5)</f>
        <v>6.8300000000000001E-3</v>
      </c>
      <c r="F69" s="112"/>
      <c r="G69" s="147"/>
      <c r="H69" s="362">
        <f>ROUND('Rates in Detail'!R58,5)</f>
        <v>8.6440000000000003E-2</v>
      </c>
      <c r="I69" s="711">
        <f t="shared" si="9"/>
        <v>9.3270000000000006E-2</v>
      </c>
      <c r="J69" s="147"/>
      <c r="K69" s="145"/>
      <c r="L69" s="146"/>
      <c r="M69" s="112"/>
      <c r="N69" s="112"/>
      <c r="O69" s="112"/>
      <c r="P69" s="711"/>
      <c r="Q69" s="147"/>
      <c r="R69" s="287" t="e">
        <f>#REF!</f>
        <v>#REF!</v>
      </c>
      <c r="S69" s="300"/>
      <c r="T69" s="289"/>
      <c r="U69" s="290"/>
      <c r="V69" s="147"/>
      <c r="W69" s="302" t="e">
        <f t="shared" si="97"/>
        <v>#REF!</v>
      </c>
      <c r="X69" s="298">
        <f t="shared" si="98"/>
        <v>0</v>
      </c>
      <c r="Y69" s="298">
        <f t="shared" si="99"/>
        <v>0</v>
      </c>
      <c r="Z69" s="303"/>
      <c r="AA69" s="298"/>
      <c r="AB69" s="302" t="e">
        <f t="shared" si="100"/>
        <v>#REF!</v>
      </c>
      <c r="AC69" s="298">
        <f t="shared" si="101"/>
        <v>0</v>
      </c>
      <c r="AD69" s="303">
        <f t="shared" si="102"/>
        <v>0</v>
      </c>
      <c r="AE69" s="298"/>
      <c r="AF69" s="302" t="e">
        <f t="shared" si="103"/>
        <v>#REF!</v>
      </c>
      <c r="AG69" s="298">
        <f t="shared" si="103"/>
        <v>0</v>
      </c>
      <c r="AH69" s="303">
        <f t="shared" si="103"/>
        <v>0</v>
      </c>
      <c r="AI69" s="298"/>
      <c r="AJ69" s="327"/>
      <c r="AK69" s="329" t="e">
        <f t="shared" si="87"/>
        <v>#REF!</v>
      </c>
      <c r="AL69" s="298"/>
      <c r="AM69" s="302" t="e">
        <f t="shared" si="104"/>
        <v>#REF!</v>
      </c>
      <c r="AN69" s="298">
        <v>0</v>
      </c>
      <c r="AO69" s="303" t="e">
        <f t="shared" si="105"/>
        <v>#REF!</v>
      </c>
      <c r="AP69" s="298"/>
      <c r="AQ69" s="299"/>
      <c r="AR69" s="299"/>
      <c r="AS69" s="298"/>
    </row>
    <row r="70" spans="1:45" x14ac:dyDescent="0.2">
      <c r="A70" s="76">
        <f t="shared" si="2"/>
        <v>63</v>
      </c>
      <c r="B70" s="670"/>
      <c r="C70" s="671" t="s">
        <v>8</v>
      </c>
      <c r="D70" s="147"/>
      <c r="E70" s="112">
        <f>ROUND('Rates in Detail'!Y59,5)</f>
        <v>4.5599999999999998E-3</v>
      </c>
      <c r="F70" s="112"/>
      <c r="G70" s="147"/>
      <c r="H70" s="362">
        <f>ROUND('Rates in Detail'!R59,5)</f>
        <v>5.7639999999999997E-2</v>
      </c>
      <c r="I70" s="711">
        <f t="shared" si="9"/>
        <v>6.2199999999999998E-2</v>
      </c>
      <c r="J70" s="147"/>
      <c r="K70" s="145"/>
      <c r="L70" s="146"/>
      <c r="M70" s="112"/>
      <c r="N70" s="112"/>
      <c r="O70" s="112"/>
      <c r="P70" s="711"/>
      <c r="Q70" s="147"/>
      <c r="R70" s="287" t="e">
        <f>#REF!</f>
        <v>#REF!</v>
      </c>
      <c r="S70" s="300"/>
      <c r="T70" s="289"/>
      <c r="U70" s="290"/>
      <c r="V70" s="147"/>
      <c r="W70" s="302" t="e">
        <f t="shared" si="97"/>
        <v>#REF!</v>
      </c>
      <c r="X70" s="298">
        <f t="shared" si="98"/>
        <v>0</v>
      </c>
      <c r="Y70" s="298">
        <f t="shared" si="99"/>
        <v>0</v>
      </c>
      <c r="Z70" s="303"/>
      <c r="AA70" s="298"/>
      <c r="AB70" s="302" t="e">
        <f t="shared" si="100"/>
        <v>#REF!</v>
      </c>
      <c r="AC70" s="298">
        <f t="shared" si="101"/>
        <v>0</v>
      </c>
      <c r="AD70" s="303">
        <f t="shared" si="102"/>
        <v>0</v>
      </c>
      <c r="AE70" s="298"/>
      <c r="AF70" s="302" t="e">
        <f t="shared" si="103"/>
        <v>#REF!</v>
      </c>
      <c r="AG70" s="298">
        <f t="shared" si="103"/>
        <v>0</v>
      </c>
      <c r="AH70" s="303">
        <f t="shared" si="103"/>
        <v>0</v>
      </c>
      <c r="AI70" s="298"/>
      <c r="AJ70" s="327"/>
      <c r="AK70" s="329" t="e">
        <f t="shared" si="87"/>
        <v>#REF!</v>
      </c>
      <c r="AL70" s="298"/>
      <c r="AM70" s="302" t="e">
        <f t="shared" si="104"/>
        <v>#REF!</v>
      </c>
      <c r="AN70" s="298">
        <v>0</v>
      </c>
      <c r="AO70" s="303" t="e">
        <f t="shared" si="105"/>
        <v>#REF!</v>
      </c>
      <c r="AP70" s="298"/>
      <c r="AQ70" s="299"/>
      <c r="AR70" s="299"/>
      <c r="AS70" s="298"/>
    </row>
    <row r="71" spans="1:45" x14ac:dyDescent="0.2">
      <c r="A71" s="76">
        <f t="shared" si="2"/>
        <v>64</v>
      </c>
      <c r="B71" s="670"/>
      <c r="C71" s="671" t="s">
        <v>9</v>
      </c>
      <c r="D71" s="147"/>
      <c r="E71" s="112">
        <f>ROUND('Rates in Detail'!Y60,5)</f>
        <v>1.7099999999999999E-3</v>
      </c>
      <c r="F71" s="112"/>
      <c r="G71" s="147"/>
      <c r="H71" s="362">
        <f>ROUND('Rates in Detail'!R60,5)</f>
        <v>2.162E-2</v>
      </c>
      <c r="I71" s="711">
        <f t="shared" si="9"/>
        <v>2.333E-2</v>
      </c>
      <c r="J71" s="147"/>
      <c r="K71" s="145"/>
      <c r="L71" s="146"/>
      <c r="M71" s="112"/>
      <c r="N71" s="112"/>
      <c r="O71" s="112"/>
      <c r="P71" s="711"/>
      <c r="Q71" s="147"/>
      <c r="R71" s="287" t="e">
        <f>#REF!</f>
        <v>#REF!</v>
      </c>
      <c r="S71" s="300"/>
      <c r="T71" s="289"/>
      <c r="U71" s="290"/>
      <c r="V71" s="147"/>
      <c r="W71" s="302" t="e">
        <f t="shared" si="97"/>
        <v>#REF!</v>
      </c>
      <c r="X71" s="298">
        <f t="shared" si="98"/>
        <v>0</v>
      </c>
      <c r="Y71" s="298">
        <f t="shared" si="99"/>
        <v>0</v>
      </c>
      <c r="Z71" s="303"/>
      <c r="AA71" s="298"/>
      <c r="AB71" s="302" t="e">
        <f t="shared" si="100"/>
        <v>#REF!</v>
      </c>
      <c r="AC71" s="298">
        <f t="shared" si="101"/>
        <v>0</v>
      </c>
      <c r="AD71" s="303">
        <f t="shared" si="102"/>
        <v>0</v>
      </c>
      <c r="AE71" s="298"/>
      <c r="AF71" s="302" t="e">
        <f t="shared" si="103"/>
        <v>#REF!</v>
      </c>
      <c r="AG71" s="298">
        <f t="shared" si="103"/>
        <v>0</v>
      </c>
      <c r="AH71" s="303">
        <f t="shared" si="103"/>
        <v>0</v>
      </c>
      <c r="AI71" s="298"/>
      <c r="AJ71" s="327"/>
      <c r="AK71" s="329" t="e">
        <f>AK70</f>
        <v>#REF!</v>
      </c>
      <c r="AL71" s="298"/>
      <c r="AM71" s="302" t="e">
        <f t="shared" si="104"/>
        <v>#REF!</v>
      </c>
      <c r="AN71" s="298">
        <v>0</v>
      </c>
      <c r="AO71" s="303" t="e">
        <f t="shared" si="105"/>
        <v>#REF!</v>
      </c>
      <c r="AP71" s="298"/>
      <c r="AQ71" s="299"/>
      <c r="AR71" s="299"/>
      <c r="AS71" s="298"/>
    </row>
    <row r="72" spans="1:45" x14ac:dyDescent="0.2">
      <c r="A72" s="76">
        <f t="shared" si="2"/>
        <v>65</v>
      </c>
      <c r="B72" s="668"/>
      <c r="C72" s="686" t="s">
        <v>62</v>
      </c>
      <c r="D72" s="143"/>
      <c r="E72" s="113"/>
      <c r="F72" s="113"/>
      <c r="G72" s="143"/>
      <c r="H72" s="357"/>
      <c r="I72" s="710"/>
      <c r="J72" s="147"/>
      <c r="K72" s="145"/>
      <c r="L72" s="146"/>
      <c r="M72" s="112"/>
      <c r="N72" s="112"/>
      <c r="O72" s="112"/>
      <c r="P72" s="711"/>
      <c r="Q72" s="147"/>
      <c r="R72" s="287"/>
      <c r="S72" s="300"/>
      <c r="T72" s="289"/>
      <c r="U72" s="290"/>
      <c r="V72" s="147"/>
      <c r="W72" s="304" t="e">
        <f>SUM(W66:W71)</f>
        <v>#REF!</v>
      </c>
      <c r="X72" s="305" t="e">
        <f>SUM(X66:X71)</f>
        <v>#REF!</v>
      </c>
      <c r="Y72" s="305">
        <f>SUM(Y66:Y71)</f>
        <v>0</v>
      </c>
      <c r="Z72" s="306" t="e">
        <f>'Rate Spread SETTLEMENT'!U$76-SUM(W72:Y72)</f>
        <v>#REF!</v>
      </c>
      <c r="AA72" s="298"/>
      <c r="AB72" s="304" t="e">
        <f>SUM(AB66:AB71)</f>
        <v>#REF!</v>
      </c>
      <c r="AC72" s="305" t="e">
        <f>SUM(AC66:AC71)</f>
        <v>#REF!</v>
      </c>
      <c r="AD72" s="306">
        <f>SUM(AD66:AD71)</f>
        <v>0</v>
      </c>
      <c r="AE72" s="298"/>
      <c r="AF72" s="304" t="e">
        <f>SUM(AF66:AF71)</f>
        <v>#REF!</v>
      </c>
      <c r="AG72" s="305" t="e">
        <f>SUM(AG66:AG71)</f>
        <v>#REF!</v>
      </c>
      <c r="AH72" s="306">
        <f>SUM(AH66:AH71)</f>
        <v>0</v>
      </c>
      <c r="AI72" s="298"/>
      <c r="AJ72" s="327" t="e">
        <f>SUM(AF72:AH72)/SUM(W72:Y72)</f>
        <v>#REF!</v>
      </c>
      <c r="AK72" s="328" t="e">
        <f t="shared" ref="AK72:AK77" si="106">SUM(AF72)/SUM(W72)</f>
        <v>#REF!</v>
      </c>
      <c r="AL72" s="298"/>
      <c r="AM72" s="304" t="e">
        <f>SUM(AM66:AM71)</f>
        <v>#REF!</v>
      </c>
      <c r="AN72" s="305">
        <f>SUM(AN66:AN71)</f>
        <v>0</v>
      </c>
      <c r="AO72" s="306" t="e">
        <f>SUM(AO66:AO71)</f>
        <v>#REF!</v>
      </c>
      <c r="AP72" s="298"/>
      <c r="AQ72" s="308"/>
      <c r="AR72" s="299"/>
      <c r="AS72" s="298"/>
    </row>
    <row r="73" spans="1:45" x14ac:dyDescent="0.2">
      <c r="A73" s="76">
        <f t="shared" si="2"/>
        <v>66</v>
      </c>
      <c r="B73" s="670" t="e">
        <f>#REF!</f>
        <v>#REF!</v>
      </c>
      <c r="C73" s="671" t="s">
        <v>4</v>
      </c>
      <c r="D73" s="147"/>
      <c r="E73" s="112">
        <f>ROUND('Rates in Detail'!Y61,5)</f>
        <v>5.6600000000000001E-3</v>
      </c>
      <c r="F73" s="112"/>
      <c r="G73" s="147"/>
      <c r="H73" s="362">
        <f>ROUND('Rates in Detail'!R61,5)</f>
        <v>0.15825</v>
      </c>
      <c r="I73" s="711">
        <f t="shared" si="9"/>
        <v>0.16391</v>
      </c>
      <c r="J73" s="147"/>
      <c r="K73" s="145" t="e">
        <f>#REF!</f>
        <v>#REF!</v>
      </c>
      <c r="L73" s="146" t="e">
        <f>#REF!</f>
        <v>#REF!</v>
      </c>
      <c r="M73" s="112">
        <f>'Rates in Detail'!AH61</f>
        <v>0</v>
      </c>
      <c r="N73" s="112">
        <f>'Rates in Detail'!AI61</f>
        <v>0</v>
      </c>
      <c r="O73" s="112">
        <f>'Rates in Detail'!AJ61</f>
        <v>0</v>
      </c>
      <c r="P73" s="711">
        <f>'Rates in Detail'!AK61</f>
        <v>0</v>
      </c>
      <c r="Q73" s="147"/>
      <c r="R73" s="287" t="e">
        <f>#REF!</f>
        <v>#REF!</v>
      </c>
      <c r="S73" s="300">
        <v>2934</v>
      </c>
      <c r="T73" s="289" t="e">
        <f>#REF!</f>
        <v>#REF!</v>
      </c>
      <c r="U73" s="290" t="e">
        <f>#REF!</f>
        <v>#REF!</v>
      </c>
      <c r="V73" s="147"/>
      <c r="W73" s="302" t="e">
        <f t="shared" ref="W73:W78" si="107">(H73*R73)</f>
        <v>#REF!</v>
      </c>
      <c r="X73" s="298" t="e">
        <f t="shared" ref="X73:X78" si="108">(K73*T73*12)</f>
        <v>#REF!</v>
      </c>
      <c r="Y73" s="298">
        <f t="shared" ref="Y73:Y78" si="109">(S73*(M73+O73))*12</f>
        <v>0</v>
      </c>
      <c r="Z73" s="303"/>
      <c r="AA73" s="298"/>
      <c r="AB73" s="302" t="e">
        <f t="shared" ref="AB73:AB78" si="110">(I73*R73)</f>
        <v>#REF!</v>
      </c>
      <c r="AC73" s="298" t="e">
        <f t="shared" ref="AC73:AC78" si="111">(L73*T73*12)</f>
        <v>#REF!</v>
      </c>
      <c r="AD73" s="303">
        <f t="shared" ref="AD73:AD78" si="112">(S73*(N73+P73))*12</f>
        <v>0</v>
      </c>
      <c r="AE73" s="298"/>
      <c r="AF73" s="302" t="e">
        <f t="shared" ref="AF73:AH78" si="113">AB73-W73</f>
        <v>#REF!</v>
      </c>
      <c r="AG73" s="298" t="e">
        <f t="shared" si="113"/>
        <v>#REF!</v>
      </c>
      <c r="AH73" s="303">
        <f t="shared" si="113"/>
        <v>0</v>
      </c>
      <c r="AI73" s="298"/>
      <c r="AJ73" s="327"/>
      <c r="AK73" s="329" t="e">
        <f t="shared" si="106"/>
        <v>#REF!</v>
      </c>
      <c r="AL73" s="298"/>
      <c r="AM73" s="302" t="e">
        <f t="shared" ref="AM73:AM78" si="114">(F73*R73)</f>
        <v>#REF!</v>
      </c>
      <c r="AN73" s="298">
        <v>0</v>
      </c>
      <c r="AO73" s="303" t="e">
        <f t="shared" ref="AO73:AO78" si="115">(AE73*(Y73+AB73))*12</f>
        <v>#REF!</v>
      </c>
      <c r="AP73" s="298"/>
      <c r="AQ73" s="299"/>
      <c r="AR73" s="299"/>
      <c r="AS73" s="298"/>
    </row>
    <row r="74" spans="1:45" x14ac:dyDescent="0.2">
      <c r="A74" s="76">
        <f t="shared" ref="A74:A102" si="116">+A73+1</f>
        <v>67</v>
      </c>
      <c r="B74" s="670"/>
      <c r="C74" s="671" t="s">
        <v>5</v>
      </c>
      <c r="D74" s="147"/>
      <c r="E74" s="112">
        <f>ROUND('Rates in Detail'!Y62,5)</f>
        <v>5.0699999999999999E-3</v>
      </c>
      <c r="F74" s="112"/>
      <c r="G74" s="147"/>
      <c r="H74" s="362">
        <f>ROUND('Rates in Detail'!R62,5)</f>
        <v>0.14166000000000001</v>
      </c>
      <c r="I74" s="711">
        <f t="shared" si="9"/>
        <v>0.14673</v>
      </c>
      <c r="J74" s="147"/>
      <c r="K74" s="145"/>
      <c r="L74" s="146"/>
      <c r="M74" s="112"/>
      <c r="N74" s="112"/>
      <c r="O74" s="112"/>
      <c r="P74" s="711"/>
      <c r="Q74" s="147"/>
      <c r="R74" s="287" t="e">
        <f>#REF!</f>
        <v>#REF!</v>
      </c>
      <c r="S74" s="300"/>
      <c r="T74" s="289"/>
      <c r="U74" s="290"/>
      <c r="V74" s="147"/>
      <c r="W74" s="302" t="e">
        <f t="shared" si="107"/>
        <v>#REF!</v>
      </c>
      <c r="X74" s="298">
        <f t="shared" si="108"/>
        <v>0</v>
      </c>
      <c r="Y74" s="298">
        <f t="shared" si="109"/>
        <v>0</v>
      </c>
      <c r="Z74" s="303"/>
      <c r="AA74" s="298"/>
      <c r="AB74" s="302" t="e">
        <f t="shared" si="110"/>
        <v>#REF!</v>
      </c>
      <c r="AC74" s="298">
        <f t="shared" si="111"/>
        <v>0</v>
      </c>
      <c r="AD74" s="303">
        <f t="shared" si="112"/>
        <v>0</v>
      </c>
      <c r="AE74" s="298"/>
      <c r="AF74" s="302" t="e">
        <f t="shared" si="113"/>
        <v>#REF!</v>
      </c>
      <c r="AG74" s="298">
        <f t="shared" si="113"/>
        <v>0</v>
      </c>
      <c r="AH74" s="303">
        <f t="shared" si="113"/>
        <v>0</v>
      </c>
      <c r="AI74" s="298"/>
      <c r="AJ74" s="327"/>
      <c r="AK74" s="329" t="e">
        <f t="shared" si="106"/>
        <v>#REF!</v>
      </c>
      <c r="AL74" s="298"/>
      <c r="AM74" s="302" t="e">
        <f t="shared" si="114"/>
        <v>#REF!</v>
      </c>
      <c r="AN74" s="298">
        <v>0</v>
      </c>
      <c r="AO74" s="303" t="e">
        <f t="shared" si="115"/>
        <v>#REF!</v>
      </c>
      <c r="AP74" s="298"/>
      <c r="AQ74" s="299"/>
      <c r="AR74" s="299"/>
      <c r="AS74" s="298"/>
    </row>
    <row r="75" spans="1:45" x14ac:dyDescent="0.2">
      <c r="A75" s="76">
        <f t="shared" si="116"/>
        <v>68</v>
      </c>
      <c r="B75" s="670"/>
      <c r="C75" s="671" t="s">
        <v>6</v>
      </c>
      <c r="D75" s="147"/>
      <c r="E75" s="112">
        <f>ROUND('Rates in Detail'!Y63,5)</f>
        <v>3.8899999999999998E-3</v>
      </c>
      <c r="F75" s="112"/>
      <c r="G75" s="147"/>
      <c r="H75" s="362">
        <f>ROUND('Rates in Detail'!R63,5)</f>
        <v>0.10863</v>
      </c>
      <c r="I75" s="711">
        <f t="shared" si="9"/>
        <v>0.11252000000000001</v>
      </c>
      <c r="J75" s="147"/>
      <c r="K75" s="145"/>
      <c r="L75" s="146"/>
      <c r="M75" s="112"/>
      <c r="N75" s="112"/>
      <c r="O75" s="112"/>
      <c r="P75" s="711"/>
      <c r="Q75" s="147"/>
      <c r="R75" s="287" t="e">
        <f>#REF!</f>
        <v>#REF!</v>
      </c>
      <c r="S75" s="300"/>
      <c r="T75" s="289"/>
      <c r="U75" s="290"/>
      <c r="V75" s="147"/>
      <c r="W75" s="302" t="e">
        <f t="shared" si="107"/>
        <v>#REF!</v>
      </c>
      <c r="X75" s="298">
        <f t="shared" si="108"/>
        <v>0</v>
      </c>
      <c r="Y75" s="298">
        <f t="shared" si="109"/>
        <v>0</v>
      </c>
      <c r="Z75" s="303"/>
      <c r="AA75" s="298"/>
      <c r="AB75" s="302" t="e">
        <f t="shared" si="110"/>
        <v>#REF!</v>
      </c>
      <c r="AC75" s="298">
        <f t="shared" si="111"/>
        <v>0</v>
      </c>
      <c r="AD75" s="303">
        <f t="shared" si="112"/>
        <v>0</v>
      </c>
      <c r="AE75" s="298"/>
      <c r="AF75" s="302" t="e">
        <f t="shared" si="113"/>
        <v>#REF!</v>
      </c>
      <c r="AG75" s="298">
        <f t="shared" si="113"/>
        <v>0</v>
      </c>
      <c r="AH75" s="303">
        <f t="shared" si="113"/>
        <v>0</v>
      </c>
      <c r="AI75" s="298"/>
      <c r="AJ75" s="327"/>
      <c r="AK75" s="329" t="e">
        <f t="shared" si="106"/>
        <v>#REF!</v>
      </c>
      <c r="AL75" s="298"/>
      <c r="AM75" s="302" t="e">
        <f t="shared" si="114"/>
        <v>#REF!</v>
      </c>
      <c r="AN75" s="298">
        <v>0</v>
      </c>
      <c r="AO75" s="303" t="e">
        <f t="shared" si="115"/>
        <v>#REF!</v>
      </c>
      <c r="AP75" s="298"/>
      <c r="AQ75" s="299"/>
      <c r="AR75" s="299"/>
      <c r="AS75" s="298"/>
    </row>
    <row r="76" spans="1:45" x14ac:dyDescent="0.2">
      <c r="A76" s="76">
        <f t="shared" si="116"/>
        <v>69</v>
      </c>
      <c r="B76" s="670"/>
      <c r="C76" s="671" t="s">
        <v>7</v>
      </c>
      <c r="D76" s="147"/>
      <c r="E76" s="112">
        <f>ROUND('Rates in Detail'!Y64,5)</f>
        <v>3.1099999999999999E-3</v>
      </c>
      <c r="F76" s="112"/>
      <c r="G76" s="147"/>
      <c r="H76" s="362">
        <f>ROUND('Rates in Detail'!R64,5)</f>
        <v>8.6910000000000001E-2</v>
      </c>
      <c r="I76" s="711">
        <f t="shared" si="9"/>
        <v>9.0020000000000003E-2</v>
      </c>
      <c r="J76" s="147"/>
      <c r="K76" s="145"/>
      <c r="L76" s="146"/>
      <c r="M76" s="112"/>
      <c r="N76" s="112"/>
      <c r="O76" s="112"/>
      <c r="P76" s="711"/>
      <c r="Q76" s="147"/>
      <c r="R76" s="287" t="e">
        <f>#REF!</f>
        <v>#REF!</v>
      </c>
      <c r="S76" s="300"/>
      <c r="T76" s="289"/>
      <c r="U76" s="290"/>
      <c r="V76" s="147"/>
      <c r="W76" s="302" t="e">
        <f t="shared" si="107"/>
        <v>#REF!</v>
      </c>
      <c r="X76" s="298">
        <f t="shared" si="108"/>
        <v>0</v>
      </c>
      <c r="Y76" s="298">
        <f t="shared" si="109"/>
        <v>0</v>
      </c>
      <c r="Z76" s="303"/>
      <c r="AA76" s="298"/>
      <c r="AB76" s="302" t="e">
        <f t="shared" si="110"/>
        <v>#REF!</v>
      </c>
      <c r="AC76" s="298">
        <f t="shared" si="111"/>
        <v>0</v>
      </c>
      <c r="AD76" s="303">
        <f t="shared" si="112"/>
        <v>0</v>
      </c>
      <c r="AE76" s="298"/>
      <c r="AF76" s="302" t="e">
        <f t="shared" si="113"/>
        <v>#REF!</v>
      </c>
      <c r="AG76" s="298">
        <f t="shared" si="113"/>
        <v>0</v>
      </c>
      <c r="AH76" s="303">
        <f t="shared" si="113"/>
        <v>0</v>
      </c>
      <c r="AI76" s="298"/>
      <c r="AJ76" s="327"/>
      <c r="AK76" s="329" t="e">
        <f t="shared" si="106"/>
        <v>#REF!</v>
      </c>
      <c r="AL76" s="298"/>
      <c r="AM76" s="302" t="e">
        <f t="shared" si="114"/>
        <v>#REF!</v>
      </c>
      <c r="AN76" s="298">
        <v>0</v>
      </c>
      <c r="AO76" s="303" t="e">
        <f t="shared" si="115"/>
        <v>#REF!</v>
      </c>
      <c r="AP76" s="298"/>
      <c r="AQ76" s="299"/>
      <c r="AR76" s="299"/>
      <c r="AS76" s="298"/>
    </row>
    <row r="77" spans="1:45" x14ac:dyDescent="0.2">
      <c r="A77" s="76">
        <f t="shared" si="116"/>
        <v>70</v>
      </c>
      <c r="B77" s="670"/>
      <c r="C77" s="671" t="s">
        <v>8</v>
      </c>
      <c r="D77" s="147"/>
      <c r="E77" s="112">
        <f>ROUND('Rates in Detail'!Y65,5)</f>
        <v>2.0699999999999998E-3</v>
      </c>
      <c r="F77" s="112"/>
      <c r="G77" s="147"/>
      <c r="H77" s="362">
        <f>ROUND('Rates in Detail'!R65,5)</f>
        <v>5.7930000000000002E-2</v>
      </c>
      <c r="I77" s="711">
        <f t="shared" si="9"/>
        <v>6.0000000000000005E-2</v>
      </c>
      <c r="J77" s="147"/>
      <c r="K77" s="145"/>
      <c r="L77" s="146"/>
      <c r="M77" s="112"/>
      <c r="N77" s="112"/>
      <c r="O77" s="112"/>
      <c r="P77" s="711"/>
      <c r="Q77" s="147"/>
      <c r="R77" s="287" t="e">
        <f>#REF!</f>
        <v>#REF!</v>
      </c>
      <c r="S77" s="300"/>
      <c r="T77" s="289"/>
      <c r="U77" s="290"/>
      <c r="V77" s="147"/>
      <c r="W77" s="302" t="e">
        <f t="shared" si="107"/>
        <v>#REF!</v>
      </c>
      <c r="X77" s="298">
        <f t="shared" si="108"/>
        <v>0</v>
      </c>
      <c r="Y77" s="298">
        <f t="shared" si="109"/>
        <v>0</v>
      </c>
      <c r="Z77" s="303"/>
      <c r="AA77" s="298"/>
      <c r="AB77" s="302" t="e">
        <f t="shared" si="110"/>
        <v>#REF!</v>
      </c>
      <c r="AC77" s="298">
        <f t="shared" si="111"/>
        <v>0</v>
      </c>
      <c r="AD77" s="303">
        <f t="shared" si="112"/>
        <v>0</v>
      </c>
      <c r="AE77" s="298"/>
      <c r="AF77" s="302" t="e">
        <f t="shared" si="113"/>
        <v>#REF!</v>
      </c>
      <c r="AG77" s="298">
        <f t="shared" si="113"/>
        <v>0</v>
      </c>
      <c r="AH77" s="303">
        <f t="shared" si="113"/>
        <v>0</v>
      </c>
      <c r="AI77" s="298"/>
      <c r="AJ77" s="327"/>
      <c r="AK77" s="329" t="e">
        <f t="shared" si="106"/>
        <v>#REF!</v>
      </c>
      <c r="AL77" s="298"/>
      <c r="AM77" s="302" t="e">
        <f t="shared" si="114"/>
        <v>#REF!</v>
      </c>
      <c r="AN77" s="298">
        <v>0</v>
      </c>
      <c r="AO77" s="303" t="e">
        <f t="shared" si="115"/>
        <v>#REF!</v>
      </c>
      <c r="AP77" s="298"/>
      <c r="AQ77" s="299"/>
      <c r="AR77" s="299"/>
      <c r="AS77" s="298"/>
    </row>
    <row r="78" spans="1:45" x14ac:dyDescent="0.2">
      <c r="A78" s="76">
        <f t="shared" si="116"/>
        <v>71</v>
      </c>
      <c r="B78" s="670"/>
      <c r="C78" s="671" t="s">
        <v>9</v>
      </c>
      <c r="D78" s="147"/>
      <c r="E78" s="112">
        <f>ROUND('Rates in Detail'!Y66,5)</f>
        <v>7.7999999999999999E-4</v>
      </c>
      <c r="F78" s="112"/>
      <c r="G78" s="147"/>
      <c r="H78" s="362">
        <f>ROUND('Rates in Detail'!R66,5)</f>
        <v>2.172E-2</v>
      </c>
      <c r="I78" s="711">
        <f t="shared" si="9"/>
        <v>2.2499999999999999E-2</v>
      </c>
      <c r="J78" s="147"/>
      <c r="K78" s="687"/>
      <c r="L78" s="361"/>
      <c r="M78" s="112"/>
      <c r="N78" s="112"/>
      <c r="O78" s="112"/>
      <c r="P78" s="711"/>
      <c r="Q78" s="147"/>
      <c r="R78" s="287" t="e">
        <f>#REF!</f>
        <v>#REF!</v>
      </c>
      <c r="S78" s="300"/>
      <c r="T78" s="289"/>
      <c r="U78" s="290"/>
      <c r="V78" s="147"/>
      <c r="W78" s="302" t="e">
        <f t="shared" si="107"/>
        <v>#REF!</v>
      </c>
      <c r="X78" s="298">
        <f t="shared" si="108"/>
        <v>0</v>
      </c>
      <c r="Y78" s="298">
        <f t="shared" si="109"/>
        <v>0</v>
      </c>
      <c r="Z78" s="303"/>
      <c r="AA78" s="298"/>
      <c r="AB78" s="302" t="e">
        <f t="shared" si="110"/>
        <v>#REF!</v>
      </c>
      <c r="AC78" s="298">
        <f t="shared" si="111"/>
        <v>0</v>
      </c>
      <c r="AD78" s="303">
        <f t="shared" si="112"/>
        <v>0</v>
      </c>
      <c r="AE78" s="298"/>
      <c r="AF78" s="302" t="e">
        <f t="shared" si="113"/>
        <v>#REF!</v>
      </c>
      <c r="AG78" s="298">
        <f t="shared" si="113"/>
        <v>0</v>
      </c>
      <c r="AH78" s="303">
        <f t="shared" si="113"/>
        <v>0</v>
      </c>
      <c r="AI78" s="298"/>
      <c r="AJ78" s="327"/>
      <c r="AK78" s="329" t="e">
        <f>AK77</f>
        <v>#REF!</v>
      </c>
      <c r="AL78" s="298"/>
      <c r="AM78" s="302" t="e">
        <f t="shared" si="114"/>
        <v>#REF!</v>
      </c>
      <c r="AN78" s="298">
        <v>0</v>
      </c>
      <c r="AO78" s="303" t="e">
        <f t="shared" si="115"/>
        <v>#REF!</v>
      </c>
      <c r="AP78" s="298"/>
      <c r="AQ78" s="299"/>
      <c r="AR78" s="299"/>
      <c r="AS78" s="298"/>
    </row>
    <row r="79" spans="1:45" x14ac:dyDescent="0.2">
      <c r="A79" s="76">
        <f t="shared" si="116"/>
        <v>72</v>
      </c>
      <c r="B79" s="668"/>
      <c r="C79" s="686" t="s">
        <v>62</v>
      </c>
      <c r="D79" s="143"/>
      <c r="E79" s="113"/>
      <c r="F79" s="113"/>
      <c r="G79" s="143"/>
      <c r="H79" s="357"/>
      <c r="I79" s="710"/>
      <c r="J79" s="147"/>
      <c r="K79" s="687"/>
      <c r="L79" s="361"/>
      <c r="M79" s="112"/>
      <c r="N79" s="112"/>
      <c r="O79" s="112"/>
      <c r="P79" s="711"/>
      <c r="Q79" s="147"/>
      <c r="R79" s="287"/>
      <c r="S79" s="300"/>
      <c r="T79" s="289"/>
      <c r="U79" s="290"/>
      <c r="V79" s="147"/>
      <c r="W79" s="304" t="e">
        <f>SUM(W73:W78)</f>
        <v>#REF!</v>
      </c>
      <c r="X79" s="305" t="e">
        <f>SUM(X73:X78)</f>
        <v>#REF!</v>
      </c>
      <c r="Y79" s="305">
        <f>SUM(Y73:Y78)</f>
        <v>0</v>
      </c>
      <c r="Z79" s="306" t="e">
        <f>'Rate Spread SETTLEMENT'!V$76-SUM(W79:Y79)</f>
        <v>#REF!</v>
      </c>
      <c r="AA79" s="298"/>
      <c r="AB79" s="304" t="e">
        <f>SUM(AB73:AB78)</f>
        <v>#REF!</v>
      </c>
      <c r="AC79" s="305" t="e">
        <f>SUM(AC73:AC78)</f>
        <v>#REF!</v>
      </c>
      <c r="AD79" s="306">
        <f>SUM(AD73:AD78)</f>
        <v>0</v>
      </c>
      <c r="AE79" s="298"/>
      <c r="AF79" s="304" t="e">
        <f>SUM(AF73:AF78)</f>
        <v>#REF!</v>
      </c>
      <c r="AG79" s="305" t="e">
        <f>SUM(AG73:AG78)</f>
        <v>#REF!</v>
      </c>
      <c r="AH79" s="306">
        <f>SUM(AH73:AH78)</f>
        <v>0</v>
      </c>
      <c r="AI79" s="298"/>
      <c r="AJ79" s="327" t="e">
        <f>SUM(AF79:AH79)/SUM(W79:Y79)</f>
        <v>#REF!</v>
      </c>
      <c r="AK79" s="328" t="e">
        <f t="shared" ref="AK79:AK84" si="117">SUM(AF79)/SUM(W79)</f>
        <v>#REF!</v>
      </c>
      <c r="AL79" s="298"/>
      <c r="AM79" s="304" t="e">
        <f>SUM(AM73:AM78)</f>
        <v>#REF!</v>
      </c>
      <c r="AN79" s="305">
        <f>SUM(AN73:AN78)</f>
        <v>0</v>
      </c>
      <c r="AO79" s="306" t="e">
        <f>SUM(AO73:AO78)</f>
        <v>#REF!</v>
      </c>
      <c r="AP79" s="298"/>
      <c r="AQ79" s="299"/>
      <c r="AR79" s="299"/>
      <c r="AS79" s="298"/>
    </row>
    <row r="80" spans="1:45" x14ac:dyDescent="0.2">
      <c r="A80" s="76">
        <f t="shared" si="116"/>
        <v>73</v>
      </c>
      <c r="B80" s="670" t="e">
        <f>#REF!</f>
        <v>#REF!</v>
      </c>
      <c r="C80" s="671" t="s">
        <v>4</v>
      </c>
      <c r="D80" s="147"/>
      <c r="E80" s="112">
        <f>ROUND('Rates in Detail'!Y67,5)</f>
        <v>2.7799999999999999E-3</v>
      </c>
      <c r="F80" s="112"/>
      <c r="G80" s="147"/>
      <c r="H80" s="362">
        <f>ROUND('Rates in Detail'!R67,5)</f>
        <v>0.13891000000000001</v>
      </c>
      <c r="I80" s="711">
        <f t="shared" ref="I80:I96" si="118">H80+E80</f>
        <v>0.14169000000000001</v>
      </c>
      <c r="J80" s="147"/>
      <c r="K80" s="145" t="e">
        <f>#REF!</f>
        <v>#REF!</v>
      </c>
      <c r="L80" s="146" t="e">
        <f>#REF!</f>
        <v>#REF!</v>
      </c>
      <c r="M80" s="112">
        <f>'Rates in Detail'!AH67</f>
        <v>0</v>
      </c>
      <c r="N80" s="112">
        <f>'Rates in Detail'!AI67</f>
        <v>0</v>
      </c>
      <c r="O80" s="112">
        <f>'Rates in Detail'!AJ67</f>
        <v>0</v>
      </c>
      <c r="P80" s="711">
        <f>'Rates in Detail'!AK67</f>
        <v>0</v>
      </c>
      <c r="Q80" s="147"/>
      <c r="R80" s="287" t="e">
        <f>#REF!</f>
        <v>#REF!</v>
      </c>
      <c r="S80" s="300"/>
      <c r="T80" s="289" t="e">
        <f>#REF!</f>
        <v>#REF!</v>
      </c>
      <c r="U80" s="290" t="e">
        <f>#REF!</f>
        <v>#REF!</v>
      </c>
      <c r="V80" s="147"/>
      <c r="W80" s="302" t="e">
        <f t="shared" ref="W80:W85" si="119">(H80*R80)</f>
        <v>#REF!</v>
      </c>
      <c r="X80" s="298" t="e">
        <f t="shared" ref="X80:X85" si="120">(K80*T80*12)</f>
        <v>#REF!</v>
      </c>
      <c r="Y80" s="298">
        <f t="shared" ref="Y80:Y85" si="121">(S80*(M80+O80))*12</f>
        <v>0</v>
      </c>
      <c r="Z80" s="303"/>
      <c r="AA80" s="298"/>
      <c r="AB80" s="302" t="e">
        <f t="shared" ref="AB80:AB85" si="122">(I80*R80)</f>
        <v>#REF!</v>
      </c>
      <c r="AC80" s="298" t="e">
        <f t="shared" ref="AC80:AC85" si="123">(L80*T80*12)</f>
        <v>#REF!</v>
      </c>
      <c r="AD80" s="303">
        <f t="shared" ref="AD80:AD85" si="124">(S80*(N80+P80))*12</f>
        <v>0</v>
      </c>
      <c r="AE80" s="298"/>
      <c r="AF80" s="302" t="e">
        <f t="shared" ref="AF80:AH85" si="125">AB80-W80</f>
        <v>#REF!</v>
      </c>
      <c r="AG80" s="298" t="e">
        <f t="shared" si="125"/>
        <v>#REF!</v>
      </c>
      <c r="AH80" s="303">
        <f t="shared" si="125"/>
        <v>0</v>
      </c>
      <c r="AI80" s="298"/>
      <c r="AJ80" s="327"/>
      <c r="AK80" s="329" t="e">
        <f t="shared" si="117"/>
        <v>#REF!</v>
      </c>
      <c r="AL80" s="298"/>
      <c r="AM80" s="302" t="e">
        <f t="shared" ref="AM80:AM85" si="126">(F80*R80)</f>
        <v>#REF!</v>
      </c>
      <c r="AN80" s="298">
        <v>0</v>
      </c>
      <c r="AO80" s="303" t="e">
        <f t="shared" ref="AO80:AO85" si="127">(AE80*(Y80+AB80))*12</f>
        <v>#REF!</v>
      </c>
      <c r="AP80" s="298"/>
      <c r="AQ80" s="299"/>
      <c r="AR80" s="299"/>
      <c r="AS80" s="298"/>
    </row>
    <row r="81" spans="1:45" x14ac:dyDescent="0.2">
      <c r="A81" s="76">
        <f t="shared" si="116"/>
        <v>74</v>
      </c>
      <c r="B81" s="670"/>
      <c r="C81" s="671" t="s">
        <v>5</v>
      </c>
      <c r="D81" s="147"/>
      <c r="E81" s="112">
        <f>ROUND('Rates in Detail'!Y68,5)</f>
        <v>2.49E-3</v>
      </c>
      <c r="F81" s="112"/>
      <c r="G81" s="147"/>
      <c r="H81" s="362">
        <f>ROUND('Rates in Detail'!R68,5)</f>
        <v>0.12436</v>
      </c>
      <c r="I81" s="711">
        <f t="shared" si="118"/>
        <v>0.12684999999999999</v>
      </c>
      <c r="J81" s="147"/>
      <c r="K81" s="145"/>
      <c r="L81" s="146"/>
      <c r="M81" s="112"/>
      <c r="N81" s="112"/>
      <c r="O81" s="112"/>
      <c r="P81" s="711"/>
      <c r="Q81" s="147"/>
      <c r="R81" s="287" t="e">
        <f>#REF!</f>
        <v>#REF!</v>
      </c>
      <c r="S81" s="300"/>
      <c r="T81" s="289"/>
      <c r="U81" s="290"/>
      <c r="V81" s="147"/>
      <c r="W81" s="302" t="e">
        <f t="shared" si="119"/>
        <v>#REF!</v>
      </c>
      <c r="X81" s="298">
        <f t="shared" si="120"/>
        <v>0</v>
      </c>
      <c r="Y81" s="298">
        <f t="shared" si="121"/>
        <v>0</v>
      </c>
      <c r="Z81" s="303"/>
      <c r="AA81" s="298"/>
      <c r="AB81" s="302" t="e">
        <f t="shared" si="122"/>
        <v>#REF!</v>
      </c>
      <c r="AC81" s="298">
        <f t="shared" si="123"/>
        <v>0</v>
      </c>
      <c r="AD81" s="303">
        <f t="shared" si="124"/>
        <v>0</v>
      </c>
      <c r="AE81" s="298"/>
      <c r="AF81" s="302" t="e">
        <f t="shared" si="125"/>
        <v>#REF!</v>
      </c>
      <c r="AG81" s="298">
        <f t="shared" si="125"/>
        <v>0</v>
      </c>
      <c r="AH81" s="303">
        <f t="shared" si="125"/>
        <v>0</v>
      </c>
      <c r="AI81" s="298"/>
      <c r="AJ81" s="327"/>
      <c r="AK81" s="329" t="e">
        <f t="shared" si="117"/>
        <v>#REF!</v>
      </c>
      <c r="AL81" s="298"/>
      <c r="AM81" s="302" t="e">
        <f t="shared" si="126"/>
        <v>#REF!</v>
      </c>
      <c r="AN81" s="298">
        <v>0</v>
      </c>
      <c r="AO81" s="303" t="e">
        <f t="shared" si="127"/>
        <v>#REF!</v>
      </c>
      <c r="AP81" s="298"/>
      <c r="AQ81" s="299"/>
      <c r="AR81" s="299"/>
      <c r="AS81" s="298"/>
    </row>
    <row r="82" spans="1:45" x14ac:dyDescent="0.2">
      <c r="A82" s="76">
        <f t="shared" si="116"/>
        <v>75</v>
      </c>
      <c r="B82" s="670"/>
      <c r="C82" s="671" t="s">
        <v>6</v>
      </c>
      <c r="D82" s="147"/>
      <c r="E82" s="112">
        <f>ROUND('Rates in Detail'!Y69,5)</f>
        <v>1.91E-3</v>
      </c>
      <c r="F82" s="112"/>
      <c r="G82" s="147"/>
      <c r="H82" s="362">
        <f>ROUND('Rates in Detail'!R69,5)</f>
        <v>9.536E-2</v>
      </c>
      <c r="I82" s="711">
        <f t="shared" si="118"/>
        <v>9.7269999999999995E-2</v>
      </c>
      <c r="J82" s="147"/>
      <c r="K82" s="145"/>
      <c r="L82" s="146"/>
      <c r="M82" s="112"/>
      <c r="N82" s="112"/>
      <c r="O82" s="112"/>
      <c r="P82" s="711"/>
      <c r="Q82" s="147"/>
      <c r="R82" s="287" t="e">
        <f>#REF!</f>
        <v>#REF!</v>
      </c>
      <c r="S82" s="300"/>
      <c r="T82" s="289"/>
      <c r="U82" s="290"/>
      <c r="V82" s="147"/>
      <c r="W82" s="302" t="e">
        <f t="shared" si="119"/>
        <v>#REF!</v>
      </c>
      <c r="X82" s="298">
        <f t="shared" si="120"/>
        <v>0</v>
      </c>
      <c r="Y82" s="298">
        <f t="shared" si="121"/>
        <v>0</v>
      </c>
      <c r="Z82" s="303"/>
      <c r="AA82" s="298"/>
      <c r="AB82" s="302" t="e">
        <f t="shared" si="122"/>
        <v>#REF!</v>
      </c>
      <c r="AC82" s="298">
        <f t="shared" si="123"/>
        <v>0</v>
      </c>
      <c r="AD82" s="303">
        <f t="shared" si="124"/>
        <v>0</v>
      </c>
      <c r="AE82" s="298"/>
      <c r="AF82" s="302" t="e">
        <f t="shared" si="125"/>
        <v>#REF!</v>
      </c>
      <c r="AG82" s="298">
        <f t="shared" si="125"/>
        <v>0</v>
      </c>
      <c r="AH82" s="303">
        <f t="shared" si="125"/>
        <v>0</v>
      </c>
      <c r="AI82" s="298"/>
      <c r="AJ82" s="327"/>
      <c r="AK82" s="329" t="e">
        <f t="shared" si="117"/>
        <v>#REF!</v>
      </c>
      <c r="AL82" s="298"/>
      <c r="AM82" s="302" t="e">
        <f t="shared" si="126"/>
        <v>#REF!</v>
      </c>
      <c r="AN82" s="298">
        <v>0</v>
      </c>
      <c r="AO82" s="303" t="e">
        <f t="shared" si="127"/>
        <v>#REF!</v>
      </c>
      <c r="AP82" s="298"/>
      <c r="AQ82" s="299"/>
      <c r="AR82" s="299"/>
      <c r="AS82" s="298"/>
    </row>
    <row r="83" spans="1:45" x14ac:dyDescent="0.2">
      <c r="A83" s="76">
        <f t="shared" si="116"/>
        <v>76</v>
      </c>
      <c r="B83" s="670"/>
      <c r="C83" s="671" t="s">
        <v>7</v>
      </c>
      <c r="D83" s="147"/>
      <c r="E83" s="112">
        <f>ROUND('Rates in Detail'!Y70,5)</f>
        <v>1.5299999999999999E-3</v>
      </c>
      <c r="F83" s="112"/>
      <c r="G83" s="147"/>
      <c r="H83" s="362">
        <f>ROUND('Rates in Detail'!R70,5)</f>
        <v>7.6289999999999997E-2</v>
      </c>
      <c r="I83" s="711">
        <f t="shared" si="118"/>
        <v>7.782E-2</v>
      </c>
      <c r="J83" s="147"/>
      <c r="K83" s="145"/>
      <c r="L83" s="146"/>
      <c r="M83" s="112"/>
      <c r="N83" s="112"/>
      <c r="O83" s="112"/>
      <c r="P83" s="711"/>
      <c r="Q83" s="147"/>
      <c r="R83" s="287" t="e">
        <f>#REF!</f>
        <v>#REF!</v>
      </c>
      <c r="S83" s="300"/>
      <c r="T83" s="289"/>
      <c r="U83" s="290"/>
      <c r="V83" s="147"/>
      <c r="W83" s="302" t="e">
        <f t="shared" si="119"/>
        <v>#REF!</v>
      </c>
      <c r="X83" s="298">
        <f t="shared" si="120"/>
        <v>0</v>
      </c>
      <c r="Y83" s="298">
        <f t="shared" si="121"/>
        <v>0</v>
      </c>
      <c r="Z83" s="303"/>
      <c r="AA83" s="298"/>
      <c r="AB83" s="302" t="e">
        <f t="shared" si="122"/>
        <v>#REF!</v>
      </c>
      <c r="AC83" s="298">
        <f t="shared" si="123"/>
        <v>0</v>
      </c>
      <c r="AD83" s="303">
        <f t="shared" si="124"/>
        <v>0</v>
      </c>
      <c r="AE83" s="298"/>
      <c r="AF83" s="302" t="e">
        <f t="shared" si="125"/>
        <v>#REF!</v>
      </c>
      <c r="AG83" s="298">
        <f t="shared" si="125"/>
        <v>0</v>
      </c>
      <c r="AH83" s="303">
        <f t="shared" si="125"/>
        <v>0</v>
      </c>
      <c r="AI83" s="298"/>
      <c r="AJ83" s="327"/>
      <c r="AK83" s="329" t="e">
        <f t="shared" si="117"/>
        <v>#REF!</v>
      </c>
      <c r="AL83" s="298"/>
      <c r="AM83" s="302" t="e">
        <f t="shared" si="126"/>
        <v>#REF!</v>
      </c>
      <c r="AN83" s="298">
        <v>0</v>
      </c>
      <c r="AO83" s="303" t="e">
        <f t="shared" si="127"/>
        <v>#REF!</v>
      </c>
      <c r="AP83" s="298"/>
      <c r="AQ83" s="299"/>
      <c r="AR83" s="299"/>
      <c r="AS83" s="298"/>
    </row>
    <row r="84" spans="1:45" x14ac:dyDescent="0.2">
      <c r="A84" s="76">
        <f t="shared" si="116"/>
        <v>77</v>
      </c>
      <c r="B84" s="670"/>
      <c r="C84" s="671" t="s">
        <v>8</v>
      </c>
      <c r="D84" s="147"/>
      <c r="E84" s="112">
        <f>ROUND('Rates in Detail'!Y71,5)</f>
        <v>1.0200000000000001E-3</v>
      </c>
      <c r="F84" s="112"/>
      <c r="G84" s="147"/>
      <c r="H84" s="362">
        <f>ROUND('Rates in Detail'!R71,5)</f>
        <v>5.0869999999999999E-2</v>
      </c>
      <c r="I84" s="711">
        <f t="shared" si="118"/>
        <v>5.1889999999999999E-2</v>
      </c>
      <c r="J84" s="147"/>
      <c r="K84" s="145"/>
      <c r="L84" s="146"/>
      <c r="M84" s="112"/>
      <c r="N84" s="112"/>
      <c r="O84" s="112"/>
      <c r="P84" s="711"/>
      <c r="Q84" s="147"/>
      <c r="R84" s="287" t="e">
        <f>#REF!</f>
        <v>#REF!</v>
      </c>
      <c r="S84" s="300"/>
      <c r="T84" s="289"/>
      <c r="U84" s="290"/>
      <c r="V84" s="147"/>
      <c r="W84" s="302" t="e">
        <f t="shared" si="119"/>
        <v>#REF!</v>
      </c>
      <c r="X84" s="298">
        <f t="shared" si="120"/>
        <v>0</v>
      </c>
      <c r="Y84" s="298">
        <f t="shared" si="121"/>
        <v>0</v>
      </c>
      <c r="Z84" s="303"/>
      <c r="AA84" s="298"/>
      <c r="AB84" s="302" t="e">
        <f t="shared" si="122"/>
        <v>#REF!</v>
      </c>
      <c r="AC84" s="298">
        <f t="shared" si="123"/>
        <v>0</v>
      </c>
      <c r="AD84" s="303">
        <f t="shared" si="124"/>
        <v>0</v>
      </c>
      <c r="AE84" s="298"/>
      <c r="AF84" s="302" t="e">
        <f t="shared" si="125"/>
        <v>#REF!</v>
      </c>
      <c r="AG84" s="298">
        <f t="shared" si="125"/>
        <v>0</v>
      </c>
      <c r="AH84" s="303">
        <f t="shared" si="125"/>
        <v>0</v>
      </c>
      <c r="AI84" s="298"/>
      <c r="AJ84" s="327"/>
      <c r="AK84" s="329" t="e">
        <f t="shared" si="117"/>
        <v>#REF!</v>
      </c>
      <c r="AL84" s="298"/>
      <c r="AM84" s="302" t="e">
        <f t="shared" si="126"/>
        <v>#REF!</v>
      </c>
      <c r="AN84" s="298">
        <v>0</v>
      </c>
      <c r="AO84" s="303" t="e">
        <f t="shared" si="127"/>
        <v>#REF!</v>
      </c>
      <c r="AP84" s="298"/>
      <c r="AQ84" s="299"/>
      <c r="AR84" s="299"/>
      <c r="AS84" s="298"/>
    </row>
    <row r="85" spans="1:45" x14ac:dyDescent="0.2">
      <c r="A85" s="76">
        <f t="shared" si="116"/>
        <v>78</v>
      </c>
      <c r="B85" s="670"/>
      <c r="C85" s="671" t="s">
        <v>9</v>
      </c>
      <c r="D85" s="147"/>
      <c r="E85" s="112">
        <f>ROUND('Rates in Detail'!Y72,5)</f>
        <v>3.8000000000000002E-4</v>
      </c>
      <c r="F85" s="112"/>
      <c r="G85" s="147"/>
      <c r="H85" s="362">
        <f>ROUND('Rates in Detail'!R72,5)</f>
        <v>1.9060000000000001E-2</v>
      </c>
      <c r="I85" s="711">
        <f t="shared" si="118"/>
        <v>1.9439999999999999E-2</v>
      </c>
      <c r="J85" s="147"/>
      <c r="K85" s="687"/>
      <c r="L85" s="361"/>
      <c r="M85" s="112"/>
      <c r="N85" s="112"/>
      <c r="O85" s="112"/>
      <c r="P85" s="711"/>
      <c r="Q85" s="147"/>
      <c r="R85" s="287" t="e">
        <f>#REF!</f>
        <v>#REF!</v>
      </c>
      <c r="S85" s="300"/>
      <c r="T85" s="289"/>
      <c r="U85" s="290"/>
      <c r="V85" s="147"/>
      <c r="W85" s="302" t="e">
        <f t="shared" si="119"/>
        <v>#REF!</v>
      </c>
      <c r="X85" s="298">
        <f t="shared" si="120"/>
        <v>0</v>
      </c>
      <c r="Y85" s="298">
        <f t="shared" si="121"/>
        <v>0</v>
      </c>
      <c r="Z85" s="303"/>
      <c r="AA85" s="298"/>
      <c r="AB85" s="302" t="e">
        <f t="shared" si="122"/>
        <v>#REF!</v>
      </c>
      <c r="AC85" s="298">
        <f t="shared" si="123"/>
        <v>0</v>
      </c>
      <c r="AD85" s="303">
        <f t="shared" si="124"/>
        <v>0</v>
      </c>
      <c r="AE85" s="298"/>
      <c r="AF85" s="302" t="e">
        <f t="shared" si="125"/>
        <v>#REF!</v>
      </c>
      <c r="AG85" s="298">
        <f t="shared" si="125"/>
        <v>0</v>
      </c>
      <c r="AH85" s="303">
        <f t="shared" si="125"/>
        <v>0</v>
      </c>
      <c r="AI85" s="298"/>
      <c r="AJ85" s="327"/>
      <c r="AK85" s="329" t="e">
        <f>AK84</f>
        <v>#REF!</v>
      </c>
      <c r="AL85" s="298"/>
      <c r="AM85" s="302" t="e">
        <f t="shared" si="126"/>
        <v>#REF!</v>
      </c>
      <c r="AN85" s="298">
        <v>0</v>
      </c>
      <c r="AO85" s="303" t="e">
        <f t="shared" si="127"/>
        <v>#REF!</v>
      </c>
      <c r="AP85" s="298"/>
      <c r="AQ85" s="299"/>
      <c r="AR85" s="299"/>
      <c r="AS85" s="298"/>
    </row>
    <row r="86" spans="1:45" x14ac:dyDescent="0.2">
      <c r="A86" s="76">
        <f t="shared" si="116"/>
        <v>79</v>
      </c>
      <c r="B86" s="668"/>
      <c r="C86" s="686" t="s">
        <v>62</v>
      </c>
      <c r="D86" s="143"/>
      <c r="E86" s="113"/>
      <c r="F86" s="113"/>
      <c r="G86" s="143"/>
      <c r="H86" s="357"/>
      <c r="I86" s="710"/>
      <c r="J86" s="147"/>
      <c r="K86" s="687"/>
      <c r="L86" s="361"/>
      <c r="M86" s="112"/>
      <c r="N86" s="112"/>
      <c r="O86" s="112"/>
      <c r="P86" s="711"/>
      <c r="Q86" s="147"/>
      <c r="R86" s="287"/>
      <c r="S86" s="300"/>
      <c r="T86" s="289"/>
      <c r="U86" s="290"/>
      <c r="V86" s="147"/>
      <c r="W86" s="304" t="e">
        <f>SUM(W80:W85)</f>
        <v>#REF!</v>
      </c>
      <c r="X86" s="305" t="e">
        <f>SUM(X80:X85)</f>
        <v>#REF!</v>
      </c>
      <c r="Y86" s="305">
        <f>SUM(Y80:Y85)</f>
        <v>0</v>
      </c>
      <c r="Z86" s="306" t="e">
        <f>'Rate Spread SETTLEMENT'!W$76-SUM(W86:Y86)</f>
        <v>#REF!</v>
      </c>
      <c r="AA86" s="298"/>
      <c r="AB86" s="304" t="e">
        <f>SUM(AB80:AB85)</f>
        <v>#REF!</v>
      </c>
      <c r="AC86" s="305" t="e">
        <f>SUM(AC80:AC85)</f>
        <v>#REF!</v>
      </c>
      <c r="AD86" s="306">
        <f>SUM(AD80:AD85)</f>
        <v>0</v>
      </c>
      <c r="AE86" s="298"/>
      <c r="AF86" s="304" t="e">
        <f>SUM(AF80:AF85)</f>
        <v>#REF!</v>
      </c>
      <c r="AG86" s="305" t="e">
        <f>SUM(AG80:AG85)</f>
        <v>#REF!</v>
      </c>
      <c r="AH86" s="306">
        <f>SUM(AH80:AH85)</f>
        <v>0</v>
      </c>
      <c r="AI86" s="298"/>
      <c r="AJ86" s="327" t="e">
        <f>SUM(AF86:AH86)/SUM(W86:Y86)</f>
        <v>#REF!</v>
      </c>
      <c r="AK86" s="328" t="e">
        <f t="shared" ref="AK86:AK93" si="128">SUM(AF86)/SUM(W86)</f>
        <v>#REF!</v>
      </c>
      <c r="AL86" s="298"/>
      <c r="AM86" s="304" t="e">
        <f>SUM(AM80:AM85)</f>
        <v>#REF!</v>
      </c>
      <c r="AN86" s="305">
        <f>SUM(AN80:AN85)</f>
        <v>0</v>
      </c>
      <c r="AO86" s="306" t="e">
        <f>SUM(AO80:AO85)</f>
        <v>#REF!</v>
      </c>
      <c r="AP86" s="298"/>
      <c r="AQ86" s="299"/>
      <c r="AR86" s="299"/>
      <c r="AS86" s="298"/>
    </row>
    <row r="87" spans="1:45" x14ac:dyDescent="0.2">
      <c r="A87" s="76">
        <f t="shared" si="116"/>
        <v>80</v>
      </c>
      <c r="B87" s="670" t="e">
        <f>#REF!</f>
        <v>#REF!</v>
      </c>
      <c r="C87" s="671" t="s">
        <v>4</v>
      </c>
      <c r="D87" s="152"/>
      <c r="E87" s="112">
        <f>ROUND('Rates in Detail'!Y73,5)</f>
        <v>3.3300000000000001E-3</v>
      </c>
      <c r="F87" s="112"/>
      <c r="G87" s="152"/>
      <c r="H87" s="362">
        <f>ROUND('Rates in Detail'!R73,5)</f>
        <v>0.14133000000000001</v>
      </c>
      <c r="I87" s="711">
        <f t="shared" si="118"/>
        <v>0.14466000000000001</v>
      </c>
      <c r="J87" s="152"/>
      <c r="K87" s="145" t="e">
        <f>#REF!</f>
        <v>#REF!</v>
      </c>
      <c r="L87" s="146" t="e">
        <f>#REF!</f>
        <v>#REF!</v>
      </c>
      <c r="M87" s="112">
        <f>'Rates in Detail'!AH73</f>
        <v>0</v>
      </c>
      <c r="N87" s="112">
        <f>'Rates in Detail'!AI73</f>
        <v>0</v>
      </c>
      <c r="O87" s="112">
        <f>'Rates in Detail'!AJ73</f>
        <v>0</v>
      </c>
      <c r="P87" s="711">
        <f>'Rates in Detail'!AK73</f>
        <v>0</v>
      </c>
      <c r="Q87" s="152"/>
      <c r="R87" s="287" t="e">
        <f>#REF!</f>
        <v>#REF!</v>
      </c>
      <c r="S87" s="300"/>
      <c r="T87" s="289" t="e">
        <f>#REF!</f>
        <v>#REF!</v>
      </c>
      <c r="U87" s="290" t="e">
        <f>#REF!</f>
        <v>#REF!</v>
      </c>
      <c r="V87" s="152"/>
      <c r="W87" s="302" t="e">
        <f t="shared" ref="W87:W92" si="129">(H87*R87)</f>
        <v>#REF!</v>
      </c>
      <c r="X87" s="298" t="e">
        <f t="shared" ref="X87:X92" si="130">(K87*T87*12)</f>
        <v>#REF!</v>
      </c>
      <c r="Y87" s="298">
        <f t="shared" ref="Y87:Y92" si="131">(S87*(M87+O87))*12</f>
        <v>0</v>
      </c>
      <c r="Z87" s="303"/>
      <c r="AA87" s="309"/>
      <c r="AB87" s="302" t="e">
        <f t="shared" ref="AB87:AB92" si="132">(I87*R87)</f>
        <v>#REF!</v>
      </c>
      <c r="AC87" s="298" t="e">
        <f t="shared" ref="AC87:AC92" si="133">(L87*T87*12)</f>
        <v>#REF!</v>
      </c>
      <c r="AD87" s="303">
        <f t="shared" ref="AD87:AD92" si="134">(S87*(N87+P87))*12</f>
        <v>0</v>
      </c>
      <c r="AE87" s="309"/>
      <c r="AF87" s="302" t="e">
        <f t="shared" ref="AF87:AH92" si="135">AB87-W87</f>
        <v>#REF!</v>
      </c>
      <c r="AG87" s="298" t="e">
        <f t="shared" si="135"/>
        <v>#REF!</v>
      </c>
      <c r="AH87" s="303">
        <f t="shared" si="135"/>
        <v>0</v>
      </c>
      <c r="AI87" s="309"/>
      <c r="AJ87" s="327"/>
      <c r="AK87" s="329" t="e">
        <f t="shared" si="128"/>
        <v>#REF!</v>
      </c>
      <c r="AL87" s="309"/>
      <c r="AM87" s="302" t="e">
        <f t="shared" ref="AM87:AM92" si="136">(F87*R87)</f>
        <v>#REF!</v>
      </c>
      <c r="AN87" s="298">
        <v>0</v>
      </c>
      <c r="AO87" s="303" t="e">
        <f t="shared" ref="AO87:AO92" si="137">(AE87*(Y87+AB87))*12</f>
        <v>#REF!</v>
      </c>
      <c r="AP87" s="309"/>
      <c r="AQ87" s="299"/>
      <c r="AR87" s="299"/>
      <c r="AS87" s="309"/>
    </row>
    <row r="88" spans="1:45" x14ac:dyDescent="0.2">
      <c r="A88" s="76">
        <f t="shared" si="116"/>
        <v>81</v>
      </c>
      <c r="B88" s="670"/>
      <c r="C88" s="671" t="s">
        <v>5</v>
      </c>
      <c r="D88" s="152"/>
      <c r="E88" s="112">
        <f>ROUND('Rates in Detail'!Y74,5)</f>
        <v>2.98E-3</v>
      </c>
      <c r="F88" s="112"/>
      <c r="G88" s="152"/>
      <c r="H88" s="362">
        <f>ROUND('Rates in Detail'!R74,5)</f>
        <v>0.12651000000000001</v>
      </c>
      <c r="I88" s="711">
        <f t="shared" si="118"/>
        <v>0.12949000000000002</v>
      </c>
      <c r="J88" s="152"/>
      <c r="K88" s="687"/>
      <c r="L88" s="361"/>
      <c r="M88" s="112"/>
      <c r="N88" s="112"/>
      <c r="O88" s="112"/>
      <c r="P88" s="711"/>
      <c r="Q88" s="152"/>
      <c r="R88" s="287" t="e">
        <f>#REF!</f>
        <v>#REF!</v>
      </c>
      <c r="S88" s="150"/>
      <c r="T88" s="147"/>
      <c r="U88" s="148"/>
      <c r="V88" s="152"/>
      <c r="W88" s="302" t="e">
        <f t="shared" si="129"/>
        <v>#REF!</v>
      </c>
      <c r="X88" s="298">
        <f t="shared" si="130"/>
        <v>0</v>
      </c>
      <c r="Y88" s="298">
        <f t="shared" si="131"/>
        <v>0</v>
      </c>
      <c r="Z88" s="303"/>
      <c r="AA88" s="309"/>
      <c r="AB88" s="302" t="e">
        <f t="shared" si="132"/>
        <v>#REF!</v>
      </c>
      <c r="AC88" s="298">
        <f t="shared" si="133"/>
        <v>0</v>
      </c>
      <c r="AD88" s="303">
        <f t="shared" si="134"/>
        <v>0</v>
      </c>
      <c r="AE88" s="309"/>
      <c r="AF88" s="302" t="e">
        <f t="shared" si="135"/>
        <v>#REF!</v>
      </c>
      <c r="AG88" s="298">
        <f t="shared" si="135"/>
        <v>0</v>
      </c>
      <c r="AH88" s="303">
        <f t="shared" si="135"/>
        <v>0</v>
      </c>
      <c r="AI88" s="309"/>
      <c r="AJ88" s="327"/>
      <c r="AK88" s="329" t="e">
        <f t="shared" si="128"/>
        <v>#REF!</v>
      </c>
      <c r="AL88" s="309"/>
      <c r="AM88" s="302" t="e">
        <f t="shared" si="136"/>
        <v>#REF!</v>
      </c>
      <c r="AN88" s="298">
        <v>0</v>
      </c>
      <c r="AO88" s="303" t="e">
        <f t="shared" si="137"/>
        <v>#REF!</v>
      </c>
      <c r="AP88" s="309"/>
      <c r="AQ88" s="299"/>
      <c r="AR88" s="146"/>
      <c r="AS88" s="309"/>
    </row>
    <row r="89" spans="1:45" x14ac:dyDescent="0.2">
      <c r="A89" s="76">
        <f t="shared" si="116"/>
        <v>82</v>
      </c>
      <c r="B89" s="670"/>
      <c r="C89" s="671" t="s">
        <v>6</v>
      </c>
      <c r="D89" s="152"/>
      <c r="E89" s="112">
        <f>ROUND('Rates in Detail'!Y75,5)</f>
        <v>2.2799999999999999E-3</v>
      </c>
      <c r="F89" s="112"/>
      <c r="G89" s="152"/>
      <c r="H89" s="362">
        <f>ROUND('Rates in Detail'!R75,5)</f>
        <v>9.7009999999999999E-2</v>
      </c>
      <c r="I89" s="711">
        <f t="shared" si="118"/>
        <v>9.9290000000000003E-2</v>
      </c>
      <c r="J89" s="152"/>
      <c r="K89" s="145"/>
      <c r="L89" s="146"/>
      <c r="M89" s="112"/>
      <c r="N89" s="112"/>
      <c r="O89" s="112"/>
      <c r="P89" s="711"/>
      <c r="Q89" s="152"/>
      <c r="R89" s="287" t="e">
        <f>#REF!</f>
        <v>#REF!</v>
      </c>
      <c r="S89" s="150"/>
      <c r="T89" s="147"/>
      <c r="U89" s="148"/>
      <c r="V89" s="152"/>
      <c r="W89" s="302" t="e">
        <f t="shared" si="129"/>
        <v>#REF!</v>
      </c>
      <c r="X89" s="298">
        <f t="shared" si="130"/>
        <v>0</v>
      </c>
      <c r="Y89" s="298">
        <f t="shared" si="131"/>
        <v>0</v>
      </c>
      <c r="Z89" s="303"/>
      <c r="AA89" s="309"/>
      <c r="AB89" s="302" t="e">
        <f t="shared" si="132"/>
        <v>#REF!</v>
      </c>
      <c r="AC89" s="298">
        <f t="shared" si="133"/>
        <v>0</v>
      </c>
      <c r="AD89" s="303">
        <f t="shared" si="134"/>
        <v>0</v>
      </c>
      <c r="AE89" s="309"/>
      <c r="AF89" s="302" t="e">
        <f t="shared" si="135"/>
        <v>#REF!</v>
      </c>
      <c r="AG89" s="298">
        <f t="shared" si="135"/>
        <v>0</v>
      </c>
      <c r="AH89" s="303">
        <f t="shared" si="135"/>
        <v>0</v>
      </c>
      <c r="AI89" s="309"/>
      <c r="AJ89" s="327"/>
      <c r="AK89" s="329" t="e">
        <f t="shared" si="128"/>
        <v>#REF!</v>
      </c>
      <c r="AL89" s="309"/>
      <c r="AM89" s="302" t="e">
        <f t="shared" si="136"/>
        <v>#REF!</v>
      </c>
      <c r="AN89" s="298">
        <v>0</v>
      </c>
      <c r="AO89" s="303" t="e">
        <f t="shared" si="137"/>
        <v>#REF!</v>
      </c>
      <c r="AP89" s="309"/>
      <c r="AQ89" s="299"/>
      <c r="AR89" s="146"/>
      <c r="AS89" s="309"/>
    </row>
    <row r="90" spans="1:45" x14ac:dyDescent="0.2">
      <c r="A90" s="76">
        <f t="shared" si="116"/>
        <v>83</v>
      </c>
      <c r="B90" s="670"/>
      <c r="C90" s="671" t="s">
        <v>7</v>
      </c>
      <c r="D90" s="152"/>
      <c r="E90" s="112">
        <f>ROUND('Rates in Detail'!Y76,5)</f>
        <v>1.83E-3</v>
      </c>
      <c r="F90" s="112"/>
      <c r="G90" s="152"/>
      <c r="H90" s="362">
        <f>ROUND('Rates in Detail'!R76,5)</f>
        <v>7.7619999999999995E-2</v>
      </c>
      <c r="I90" s="711">
        <f t="shared" si="118"/>
        <v>7.9449999999999993E-2</v>
      </c>
      <c r="J90" s="152"/>
      <c r="K90" s="145"/>
      <c r="L90" s="146"/>
      <c r="M90" s="112"/>
      <c r="N90" s="112"/>
      <c r="O90" s="112"/>
      <c r="P90" s="711"/>
      <c r="Q90" s="152"/>
      <c r="R90" s="287" t="e">
        <f>#REF!</f>
        <v>#REF!</v>
      </c>
      <c r="S90" s="150"/>
      <c r="T90" s="147"/>
      <c r="U90" s="148"/>
      <c r="V90" s="152"/>
      <c r="W90" s="302" t="e">
        <f t="shared" si="129"/>
        <v>#REF!</v>
      </c>
      <c r="X90" s="298">
        <f t="shared" si="130"/>
        <v>0</v>
      </c>
      <c r="Y90" s="298">
        <f t="shared" si="131"/>
        <v>0</v>
      </c>
      <c r="Z90" s="303"/>
      <c r="AA90" s="309"/>
      <c r="AB90" s="302" t="e">
        <f t="shared" si="132"/>
        <v>#REF!</v>
      </c>
      <c r="AC90" s="298">
        <f t="shared" si="133"/>
        <v>0</v>
      </c>
      <c r="AD90" s="303">
        <f t="shared" si="134"/>
        <v>0</v>
      </c>
      <c r="AE90" s="309"/>
      <c r="AF90" s="302" t="e">
        <f t="shared" si="135"/>
        <v>#REF!</v>
      </c>
      <c r="AG90" s="298">
        <f t="shared" si="135"/>
        <v>0</v>
      </c>
      <c r="AH90" s="303">
        <f t="shared" si="135"/>
        <v>0</v>
      </c>
      <c r="AI90" s="309"/>
      <c r="AJ90" s="327"/>
      <c r="AK90" s="329" t="e">
        <f t="shared" si="128"/>
        <v>#REF!</v>
      </c>
      <c r="AL90" s="309"/>
      <c r="AM90" s="302" t="e">
        <f t="shared" si="136"/>
        <v>#REF!</v>
      </c>
      <c r="AN90" s="298">
        <v>0</v>
      </c>
      <c r="AO90" s="303" t="e">
        <f t="shared" si="137"/>
        <v>#REF!</v>
      </c>
      <c r="AP90" s="309"/>
      <c r="AQ90" s="299"/>
      <c r="AR90" s="146"/>
      <c r="AS90" s="309"/>
    </row>
    <row r="91" spans="1:45" x14ac:dyDescent="0.2">
      <c r="A91" s="76">
        <f t="shared" si="116"/>
        <v>84</v>
      </c>
      <c r="B91" s="670"/>
      <c r="C91" s="671" t="s">
        <v>8</v>
      </c>
      <c r="D91" s="152"/>
      <c r="E91" s="112">
        <f>ROUND('Rates in Detail'!Y77,5)</f>
        <v>1.2199999999999999E-3</v>
      </c>
      <c r="F91" s="112"/>
      <c r="G91" s="152"/>
      <c r="H91" s="362">
        <f>ROUND('Rates in Detail'!R77,5)</f>
        <v>5.1749999999999997E-2</v>
      </c>
      <c r="I91" s="711">
        <f t="shared" si="118"/>
        <v>5.2969999999999996E-2</v>
      </c>
      <c r="J91" s="152"/>
      <c r="K91" s="145"/>
      <c r="L91" s="146"/>
      <c r="M91" s="112"/>
      <c r="N91" s="112"/>
      <c r="O91" s="112"/>
      <c r="P91" s="711"/>
      <c r="Q91" s="152"/>
      <c r="R91" s="287" t="e">
        <f>#REF!</f>
        <v>#REF!</v>
      </c>
      <c r="S91" s="150"/>
      <c r="T91" s="147"/>
      <c r="U91" s="148"/>
      <c r="V91" s="152"/>
      <c r="W91" s="302" t="e">
        <f t="shared" si="129"/>
        <v>#REF!</v>
      </c>
      <c r="X91" s="298">
        <f t="shared" si="130"/>
        <v>0</v>
      </c>
      <c r="Y91" s="298">
        <f t="shared" si="131"/>
        <v>0</v>
      </c>
      <c r="Z91" s="303"/>
      <c r="AA91" s="309"/>
      <c r="AB91" s="302" t="e">
        <f t="shared" si="132"/>
        <v>#REF!</v>
      </c>
      <c r="AC91" s="298">
        <f t="shared" si="133"/>
        <v>0</v>
      </c>
      <c r="AD91" s="303">
        <f t="shared" si="134"/>
        <v>0</v>
      </c>
      <c r="AE91" s="309"/>
      <c r="AF91" s="302" t="e">
        <f t="shared" si="135"/>
        <v>#REF!</v>
      </c>
      <c r="AG91" s="298">
        <f t="shared" si="135"/>
        <v>0</v>
      </c>
      <c r="AH91" s="303">
        <f t="shared" si="135"/>
        <v>0</v>
      </c>
      <c r="AI91" s="309"/>
      <c r="AJ91" s="327"/>
      <c r="AK91" s="329" t="e">
        <f t="shared" si="128"/>
        <v>#REF!</v>
      </c>
      <c r="AL91" s="309"/>
      <c r="AM91" s="302" t="e">
        <f t="shared" si="136"/>
        <v>#REF!</v>
      </c>
      <c r="AN91" s="298">
        <v>0</v>
      </c>
      <c r="AO91" s="303" t="e">
        <f t="shared" si="137"/>
        <v>#REF!</v>
      </c>
      <c r="AP91" s="309"/>
      <c r="AQ91" s="299"/>
      <c r="AR91" s="144"/>
      <c r="AS91" s="309"/>
    </row>
    <row r="92" spans="1:45" x14ac:dyDescent="0.2">
      <c r="A92" s="76">
        <f t="shared" si="116"/>
        <v>85</v>
      </c>
      <c r="B92" s="670"/>
      <c r="C92" s="671" t="s">
        <v>9</v>
      </c>
      <c r="D92" s="152"/>
      <c r="E92" s="112">
        <f>ROUND('Rates in Detail'!Y78,5)</f>
        <v>4.6000000000000001E-4</v>
      </c>
      <c r="F92" s="112"/>
      <c r="G92" s="152"/>
      <c r="H92" s="362">
        <f>ROUND('Rates in Detail'!R78,5)</f>
        <v>1.9400000000000001E-2</v>
      </c>
      <c r="I92" s="711">
        <f t="shared" si="118"/>
        <v>1.9859999999999999E-2</v>
      </c>
      <c r="J92" s="152"/>
      <c r="K92" s="145"/>
      <c r="L92" s="146"/>
      <c r="M92" s="112"/>
      <c r="N92" s="112"/>
      <c r="O92" s="112"/>
      <c r="P92" s="711"/>
      <c r="Q92" s="152"/>
      <c r="R92" s="287" t="e">
        <f>#REF!</f>
        <v>#REF!</v>
      </c>
      <c r="S92" s="150"/>
      <c r="T92" s="147"/>
      <c r="U92" s="148"/>
      <c r="V92" s="152"/>
      <c r="W92" s="302" t="e">
        <f t="shared" si="129"/>
        <v>#REF!</v>
      </c>
      <c r="X92" s="298">
        <f t="shared" si="130"/>
        <v>0</v>
      </c>
      <c r="Y92" s="298">
        <f t="shared" si="131"/>
        <v>0</v>
      </c>
      <c r="Z92" s="303"/>
      <c r="AA92" s="309"/>
      <c r="AB92" s="302" t="e">
        <f t="shared" si="132"/>
        <v>#REF!</v>
      </c>
      <c r="AC92" s="298">
        <f t="shared" si="133"/>
        <v>0</v>
      </c>
      <c r="AD92" s="303">
        <f t="shared" si="134"/>
        <v>0</v>
      </c>
      <c r="AE92" s="309"/>
      <c r="AF92" s="302" t="e">
        <f t="shared" si="135"/>
        <v>#REF!</v>
      </c>
      <c r="AG92" s="298">
        <f t="shared" si="135"/>
        <v>0</v>
      </c>
      <c r="AH92" s="303">
        <f t="shared" si="135"/>
        <v>0</v>
      </c>
      <c r="AI92" s="309"/>
      <c r="AJ92" s="327"/>
      <c r="AK92" s="329" t="e">
        <f t="shared" si="128"/>
        <v>#REF!</v>
      </c>
      <c r="AL92" s="309"/>
      <c r="AM92" s="302" t="e">
        <f t="shared" si="136"/>
        <v>#REF!</v>
      </c>
      <c r="AN92" s="298">
        <v>0</v>
      </c>
      <c r="AO92" s="303" t="e">
        <f t="shared" si="137"/>
        <v>#REF!</v>
      </c>
      <c r="AP92" s="309"/>
      <c r="AQ92" s="299"/>
      <c r="AR92" s="144"/>
      <c r="AS92" s="309"/>
    </row>
    <row r="93" spans="1:45" x14ac:dyDescent="0.2">
      <c r="A93" s="76">
        <f t="shared" si="116"/>
        <v>86</v>
      </c>
      <c r="B93" s="668"/>
      <c r="C93" s="686" t="s">
        <v>62</v>
      </c>
      <c r="D93" s="153"/>
      <c r="E93" s="113"/>
      <c r="F93" s="113"/>
      <c r="G93" s="153"/>
      <c r="H93" s="357"/>
      <c r="I93" s="710"/>
      <c r="J93" s="152"/>
      <c r="K93" s="145"/>
      <c r="L93" s="146"/>
      <c r="M93" s="112"/>
      <c r="N93" s="112"/>
      <c r="O93" s="112"/>
      <c r="P93" s="711"/>
      <c r="Q93" s="152"/>
      <c r="R93" s="287"/>
      <c r="S93" s="150"/>
      <c r="T93" s="147"/>
      <c r="U93" s="148"/>
      <c r="V93" s="152"/>
      <c r="W93" s="304" t="e">
        <f>SUM(W87:W92)</f>
        <v>#REF!</v>
      </c>
      <c r="X93" s="305" t="e">
        <f>SUM(X87:X92)</f>
        <v>#REF!</v>
      </c>
      <c r="Y93" s="305">
        <f>SUM(Y87:Y92)</f>
        <v>0</v>
      </c>
      <c r="Z93" s="306" t="e">
        <f>'Rate Spread SETTLEMENT'!X$76-SUM(W93:Y93)</f>
        <v>#REF!</v>
      </c>
      <c r="AA93" s="309"/>
      <c r="AB93" s="304" t="e">
        <f>SUM(AB87:AB92)</f>
        <v>#REF!</v>
      </c>
      <c r="AC93" s="305" t="e">
        <f>SUM(AC87:AC92)</f>
        <v>#REF!</v>
      </c>
      <c r="AD93" s="306">
        <f>SUM(AD87:AD92)</f>
        <v>0</v>
      </c>
      <c r="AE93" s="309"/>
      <c r="AF93" s="304" t="e">
        <f>SUM(AF87:AF92)</f>
        <v>#REF!</v>
      </c>
      <c r="AG93" s="305" t="e">
        <f>SUM(AG87:AG92)</f>
        <v>#REF!</v>
      </c>
      <c r="AH93" s="306">
        <f>SUM(AH87:AH92)</f>
        <v>0</v>
      </c>
      <c r="AI93" s="309"/>
      <c r="AJ93" s="327" t="e">
        <f>SUM(AF93:AH93)/SUM(W93:Y93)</f>
        <v>#REF!</v>
      </c>
      <c r="AK93" s="328" t="e">
        <f t="shared" si="128"/>
        <v>#REF!</v>
      </c>
      <c r="AL93" s="309"/>
      <c r="AM93" s="304" t="e">
        <f>SUM(AM87:AM92)</f>
        <v>#REF!</v>
      </c>
      <c r="AN93" s="305">
        <f>SUM(AN87:AN92)</f>
        <v>0</v>
      </c>
      <c r="AO93" s="306" t="e">
        <f>SUM(AO87:AO92)</f>
        <v>#REF!</v>
      </c>
      <c r="AP93" s="309"/>
      <c r="AQ93" s="299"/>
      <c r="AR93" s="144"/>
      <c r="AS93" s="309"/>
    </row>
    <row r="94" spans="1:45" x14ac:dyDescent="0.2">
      <c r="A94" s="76">
        <f t="shared" si="116"/>
        <v>87</v>
      </c>
      <c r="B94" s="668" t="e">
        <f>#REF!</f>
        <v>#REF!</v>
      </c>
      <c r="C94" s="668" t="s">
        <v>248</v>
      </c>
      <c r="D94" s="152"/>
      <c r="E94" s="381">
        <f>ROUND('Rates in Detail'!Y79,5)</f>
        <v>0</v>
      </c>
      <c r="F94" s="381"/>
      <c r="G94" s="152"/>
      <c r="H94" s="382">
        <f>ROUND('Rates in Detail'!R79,5)</f>
        <v>4.9100000000000003E-3</v>
      </c>
      <c r="I94" s="712">
        <f t="shared" si="118"/>
        <v>4.9100000000000003E-3</v>
      </c>
      <c r="J94" s="152"/>
      <c r="K94" s="145" t="e">
        <f>#REF!</f>
        <v>#REF!</v>
      </c>
      <c r="L94" s="146" t="e">
        <f>#REF!</f>
        <v>#REF!</v>
      </c>
      <c r="M94" s="112">
        <f>'Rates in Detail'!AH79</f>
        <v>0.15748000000000001</v>
      </c>
      <c r="N94" s="112">
        <f>'Rates in Detail'!AI79</f>
        <v>0</v>
      </c>
      <c r="O94" s="112">
        <f>'Rates in Detail'!AJ79</f>
        <v>0</v>
      </c>
      <c r="P94" s="711">
        <f>'Rates in Detail'!AK79</f>
        <v>0</v>
      </c>
      <c r="Q94" s="152"/>
      <c r="R94" s="287" t="e">
        <f>#REF!</f>
        <v>#REF!</v>
      </c>
      <c r="S94" s="300"/>
      <c r="T94" s="289" t="e">
        <f>#REF!</f>
        <v>#REF!</v>
      </c>
      <c r="U94" s="290" t="e">
        <f>#REF!</f>
        <v>#REF!</v>
      </c>
      <c r="V94" s="152"/>
      <c r="W94" s="295" t="e">
        <f t="shared" ref="W94:W96" si="138">(H94*R94)</f>
        <v>#REF!</v>
      </c>
      <c r="X94" s="296" t="e">
        <f t="shared" ref="X94:X96" si="139">(K94*T94*12)</f>
        <v>#REF!</v>
      </c>
      <c r="Y94" s="296">
        <f>(S94*(M94+O94))*12</f>
        <v>0</v>
      </c>
      <c r="Z94" s="297"/>
      <c r="AA94" s="310"/>
      <c r="AB94" s="295" t="e">
        <f>(I94*R94)</f>
        <v>#REF!</v>
      </c>
      <c r="AC94" s="296" t="e">
        <f>(L94*T94*12)</f>
        <v>#REF!</v>
      </c>
      <c r="AD94" s="297">
        <f>(S94*(N94+P94))*12</f>
        <v>0</v>
      </c>
      <c r="AE94" s="310"/>
      <c r="AF94" s="295" t="e">
        <f t="shared" ref="AF94:AH96" si="140">AB94-W94</f>
        <v>#REF!</v>
      </c>
      <c r="AG94" s="296" t="e">
        <f t="shared" si="140"/>
        <v>#REF!</v>
      </c>
      <c r="AH94" s="297">
        <f t="shared" si="140"/>
        <v>0</v>
      </c>
      <c r="AI94" s="309"/>
      <c r="AJ94" s="327"/>
      <c r="AK94" s="328"/>
      <c r="AL94" s="309"/>
      <c r="AM94" s="295" t="e">
        <f>(F94*R94)</f>
        <v>#REF!</v>
      </c>
      <c r="AN94" s="296">
        <v>0</v>
      </c>
      <c r="AO94" s="297" t="e">
        <f t="shared" ref="AO94:AO96" si="141">(AE94*(Y94+AB94))*12</f>
        <v>#REF!</v>
      </c>
      <c r="AP94" s="309"/>
      <c r="AQ94" s="144"/>
      <c r="AR94" s="144"/>
      <c r="AS94" s="309"/>
    </row>
    <row r="95" spans="1:45" x14ac:dyDescent="0.2">
      <c r="A95" s="76">
        <f t="shared" si="116"/>
        <v>88</v>
      </c>
      <c r="B95" s="668" t="e">
        <f>#REF!</f>
        <v>#REF!</v>
      </c>
      <c r="C95" s="669" t="s">
        <v>248</v>
      </c>
      <c r="D95" s="152"/>
      <c r="E95" s="381">
        <f>ROUND('Rates in Detail'!Y80,5)</f>
        <v>0</v>
      </c>
      <c r="F95" s="381"/>
      <c r="G95" s="152"/>
      <c r="H95" s="385">
        <f>ROUND('Rates in Detail'!R80,5)</f>
        <v>4.9100000000000003E-3</v>
      </c>
      <c r="I95" s="713">
        <f t="shared" si="118"/>
        <v>4.9100000000000003E-3</v>
      </c>
      <c r="J95" s="152"/>
      <c r="K95" s="145" t="e">
        <f>#REF!</f>
        <v>#REF!</v>
      </c>
      <c r="L95" s="146" t="e">
        <f>#REF!</f>
        <v>#REF!</v>
      </c>
      <c r="M95" s="112">
        <f>'Rates in Detail'!AH80</f>
        <v>0</v>
      </c>
      <c r="N95" s="112">
        <f>'Rates in Detail'!AI80</f>
        <v>0</v>
      </c>
      <c r="O95" s="112">
        <f>'Rates in Detail'!AJ80</f>
        <v>0</v>
      </c>
      <c r="P95" s="711">
        <f>'Rates in Detail'!AK80</f>
        <v>0</v>
      </c>
      <c r="Q95" s="152"/>
      <c r="R95" s="287" t="e">
        <f>#REF!</f>
        <v>#REF!</v>
      </c>
      <c r="S95" s="150"/>
      <c r="T95" s="289" t="e">
        <f>#REF!</f>
        <v>#REF!</v>
      </c>
      <c r="U95" s="290" t="e">
        <f>#REF!</f>
        <v>#REF!</v>
      </c>
      <c r="V95" s="152"/>
      <c r="W95" s="311" t="e">
        <f t="shared" si="138"/>
        <v>#REF!</v>
      </c>
      <c r="X95" s="310" t="e">
        <f t="shared" si="139"/>
        <v>#REF!</v>
      </c>
      <c r="Y95" s="310">
        <f>(S95*(M95+O95))*12</f>
        <v>0</v>
      </c>
      <c r="Z95" s="312"/>
      <c r="AA95" s="309"/>
      <c r="AB95" s="311" t="e">
        <f>(I95*R95)</f>
        <v>#REF!</v>
      </c>
      <c r="AC95" s="310" t="e">
        <f>(L95*T95*12)</f>
        <v>#REF!</v>
      </c>
      <c r="AD95" s="312">
        <f>(S95*(N95+P95))*12</f>
        <v>0</v>
      </c>
      <c r="AE95" s="309"/>
      <c r="AF95" s="311" t="e">
        <f t="shared" si="140"/>
        <v>#REF!</v>
      </c>
      <c r="AG95" s="310" t="e">
        <f t="shared" si="140"/>
        <v>#REF!</v>
      </c>
      <c r="AH95" s="312">
        <f t="shared" si="140"/>
        <v>0</v>
      </c>
      <c r="AI95" s="309"/>
      <c r="AJ95" s="309"/>
      <c r="AK95" s="309"/>
      <c r="AL95" s="309"/>
      <c r="AM95" s="311" t="e">
        <f>(F95*R95)</f>
        <v>#REF!</v>
      </c>
      <c r="AN95" s="310">
        <v>0</v>
      </c>
      <c r="AO95" s="312" t="e">
        <f t="shared" si="141"/>
        <v>#REF!</v>
      </c>
      <c r="AP95" s="309"/>
      <c r="AQ95" s="144"/>
      <c r="AR95" s="144"/>
      <c r="AS95" s="309"/>
    </row>
    <row r="96" spans="1:45" ht="13.5" thickBot="1" x14ac:dyDescent="0.25">
      <c r="A96" s="76">
        <f t="shared" si="116"/>
        <v>89</v>
      </c>
      <c r="B96" s="716" t="e">
        <f>#REF!</f>
        <v>#REF!</v>
      </c>
      <c r="C96" s="717" t="s">
        <v>248</v>
      </c>
      <c r="D96" s="156"/>
      <c r="E96" s="718">
        <f>ROUND('Rates in Detail'!Y81,5)</f>
        <v>0</v>
      </c>
      <c r="F96" s="773"/>
      <c r="G96" s="719"/>
      <c r="H96" s="714">
        <f>ROUND('Rates in Detail'!R81,5)</f>
        <v>0</v>
      </c>
      <c r="I96" s="715">
        <f t="shared" si="118"/>
        <v>0</v>
      </c>
      <c r="J96" s="152"/>
      <c r="K96" s="722" t="e">
        <f>#REF!</f>
        <v>#REF!</v>
      </c>
      <c r="L96" s="723" t="e">
        <f>#REF!</f>
        <v>#REF!</v>
      </c>
      <c r="M96" s="732">
        <f>'Rates in Detail'!AH81</f>
        <v>0</v>
      </c>
      <c r="N96" s="732">
        <f>'Rates in Detail'!AI81</f>
        <v>0</v>
      </c>
      <c r="O96" s="732">
        <f>'Rates in Detail'!AJ81</f>
        <v>0</v>
      </c>
      <c r="P96" s="715">
        <f>'Rates in Detail'!AK81</f>
        <v>0</v>
      </c>
      <c r="Q96" s="152"/>
      <c r="R96" s="733" t="e">
        <f>#REF!</f>
        <v>#REF!</v>
      </c>
      <c r="S96" s="157"/>
      <c r="T96" s="738" t="e">
        <f>#REF!</f>
        <v>#REF!</v>
      </c>
      <c r="U96" s="739" t="e">
        <f>#REF!</f>
        <v>#REF!</v>
      </c>
      <c r="V96" s="152"/>
      <c r="W96" s="582" t="e">
        <f t="shared" si="138"/>
        <v>#REF!</v>
      </c>
      <c r="X96" s="583" t="e">
        <f t="shared" si="139"/>
        <v>#REF!</v>
      </c>
      <c r="Y96" s="583">
        <f>(S96*(M96+O96))*12</f>
        <v>0</v>
      </c>
      <c r="Z96" s="584"/>
      <c r="AA96" s="309"/>
      <c r="AB96" s="313" t="e">
        <f>(I96*R96)</f>
        <v>#REF!</v>
      </c>
      <c r="AC96" s="314" t="e">
        <f>(L96*T96*12)</f>
        <v>#REF!</v>
      </c>
      <c r="AD96" s="315">
        <f>(S96*(N96+P96))*12</f>
        <v>0</v>
      </c>
      <c r="AE96" s="309"/>
      <c r="AF96" s="313" t="e">
        <f t="shared" si="140"/>
        <v>#REF!</v>
      </c>
      <c r="AG96" s="314" t="e">
        <f t="shared" si="140"/>
        <v>#REF!</v>
      </c>
      <c r="AH96" s="315">
        <f t="shared" si="140"/>
        <v>0</v>
      </c>
      <c r="AI96" s="309"/>
      <c r="AJ96" s="309"/>
      <c r="AK96" s="309"/>
      <c r="AL96" s="309"/>
      <c r="AM96" s="582" t="e">
        <f>(F96*R96)</f>
        <v>#REF!</v>
      </c>
      <c r="AN96" s="583">
        <v>0</v>
      </c>
      <c r="AO96" s="584" t="e">
        <f t="shared" si="141"/>
        <v>#REF!</v>
      </c>
      <c r="AP96" s="309"/>
      <c r="AQ96" s="152"/>
      <c r="AR96" s="152"/>
      <c r="AS96" s="309"/>
    </row>
    <row r="97" spans="1:45" x14ac:dyDescent="0.2">
      <c r="A97" s="76">
        <f t="shared" si="116"/>
        <v>90</v>
      </c>
      <c r="F97" s="1042"/>
    </row>
    <row r="98" spans="1:45" x14ac:dyDescent="0.2">
      <c r="A98" s="76">
        <f t="shared" si="116"/>
        <v>91</v>
      </c>
      <c r="B98" s="158" t="s">
        <v>45</v>
      </c>
    </row>
    <row r="99" spans="1:45" x14ac:dyDescent="0.2">
      <c r="A99" s="76">
        <f t="shared" si="116"/>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02"/>
      <c r="AJ99" s="702"/>
      <c r="AK99" s="702"/>
      <c r="AL99" s="702"/>
      <c r="AM99" s="735"/>
      <c r="AN99" s="735"/>
      <c r="AO99" s="735"/>
      <c r="AP99" s="736"/>
      <c r="AS99" s="45"/>
    </row>
    <row r="100" spans="1:45" x14ac:dyDescent="0.2">
      <c r="A100" s="76">
        <f t="shared" si="116"/>
        <v>93</v>
      </c>
      <c r="B100" s="159"/>
      <c r="R100" s="316"/>
      <c r="S100" s="316"/>
      <c r="T100" s="316"/>
    </row>
    <row r="101" spans="1:45" x14ac:dyDescent="0.2">
      <c r="A101" s="76">
        <f t="shared" si="116"/>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37"/>
      <c r="AS101" s="45"/>
    </row>
    <row r="102" spans="1:45" x14ac:dyDescent="0.2">
      <c r="A102" s="76">
        <f t="shared" si="116"/>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37"/>
      <c r="AS102" s="45"/>
    </row>
    <row r="103" spans="1:45" x14ac:dyDescent="0.2">
      <c r="A103" s="76"/>
      <c r="B103" s="159"/>
      <c r="F103" s="1042"/>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BF105"/>
  <sheetViews>
    <sheetView workbookViewId="0">
      <pane xSplit="4" ySplit="13" topLeftCell="AM14" activePane="bottomRight" state="frozen"/>
      <selection activeCell="A5" sqref="A5"/>
      <selection pane="topRight" activeCell="A5" sqref="A5"/>
      <selection pane="bottomLeft" activeCell="A5" sqref="A5"/>
      <selection pane="bottomRight" activeCell="A5" sqref="A5"/>
    </sheetView>
  </sheetViews>
  <sheetFormatPr defaultColWidth="9.33203125" defaultRowHeight="12.75" outlineLevelCol="1" x14ac:dyDescent="0.2"/>
  <cols>
    <col min="1" max="1" width="6.83203125" style="45" customWidth="1"/>
    <col min="2" max="2" width="19" style="46" customWidth="1"/>
    <col min="3" max="3" width="10.33203125" style="46" customWidth="1"/>
    <col min="4" max="4" width="2.83203125" style="46" customWidth="1"/>
    <col min="5" max="5" width="17.1640625" style="46" hidden="1" customWidth="1"/>
    <col min="6" max="11" width="14.83203125" style="46" customWidth="1"/>
    <col min="12" max="12" width="2.83203125" style="46" customWidth="1"/>
    <col min="13" max="13" width="19.33203125" style="46" hidden="1" customWidth="1"/>
    <col min="14" max="14" width="17.1640625" style="46" customWidth="1"/>
    <col min="15" max="17" width="15.83203125" style="46" customWidth="1"/>
    <col min="18" max="18" width="2.83203125" style="46" customWidth="1"/>
    <col min="19" max="21" width="15.83203125" style="46" hidden="1" customWidth="1" outlineLevel="1"/>
    <col min="22" max="22" width="2.83203125" style="46" hidden="1" customWidth="1" outlineLevel="1"/>
    <col min="23" max="23" width="15.83203125" style="46" customWidth="1" collapsed="1"/>
    <col min="24" max="25" width="15.83203125" style="46" customWidth="1"/>
    <col min="26" max="26" width="2.83203125" style="46" customWidth="1"/>
    <col min="27" max="29" width="15.83203125" style="46" customWidth="1"/>
    <col min="30" max="30" width="2.83203125" style="46" customWidth="1"/>
    <col min="31" max="31" width="15.83203125" style="46" customWidth="1" collapsed="1"/>
    <col min="32" max="33" width="15.83203125" style="46" customWidth="1"/>
    <col min="34" max="34" width="2.83203125" style="46" customWidth="1"/>
    <col min="35" max="35" width="15.83203125" style="46" customWidth="1" collapsed="1"/>
    <col min="36" max="37" width="15.83203125" style="46" customWidth="1"/>
    <col min="38" max="38" width="2.83203125" style="46" customWidth="1"/>
    <col min="39" max="41" width="15.83203125" style="46" customWidth="1"/>
    <col min="42" max="42" width="2.83203125" style="46" customWidth="1"/>
    <col min="43" max="45" width="15.83203125" style="46" customWidth="1"/>
    <col min="46" max="46" width="2.83203125" style="46" customWidth="1"/>
    <col min="47" max="49" width="15.83203125" style="46" customWidth="1"/>
    <col min="50" max="50" width="2.83203125" style="46" customWidth="1"/>
    <col min="51" max="51" width="23.83203125" style="46" customWidth="1"/>
    <col min="52" max="52" width="22.1640625" style="46" customWidth="1"/>
    <col min="53" max="53" width="2.83203125" style="46" customWidth="1"/>
    <col min="54" max="54" width="9.33203125" style="45"/>
    <col min="55" max="55" width="15.6640625" style="45" bestFit="1" customWidth="1"/>
    <col min="56" max="16384" width="9.33203125" style="45"/>
  </cols>
  <sheetData>
    <row r="1" spans="1:58" ht="15.75" thickBot="1" x14ac:dyDescent="0.3">
      <c r="A1" s="163" t="e">
        <f>+#REF!</f>
        <v>#REF!</v>
      </c>
    </row>
    <row r="2" spans="1:58" ht="15.75" thickBot="1" x14ac:dyDescent="0.3">
      <c r="A2" s="163" t="e">
        <f>+#REF!</f>
        <v>#REF!</v>
      </c>
      <c r="E2" s="130"/>
      <c r="F2" s="130"/>
      <c r="N2" s="253"/>
      <c r="P2" s="254"/>
      <c r="S2" s="255" t="s">
        <v>95</v>
      </c>
      <c r="T2" s="256" t="s">
        <v>96</v>
      </c>
      <c r="U2" s="257" t="s">
        <v>80</v>
      </c>
      <c r="W2" s="255" t="s">
        <v>95</v>
      </c>
      <c r="X2" s="256" t="s">
        <v>96</v>
      </c>
      <c r="Y2" s="257" t="s">
        <v>80</v>
      </c>
      <c r="AA2" s="255" t="s">
        <v>95</v>
      </c>
      <c r="AB2" s="256" t="s">
        <v>96</v>
      </c>
      <c r="AC2" s="257" t="s">
        <v>80</v>
      </c>
      <c r="AD2" s="135"/>
      <c r="AE2" s="255" t="s">
        <v>95</v>
      </c>
      <c r="AF2" s="256" t="s">
        <v>96</v>
      </c>
      <c r="AG2" s="257" t="s">
        <v>80</v>
      </c>
      <c r="AI2" s="255" t="s">
        <v>95</v>
      </c>
      <c r="AJ2" s="256" t="s">
        <v>96</v>
      </c>
      <c r="AK2" s="257" t="s">
        <v>80</v>
      </c>
      <c r="AM2" s="255" t="s">
        <v>95</v>
      </c>
      <c r="AN2" s="256" t="s">
        <v>96</v>
      </c>
      <c r="AO2" s="257" t="s">
        <v>80</v>
      </c>
      <c r="AP2" s="135"/>
      <c r="AQ2" s="255" t="s">
        <v>95</v>
      </c>
      <c r="AR2" s="256" t="s">
        <v>96</v>
      </c>
      <c r="AS2" s="257" t="s">
        <v>80</v>
      </c>
      <c r="AU2" s="255" t="s">
        <v>95</v>
      </c>
      <c r="AV2" s="256" t="s">
        <v>96</v>
      </c>
      <c r="AW2" s="257" t="s">
        <v>80</v>
      </c>
      <c r="AY2" s="1629" t="s">
        <v>244</v>
      </c>
      <c r="AZ2" s="1630"/>
    </row>
    <row r="3" spans="1:58" ht="15" x14ac:dyDescent="0.25">
      <c r="A3" s="163" t="e">
        <f>+#REF!</f>
        <v>#REF!</v>
      </c>
      <c r="E3" s="130"/>
      <c r="F3" s="130"/>
      <c r="N3" s="253"/>
      <c r="S3" s="258" t="e">
        <f>SUM(S14:S19)+S22+S28+S31+S37+S44+S51+S58+S65+S72+S79+S93+S94+S25+S34+S86+S95+S96</f>
        <v>#REF!</v>
      </c>
      <c r="T3" s="259">
        <f t="shared" ref="T3:U3" si="0">SUM(T14:T19)+T22+T28+T31+T37+T44+T51+T58+T65+T72+T79+T93+T94+T25+T34+T86+T95+T96</f>
        <v>0</v>
      </c>
      <c r="U3" s="260">
        <f t="shared" si="0"/>
        <v>0</v>
      </c>
      <c r="W3" s="258" t="e">
        <f t="shared" ref="W3:Y3" si="1">SUM(W14:W19)+W22+W28+W31+W37+W44+W51+W58+W65+W72+W79+W93+W94+W25+W34+W86+W95+W96</f>
        <v>#REF!</v>
      </c>
      <c r="X3" s="259">
        <f t="shared" si="1"/>
        <v>0</v>
      </c>
      <c r="Y3" s="260">
        <f t="shared" si="1"/>
        <v>0</v>
      </c>
      <c r="AA3" s="258" t="e">
        <f>SUM(AA14:AA19)+AA22+AA28+AA31+AA37+AA44+AA51+AA58+AA65+AA72+AA79+AA93+AA94+AA25+AA34+AA86+AA95+AA96</f>
        <v>#REF!</v>
      </c>
      <c r="AB3" s="259">
        <f t="shared" ref="AB3:AC3" si="2">SUM(AB14:AB19)+AB22+AB28+AB31+AB37+AB44+AB51+AB58+AB65+AB72+AB79+AB93+AB94+AB25+AB34+AB86+AB95+AB96</f>
        <v>0</v>
      </c>
      <c r="AC3" s="260">
        <f t="shared" si="2"/>
        <v>0</v>
      </c>
      <c r="AD3" s="259"/>
      <c r="AE3" s="258" t="e">
        <f t="shared" ref="AE3:AG3" si="3">SUM(AE14:AE19)+AE22+AE28+AE31+AE37+AE44+AE51+AE58+AE65+AE72+AE79+AE93+AE94+AE25+AE34+AE86+AE95+AE96</f>
        <v>#REF!</v>
      </c>
      <c r="AF3" s="259">
        <f t="shared" si="3"/>
        <v>0</v>
      </c>
      <c r="AG3" s="260">
        <f t="shared" si="3"/>
        <v>0</v>
      </c>
      <c r="AI3" s="258" t="e">
        <f t="shared" ref="AI3:AK3" si="4">SUM(AI14:AI19)+AI22+AI28+AI31+AI37+AI44+AI51+AI58+AI65+AI72+AI79+AI93+AI94+AI25+AI34+AI86+AI95+AI96</f>
        <v>#REF!</v>
      </c>
      <c r="AJ3" s="259">
        <f t="shared" si="4"/>
        <v>0</v>
      </c>
      <c r="AK3" s="260">
        <f t="shared" si="4"/>
        <v>0</v>
      </c>
      <c r="AM3" s="258" t="e">
        <f>SUM(AM14:AM19)+AM22+AM28+AM31+AM37+AM44+AM51+AM58+AM65+AM72+AM79+AM93+AM94+AM25+AM34+AM86+AM95+AM96</f>
        <v>#REF!</v>
      </c>
      <c r="AN3" s="259">
        <f t="shared" ref="AN3:AO3" si="5">SUM(AN14:AN19)+AN22+AN28+AN31+AN37+AN44+AN51+AN58+AN65+AN72+AN79+AN93+AN94+AN25+AN34+AN86+AN95+AN96</f>
        <v>0</v>
      </c>
      <c r="AO3" s="260">
        <f t="shared" si="5"/>
        <v>0</v>
      </c>
      <c r="AP3" s="259"/>
      <c r="AQ3" s="258" t="e">
        <f t="shared" ref="AQ3:AS3" si="6">SUM(AQ14:AQ19)+AQ22+AQ28+AQ31+AQ37+AQ44+AQ51+AQ58+AQ65+AQ72+AQ79+AQ93+AQ94+AQ25+AQ34+AQ86+AQ95+AQ96</f>
        <v>#REF!</v>
      </c>
      <c r="AR3" s="259">
        <f t="shared" si="6"/>
        <v>0</v>
      </c>
      <c r="AS3" s="260">
        <f t="shared" si="6"/>
        <v>0</v>
      </c>
      <c r="AU3" s="258" t="e">
        <f t="shared" ref="AU3:AW3" si="7">SUM(AU14:AU19)+AU22+AU28+AU31+AU37+AU44+AU51+AU58+AU65+AU72+AU79+AU93+AU94+AU25+AU34+AU86+AU95+AU96</f>
        <v>#REF!</v>
      </c>
      <c r="AV3" s="259">
        <f t="shared" si="7"/>
        <v>0</v>
      </c>
      <c r="AW3" s="260">
        <f t="shared" si="7"/>
        <v>0</v>
      </c>
      <c r="AY3" s="158" t="s">
        <v>332</v>
      </c>
      <c r="AZ3" s="261"/>
    </row>
    <row r="4" spans="1:58" ht="15" x14ac:dyDescent="0.25">
      <c r="A4" s="163" t="s">
        <v>498</v>
      </c>
      <c r="D4" s="130"/>
      <c r="E4" s="130"/>
      <c r="F4" s="130"/>
      <c r="L4" s="130"/>
      <c r="M4" s="130"/>
      <c r="N4" s="253"/>
      <c r="R4" s="130"/>
      <c r="S4" s="262"/>
      <c r="T4" s="45"/>
      <c r="U4" s="263" t="s">
        <v>62</v>
      </c>
      <c r="V4" s="130"/>
      <c r="W4" s="262"/>
      <c r="X4" s="45"/>
      <c r="Y4" s="263" t="s">
        <v>62</v>
      </c>
      <c r="Z4" s="130"/>
      <c r="AA4" s="262"/>
      <c r="AB4" s="45"/>
      <c r="AC4" s="263" t="s">
        <v>62</v>
      </c>
      <c r="AD4" s="135"/>
      <c r="AE4" s="262"/>
      <c r="AF4" s="45"/>
      <c r="AG4" s="263" t="s">
        <v>62</v>
      </c>
      <c r="AH4" s="130"/>
      <c r="AI4" s="262"/>
      <c r="AJ4" s="45"/>
      <c r="AK4" s="263" t="s">
        <v>62</v>
      </c>
      <c r="AL4" s="130"/>
      <c r="AM4" s="262"/>
      <c r="AN4" s="45"/>
      <c r="AO4" s="263" t="s">
        <v>62</v>
      </c>
      <c r="AP4" s="135"/>
      <c r="AQ4" s="262"/>
      <c r="AR4" s="45"/>
      <c r="AS4" s="263" t="s">
        <v>62</v>
      </c>
      <c r="AT4" s="130"/>
      <c r="AU4" s="262"/>
      <c r="AV4" s="45"/>
      <c r="AW4" s="263" t="s">
        <v>62</v>
      </c>
      <c r="AX4" s="130"/>
      <c r="AY4" s="46" t="s">
        <v>377</v>
      </c>
      <c r="AZ4" s="261" t="e">
        <f>Y5</f>
        <v>#REF!</v>
      </c>
    </row>
    <row r="5" spans="1:58" ht="15.75" thickBot="1" x14ac:dyDescent="0.3">
      <c r="A5" s="741"/>
      <c r="E5" s="130"/>
      <c r="F5" s="130"/>
      <c r="S5" s="264"/>
      <c r="T5" s="265"/>
      <c r="U5" s="266" t="e">
        <f>SUM(S3:U3)</f>
        <v>#REF!</v>
      </c>
      <c r="W5" s="264"/>
      <c r="X5" s="265"/>
      <c r="Y5" s="266" t="e">
        <f>SUM(W3:Y3)</f>
        <v>#REF!</v>
      </c>
      <c r="AA5" s="264"/>
      <c r="AB5" s="265"/>
      <c r="AC5" s="266" t="e">
        <f>SUM(AA3:AC3)</f>
        <v>#REF!</v>
      </c>
      <c r="AD5" s="259"/>
      <c r="AE5" s="264"/>
      <c r="AF5" s="265"/>
      <c r="AG5" s="266" t="e">
        <f>SUM(AE3:AG3)</f>
        <v>#REF!</v>
      </c>
      <c r="AI5" s="264"/>
      <c r="AJ5" s="265"/>
      <c r="AK5" s="266" t="e">
        <f>SUM(AI3:AK3)</f>
        <v>#REF!</v>
      </c>
      <c r="AM5" s="264"/>
      <c r="AN5" s="265"/>
      <c r="AO5" s="266" t="e">
        <f>SUM(AM3:AO3)</f>
        <v>#REF!</v>
      </c>
      <c r="AP5" s="259"/>
      <c r="AQ5" s="264"/>
      <c r="AR5" s="265"/>
      <c r="AS5" s="266" t="e">
        <f>SUM(AQ3:AS3)</f>
        <v>#REF!</v>
      </c>
      <c r="AU5" s="264"/>
      <c r="AV5" s="265"/>
      <c r="AW5" s="266" t="e">
        <f>SUM(AU3:AW3)</f>
        <v>#REF!</v>
      </c>
      <c r="AY5" s="46" t="s">
        <v>317</v>
      </c>
      <c r="AZ5" s="261" t="e">
        <f>AC5</f>
        <v>#REF!</v>
      </c>
    </row>
    <row r="6" spans="1:58" ht="15.75" thickBot="1" x14ac:dyDescent="0.3">
      <c r="A6" s="122"/>
      <c r="E6" s="130"/>
      <c r="F6" s="130"/>
      <c r="S6" s="45"/>
      <c r="T6" s="267" t="s">
        <v>166</v>
      </c>
      <c r="U6" s="259"/>
      <c r="W6" s="45"/>
      <c r="X6" s="267" t="s">
        <v>166</v>
      </c>
      <c r="Y6" s="259"/>
      <c r="AA6" s="45"/>
      <c r="AB6" s="267" t="s">
        <v>166</v>
      </c>
      <c r="AC6" s="259"/>
      <c r="AD6" s="259"/>
      <c r="AE6" s="45"/>
      <c r="AF6" s="267" t="s">
        <v>166</v>
      </c>
      <c r="AG6" s="259"/>
      <c r="AI6" s="45"/>
      <c r="AJ6" s="267" t="s">
        <v>166</v>
      </c>
      <c r="AK6" s="259"/>
      <c r="AM6" s="45"/>
      <c r="AN6" s="267" t="s">
        <v>166</v>
      </c>
      <c r="AO6" s="259"/>
      <c r="AP6" s="259"/>
      <c r="AQ6" s="45"/>
      <c r="AR6" s="267" t="s">
        <v>166</v>
      </c>
      <c r="AS6" s="259"/>
      <c r="AU6" s="45"/>
      <c r="AV6" s="267" t="s">
        <v>175</v>
      </c>
      <c r="AW6" s="259"/>
      <c r="AY6" s="46" t="s">
        <v>555</v>
      </c>
      <c r="AZ6" s="261" t="e">
        <f>AG5</f>
        <v>#REF!</v>
      </c>
    </row>
    <row r="7" spans="1:58" ht="13.5" thickBot="1" x14ac:dyDescent="0.25">
      <c r="E7" s="130"/>
      <c r="F7" s="1054" t="s">
        <v>332</v>
      </c>
      <c r="G7" s="430" t="s">
        <v>332</v>
      </c>
      <c r="H7" s="430" t="s">
        <v>332</v>
      </c>
      <c r="I7" s="430" t="s">
        <v>327</v>
      </c>
      <c r="J7" s="430" t="s">
        <v>327</v>
      </c>
      <c r="K7" s="430" t="s">
        <v>327</v>
      </c>
      <c r="M7" s="546"/>
      <c r="N7" s="1631" t="s">
        <v>104</v>
      </c>
      <c r="O7" s="1633"/>
      <c r="P7" s="1633"/>
      <c r="Q7" s="1632"/>
      <c r="T7" s="268"/>
      <c r="U7" s="269"/>
      <c r="X7" s="1055" t="s">
        <v>332</v>
      </c>
      <c r="Y7" s="269"/>
      <c r="AB7" s="1055" t="s">
        <v>332</v>
      </c>
      <c r="AC7" s="269"/>
      <c r="AD7" s="269"/>
      <c r="AF7" s="1055" t="s">
        <v>332</v>
      </c>
      <c r="AG7" s="269"/>
      <c r="AJ7" s="1055" t="s">
        <v>327</v>
      </c>
      <c r="AK7" s="269"/>
      <c r="AN7" s="1055" t="s">
        <v>327</v>
      </c>
      <c r="AO7" s="269"/>
      <c r="AP7" s="269"/>
      <c r="AR7" s="1055" t="s">
        <v>327</v>
      </c>
      <c r="AS7" s="269"/>
      <c r="AV7" s="268"/>
      <c r="AW7" s="269"/>
      <c r="AY7" s="46" t="s">
        <v>378</v>
      </c>
      <c r="AZ7" s="270" t="e">
        <f>SUM(AZ4:AZ6)</f>
        <v>#REF!</v>
      </c>
    </row>
    <row r="8" spans="1:58" x14ac:dyDescent="0.2">
      <c r="A8" s="76">
        <v>1</v>
      </c>
      <c r="D8" s="132"/>
      <c r="E8" s="506" t="str">
        <f>'Allocation = ¢ per Therm'!D11</f>
        <v>UG XXXXXX</v>
      </c>
      <c r="F8" s="506" t="s">
        <v>494</v>
      </c>
      <c r="G8" s="506" t="str">
        <f>F8</f>
        <v>UG-200994</v>
      </c>
      <c r="H8" s="506" t="str">
        <f>G8</f>
        <v>UG-200994</v>
      </c>
      <c r="I8" s="506" t="str">
        <f>H8</f>
        <v>UG-200994</v>
      </c>
      <c r="J8" s="506" t="str">
        <f t="shared" ref="J8:K8" si="8">I8</f>
        <v>UG-200994</v>
      </c>
      <c r="K8" s="506" t="str">
        <f t="shared" si="8"/>
        <v>UG-200994</v>
      </c>
      <c r="L8" s="132"/>
      <c r="M8" s="547" t="s">
        <v>217</v>
      </c>
      <c r="N8" s="131"/>
      <c r="O8" s="271"/>
      <c r="P8" s="271"/>
      <c r="Q8" s="272"/>
      <c r="R8" s="132"/>
      <c r="S8" s="267"/>
      <c r="T8" s="1019" t="s">
        <v>288</v>
      </c>
      <c r="U8" s="267"/>
      <c r="V8" s="132"/>
      <c r="W8" s="267"/>
      <c r="X8" s="268" t="s">
        <v>311</v>
      </c>
      <c r="Y8" s="267"/>
      <c r="Z8" s="132"/>
      <c r="AA8" s="267"/>
      <c r="AB8" s="268" t="s">
        <v>317</v>
      </c>
      <c r="AC8" s="267"/>
      <c r="AD8" s="267"/>
      <c r="AE8" s="267"/>
      <c r="AF8" s="268" t="s">
        <v>556</v>
      </c>
      <c r="AG8" s="267"/>
      <c r="AH8" s="132"/>
      <c r="AI8" s="267"/>
      <c r="AJ8" s="268" t="s">
        <v>311</v>
      </c>
      <c r="AK8" s="267"/>
      <c r="AL8" s="132"/>
      <c r="AM8" s="267"/>
      <c r="AN8" s="268" t="s">
        <v>317</v>
      </c>
      <c r="AO8" s="267"/>
      <c r="AP8" s="267"/>
      <c r="AQ8" s="267"/>
      <c r="AR8" s="1080" t="s">
        <v>375</v>
      </c>
      <c r="AS8" s="267"/>
      <c r="AT8" s="132"/>
      <c r="AU8" s="267"/>
      <c r="AV8" s="744" t="s">
        <v>62</v>
      </c>
      <c r="AW8" s="267"/>
      <c r="AX8" s="132"/>
      <c r="AY8" s="158" t="s">
        <v>327</v>
      </c>
    </row>
    <row r="9" spans="1:58" ht="13.5" thickBot="1" x14ac:dyDescent="0.25">
      <c r="A9" s="76">
        <f>+A8+1</f>
        <v>2</v>
      </c>
      <c r="D9" s="133"/>
      <c r="E9" s="1018" t="s">
        <v>293</v>
      </c>
      <c r="F9" s="252" t="s">
        <v>311</v>
      </c>
      <c r="G9" s="252" t="s">
        <v>322</v>
      </c>
      <c r="H9" s="252" t="s">
        <v>555</v>
      </c>
      <c r="I9" s="252" t="s">
        <v>311</v>
      </c>
      <c r="J9" s="252" t="s">
        <v>322</v>
      </c>
      <c r="K9" s="1081" t="s">
        <v>376</v>
      </c>
      <c r="L9" s="133"/>
      <c r="M9" s="548" t="s">
        <v>212</v>
      </c>
      <c r="N9" s="939" t="str">
        <f>F8</f>
        <v>UG-200994</v>
      </c>
      <c r="O9" s="940" t="str">
        <f>N9</f>
        <v>UG-200994</v>
      </c>
      <c r="P9" s="940" t="str">
        <f>O9</f>
        <v>UG-200994</v>
      </c>
      <c r="Q9" s="941" t="str">
        <f>P9</f>
        <v>UG-200994</v>
      </c>
      <c r="R9" s="133"/>
      <c r="S9" s="267"/>
      <c r="T9" s="268"/>
      <c r="U9" s="267"/>
      <c r="V9" s="133"/>
      <c r="W9" s="267"/>
      <c r="X9" s="268" t="s">
        <v>220</v>
      </c>
      <c r="Y9" s="267"/>
      <c r="Z9" s="133"/>
      <c r="AA9" s="267"/>
      <c r="AB9" s="268"/>
      <c r="AC9" s="267"/>
      <c r="AD9" s="267"/>
      <c r="AE9" s="267"/>
      <c r="AF9" s="268"/>
      <c r="AG9" s="267"/>
      <c r="AH9" s="133"/>
      <c r="AI9" s="267"/>
      <c r="AJ9" s="268"/>
      <c r="AK9" s="267"/>
      <c r="AL9" s="133"/>
      <c r="AM9" s="267"/>
      <c r="AN9" s="268"/>
      <c r="AO9" s="267"/>
      <c r="AP9" s="267"/>
      <c r="AQ9" s="267"/>
      <c r="AR9" s="268"/>
      <c r="AS9" s="267"/>
      <c r="AT9" s="133"/>
      <c r="AU9" s="267"/>
      <c r="AV9" s="268"/>
      <c r="AW9" s="267"/>
      <c r="AX9" s="133"/>
      <c r="AY9" s="46" t="s">
        <v>377</v>
      </c>
      <c r="AZ9" s="253" t="e">
        <f>AK5</f>
        <v>#REF!</v>
      </c>
      <c r="BC9" s="261">
        <f>'Allocation = % of Margin'!S10+'Allocation = % of Margin'!AE10</f>
        <v>-1541432</v>
      </c>
      <c r="BD9" s="288" t="str">
        <f>X8</f>
        <v>Historical EE</v>
      </c>
    </row>
    <row r="10" spans="1:58" ht="13.5" thickBot="1" x14ac:dyDescent="0.25">
      <c r="A10" s="76">
        <f t="shared" ref="A10:A73" si="9">+A9+1</f>
        <v>3</v>
      </c>
      <c r="D10" s="135"/>
      <c r="E10" s="942" t="s">
        <v>290</v>
      </c>
      <c r="F10" s="49" t="s">
        <v>291</v>
      </c>
      <c r="G10" s="49" t="s">
        <v>291</v>
      </c>
      <c r="H10" s="49" t="s">
        <v>291</v>
      </c>
      <c r="I10" s="48" t="s">
        <v>292</v>
      </c>
      <c r="J10" s="48" t="s">
        <v>292</v>
      </c>
      <c r="K10" s="48" t="s">
        <v>292</v>
      </c>
      <c r="L10" s="135"/>
      <c r="M10" s="548" t="s">
        <v>91</v>
      </c>
      <c r="N10" s="273" t="s">
        <v>91</v>
      </c>
      <c r="O10" s="267" t="s">
        <v>91</v>
      </c>
      <c r="P10" s="267" t="s">
        <v>101</v>
      </c>
      <c r="Q10" s="274" t="s">
        <v>55</v>
      </c>
      <c r="R10" s="135"/>
      <c r="S10" s="1626" t="s">
        <v>98</v>
      </c>
      <c r="T10" s="1627"/>
      <c r="U10" s="1628"/>
      <c r="V10" s="135"/>
      <c r="W10" s="1626" t="s">
        <v>98</v>
      </c>
      <c r="X10" s="1627"/>
      <c r="Y10" s="1628"/>
      <c r="Z10" s="135"/>
      <c r="AA10" s="1626" t="s">
        <v>98</v>
      </c>
      <c r="AB10" s="1627"/>
      <c r="AC10" s="1628"/>
      <c r="AD10" s="48"/>
      <c r="AE10" s="1626" t="s">
        <v>98</v>
      </c>
      <c r="AF10" s="1627"/>
      <c r="AG10" s="1628"/>
      <c r="AH10" s="135"/>
      <c r="AI10" s="1626" t="s">
        <v>98</v>
      </c>
      <c r="AJ10" s="1627"/>
      <c r="AK10" s="1628"/>
      <c r="AL10" s="135"/>
      <c r="AM10" s="1626" t="s">
        <v>98</v>
      </c>
      <c r="AN10" s="1627"/>
      <c r="AO10" s="1628"/>
      <c r="AP10" s="48"/>
      <c r="AQ10" s="1626" t="s">
        <v>98</v>
      </c>
      <c r="AR10" s="1627"/>
      <c r="AS10" s="1628"/>
      <c r="AT10" s="135"/>
      <c r="AU10" s="1626" t="s">
        <v>98</v>
      </c>
      <c r="AV10" s="1627"/>
      <c r="AW10" s="1628"/>
      <c r="AX10" s="135"/>
      <c r="AY10" s="46" t="s">
        <v>317</v>
      </c>
      <c r="AZ10" s="253" t="e">
        <f>AO5</f>
        <v>#REF!</v>
      </c>
      <c r="BC10" s="261">
        <f>'Allocation = % of Margin'!V10+'Allocation = % of Margin'!AH10</f>
        <v>-875740</v>
      </c>
      <c r="BD10" s="45" t="str">
        <f>AB8</f>
        <v>Block 24 (Truck Lot) Sale</v>
      </c>
    </row>
    <row r="11" spans="1:58" s="47" customFormat="1" ht="13.5" thickBot="1" x14ac:dyDescent="0.25">
      <c r="A11" s="76">
        <f t="shared" si="9"/>
        <v>4</v>
      </c>
      <c r="B11" s="137"/>
      <c r="C11" s="137"/>
      <c r="D11" s="135"/>
      <c r="E11" s="162" t="s">
        <v>164</v>
      </c>
      <c r="F11" s="162" t="s">
        <v>164</v>
      </c>
      <c r="G11" s="162" t="s">
        <v>164</v>
      </c>
      <c r="H11" s="162" t="s">
        <v>164</v>
      </c>
      <c r="I11" s="162" t="s">
        <v>164</v>
      </c>
      <c r="J11" s="162" t="s">
        <v>164</v>
      </c>
      <c r="K11" s="162" t="s">
        <v>164</v>
      </c>
      <c r="L11" s="135"/>
      <c r="M11" s="549" t="s">
        <v>92</v>
      </c>
      <c r="N11" s="275" t="s">
        <v>92</v>
      </c>
      <c r="O11" s="276" t="s">
        <v>94</v>
      </c>
      <c r="P11" s="276" t="s">
        <v>60</v>
      </c>
      <c r="Q11" s="277" t="s">
        <v>93</v>
      </c>
      <c r="R11" s="135"/>
      <c r="S11" s="278" t="s">
        <v>95</v>
      </c>
      <c r="T11" s="135" t="s">
        <v>96</v>
      </c>
      <c r="U11" s="263" t="s">
        <v>80</v>
      </c>
      <c r="V11" s="135"/>
      <c r="W11" s="278" t="s">
        <v>95</v>
      </c>
      <c r="X11" s="135" t="s">
        <v>96</v>
      </c>
      <c r="Y11" s="263" t="s">
        <v>80</v>
      </c>
      <c r="Z11" s="135"/>
      <c r="AA11" s="278" t="s">
        <v>95</v>
      </c>
      <c r="AB11" s="135" t="s">
        <v>96</v>
      </c>
      <c r="AC11" s="263" t="s">
        <v>80</v>
      </c>
      <c r="AD11" s="135"/>
      <c r="AE11" s="278" t="s">
        <v>95</v>
      </c>
      <c r="AF11" s="135" t="s">
        <v>96</v>
      </c>
      <c r="AG11" s="263" t="s">
        <v>80</v>
      </c>
      <c r="AH11" s="135"/>
      <c r="AI11" s="278" t="s">
        <v>95</v>
      </c>
      <c r="AJ11" s="135" t="s">
        <v>96</v>
      </c>
      <c r="AK11" s="263" t="s">
        <v>80</v>
      </c>
      <c r="AL11" s="135"/>
      <c r="AM11" s="278" t="s">
        <v>95</v>
      </c>
      <c r="AN11" s="135" t="s">
        <v>96</v>
      </c>
      <c r="AO11" s="263" t="s">
        <v>80</v>
      </c>
      <c r="AP11" s="135"/>
      <c r="AQ11" s="278" t="s">
        <v>95</v>
      </c>
      <c r="AR11" s="135" t="s">
        <v>96</v>
      </c>
      <c r="AS11" s="263" t="s">
        <v>80</v>
      </c>
      <c r="AT11" s="135"/>
      <c r="AU11" s="278" t="s">
        <v>95</v>
      </c>
      <c r="AV11" s="135" t="s">
        <v>96</v>
      </c>
      <c r="AW11" s="263" t="s">
        <v>80</v>
      </c>
      <c r="AX11" s="135"/>
      <c r="AY11" s="1056" t="s">
        <v>375</v>
      </c>
      <c r="AZ11" s="455" t="e">
        <f>AS5</f>
        <v>#REF!</v>
      </c>
      <c r="BA11" s="135"/>
      <c r="BC11" s="261">
        <f>'Allocation = % of Margin'!Y10</f>
        <v>154421</v>
      </c>
      <c r="BD11" s="45" t="str">
        <f>AF8</f>
        <v>Conservation Potential Assessment</v>
      </c>
    </row>
    <row r="12" spans="1:58" s="47" customFormat="1" ht="13.5" thickBot="1" x14ac:dyDescent="0.25">
      <c r="A12" s="76">
        <f t="shared" si="9"/>
        <v>5</v>
      </c>
      <c r="B12" s="46"/>
      <c r="C12" s="46"/>
      <c r="D12" s="48"/>
      <c r="E12" s="140"/>
      <c r="F12" s="140"/>
      <c r="K12" s="140"/>
      <c r="L12" s="48"/>
      <c r="M12" s="535"/>
      <c r="N12" s="279"/>
      <c r="O12" s="136"/>
      <c r="P12" s="136"/>
      <c r="Q12" s="280"/>
      <c r="R12" s="48"/>
      <c r="S12" s="141"/>
      <c r="U12" s="139"/>
      <c r="V12" s="48"/>
      <c r="W12" s="141"/>
      <c r="Y12" s="139"/>
      <c r="Z12" s="48"/>
      <c r="AA12" s="141"/>
      <c r="AC12" s="139"/>
      <c r="AE12" s="141"/>
      <c r="AG12" s="139"/>
      <c r="AH12" s="48"/>
      <c r="AI12" s="141"/>
      <c r="AK12" s="139"/>
      <c r="AL12" s="48"/>
      <c r="AM12" s="141"/>
      <c r="AO12" s="139"/>
      <c r="AQ12" s="141"/>
      <c r="AS12" s="139"/>
      <c r="AT12" s="48"/>
      <c r="AU12" s="141"/>
      <c r="AW12" s="139"/>
      <c r="AX12" s="48"/>
      <c r="AY12" s="1057" t="s">
        <v>379</v>
      </c>
      <c r="AZ12" s="1058" t="e">
        <f>SUM(AZ9:AZ11)</f>
        <v>#REF!</v>
      </c>
      <c r="BC12" s="1059">
        <f>'Allocation = % of Margin'!AK10</f>
        <v>-44544</v>
      </c>
      <c r="BD12" s="1060" t="s">
        <v>375</v>
      </c>
      <c r="BE12" s="1061"/>
      <c r="BF12" s="1061"/>
    </row>
    <row r="13" spans="1:58" s="47" customFormat="1" ht="14.25" thickTop="1" thickBot="1" x14ac:dyDescent="0.25">
      <c r="A13" s="76">
        <f t="shared" si="9"/>
        <v>6</v>
      </c>
      <c r="B13" s="708" t="s">
        <v>2</v>
      </c>
      <c r="C13" s="708" t="s">
        <v>3</v>
      </c>
      <c r="D13" s="283"/>
      <c r="E13" s="283" t="s">
        <v>35</v>
      </c>
      <c r="F13" s="283" t="s">
        <v>36</v>
      </c>
      <c r="G13" s="283" t="s">
        <v>13</v>
      </c>
      <c r="H13" s="1405" t="s">
        <v>13</v>
      </c>
      <c r="I13" s="283"/>
      <c r="J13" s="283"/>
      <c r="K13" s="283" t="s">
        <v>37</v>
      </c>
      <c r="L13" s="283"/>
      <c r="M13" s="537" t="s">
        <v>38</v>
      </c>
      <c r="N13" s="284" t="s">
        <v>37</v>
      </c>
      <c r="O13" s="283" t="s">
        <v>38</v>
      </c>
      <c r="P13" s="283" t="s">
        <v>39</v>
      </c>
      <c r="Q13" s="285" t="s">
        <v>40</v>
      </c>
      <c r="R13" s="48"/>
      <c r="S13" s="138" t="s">
        <v>41</v>
      </c>
      <c r="T13" s="48" t="s">
        <v>42</v>
      </c>
      <c r="U13" s="286" t="s">
        <v>109</v>
      </c>
      <c r="V13" s="48"/>
      <c r="W13" s="138" t="s">
        <v>110</v>
      </c>
      <c r="X13" s="48" t="s">
        <v>43</v>
      </c>
      <c r="Y13" s="286" t="s">
        <v>111</v>
      </c>
      <c r="Z13" s="48"/>
      <c r="AA13" s="138" t="s">
        <v>112</v>
      </c>
      <c r="AB13" s="48" t="s">
        <v>113</v>
      </c>
      <c r="AC13" s="286" t="s">
        <v>114</v>
      </c>
      <c r="AD13" s="48"/>
      <c r="AE13" s="138" t="s">
        <v>110</v>
      </c>
      <c r="AF13" s="48" t="s">
        <v>43</v>
      </c>
      <c r="AG13" s="286" t="s">
        <v>111</v>
      </c>
      <c r="AH13" s="48"/>
      <c r="AI13" s="138" t="s">
        <v>110</v>
      </c>
      <c r="AJ13" s="48" t="s">
        <v>43</v>
      </c>
      <c r="AK13" s="286" t="s">
        <v>111</v>
      </c>
      <c r="AL13" s="48"/>
      <c r="AM13" s="138" t="s">
        <v>112</v>
      </c>
      <c r="AN13" s="48" t="s">
        <v>113</v>
      </c>
      <c r="AO13" s="286" t="s">
        <v>114</v>
      </c>
      <c r="AP13" s="48"/>
      <c r="AQ13" s="138" t="s">
        <v>112</v>
      </c>
      <c r="AR13" s="48" t="s">
        <v>113</v>
      </c>
      <c r="AS13" s="286" t="s">
        <v>114</v>
      </c>
      <c r="AT13" s="48"/>
      <c r="AU13" s="138" t="s">
        <v>115</v>
      </c>
      <c r="AV13" s="48" t="s">
        <v>71</v>
      </c>
      <c r="AW13" s="286" t="s">
        <v>74</v>
      </c>
      <c r="AX13" s="48"/>
      <c r="AY13" s="50" t="s">
        <v>73</v>
      </c>
      <c r="AZ13" s="462" t="e">
        <f>AZ7+AZ12</f>
        <v>#REF!</v>
      </c>
      <c r="BC13" s="596">
        <f>SUM(BC9:BC12)</f>
        <v>-2307295</v>
      </c>
      <c r="BD13" s="129" t="s">
        <v>32</v>
      </c>
    </row>
    <row r="14" spans="1:58" ht="12.95" customHeight="1" x14ac:dyDescent="0.2">
      <c r="A14" s="76">
        <f t="shared" si="9"/>
        <v>7</v>
      </c>
      <c r="B14" s="668" t="e">
        <f>'Rev Req Proof Yr1'!B14</f>
        <v>#REF!</v>
      </c>
      <c r="C14" s="668" t="str">
        <f>'Rev Req Proof Yr1'!C14</f>
        <v>n/a</v>
      </c>
      <c r="D14" s="144"/>
      <c r="E14" s="149" t="e">
        <f>ROUND('Allocation = ¢ per Therm'!K17,5)</f>
        <v>#REF!</v>
      </c>
      <c r="F14" s="143">
        <f>ROUND('Allocation = % of Margin'!U14,5)</f>
        <v>-1.627E-2</v>
      </c>
      <c r="G14" s="149">
        <f>ROUND('Allocation = % of Margin'!X14,5)</f>
        <v>-8.6499999999999997E-3</v>
      </c>
      <c r="H14" s="149">
        <f>ROUND('Allocation = % of Margin'!AA14,5)</f>
        <v>3.0500000000000002E-3</v>
      </c>
      <c r="I14" s="149">
        <f>ROUND('Allocation = % of Margin'!AG14,5)</f>
        <v>-1.627E-2</v>
      </c>
      <c r="J14" s="149">
        <f>ROUND('Allocation = % of Margin'!AJ14,5)</f>
        <v>-8.6700000000000006E-3</v>
      </c>
      <c r="K14" s="149">
        <f>ROUND('Allocation = % of Margin'!AM14,5)</f>
        <v>-8.8000000000000003E-4</v>
      </c>
      <c r="L14" s="144"/>
      <c r="M14" s="745" t="e">
        <f>#REF!</f>
        <v>#REF!</v>
      </c>
      <c r="N14" s="287" t="e">
        <f>'Rev Req Proof Yr1'!R14</f>
        <v>#REF!</v>
      </c>
      <c r="O14" s="288">
        <f>'Rev Req Proof Yr1'!S14</f>
        <v>0</v>
      </c>
      <c r="P14" s="289" t="e">
        <f>'Rev Req Proof Yr1'!T14</f>
        <v>#REF!</v>
      </c>
      <c r="Q14" s="290" t="e">
        <f>'Rev Req Proof Yr1'!U14</f>
        <v>#REF!</v>
      </c>
      <c r="R14" s="144"/>
      <c r="S14" s="291" t="e">
        <f t="shared" ref="S14:S15" si="10">((E14)*N14)</f>
        <v>#REF!</v>
      </c>
      <c r="T14" s="292">
        <v>0</v>
      </c>
      <c r="U14" s="293">
        <v>0</v>
      </c>
      <c r="V14" s="144"/>
      <c r="W14" s="291" t="e">
        <f>((F14)*N14)</f>
        <v>#REF!</v>
      </c>
      <c r="X14" s="292">
        <v>0</v>
      </c>
      <c r="Y14" s="293">
        <v>0</v>
      </c>
      <c r="Z14" s="144"/>
      <c r="AA14" s="291" t="e">
        <f>((G14)*N14)</f>
        <v>#REF!</v>
      </c>
      <c r="AB14" s="292">
        <v>0</v>
      </c>
      <c r="AC14" s="293">
        <v>0</v>
      </c>
      <c r="AD14" s="298"/>
      <c r="AE14" s="291" t="e">
        <f>((H14)*N14)</f>
        <v>#REF!</v>
      </c>
      <c r="AF14" s="292">
        <v>0</v>
      </c>
      <c r="AG14" s="293">
        <v>0</v>
      </c>
      <c r="AH14" s="144"/>
      <c r="AI14" s="291" t="e">
        <f>((I14)*N14)</f>
        <v>#REF!</v>
      </c>
      <c r="AJ14" s="292">
        <v>0</v>
      </c>
      <c r="AK14" s="293">
        <v>0</v>
      </c>
      <c r="AL14" s="144"/>
      <c r="AM14" s="291" t="e">
        <f t="shared" ref="AM14:AM21" si="11">((J14)*N14)</f>
        <v>#REF!</v>
      </c>
      <c r="AN14" s="292">
        <v>0</v>
      </c>
      <c r="AO14" s="293">
        <v>0</v>
      </c>
      <c r="AP14" s="298"/>
      <c r="AQ14" s="291" t="e">
        <f>((K14)*N14)</f>
        <v>#REF!</v>
      </c>
      <c r="AR14" s="292">
        <v>0</v>
      </c>
      <c r="AS14" s="293">
        <v>0</v>
      </c>
      <c r="AT14" s="144"/>
      <c r="AU14" s="291" t="e">
        <f>((E14+F14+G14+K14)*N14)</f>
        <v>#REF!</v>
      </c>
      <c r="AV14" s="292">
        <v>0</v>
      </c>
      <c r="AW14" s="293">
        <v>0</v>
      </c>
      <c r="AX14" s="294"/>
    </row>
    <row r="15" spans="1:58" x14ac:dyDescent="0.2">
      <c r="A15" s="76">
        <f t="shared" si="9"/>
        <v>8</v>
      </c>
      <c r="B15" s="668" t="e">
        <f>'Rev Req Proof Yr1'!B15</f>
        <v>#REF!</v>
      </c>
      <c r="C15" s="668" t="str">
        <f>'Rev Req Proof Yr1'!C15</f>
        <v>n/a</v>
      </c>
      <c r="D15" s="147"/>
      <c r="E15" s="149" t="e">
        <f>ROUND('Allocation = ¢ per Therm'!K18,5)</f>
        <v>#REF!</v>
      </c>
      <c r="F15" s="143">
        <f>ROUND('Allocation = % of Margin'!U15,5)</f>
        <v>-1.354E-2</v>
      </c>
      <c r="G15" s="149">
        <f>ROUND('Allocation = % of Margin'!X15,5)</f>
        <v>-7.1999999999999998E-3</v>
      </c>
      <c r="H15" s="149">
        <f>ROUND('Allocation = % of Margin'!AA15,5)</f>
        <v>2.5400000000000002E-3</v>
      </c>
      <c r="I15" s="149">
        <f>ROUND('Allocation = % of Margin'!AG15,5)</f>
        <v>-1.354E-2</v>
      </c>
      <c r="J15" s="149">
        <f>ROUND('Allocation = % of Margin'!AJ15,5)</f>
        <v>-7.1999999999999998E-3</v>
      </c>
      <c r="K15" s="149">
        <f>ROUND('Allocation = % of Margin'!AM15,5)</f>
        <v>-7.2999999999999996E-4</v>
      </c>
      <c r="L15" s="147"/>
      <c r="M15" s="745" t="e">
        <f>#REF!</f>
        <v>#REF!</v>
      </c>
      <c r="N15" s="287" t="e">
        <f>'Rev Req Proof Yr1'!R15</f>
        <v>#REF!</v>
      </c>
      <c r="O15" s="288">
        <f>'Rev Req Proof Yr1'!S15</f>
        <v>0</v>
      </c>
      <c r="P15" s="289" t="e">
        <f>'Rev Req Proof Yr1'!T15</f>
        <v>#REF!</v>
      </c>
      <c r="Q15" s="290" t="e">
        <f>'Rev Req Proof Yr1'!U15</f>
        <v>#REF!</v>
      </c>
      <c r="R15" s="147"/>
      <c r="S15" s="295" t="e">
        <f t="shared" si="10"/>
        <v>#REF!</v>
      </c>
      <c r="T15" s="296">
        <v>0</v>
      </c>
      <c r="U15" s="297">
        <v>0</v>
      </c>
      <c r="V15" s="147"/>
      <c r="W15" s="295" t="e">
        <f t="shared" ref="W15:W36" si="12">((F15)*N15)</f>
        <v>#REF!</v>
      </c>
      <c r="X15" s="296">
        <v>0</v>
      </c>
      <c r="Y15" s="297">
        <v>0</v>
      </c>
      <c r="Z15" s="147"/>
      <c r="AA15" s="295" t="e">
        <f t="shared" ref="AA15" si="13">((G15)*N15)</f>
        <v>#REF!</v>
      </c>
      <c r="AB15" s="296">
        <v>0</v>
      </c>
      <c r="AC15" s="297">
        <v>0</v>
      </c>
      <c r="AD15" s="298"/>
      <c r="AE15" s="295" t="e">
        <f t="shared" ref="AE15:AE81" si="14">((H15)*N15)</f>
        <v>#REF!</v>
      </c>
      <c r="AF15" s="296">
        <v>0</v>
      </c>
      <c r="AG15" s="297">
        <v>0</v>
      </c>
      <c r="AH15" s="147"/>
      <c r="AI15" s="295" t="e">
        <f t="shared" ref="AI15:AI81" si="15">((I15)*N15)</f>
        <v>#REF!</v>
      </c>
      <c r="AJ15" s="296">
        <v>0</v>
      </c>
      <c r="AK15" s="297">
        <v>0</v>
      </c>
      <c r="AL15" s="147"/>
      <c r="AM15" s="295" t="e">
        <f t="shared" si="11"/>
        <v>#REF!</v>
      </c>
      <c r="AN15" s="296">
        <v>0</v>
      </c>
      <c r="AO15" s="297">
        <v>0</v>
      </c>
      <c r="AP15" s="298"/>
      <c r="AQ15" s="295" t="e">
        <f t="shared" ref="AQ15:AQ80" si="16">((K15)*N15)</f>
        <v>#REF!</v>
      </c>
      <c r="AR15" s="296">
        <v>0</v>
      </c>
      <c r="AS15" s="297">
        <v>0</v>
      </c>
      <c r="AT15" s="147"/>
      <c r="AU15" s="295" t="e">
        <f t="shared" ref="AU15:AU21" si="17">((E15+F15+G15+K15)*N15)</f>
        <v>#REF!</v>
      </c>
      <c r="AV15" s="296">
        <v>0</v>
      </c>
      <c r="AW15" s="297">
        <v>0</v>
      </c>
      <c r="AX15" s="298"/>
      <c r="AY15" s="135"/>
      <c r="AZ15" s="281">
        <f>BC13</f>
        <v>-2307295</v>
      </c>
      <c r="BA15" s="282" t="s">
        <v>137</v>
      </c>
      <c r="BB15" s="47"/>
    </row>
    <row r="16" spans="1:58" x14ac:dyDescent="0.2">
      <c r="A16" s="76">
        <f t="shared" si="9"/>
        <v>9</v>
      </c>
      <c r="B16" s="668" t="e">
        <f>'Rev Req Proof Yr1'!B16</f>
        <v>#REF!</v>
      </c>
      <c r="C16" s="668" t="str">
        <f>'Rev Req Proof Yr1'!C16</f>
        <v>n/a</v>
      </c>
      <c r="D16" s="147"/>
      <c r="E16" s="149" t="e">
        <f>ROUND('Allocation = ¢ per Therm'!K19,5)</f>
        <v>#REF!</v>
      </c>
      <c r="F16" s="149">
        <f>ROUND('Allocation = % of Margin'!U16,5)</f>
        <v>-1.03E-2</v>
      </c>
      <c r="G16" s="149">
        <f>ROUND('Allocation = % of Margin'!X16,5)</f>
        <v>-5.47E-3</v>
      </c>
      <c r="H16" s="149">
        <f>ROUND('Allocation = % of Margin'!AA16,5)</f>
        <v>1.9300000000000001E-3</v>
      </c>
      <c r="I16" s="149">
        <f>ROUND('Allocation = % of Margin'!AG16,5)</f>
        <v>-1.03E-2</v>
      </c>
      <c r="J16" s="149">
        <f>ROUND('Allocation = % of Margin'!AJ16,5)</f>
        <v>-5.4900000000000001E-3</v>
      </c>
      <c r="K16" s="149">
        <f>ROUND('Allocation = % of Margin'!AM16,5)</f>
        <v>-5.5999999999999995E-4</v>
      </c>
      <c r="L16" s="147"/>
      <c r="M16" s="551" t="e">
        <f>#REF!</f>
        <v>#REF!</v>
      </c>
      <c r="N16" s="287" t="e">
        <f>'Rev Req Proof Yr1'!R16</f>
        <v>#REF!</v>
      </c>
      <c r="O16" s="288">
        <f>'Rev Req Proof Yr1'!S16</f>
        <v>0</v>
      </c>
      <c r="P16" s="289" t="e">
        <f>'Rev Req Proof Yr1'!T16</f>
        <v>#REF!</v>
      </c>
      <c r="Q16" s="290" t="e">
        <f>'Rev Req Proof Yr1'!U16</f>
        <v>#REF!</v>
      </c>
      <c r="R16" s="147"/>
      <c r="S16" s="295" t="e">
        <f>((E16)*N16)</f>
        <v>#REF!</v>
      </c>
      <c r="T16" s="296">
        <v>0</v>
      </c>
      <c r="U16" s="297">
        <v>0</v>
      </c>
      <c r="V16" s="147"/>
      <c r="W16" s="295" t="e">
        <f t="shared" si="12"/>
        <v>#REF!</v>
      </c>
      <c r="X16" s="296">
        <v>0</v>
      </c>
      <c r="Y16" s="297">
        <v>0</v>
      </c>
      <c r="Z16" s="147"/>
      <c r="AA16" s="295" t="e">
        <f t="shared" ref="AA16:AA21" si="18">((G16)*N16)</f>
        <v>#REF!</v>
      </c>
      <c r="AB16" s="296">
        <v>0</v>
      </c>
      <c r="AC16" s="297">
        <v>0</v>
      </c>
      <c r="AD16" s="298"/>
      <c r="AE16" s="295" t="e">
        <f t="shared" si="14"/>
        <v>#REF!</v>
      </c>
      <c r="AF16" s="296">
        <v>0</v>
      </c>
      <c r="AG16" s="297">
        <v>0</v>
      </c>
      <c r="AH16" s="147"/>
      <c r="AI16" s="295" t="e">
        <f t="shared" si="15"/>
        <v>#REF!</v>
      </c>
      <c r="AJ16" s="296">
        <v>0</v>
      </c>
      <c r="AK16" s="297">
        <v>0</v>
      </c>
      <c r="AL16" s="147"/>
      <c r="AM16" s="295" t="e">
        <f t="shared" si="11"/>
        <v>#REF!</v>
      </c>
      <c r="AN16" s="296">
        <v>0</v>
      </c>
      <c r="AO16" s="297">
        <v>0</v>
      </c>
      <c r="AP16" s="298"/>
      <c r="AQ16" s="295" t="e">
        <f t="shared" si="16"/>
        <v>#REF!</v>
      </c>
      <c r="AR16" s="296">
        <v>0</v>
      </c>
      <c r="AS16" s="297">
        <v>0</v>
      </c>
      <c r="AT16" s="147"/>
      <c r="AU16" s="295" t="e">
        <f t="shared" si="17"/>
        <v>#REF!</v>
      </c>
      <c r="AV16" s="296">
        <v>0</v>
      </c>
      <c r="AW16" s="297">
        <v>0</v>
      </c>
      <c r="AX16" s="298"/>
      <c r="AY16" s="47"/>
      <c r="AZ16" s="1079" t="e">
        <f>AZ15-AZ13</f>
        <v>#REF!</v>
      </c>
      <c r="BA16" s="282" t="s">
        <v>147</v>
      </c>
      <c r="BB16" s="47"/>
    </row>
    <row r="17" spans="1:53" x14ac:dyDescent="0.2">
      <c r="A17" s="76">
        <f t="shared" si="9"/>
        <v>10</v>
      </c>
      <c r="B17" s="668" t="e">
        <f>'Rev Req Proof Yr1'!B17</f>
        <v>#REF!</v>
      </c>
      <c r="C17" s="668" t="str">
        <f>'Rev Req Proof Yr1'!C17</f>
        <v>n/a</v>
      </c>
      <c r="D17" s="147"/>
      <c r="E17" s="149" t="e">
        <f>ROUND('Allocation = ¢ per Therm'!K20,5)</f>
        <v>#REF!</v>
      </c>
      <c r="F17" s="143">
        <f>ROUND('Allocation = % of Margin'!U17,5)</f>
        <v>-9.2399999999999999E-3</v>
      </c>
      <c r="G17" s="149">
        <f>ROUND('Allocation = % of Margin'!X17,5)</f>
        <v>-4.9100000000000003E-3</v>
      </c>
      <c r="H17" s="149">
        <f>ROUND('Allocation = % of Margin'!AA17,5)</f>
        <v>1.73E-3</v>
      </c>
      <c r="I17" s="149">
        <f>ROUND('Allocation = % of Margin'!AG17,5)</f>
        <v>-9.2399999999999999E-3</v>
      </c>
      <c r="J17" s="149">
        <f>ROUND('Allocation = % of Margin'!AJ17,5)</f>
        <v>-4.9300000000000004E-3</v>
      </c>
      <c r="K17" s="149">
        <f>ROUND('Allocation = % of Margin'!AM17,5)</f>
        <v>-5.0000000000000001E-4</v>
      </c>
      <c r="L17" s="147"/>
      <c r="M17" s="551" t="e">
        <f>#REF!</f>
        <v>#REF!</v>
      </c>
      <c r="N17" s="287" t="e">
        <f>'Rev Req Proof Yr1'!R17</f>
        <v>#REF!</v>
      </c>
      <c r="O17" s="288">
        <f>'Rev Req Proof Yr1'!S17</f>
        <v>0</v>
      </c>
      <c r="P17" s="289" t="e">
        <f>'Rev Req Proof Yr1'!T17</f>
        <v>#REF!</v>
      </c>
      <c r="Q17" s="290" t="e">
        <f>'Rev Req Proof Yr1'!U17</f>
        <v>#REF!</v>
      </c>
      <c r="R17" s="147"/>
      <c r="S17" s="295" t="e">
        <f t="shared" ref="S17:S21" si="19">((E17)*N17)</f>
        <v>#REF!</v>
      </c>
      <c r="T17" s="296">
        <v>0</v>
      </c>
      <c r="U17" s="297">
        <v>0</v>
      </c>
      <c r="V17" s="147"/>
      <c r="W17" s="295" t="e">
        <f t="shared" si="12"/>
        <v>#REF!</v>
      </c>
      <c r="X17" s="296">
        <v>0</v>
      </c>
      <c r="Y17" s="297">
        <v>0</v>
      </c>
      <c r="Z17" s="147"/>
      <c r="AA17" s="295" t="e">
        <f t="shared" si="18"/>
        <v>#REF!</v>
      </c>
      <c r="AB17" s="296">
        <v>0</v>
      </c>
      <c r="AC17" s="297">
        <v>0</v>
      </c>
      <c r="AD17" s="298"/>
      <c r="AE17" s="295" t="e">
        <f t="shared" si="14"/>
        <v>#REF!</v>
      </c>
      <c r="AF17" s="296">
        <v>0</v>
      </c>
      <c r="AG17" s="297">
        <v>0</v>
      </c>
      <c r="AH17" s="147"/>
      <c r="AI17" s="295" t="e">
        <f t="shared" si="15"/>
        <v>#REF!</v>
      </c>
      <c r="AJ17" s="296">
        <v>0</v>
      </c>
      <c r="AK17" s="297">
        <v>0</v>
      </c>
      <c r="AL17" s="147"/>
      <c r="AM17" s="295" t="e">
        <f t="shared" si="11"/>
        <v>#REF!</v>
      </c>
      <c r="AN17" s="296">
        <v>0</v>
      </c>
      <c r="AO17" s="297">
        <v>0</v>
      </c>
      <c r="AP17" s="298"/>
      <c r="AQ17" s="295" t="e">
        <f t="shared" si="16"/>
        <v>#REF!</v>
      </c>
      <c r="AR17" s="296">
        <v>0</v>
      </c>
      <c r="AS17" s="297">
        <v>0</v>
      </c>
      <c r="AT17" s="147"/>
      <c r="AU17" s="295" t="e">
        <f t="shared" si="17"/>
        <v>#REF!</v>
      </c>
      <c r="AV17" s="296">
        <v>0</v>
      </c>
      <c r="AW17" s="297">
        <v>0</v>
      </c>
      <c r="AX17" s="298"/>
      <c r="AY17" s="1635" t="s">
        <v>148</v>
      </c>
      <c r="AZ17" s="1635"/>
      <c r="BA17" s="1635"/>
    </row>
    <row r="18" spans="1:53" x14ac:dyDescent="0.2">
      <c r="A18" s="76">
        <f t="shared" si="9"/>
        <v>11</v>
      </c>
      <c r="B18" s="668" t="e">
        <f>'Rev Req Proof Yr1'!B18</f>
        <v>#REF!</v>
      </c>
      <c r="C18" s="668" t="str">
        <f>'Rev Req Proof Yr1'!C18</f>
        <v>n/a</v>
      </c>
      <c r="D18" s="147"/>
      <c r="E18" s="149" t="e">
        <f>ROUND('Allocation = ¢ per Therm'!K21,5)</f>
        <v>#REF!</v>
      </c>
      <c r="F18" s="143">
        <f>ROUND('Allocation = % of Margin'!U18,5)</f>
        <v>0</v>
      </c>
      <c r="G18" s="149">
        <f>ROUND('Allocation = % of Margin'!X18,5)</f>
        <v>-4.45E-3</v>
      </c>
      <c r="H18" s="149">
        <f>ROUND('Allocation = % of Margin'!AA18,5)</f>
        <v>1.57E-3</v>
      </c>
      <c r="I18" s="149">
        <f>ROUND('Allocation = % of Margin'!AG18,5)</f>
        <v>0</v>
      </c>
      <c r="J18" s="149">
        <f>ROUND('Allocation = % of Margin'!AJ18,5)</f>
        <v>-4.4600000000000004E-3</v>
      </c>
      <c r="K18" s="149">
        <f>ROUND('Allocation = % of Margin'!AM18,5)</f>
        <v>-4.4999999999999999E-4</v>
      </c>
      <c r="L18" s="147"/>
      <c r="M18" s="551" t="e">
        <f>#REF!</f>
        <v>#REF!</v>
      </c>
      <c r="N18" s="287" t="e">
        <f>'Rev Req Proof Yr1'!R18</f>
        <v>#REF!</v>
      </c>
      <c r="O18" s="288">
        <f>'Rev Req Proof Yr1'!S18</f>
        <v>0</v>
      </c>
      <c r="P18" s="289" t="e">
        <f>'Rev Req Proof Yr1'!T18</f>
        <v>#REF!</v>
      </c>
      <c r="Q18" s="290" t="e">
        <f>'Rev Req Proof Yr1'!U18</f>
        <v>#REF!</v>
      </c>
      <c r="R18" s="147"/>
      <c r="S18" s="295" t="e">
        <f t="shared" si="19"/>
        <v>#REF!</v>
      </c>
      <c r="T18" s="296">
        <v>0</v>
      </c>
      <c r="U18" s="297">
        <v>0</v>
      </c>
      <c r="V18" s="147"/>
      <c r="W18" s="295" t="e">
        <f t="shared" si="12"/>
        <v>#REF!</v>
      </c>
      <c r="X18" s="296">
        <v>0</v>
      </c>
      <c r="Y18" s="297">
        <v>0</v>
      </c>
      <c r="Z18" s="147"/>
      <c r="AA18" s="295" t="e">
        <f t="shared" si="18"/>
        <v>#REF!</v>
      </c>
      <c r="AB18" s="296">
        <v>0</v>
      </c>
      <c r="AC18" s="297">
        <v>0</v>
      </c>
      <c r="AD18" s="298"/>
      <c r="AE18" s="295" t="e">
        <f t="shared" si="14"/>
        <v>#REF!</v>
      </c>
      <c r="AF18" s="296">
        <v>0</v>
      </c>
      <c r="AG18" s="297">
        <v>0</v>
      </c>
      <c r="AH18" s="147"/>
      <c r="AI18" s="295" t="e">
        <f t="shared" si="15"/>
        <v>#REF!</v>
      </c>
      <c r="AJ18" s="296">
        <v>0</v>
      </c>
      <c r="AK18" s="297">
        <v>0</v>
      </c>
      <c r="AL18" s="147"/>
      <c r="AM18" s="295" t="e">
        <f t="shared" si="11"/>
        <v>#REF!</v>
      </c>
      <c r="AN18" s="296">
        <v>0</v>
      </c>
      <c r="AO18" s="297">
        <v>0</v>
      </c>
      <c r="AP18" s="298"/>
      <c r="AQ18" s="295" t="e">
        <f t="shared" si="16"/>
        <v>#REF!</v>
      </c>
      <c r="AR18" s="296">
        <v>0</v>
      </c>
      <c r="AS18" s="297">
        <v>0</v>
      </c>
      <c r="AT18" s="147"/>
      <c r="AU18" s="295" t="e">
        <f t="shared" si="17"/>
        <v>#REF!</v>
      </c>
      <c r="AV18" s="296">
        <v>0</v>
      </c>
      <c r="AW18" s="297">
        <v>0</v>
      </c>
      <c r="AX18" s="298"/>
      <c r="AY18" s="299"/>
      <c r="AZ18" s="299"/>
      <c r="BA18" s="298"/>
    </row>
    <row r="19" spans="1:53" x14ac:dyDescent="0.2">
      <c r="A19" s="76">
        <f t="shared" si="9"/>
        <v>12</v>
      </c>
      <c r="B19" s="668" t="e">
        <f>'Rev Req Proof Yr1'!B19</f>
        <v>#REF!</v>
      </c>
      <c r="C19" s="668" t="str">
        <f>'Rev Req Proof Yr1'!C19</f>
        <v>n/a</v>
      </c>
      <c r="D19" s="147"/>
      <c r="E19" s="149" t="e">
        <f>ROUND('Allocation = ¢ per Therm'!K22,5)</f>
        <v>#REF!</v>
      </c>
      <c r="F19" s="143">
        <f>ROUND('Allocation = % of Margin'!U19,5)</f>
        <v>-7.3299999999999997E-3</v>
      </c>
      <c r="G19" s="149">
        <f>ROUND('Allocation = % of Margin'!X19,5)</f>
        <v>-3.8899999999999998E-3</v>
      </c>
      <c r="H19" s="149">
        <f>ROUND('Allocation = % of Margin'!AA19,5)</f>
        <v>1.3699999999999999E-3</v>
      </c>
      <c r="I19" s="149">
        <f>ROUND('Allocation = % of Margin'!AG19,5)</f>
        <v>-7.3299999999999997E-3</v>
      </c>
      <c r="J19" s="149">
        <f>ROUND('Allocation = % of Margin'!AJ19,5)</f>
        <v>-3.8999999999999998E-3</v>
      </c>
      <c r="K19" s="149">
        <f>ROUND('Allocation = % of Margin'!AM19,5)</f>
        <v>-4.0000000000000002E-4</v>
      </c>
      <c r="L19" s="147"/>
      <c r="M19" s="551" t="e">
        <f>#REF!</f>
        <v>#REF!</v>
      </c>
      <c r="N19" s="287" t="e">
        <f>'Rev Req Proof Yr1'!R19</f>
        <v>#REF!</v>
      </c>
      <c r="O19" s="288">
        <f>'Rev Req Proof Yr1'!S19</f>
        <v>0</v>
      </c>
      <c r="P19" s="289" t="e">
        <f>'Rev Req Proof Yr1'!T19</f>
        <v>#REF!</v>
      </c>
      <c r="Q19" s="290" t="e">
        <f>'Rev Req Proof Yr1'!U19</f>
        <v>#REF!</v>
      </c>
      <c r="R19" s="147"/>
      <c r="S19" s="295" t="e">
        <f t="shared" si="19"/>
        <v>#REF!</v>
      </c>
      <c r="T19" s="296">
        <v>0</v>
      </c>
      <c r="U19" s="297">
        <v>0</v>
      </c>
      <c r="V19" s="147"/>
      <c r="W19" s="295" t="e">
        <f t="shared" si="12"/>
        <v>#REF!</v>
      </c>
      <c r="X19" s="296">
        <v>0</v>
      </c>
      <c r="Y19" s="297">
        <v>0</v>
      </c>
      <c r="Z19" s="147"/>
      <c r="AA19" s="295" t="e">
        <f t="shared" si="18"/>
        <v>#REF!</v>
      </c>
      <c r="AB19" s="296">
        <v>0</v>
      </c>
      <c r="AC19" s="297">
        <v>0</v>
      </c>
      <c r="AD19" s="298"/>
      <c r="AE19" s="295" t="e">
        <f t="shared" si="14"/>
        <v>#REF!</v>
      </c>
      <c r="AF19" s="296">
        <v>0</v>
      </c>
      <c r="AG19" s="297">
        <v>0</v>
      </c>
      <c r="AH19" s="147"/>
      <c r="AI19" s="295" t="e">
        <f t="shared" si="15"/>
        <v>#REF!</v>
      </c>
      <c r="AJ19" s="296">
        <v>0</v>
      </c>
      <c r="AK19" s="297">
        <v>0</v>
      </c>
      <c r="AL19" s="147"/>
      <c r="AM19" s="295" t="e">
        <f t="shared" si="11"/>
        <v>#REF!</v>
      </c>
      <c r="AN19" s="296">
        <v>0</v>
      </c>
      <c r="AO19" s="297">
        <v>0</v>
      </c>
      <c r="AP19" s="298"/>
      <c r="AQ19" s="295" t="e">
        <f t="shared" si="16"/>
        <v>#REF!</v>
      </c>
      <c r="AR19" s="296">
        <v>0</v>
      </c>
      <c r="AS19" s="297">
        <v>0</v>
      </c>
      <c r="AT19" s="147"/>
      <c r="AU19" s="295" t="e">
        <f t="shared" si="17"/>
        <v>#REF!</v>
      </c>
      <c r="AV19" s="296">
        <v>0</v>
      </c>
      <c r="AW19" s="297">
        <v>0</v>
      </c>
      <c r="AX19" s="298"/>
      <c r="AY19" s="299"/>
      <c r="AZ19" s="299"/>
      <c r="BA19" s="298"/>
    </row>
    <row r="20" spans="1:53" x14ac:dyDescent="0.2">
      <c r="A20" s="76">
        <f t="shared" si="9"/>
        <v>13</v>
      </c>
      <c r="B20" s="677" t="e">
        <f>'Rev Req Proof Yr1'!B20</f>
        <v>#REF!</v>
      </c>
      <c r="C20" s="671" t="s">
        <v>4</v>
      </c>
      <c r="D20" s="147"/>
      <c r="E20" s="147" t="e">
        <f>ROUND('Allocation = ¢ per Therm'!K23,5)</f>
        <v>#REF!</v>
      </c>
      <c r="F20" s="147">
        <f>ROUND('Allocation = % of Margin'!U20,5)</f>
        <v>-7.3400000000000002E-3</v>
      </c>
      <c r="G20" s="301">
        <f>ROUND('Allocation = % of Margin'!X20,5)</f>
        <v>-3.8999999999999998E-3</v>
      </c>
      <c r="H20" s="301">
        <f>ROUND('Allocation = % of Margin'!AA20,5)</f>
        <v>1.3799999999999999E-3</v>
      </c>
      <c r="I20" s="301">
        <f>ROUND('Allocation = % of Margin'!AG20,5)</f>
        <v>-7.3400000000000002E-3</v>
      </c>
      <c r="J20" s="301">
        <f>ROUND('Allocation = % of Margin'!AJ20,5)</f>
        <v>-3.9100000000000003E-3</v>
      </c>
      <c r="K20" s="301">
        <f>ROUND('Allocation = % of Margin'!AM20,5)</f>
        <v>-4.0000000000000002E-4</v>
      </c>
      <c r="L20" s="147"/>
      <c r="M20" s="551" t="e">
        <f>#REF!</f>
        <v>#REF!</v>
      </c>
      <c r="N20" s="287" t="e">
        <f>'Rev Req Proof Yr1'!R20</f>
        <v>#REF!</v>
      </c>
      <c r="O20" s="288">
        <f>'Rev Req Proof Yr1'!S20</f>
        <v>0</v>
      </c>
      <c r="P20" s="289" t="e">
        <f>'Rev Req Proof Yr1'!T20</f>
        <v>#REF!</v>
      </c>
      <c r="Q20" s="290" t="e">
        <f>'Rev Req Proof Yr1'!U20</f>
        <v>#REF!</v>
      </c>
      <c r="R20" s="147"/>
      <c r="S20" s="302" t="e">
        <f t="shared" si="19"/>
        <v>#REF!</v>
      </c>
      <c r="T20" s="298">
        <v>0</v>
      </c>
      <c r="U20" s="303">
        <v>0</v>
      </c>
      <c r="V20" s="147"/>
      <c r="W20" s="302" t="e">
        <f t="shared" si="12"/>
        <v>#REF!</v>
      </c>
      <c r="X20" s="298">
        <v>0</v>
      </c>
      <c r="Y20" s="303">
        <v>0</v>
      </c>
      <c r="Z20" s="147"/>
      <c r="AA20" s="302" t="e">
        <f t="shared" si="18"/>
        <v>#REF!</v>
      </c>
      <c r="AB20" s="298">
        <v>0</v>
      </c>
      <c r="AC20" s="303">
        <v>0</v>
      </c>
      <c r="AD20" s="298"/>
      <c r="AE20" s="302" t="e">
        <f t="shared" si="14"/>
        <v>#REF!</v>
      </c>
      <c r="AF20" s="298">
        <v>0</v>
      </c>
      <c r="AG20" s="303">
        <v>0</v>
      </c>
      <c r="AH20" s="147"/>
      <c r="AI20" s="302" t="e">
        <f t="shared" si="15"/>
        <v>#REF!</v>
      </c>
      <c r="AJ20" s="298">
        <v>0</v>
      </c>
      <c r="AK20" s="303">
        <v>0</v>
      </c>
      <c r="AL20" s="147"/>
      <c r="AM20" s="302" t="e">
        <f t="shared" si="11"/>
        <v>#REF!</v>
      </c>
      <c r="AN20" s="298">
        <v>0</v>
      </c>
      <c r="AO20" s="303">
        <v>0</v>
      </c>
      <c r="AP20" s="298"/>
      <c r="AQ20" s="302" t="e">
        <f t="shared" si="16"/>
        <v>#REF!</v>
      </c>
      <c r="AR20" s="298">
        <v>0</v>
      </c>
      <c r="AS20" s="303">
        <v>0</v>
      </c>
      <c r="AT20" s="147"/>
      <c r="AU20" s="302" t="e">
        <f t="shared" si="17"/>
        <v>#REF!</v>
      </c>
      <c r="AV20" s="298">
        <v>0</v>
      </c>
      <c r="AW20" s="303">
        <v>0</v>
      </c>
      <c r="AX20" s="298"/>
      <c r="AY20" s="299"/>
      <c r="AZ20" s="299"/>
      <c r="BA20" s="298"/>
    </row>
    <row r="21" spans="1:53" x14ac:dyDescent="0.2">
      <c r="A21" s="76">
        <f t="shared" si="9"/>
        <v>14</v>
      </c>
      <c r="B21" s="670"/>
      <c r="C21" s="671" t="s">
        <v>5</v>
      </c>
      <c r="D21" s="147"/>
      <c r="E21" s="147" t="e">
        <f>ROUND('Allocation = ¢ per Therm'!K24,5)</f>
        <v>#REF!</v>
      </c>
      <c r="F21" s="147">
        <f>ROUND('Allocation = % of Margin'!U21,5)</f>
        <v>-6.4700000000000001E-3</v>
      </c>
      <c r="G21" s="147">
        <f>ROUND('Allocation = % of Margin'!X21,5)</f>
        <v>-3.4399999999999999E-3</v>
      </c>
      <c r="H21" s="147">
        <f>ROUND('Allocation = % of Margin'!AA21,5)</f>
        <v>1.2099999999999999E-3</v>
      </c>
      <c r="I21" s="147">
        <f>ROUND('Allocation = % of Margin'!AG21,5)</f>
        <v>-6.4700000000000001E-3</v>
      </c>
      <c r="J21" s="147">
        <f>ROUND('Allocation = % of Margin'!AJ21,5)</f>
        <v>-3.4499999999999999E-3</v>
      </c>
      <c r="K21" s="147">
        <f>ROUND('Allocation = % of Margin'!AM21,5)</f>
        <v>-3.5E-4</v>
      </c>
      <c r="L21" s="147"/>
      <c r="M21" s="551" t="e">
        <f>#REF!</f>
        <v>#REF!</v>
      </c>
      <c r="N21" s="287" t="e">
        <f>'Rev Req Proof Yr1'!R21</f>
        <v>#REF!</v>
      </c>
      <c r="O21" s="288">
        <f>'Rev Req Proof Yr1'!S21</f>
        <v>0</v>
      </c>
      <c r="P21" s="289">
        <f>'Rev Req Proof Yr1'!T21</f>
        <v>0</v>
      </c>
      <c r="Q21" s="290">
        <f>'Rev Req Proof Yr1'!U21</f>
        <v>0</v>
      </c>
      <c r="R21" s="147"/>
      <c r="S21" s="302" t="e">
        <f t="shared" si="19"/>
        <v>#REF!</v>
      </c>
      <c r="T21" s="298">
        <v>0</v>
      </c>
      <c r="U21" s="303">
        <v>0</v>
      </c>
      <c r="V21" s="147"/>
      <c r="W21" s="302" t="e">
        <f t="shared" si="12"/>
        <v>#REF!</v>
      </c>
      <c r="X21" s="298">
        <v>0</v>
      </c>
      <c r="Y21" s="303">
        <v>0</v>
      </c>
      <c r="Z21" s="147"/>
      <c r="AA21" s="302" t="e">
        <f t="shared" si="18"/>
        <v>#REF!</v>
      </c>
      <c r="AB21" s="298">
        <v>0</v>
      </c>
      <c r="AC21" s="303">
        <v>0</v>
      </c>
      <c r="AD21" s="298"/>
      <c r="AE21" s="302" t="e">
        <f t="shared" si="14"/>
        <v>#REF!</v>
      </c>
      <c r="AF21" s="298">
        <v>0</v>
      </c>
      <c r="AG21" s="303">
        <v>0</v>
      </c>
      <c r="AH21" s="147"/>
      <c r="AI21" s="302" t="e">
        <f t="shared" si="15"/>
        <v>#REF!</v>
      </c>
      <c r="AJ21" s="298">
        <v>0</v>
      </c>
      <c r="AK21" s="303">
        <v>0</v>
      </c>
      <c r="AL21" s="147"/>
      <c r="AM21" s="302" t="e">
        <f t="shared" si="11"/>
        <v>#REF!</v>
      </c>
      <c r="AN21" s="298">
        <v>0</v>
      </c>
      <c r="AO21" s="303">
        <v>0</v>
      </c>
      <c r="AP21" s="298"/>
      <c r="AQ21" s="302" t="e">
        <f t="shared" si="16"/>
        <v>#REF!</v>
      </c>
      <c r="AR21" s="298">
        <v>0</v>
      </c>
      <c r="AS21" s="303">
        <v>0</v>
      </c>
      <c r="AT21" s="147"/>
      <c r="AU21" s="302" t="e">
        <f t="shared" si="17"/>
        <v>#REF!</v>
      </c>
      <c r="AV21" s="298">
        <v>0</v>
      </c>
      <c r="AW21" s="303">
        <v>0</v>
      </c>
      <c r="AX21" s="298"/>
      <c r="AY21" s="299"/>
      <c r="AZ21" s="299"/>
      <c r="BA21" s="298"/>
    </row>
    <row r="22" spans="1:53" x14ac:dyDescent="0.2">
      <c r="A22" s="76">
        <f t="shared" si="9"/>
        <v>15</v>
      </c>
      <c r="B22" s="668"/>
      <c r="C22" s="686" t="s">
        <v>62</v>
      </c>
      <c r="D22" s="143"/>
      <c r="E22" s="143"/>
      <c r="F22" s="143"/>
      <c r="G22" s="747"/>
      <c r="H22" s="747"/>
      <c r="I22" s="747"/>
      <c r="J22" s="747"/>
      <c r="K22" s="747"/>
      <c r="L22" s="143"/>
      <c r="M22" s="551"/>
      <c r="N22" s="287"/>
      <c r="O22" s="288"/>
      <c r="P22" s="289"/>
      <c r="Q22" s="290"/>
      <c r="R22" s="147"/>
      <c r="S22" s="304" t="e">
        <f>SUM(S20:S21)</f>
        <v>#REF!</v>
      </c>
      <c r="T22" s="305">
        <f t="shared" ref="T22:U22" si="20">SUM(T20:T21)</f>
        <v>0</v>
      </c>
      <c r="U22" s="306">
        <f t="shared" si="20"/>
        <v>0</v>
      </c>
      <c r="V22" s="147"/>
      <c r="W22" s="304" t="e">
        <f>SUM(W20:W21)</f>
        <v>#REF!</v>
      </c>
      <c r="X22" s="305">
        <f t="shared" ref="X22:Y22" si="21">SUM(X20:X21)</f>
        <v>0</v>
      </c>
      <c r="Y22" s="306">
        <f t="shared" si="21"/>
        <v>0</v>
      </c>
      <c r="Z22" s="147"/>
      <c r="AA22" s="304" t="e">
        <f>SUM(AA20:AA21)</f>
        <v>#REF!</v>
      </c>
      <c r="AB22" s="305">
        <f t="shared" ref="AB22:AC22" si="22">SUM(AB20:AB21)</f>
        <v>0</v>
      </c>
      <c r="AC22" s="306">
        <f t="shared" si="22"/>
        <v>0</v>
      </c>
      <c r="AD22" s="317"/>
      <c r="AE22" s="304" t="e">
        <f>SUM(AE20:AE21)</f>
        <v>#REF!</v>
      </c>
      <c r="AF22" s="305">
        <f t="shared" ref="AF22:AG22" si="23">SUM(AF20:AF21)</f>
        <v>0</v>
      </c>
      <c r="AG22" s="306">
        <f t="shared" si="23"/>
        <v>0</v>
      </c>
      <c r="AH22" s="147"/>
      <c r="AI22" s="304" t="e">
        <f>SUM(AI20:AI21)</f>
        <v>#REF!</v>
      </c>
      <c r="AJ22" s="305">
        <f t="shared" ref="AJ22:AK22" si="24">SUM(AJ20:AJ21)</f>
        <v>0</v>
      </c>
      <c r="AK22" s="306">
        <f t="shared" si="24"/>
        <v>0</v>
      </c>
      <c r="AL22" s="147"/>
      <c r="AM22" s="304" t="e">
        <f>SUM(AM20:AM21)</f>
        <v>#REF!</v>
      </c>
      <c r="AN22" s="305">
        <f t="shared" ref="AN22:AO22" si="25">SUM(AN20:AN21)</f>
        <v>0</v>
      </c>
      <c r="AO22" s="306">
        <f t="shared" si="25"/>
        <v>0</v>
      </c>
      <c r="AP22" s="317"/>
      <c r="AQ22" s="304" t="e">
        <f>SUM(AQ20:AQ21)</f>
        <v>#REF!</v>
      </c>
      <c r="AR22" s="305">
        <f t="shared" ref="AR22:AS22" si="26">SUM(AR20:AR21)</f>
        <v>0</v>
      </c>
      <c r="AS22" s="306">
        <f t="shared" si="26"/>
        <v>0</v>
      </c>
      <c r="AT22" s="147"/>
      <c r="AU22" s="304" t="e">
        <f>SUM(AU20:AU21)</f>
        <v>#REF!</v>
      </c>
      <c r="AV22" s="305">
        <f t="shared" ref="AV22" si="27">SUM(AV20:AV21)</f>
        <v>0</v>
      </c>
      <c r="AW22" s="306">
        <f t="shared" ref="AW22" si="28">SUM(AW20:AW21)</f>
        <v>0</v>
      </c>
      <c r="AX22" s="298"/>
      <c r="AY22" s="299"/>
      <c r="AZ22" s="299"/>
      <c r="BA22" s="298"/>
    </row>
    <row r="23" spans="1:53" x14ac:dyDescent="0.2">
      <c r="A23" s="76">
        <f t="shared" si="9"/>
        <v>16</v>
      </c>
      <c r="B23" s="677" t="e">
        <f>'Rev Req Proof Yr1'!B23</f>
        <v>#REF!</v>
      </c>
      <c r="C23" s="671" t="s">
        <v>4</v>
      </c>
      <c r="D23" s="147"/>
      <c r="E23" s="147" t="e">
        <f>ROUND('Allocation = ¢ per Therm'!K25,5)</f>
        <v>#REF!</v>
      </c>
      <c r="F23" s="147">
        <f>ROUND('Allocation = % of Margin'!U22,5)</f>
        <v>0</v>
      </c>
      <c r="G23" s="301">
        <f>ROUND('Allocation = % of Margin'!X22,5)</f>
        <v>-3.5200000000000001E-3</v>
      </c>
      <c r="H23" s="301">
        <f>ROUND('Allocation = % of Margin'!AA22,5)</f>
        <v>1.24E-3</v>
      </c>
      <c r="I23" s="301">
        <f>ROUND('Allocation = % of Margin'!AG22,5)</f>
        <v>0</v>
      </c>
      <c r="J23" s="301">
        <f>ROUND('Allocation = % of Margin'!AJ22,5)</f>
        <v>-3.3999999999999998E-3</v>
      </c>
      <c r="K23" s="301">
        <f>ROUND('Allocation = % of Margin'!AM22,5)</f>
        <v>-3.5E-4</v>
      </c>
      <c r="L23" s="147"/>
      <c r="M23" s="551" t="e">
        <f>#REF!</f>
        <v>#REF!</v>
      </c>
      <c r="N23" s="287" t="e">
        <f>'Rev Req Proof Yr1'!R23</f>
        <v>#REF!</v>
      </c>
      <c r="O23" s="288">
        <f>'Rev Req Proof Yr1'!S23</f>
        <v>0</v>
      </c>
      <c r="P23" s="289" t="e">
        <f>'Rev Req Proof Yr1'!T23</f>
        <v>#REF!</v>
      </c>
      <c r="Q23" s="290" t="e">
        <f>'Rev Req Proof Yr1'!U23</f>
        <v>#REF!</v>
      </c>
      <c r="R23" s="147"/>
      <c r="S23" s="302" t="e">
        <f t="shared" ref="S23:S24" si="29">((E23)*N23)</f>
        <v>#REF!</v>
      </c>
      <c r="T23" s="298">
        <v>0</v>
      </c>
      <c r="U23" s="303">
        <v>0</v>
      </c>
      <c r="V23" s="147"/>
      <c r="W23" s="302" t="e">
        <f t="shared" si="12"/>
        <v>#REF!</v>
      </c>
      <c r="X23" s="298">
        <v>0</v>
      </c>
      <c r="Y23" s="303">
        <v>0</v>
      </c>
      <c r="Z23" s="147"/>
      <c r="AA23" s="302" t="e">
        <f t="shared" ref="AA23:AA24" si="30">((G23)*N23)</f>
        <v>#REF!</v>
      </c>
      <c r="AB23" s="298">
        <v>0</v>
      </c>
      <c r="AC23" s="303">
        <v>0</v>
      </c>
      <c r="AD23" s="298"/>
      <c r="AE23" s="302" t="e">
        <f t="shared" si="14"/>
        <v>#REF!</v>
      </c>
      <c r="AF23" s="298">
        <v>0</v>
      </c>
      <c r="AG23" s="303">
        <v>0</v>
      </c>
      <c r="AH23" s="147"/>
      <c r="AI23" s="302" t="e">
        <f t="shared" si="15"/>
        <v>#REF!</v>
      </c>
      <c r="AJ23" s="298">
        <v>0</v>
      </c>
      <c r="AK23" s="303">
        <v>0</v>
      </c>
      <c r="AL23" s="147"/>
      <c r="AM23" s="302" t="e">
        <f>((J23)*N23)</f>
        <v>#REF!</v>
      </c>
      <c r="AN23" s="298">
        <v>0</v>
      </c>
      <c r="AO23" s="303">
        <v>0</v>
      </c>
      <c r="AP23" s="298"/>
      <c r="AQ23" s="302" t="e">
        <f t="shared" si="16"/>
        <v>#REF!</v>
      </c>
      <c r="AR23" s="298">
        <v>0</v>
      </c>
      <c r="AS23" s="303">
        <v>0</v>
      </c>
      <c r="AT23" s="147"/>
      <c r="AU23" s="302" t="e">
        <f t="shared" ref="AU23:AU24" si="31">((E23+F23+G23+K23)*N23)</f>
        <v>#REF!</v>
      </c>
      <c r="AV23" s="298">
        <v>0</v>
      </c>
      <c r="AW23" s="303">
        <v>0</v>
      </c>
      <c r="AX23" s="298"/>
      <c r="AY23" s="299"/>
      <c r="AZ23" s="299"/>
      <c r="BA23" s="298"/>
    </row>
    <row r="24" spans="1:53" x14ac:dyDescent="0.2">
      <c r="A24" s="76">
        <f t="shared" si="9"/>
        <v>17</v>
      </c>
      <c r="B24" s="670"/>
      <c r="C24" s="671" t="s">
        <v>5</v>
      </c>
      <c r="D24" s="147"/>
      <c r="E24" s="147" t="e">
        <f>ROUND('Allocation = ¢ per Therm'!K26,5)</f>
        <v>#REF!</v>
      </c>
      <c r="F24" s="147">
        <f>ROUND('Allocation = % of Margin'!U23,5)</f>
        <v>0</v>
      </c>
      <c r="G24" s="147">
        <f>ROUND('Allocation = % of Margin'!X23,5)</f>
        <v>-3.0999999999999999E-3</v>
      </c>
      <c r="H24" s="147">
        <f>ROUND('Allocation = % of Margin'!AA23,5)</f>
        <v>1.09E-3</v>
      </c>
      <c r="I24" s="147">
        <f>ROUND('Allocation = % of Margin'!AG23,5)</f>
        <v>0</v>
      </c>
      <c r="J24" s="147">
        <f>ROUND('Allocation = % of Margin'!AJ23,5)</f>
        <v>-2.99E-3</v>
      </c>
      <c r="K24" s="147">
        <f>ROUND('Allocation = % of Margin'!AM23,5)</f>
        <v>-2.9999999999999997E-4</v>
      </c>
      <c r="L24" s="147"/>
      <c r="M24" s="551" t="e">
        <f>#REF!</f>
        <v>#REF!</v>
      </c>
      <c r="N24" s="287" t="e">
        <f>'Rev Req Proof Yr1'!R24</f>
        <v>#REF!</v>
      </c>
      <c r="O24" s="288">
        <f>'Rev Req Proof Yr1'!S24</f>
        <v>0</v>
      </c>
      <c r="P24" s="289">
        <f>'Rev Req Proof Yr1'!T24</f>
        <v>0</v>
      </c>
      <c r="Q24" s="290">
        <f>'Rev Req Proof Yr1'!U24</f>
        <v>0</v>
      </c>
      <c r="R24" s="147"/>
      <c r="S24" s="302" t="e">
        <f t="shared" si="29"/>
        <v>#REF!</v>
      </c>
      <c r="T24" s="298">
        <v>0</v>
      </c>
      <c r="U24" s="303">
        <v>0</v>
      </c>
      <c r="V24" s="147"/>
      <c r="W24" s="302" t="e">
        <f t="shared" si="12"/>
        <v>#REF!</v>
      </c>
      <c r="X24" s="298">
        <v>0</v>
      </c>
      <c r="Y24" s="303">
        <v>0</v>
      </c>
      <c r="Z24" s="147"/>
      <c r="AA24" s="302" t="e">
        <f t="shared" si="30"/>
        <v>#REF!</v>
      </c>
      <c r="AB24" s="298">
        <v>0</v>
      </c>
      <c r="AC24" s="303">
        <v>0</v>
      </c>
      <c r="AD24" s="298"/>
      <c r="AE24" s="302" t="e">
        <f t="shared" si="14"/>
        <v>#REF!</v>
      </c>
      <c r="AF24" s="298">
        <v>0</v>
      </c>
      <c r="AG24" s="303">
        <v>0</v>
      </c>
      <c r="AH24" s="147"/>
      <c r="AI24" s="302" t="e">
        <f t="shared" si="15"/>
        <v>#REF!</v>
      </c>
      <c r="AJ24" s="298">
        <v>0</v>
      </c>
      <c r="AK24" s="303">
        <v>0</v>
      </c>
      <c r="AL24" s="147"/>
      <c r="AM24" s="302" t="e">
        <f>((J24)*N24)</f>
        <v>#REF!</v>
      </c>
      <c r="AN24" s="298">
        <v>0</v>
      </c>
      <c r="AO24" s="303">
        <v>0</v>
      </c>
      <c r="AP24" s="298"/>
      <c r="AQ24" s="302" t="e">
        <f t="shared" si="16"/>
        <v>#REF!</v>
      </c>
      <c r="AR24" s="298">
        <v>0</v>
      </c>
      <c r="AS24" s="303">
        <v>0</v>
      </c>
      <c r="AT24" s="147"/>
      <c r="AU24" s="302" t="e">
        <f t="shared" si="31"/>
        <v>#REF!</v>
      </c>
      <c r="AV24" s="298">
        <v>0</v>
      </c>
      <c r="AW24" s="303">
        <v>0</v>
      </c>
      <c r="AX24" s="298"/>
      <c r="AY24" s="299"/>
      <c r="AZ24" s="299"/>
      <c r="BA24" s="298"/>
    </row>
    <row r="25" spans="1:53" x14ac:dyDescent="0.2">
      <c r="A25" s="76">
        <f t="shared" si="9"/>
        <v>18</v>
      </c>
      <c r="B25" s="668"/>
      <c r="C25" s="686" t="s">
        <v>62</v>
      </c>
      <c r="D25" s="143"/>
      <c r="E25" s="143"/>
      <c r="F25" s="143"/>
      <c r="G25" s="747"/>
      <c r="H25" s="747"/>
      <c r="I25" s="747"/>
      <c r="J25" s="747"/>
      <c r="K25" s="747"/>
      <c r="L25" s="143"/>
      <c r="M25" s="551"/>
      <c r="N25" s="287"/>
      <c r="O25" s="288"/>
      <c r="P25" s="289"/>
      <c r="Q25" s="290"/>
      <c r="R25" s="147"/>
      <c r="S25" s="304" t="e">
        <f>SUM(S23:S24)</f>
        <v>#REF!</v>
      </c>
      <c r="T25" s="305">
        <f t="shared" ref="T25:U25" si="32">SUM(T23:T24)</f>
        <v>0</v>
      </c>
      <c r="U25" s="306">
        <f t="shared" si="32"/>
        <v>0</v>
      </c>
      <c r="V25" s="147"/>
      <c r="W25" s="304" t="e">
        <f>SUM(W23:W24)</f>
        <v>#REF!</v>
      </c>
      <c r="X25" s="305">
        <f t="shared" ref="X25:Y25" si="33">SUM(X23:X24)</f>
        <v>0</v>
      </c>
      <c r="Y25" s="306">
        <f t="shared" si="33"/>
        <v>0</v>
      </c>
      <c r="Z25" s="147"/>
      <c r="AA25" s="304" t="e">
        <f>SUM(AA23:AA24)</f>
        <v>#REF!</v>
      </c>
      <c r="AB25" s="305">
        <f t="shared" ref="AB25:AC25" si="34">SUM(AB23:AB24)</f>
        <v>0</v>
      </c>
      <c r="AC25" s="306">
        <f t="shared" si="34"/>
        <v>0</v>
      </c>
      <c r="AD25" s="317"/>
      <c r="AE25" s="304" t="e">
        <f>SUM(AE23:AE24)</f>
        <v>#REF!</v>
      </c>
      <c r="AF25" s="305">
        <f t="shared" ref="AF25:AG25" si="35">SUM(AF23:AF24)</f>
        <v>0</v>
      </c>
      <c r="AG25" s="306">
        <f t="shared" si="35"/>
        <v>0</v>
      </c>
      <c r="AH25" s="147"/>
      <c r="AI25" s="304" t="e">
        <f>SUM(AI23:AI24)</f>
        <v>#REF!</v>
      </c>
      <c r="AJ25" s="305">
        <f t="shared" ref="AJ25:AK25" si="36">SUM(AJ23:AJ24)</f>
        <v>0</v>
      </c>
      <c r="AK25" s="306">
        <f t="shared" si="36"/>
        <v>0</v>
      </c>
      <c r="AL25" s="147"/>
      <c r="AM25" s="304" t="e">
        <f>SUM(AM23:AM24)</f>
        <v>#REF!</v>
      </c>
      <c r="AN25" s="305">
        <f t="shared" ref="AN25:AO25" si="37">SUM(AN23:AN24)</f>
        <v>0</v>
      </c>
      <c r="AO25" s="306">
        <f t="shared" si="37"/>
        <v>0</v>
      </c>
      <c r="AP25" s="317"/>
      <c r="AQ25" s="304" t="e">
        <f>SUM(AQ23:AQ24)</f>
        <v>#REF!</v>
      </c>
      <c r="AR25" s="305">
        <f t="shared" ref="AR25:AS25" si="38">SUM(AR23:AR24)</f>
        <v>0</v>
      </c>
      <c r="AS25" s="306">
        <f t="shared" si="38"/>
        <v>0</v>
      </c>
      <c r="AT25" s="147"/>
      <c r="AU25" s="304" t="e">
        <f>SUM(AU23:AU24)</f>
        <v>#REF!</v>
      </c>
      <c r="AV25" s="305">
        <f t="shared" ref="AV25:AW25" si="39">SUM(AV23:AV24)</f>
        <v>0</v>
      </c>
      <c r="AW25" s="306">
        <f t="shared" si="39"/>
        <v>0</v>
      </c>
      <c r="AX25" s="298"/>
      <c r="AY25" s="299"/>
      <c r="AZ25" s="299"/>
      <c r="BA25" s="298"/>
    </row>
    <row r="26" spans="1:53" x14ac:dyDescent="0.2">
      <c r="A26" s="76">
        <f t="shared" si="9"/>
        <v>19</v>
      </c>
      <c r="B26" s="670" t="e">
        <f>'Rev Req Proof Yr1'!B26</f>
        <v>#REF!</v>
      </c>
      <c r="C26" s="671" t="s">
        <v>4</v>
      </c>
      <c r="D26" s="147"/>
      <c r="E26" s="147" t="e">
        <f>ROUND('Allocation = ¢ per Therm'!K27,5)</f>
        <v>#REF!</v>
      </c>
      <c r="F26" s="147">
        <f>ROUND('Allocation = % of Margin'!U24,5)</f>
        <v>-6.8599999999999998E-3</v>
      </c>
      <c r="G26" s="301">
        <f>ROUND('Allocation = % of Margin'!X24,5)</f>
        <v>-3.0300000000000001E-3</v>
      </c>
      <c r="H26" s="301">
        <f>ROUND('Allocation = % of Margin'!AA24,5)</f>
        <v>1.3799999999999999E-3</v>
      </c>
      <c r="I26" s="301">
        <f>ROUND('Allocation = % of Margin'!AG24,5)</f>
        <v>-6.7799999999999996E-3</v>
      </c>
      <c r="J26" s="301">
        <f>ROUND('Allocation = % of Margin'!AJ24,5)</f>
        <v>-3.0400000000000002E-3</v>
      </c>
      <c r="K26" s="301">
        <f>ROUND('Allocation = % of Margin'!AM24,5)</f>
        <v>-3.1E-4</v>
      </c>
      <c r="L26" s="147"/>
      <c r="M26" s="551" t="e">
        <f>#REF!</f>
        <v>#REF!</v>
      </c>
      <c r="N26" s="287" t="e">
        <f>'Rev Req Proof Yr1'!R26</f>
        <v>#REF!</v>
      </c>
      <c r="O26" s="288">
        <f>'Rev Req Proof Yr1'!S26</f>
        <v>0</v>
      </c>
      <c r="P26" s="289" t="e">
        <f>'Rev Req Proof Yr1'!T26</f>
        <v>#REF!</v>
      </c>
      <c r="Q26" s="290" t="e">
        <f>'Rev Req Proof Yr1'!U26</f>
        <v>#REF!</v>
      </c>
      <c r="R26" s="147"/>
      <c r="S26" s="302" t="e">
        <f>((E26)*N26)</f>
        <v>#REF!</v>
      </c>
      <c r="T26" s="298">
        <v>0</v>
      </c>
      <c r="U26" s="303">
        <v>0</v>
      </c>
      <c r="V26" s="147"/>
      <c r="W26" s="302" t="e">
        <f t="shared" si="12"/>
        <v>#REF!</v>
      </c>
      <c r="X26" s="298">
        <v>0</v>
      </c>
      <c r="Y26" s="303">
        <v>0</v>
      </c>
      <c r="Z26" s="147"/>
      <c r="AA26" s="302" t="e">
        <f>((G26)*N26)</f>
        <v>#REF!</v>
      </c>
      <c r="AB26" s="298">
        <v>0</v>
      </c>
      <c r="AC26" s="303">
        <v>0</v>
      </c>
      <c r="AD26" s="298"/>
      <c r="AE26" s="302" t="e">
        <f t="shared" si="14"/>
        <v>#REF!</v>
      </c>
      <c r="AF26" s="298">
        <v>0</v>
      </c>
      <c r="AG26" s="303">
        <v>0</v>
      </c>
      <c r="AH26" s="147"/>
      <c r="AI26" s="302" t="e">
        <f t="shared" si="15"/>
        <v>#REF!</v>
      </c>
      <c r="AJ26" s="298">
        <v>0</v>
      </c>
      <c r="AK26" s="303">
        <v>0</v>
      </c>
      <c r="AL26" s="147"/>
      <c r="AM26" s="302" t="e">
        <f>((J26)*N26)</f>
        <v>#REF!</v>
      </c>
      <c r="AN26" s="298">
        <v>0</v>
      </c>
      <c r="AO26" s="303">
        <v>0</v>
      </c>
      <c r="AP26" s="298"/>
      <c r="AQ26" s="302" t="e">
        <f t="shared" si="16"/>
        <v>#REF!</v>
      </c>
      <c r="AR26" s="298">
        <v>0</v>
      </c>
      <c r="AS26" s="303">
        <v>0</v>
      </c>
      <c r="AT26" s="147"/>
      <c r="AU26" s="302" t="e">
        <f t="shared" ref="AU26:AU27" si="40">((E26+F26+G26+K26)*N26)</f>
        <v>#REF!</v>
      </c>
      <c r="AV26" s="298">
        <v>0</v>
      </c>
      <c r="AW26" s="303">
        <v>0</v>
      </c>
      <c r="AX26" s="298"/>
      <c r="AY26" s="299"/>
      <c r="AZ26" s="299"/>
      <c r="BA26" s="298"/>
    </row>
    <row r="27" spans="1:53" x14ac:dyDescent="0.2">
      <c r="A27" s="76">
        <f t="shared" si="9"/>
        <v>20</v>
      </c>
      <c r="B27" s="670"/>
      <c r="C27" s="671" t="s">
        <v>5</v>
      </c>
      <c r="D27" s="147"/>
      <c r="E27" s="147" t="e">
        <f>ROUND('Allocation = ¢ per Therm'!K28,5)</f>
        <v>#REF!</v>
      </c>
      <c r="F27" s="147">
        <f>ROUND('Allocation = % of Margin'!U25,5)</f>
        <v>-6.0499999999999998E-3</v>
      </c>
      <c r="G27" s="147">
        <f>ROUND('Allocation = % of Margin'!X25,5)</f>
        <v>-2.6700000000000001E-3</v>
      </c>
      <c r="H27" s="147">
        <f>ROUND('Allocation = % of Margin'!AA25,5)</f>
        <v>1.2099999999999999E-3</v>
      </c>
      <c r="I27" s="147">
        <f>ROUND('Allocation = % of Margin'!AG25,5)</f>
        <v>-5.9699999999999996E-3</v>
      </c>
      <c r="J27" s="147">
        <f>ROUND('Allocation = % of Margin'!AJ25,5)</f>
        <v>-2.6800000000000001E-3</v>
      </c>
      <c r="K27" s="147">
        <f>ROUND('Allocation = % of Margin'!AM25,5)</f>
        <v>-2.7E-4</v>
      </c>
      <c r="L27" s="147"/>
      <c r="M27" s="551" t="e">
        <f>#REF!</f>
        <v>#REF!</v>
      </c>
      <c r="N27" s="287" t="e">
        <f>'Rev Req Proof Yr1'!R27</f>
        <v>#REF!</v>
      </c>
      <c r="O27" s="288">
        <f>'Rev Req Proof Yr1'!S27</f>
        <v>0</v>
      </c>
      <c r="P27" s="289">
        <f>'Rev Req Proof Yr1'!T27</f>
        <v>0</v>
      </c>
      <c r="Q27" s="290">
        <f>'Rev Req Proof Yr1'!U27</f>
        <v>0</v>
      </c>
      <c r="R27" s="147"/>
      <c r="S27" s="302" t="e">
        <f>((E27)*N27)</f>
        <v>#REF!</v>
      </c>
      <c r="T27" s="298">
        <v>0</v>
      </c>
      <c r="U27" s="303">
        <v>0</v>
      </c>
      <c r="V27" s="147"/>
      <c r="W27" s="302" t="e">
        <f t="shared" si="12"/>
        <v>#REF!</v>
      </c>
      <c r="X27" s="298">
        <v>0</v>
      </c>
      <c r="Y27" s="303">
        <v>0</v>
      </c>
      <c r="Z27" s="147"/>
      <c r="AA27" s="302" t="e">
        <f>((G27)*N27)</f>
        <v>#REF!</v>
      </c>
      <c r="AB27" s="298">
        <v>0</v>
      </c>
      <c r="AC27" s="303">
        <v>0</v>
      </c>
      <c r="AD27" s="298"/>
      <c r="AE27" s="302" t="e">
        <f t="shared" si="14"/>
        <v>#REF!</v>
      </c>
      <c r="AF27" s="298">
        <v>0</v>
      </c>
      <c r="AG27" s="303">
        <v>0</v>
      </c>
      <c r="AH27" s="147"/>
      <c r="AI27" s="302" t="e">
        <f t="shared" si="15"/>
        <v>#REF!</v>
      </c>
      <c r="AJ27" s="298">
        <v>0</v>
      </c>
      <c r="AK27" s="303">
        <v>0</v>
      </c>
      <c r="AL27" s="147"/>
      <c r="AM27" s="302" t="e">
        <f>((J27)*N27)</f>
        <v>#REF!</v>
      </c>
      <c r="AN27" s="298">
        <v>0</v>
      </c>
      <c r="AO27" s="303">
        <v>0</v>
      </c>
      <c r="AP27" s="298"/>
      <c r="AQ27" s="302" t="e">
        <f t="shared" si="16"/>
        <v>#REF!</v>
      </c>
      <c r="AR27" s="298">
        <v>0</v>
      </c>
      <c r="AS27" s="303">
        <v>0</v>
      </c>
      <c r="AT27" s="147"/>
      <c r="AU27" s="302" t="e">
        <f t="shared" si="40"/>
        <v>#REF!</v>
      </c>
      <c r="AV27" s="298">
        <v>0</v>
      </c>
      <c r="AW27" s="303">
        <v>0</v>
      </c>
      <c r="AX27" s="298"/>
      <c r="AY27" s="299"/>
      <c r="AZ27" s="299"/>
      <c r="BA27" s="298"/>
    </row>
    <row r="28" spans="1:53" x14ac:dyDescent="0.2">
      <c r="A28" s="76">
        <f t="shared" si="9"/>
        <v>21</v>
      </c>
      <c r="B28" s="668"/>
      <c r="C28" s="686" t="s">
        <v>62</v>
      </c>
      <c r="D28" s="143"/>
      <c r="E28" s="143"/>
      <c r="F28" s="143"/>
      <c r="G28" s="747"/>
      <c r="H28" s="747"/>
      <c r="I28" s="747"/>
      <c r="J28" s="747"/>
      <c r="K28" s="747"/>
      <c r="L28" s="143"/>
      <c r="M28" s="551"/>
      <c r="N28" s="287"/>
      <c r="O28" s="288"/>
      <c r="P28" s="289"/>
      <c r="Q28" s="290"/>
      <c r="R28" s="147"/>
      <c r="S28" s="304" t="e">
        <f>SUM(S26:S27)</f>
        <v>#REF!</v>
      </c>
      <c r="T28" s="305">
        <f t="shared" ref="T28:U28" si="41">SUM(T26:T27)</f>
        <v>0</v>
      </c>
      <c r="U28" s="306">
        <f t="shared" si="41"/>
        <v>0</v>
      </c>
      <c r="V28" s="147"/>
      <c r="W28" s="304" t="e">
        <f>SUM(W26:W27)</f>
        <v>#REF!</v>
      </c>
      <c r="X28" s="305">
        <f t="shared" ref="X28:Y28" si="42">SUM(X26:X27)</f>
        <v>0</v>
      </c>
      <c r="Y28" s="306">
        <f t="shared" si="42"/>
        <v>0</v>
      </c>
      <c r="Z28" s="147"/>
      <c r="AA28" s="304" t="e">
        <f>SUM(AA26:AA27)</f>
        <v>#REF!</v>
      </c>
      <c r="AB28" s="305">
        <f t="shared" ref="AB28:AC28" si="43">SUM(AB26:AB27)</f>
        <v>0</v>
      </c>
      <c r="AC28" s="306">
        <f t="shared" si="43"/>
        <v>0</v>
      </c>
      <c r="AD28" s="317"/>
      <c r="AE28" s="304" t="e">
        <f>SUM(AE26:AE27)</f>
        <v>#REF!</v>
      </c>
      <c r="AF28" s="305">
        <f t="shared" ref="AF28:AG28" si="44">SUM(AF26:AF27)</f>
        <v>0</v>
      </c>
      <c r="AG28" s="306">
        <f t="shared" si="44"/>
        <v>0</v>
      </c>
      <c r="AH28" s="147"/>
      <c r="AI28" s="304" t="e">
        <f>SUM(AI26:AI27)</f>
        <v>#REF!</v>
      </c>
      <c r="AJ28" s="305">
        <f t="shared" ref="AJ28:AK28" si="45">SUM(AJ26:AJ27)</f>
        <v>0</v>
      </c>
      <c r="AK28" s="306">
        <f t="shared" si="45"/>
        <v>0</v>
      </c>
      <c r="AL28" s="147"/>
      <c r="AM28" s="304" t="e">
        <f>SUM(AM26:AM27)</f>
        <v>#REF!</v>
      </c>
      <c r="AN28" s="305">
        <f t="shared" ref="AN28:AO28" si="46">SUM(AN26:AN27)</f>
        <v>0</v>
      </c>
      <c r="AO28" s="306">
        <f t="shared" si="46"/>
        <v>0</v>
      </c>
      <c r="AP28" s="317"/>
      <c r="AQ28" s="304" t="e">
        <f>SUM(AQ26:AQ27)</f>
        <v>#REF!</v>
      </c>
      <c r="AR28" s="305">
        <f t="shared" ref="AR28:AS28" si="47">SUM(AR26:AR27)</f>
        <v>0</v>
      </c>
      <c r="AS28" s="306">
        <f t="shared" si="47"/>
        <v>0</v>
      </c>
      <c r="AT28" s="147"/>
      <c r="AU28" s="304" t="e">
        <f>SUM(AU26:AU27)</f>
        <v>#REF!</v>
      </c>
      <c r="AV28" s="305">
        <f t="shared" ref="AV28" si="48">SUM(AV26:AV27)</f>
        <v>0</v>
      </c>
      <c r="AW28" s="306">
        <f t="shared" ref="AW28" si="49">SUM(AW26:AW27)</f>
        <v>0</v>
      </c>
      <c r="AX28" s="298"/>
      <c r="AY28" s="299"/>
      <c r="AZ28" s="299"/>
      <c r="BA28" s="298"/>
    </row>
    <row r="29" spans="1:53" x14ac:dyDescent="0.2">
      <c r="A29" s="76">
        <f t="shared" si="9"/>
        <v>22</v>
      </c>
      <c r="B29" s="670" t="e">
        <f>'Rev Req Proof Yr1'!B29</f>
        <v>#REF!</v>
      </c>
      <c r="C29" s="671" t="s">
        <v>4</v>
      </c>
      <c r="D29" s="147"/>
      <c r="E29" s="147" t="e">
        <f>ROUND('Allocation = ¢ per Therm'!K29,5)</f>
        <v>#REF!</v>
      </c>
      <c r="F29" s="147">
        <f>ROUND('Allocation = % of Margin'!U26,5)</f>
        <v>0</v>
      </c>
      <c r="G29" s="301">
        <f>ROUND('Allocation = % of Margin'!X26,5)</f>
        <v>-2.8700000000000002E-3</v>
      </c>
      <c r="H29" s="301">
        <f>ROUND('Allocation = % of Margin'!AA26,5)</f>
        <v>1.2999999999999999E-3</v>
      </c>
      <c r="I29" s="301">
        <f>ROUND('Allocation = % of Margin'!AG26,5)</f>
        <v>0</v>
      </c>
      <c r="J29" s="301">
        <f>ROUND('Allocation = % of Margin'!AJ26,5)</f>
        <v>-2.7699999999999999E-3</v>
      </c>
      <c r="K29" s="301">
        <f>ROUND('Allocation = % of Margin'!AM26,5)</f>
        <v>-2.7999999999999998E-4</v>
      </c>
      <c r="L29" s="147"/>
      <c r="M29" s="551" t="e">
        <f>#REF!</f>
        <v>#REF!</v>
      </c>
      <c r="N29" s="287" t="e">
        <f>'Rev Req Proof Yr1'!R29</f>
        <v>#REF!</v>
      </c>
      <c r="O29" s="288">
        <f>'Rev Req Proof Yr1'!S29</f>
        <v>0</v>
      </c>
      <c r="P29" s="289" t="e">
        <f>'Rev Req Proof Yr1'!T29</f>
        <v>#REF!</v>
      </c>
      <c r="Q29" s="290" t="e">
        <f>'Rev Req Proof Yr1'!U29</f>
        <v>#REF!</v>
      </c>
      <c r="R29" s="147"/>
      <c r="S29" s="302" t="e">
        <f>((E29)*N29)</f>
        <v>#REF!</v>
      </c>
      <c r="T29" s="298">
        <v>0</v>
      </c>
      <c r="U29" s="303">
        <v>0</v>
      </c>
      <c r="V29" s="147"/>
      <c r="W29" s="302" t="e">
        <f t="shared" si="12"/>
        <v>#REF!</v>
      </c>
      <c r="X29" s="298">
        <v>0</v>
      </c>
      <c r="Y29" s="303">
        <v>0</v>
      </c>
      <c r="Z29" s="147"/>
      <c r="AA29" s="302" t="e">
        <f>((G29)*N29)</f>
        <v>#REF!</v>
      </c>
      <c r="AB29" s="298">
        <v>0</v>
      </c>
      <c r="AC29" s="303">
        <v>0</v>
      </c>
      <c r="AD29" s="298"/>
      <c r="AE29" s="302" t="e">
        <f t="shared" si="14"/>
        <v>#REF!</v>
      </c>
      <c r="AF29" s="298">
        <v>0</v>
      </c>
      <c r="AG29" s="303">
        <v>0</v>
      </c>
      <c r="AH29" s="147"/>
      <c r="AI29" s="302" t="e">
        <f t="shared" si="15"/>
        <v>#REF!</v>
      </c>
      <c r="AJ29" s="298">
        <v>0</v>
      </c>
      <c r="AK29" s="303">
        <v>0</v>
      </c>
      <c r="AL29" s="147"/>
      <c r="AM29" s="302" t="e">
        <f>((J29)*N29)</f>
        <v>#REF!</v>
      </c>
      <c r="AN29" s="298">
        <v>0</v>
      </c>
      <c r="AO29" s="303">
        <v>0</v>
      </c>
      <c r="AP29" s="298"/>
      <c r="AQ29" s="302" t="e">
        <f t="shared" si="16"/>
        <v>#REF!</v>
      </c>
      <c r="AR29" s="298">
        <v>0</v>
      </c>
      <c r="AS29" s="303">
        <v>0</v>
      </c>
      <c r="AT29" s="147"/>
      <c r="AU29" s="302" t="e">
        <f t="shared" ref="AU29:AU30" si="50">((E29+F29+G29+K29)*N29)</f>
        <v>#REF!</v>
      </c>
      <c r="AV29" s="298">
        <v>0</v>
      </c>
      <c r="AW29" s="303">
        <v>0</v>
      </c>
      <c r="AX29" s="298"/>
      <c r="AY29" s="299"/>
      <c r="AZ29" s="299"/>
      <c r="BA29" s="298"/>
    </row>
    <row r="30" spans="1:53" x14ac:dyDescent="0.2">
      <c r="A30" s="76">
        <f t="shared" si="9"/>
        <v>23</v>
      </c>
      <c r="B30" s="670"/>
      <c r="C30" s="671" t="s">
        <v>5</v>
      </c>
      <c r="D30" s="147"/>
      <c r="E30" s="147" t="e">
        <f>ROUND('Allocation = ¢ per Therm'!K30,5)</f>
        <v>#REF!</v>
      </c>
      <c r="F30" s="147">
        <f>ROUND('Allocation = % of Margin'!U27,5)</f>
        <v>0</v>
      </c>
      <c r="G30" s="147">
        <f>ROUND('Allocation = % of Margin'!X27,5)</f>
        <v>-2.5300000000000001E-3</v>
      </c>
      <c r="H30" s="147">
        <f>ROUND('Allocation = % of Margin'!AA27,5)</f>
        <v>1.15E-3</v>
      </c>
      <c r="I30" s="147">
        <f>ROUND('Allocation = % of Margin'!AG27,5)</f>
        <v>0</v>
      </c>
      <c r="J30" s="147">
        <f>ROUND('Allocation = % of Margin'!AJ27,5)</f>
        <v>-2.4399999999999999E-3</v>
      </c>
      <c r="K30" s="147">
        <f>ROUND('Allocation = % of Margin'!AM27,5)</f>
        <v>-2.5000000000000001E-4</v>
      </c>
      <c r="L30" s="147"/>
      <c r="M30" s="551" t="e">
        <f>#REF!</f>
        <v>#REF!</v>
      </c>
      <c r="N30" s="287" t="e">
        <f>'Rev Req Proof Yr1'!R30</f>
        <v>#REF!</v>
      </c>
      <c r="O30" s="288">
        <f>'Rev Req Proof Yr1'!S30</f>
        <v>0</v>
      </c>
      <c r="P30" s="289">
        <f>'Rev Req Proof Yr1'!T30</f>
        <v>0</v>
      </c>
      <c r="Q30" s="290">
        <f>'Rev Req Proof Yr1'!U30</f>
        <v>0</v>
      </c>
      <c r="R30" s="147"/>
      <c r="S30" s="302" t="e">
        <f>((E30)*N30)</f>
        <v>#REF!</v>
      </c>
      <c r="T30" s="298">
        <v>0</v>
      </c>
      <c r="U30" s="303">
        <v>0</v>
      </c>
      <c r="V30" s="147"/>
      <c r="W30" s="302" t="e">
        <f t="shared" si="12"/>
        <v>#REF!</v>
      </c>
      <c r="X30" s="298">
        <v>0</v>
      </c>
      <c r="Y30" s="303">
        <v>0</v>
      </c>
      <c r="Z30" s="147"/>
      <c r="AA30" s="302" t="e">
        <f>((G30)*N30)</f>
        <v>#REF!</v>
      </c>
      <c r="AB30" s="298">
        <v>0</v>
      </c>
      <c r="AC30" s="303">
        <v>0</v>
      </c>
      <c r="AD30" s="298"/>
      <c r="AE30" s="302" t="e">
        <f t="shared" si="14"/>
        <v>#REF!</v>
      </c>
      <c r="AF30" s="298">
        <v>0</v>
      </c>
      <c r="AG30" s="303">
        <v>0</v>
      </c>
      <c r="AH30" s="147"/>
      <c r="AI30" s="302" t="e">
        <f t="shared" si="15"/>
        <v>#REF!</v>
      </c>
      <c r="AJ30" s="298">
        <v>0</v>
      </c>
      <c r="AK30" s="303">
        <v>0</v>
      </c>
      <c r="AL30" s="147"/>
      <c r="AM30" s="302" t="e">
        <f>((J30)*N30)</f>
        <v>#REF!</v>
      </c>
      <c r="AN30" s="298">
        <v>0</v>
      </c>
      <c r="AO30" s="303">
        <v>0</v>
      </c>
      <c r="AP30" s="298"/>
      <c r="AQ30" s="302" t="e">
        <f t="shared" si="16"/>
        <v>#REF!</v>
      </c>
      <c r="AR30" s="298">
        <v>0</v>
      </c>
      <c r="AS30" s="303">
        <v>0</v>
      </c>
      <c r="AT30" s="147"/>
      <c r="AU30" s="302" t="e">
        <f t="shared" si="50"/>
        <v>#REF!</v>
      </c>
      <c r="AV30" s="298">
        <v>0</v>
      </c>
      <c r="AW30" s="303">
        <v>0</v>
      </c>
      <c r="AX30" s="298"/>
      <c r="AY30" s="299"/>
      <c r="AZ30" s="299"/>
      <c r="BA30" s="298"/>
    </row>
    <row r="31" spans="1:53" x14ac:dyDescent="0.2">
      <c r="A31" s="76">
        <f t="shared" si="9"/>
        <v>24</v>
      </c>
      <c r="B31" s="668"/>
      <c r="C31" s="686" t="s">
        <v>62</v>
      </c>
      <c r="D31" s="143"/>
      <c r="E31" s="143"/>
      <c r="F31" s="143"/>
      <c r="G31" s="747"/>
      <c r="H31" s="747"/>
      <c r="I31" s="747"/>
      <c r="J31" s="747"/>
      <c r="K31" s="747"/>
      <c r="L31" s="143"/>
      <c r="M31" s="551"/>
      <c r="N31" s="287"/>
      <c r="O31" s="288"/>
      <c r="P31" s="289"/>
      <c r="Q31" s="290"/>
      <c r="R31" s="147"/>
      <c r="S31" s="304" t="e">
        <f>SUM(S29:S30)</f>
        <v>#REF!</v>
      </c>
      <c r="T31" s="305">
        <f t="shared" ref="T31:U31" si="51">SUM(T29:T30)</f>
        <v>0</v>
      </c>
      <c r="U31" s="306">
        <f t="shared" si="51"/>
        <v>0</v>
      </c>
      <c r="V31" s="147"/>
      <c r="W31" s="304" t="e">
        <f>SUM(W29:W30)</f>
        <v>#REF!</v>
      </c>
      <c r="X31" s="305">
        <f t="shared" ref="X31:Y31" si="52">SUM(X29:X30)</f>
        <v>0</v>
      </c>
      <c r="Y31" s="306">
        <f t="shared" si="52"/>
        <v>0</v>
      </c>
      <c r="Z31" s="147"/>
      <c r="AA31" s="304" t="e">
        <f>SUM(AA29:AA30)</f>
        <v>#REF!</v>
      </c>
      <c r="AB31" s="305">
        <f t="shared" ref="AB31:AC31" si="53">SUM(AB29:AB30)</f>
        <v>0</v>
      </c>
      <c r="AC31" s="306">
        <f t="shared" si="53"/>
        <v>0</v>
      </c>
      <c r="AD31" s="317"/>
      <c r="AE31" s="304" t="e">
        <f>SUM(AE29:AE30)</f>
        <v>#REF!</v>
      </c>
      <c r="AF31" s="305">
        <f t="shared" ref="AF31:AG31" si="54">SUM(AF29:AF30)</f>
        <v>0</v>
      </c>
      <c r="AG31" s="306">
        <f t="shared" si="54"/>
        <v>0</v>
      </c>
      <c r="AH31" s="147"/>
      <c r="AI31" s="304" t="e">
        <f>SUM(AI29:AI30)</f>
        <v>#REF!</v>
      </c>
      <c r="AJ31" s="305">
        <f t="shared" ref="AJ31:AK31" si="55">SUM(AJ29:AJ30)</f>
        <v>0</v>
      </c>
      <c r="AK31" s="306">
        <f t="shared" si="55"/>
        <v>0</v>
      </c>
      <c r="AL31" s="147"/>
      <c r="AM31" s="304" t="e">
        <f>SUM(AM29:AM30)</f>
        <v>#REF!</v>
      </c>
      <c r="AN31" s="305">
        <f t="shared" ref="AN31:AO31" si="56">SUM(AN29:AN30)</f>
        <v>0</v>
      </c>
      <c r="AO31" s="306">
        <f t="shared" si="56"/>
        <v>0</v>
      </c>
      <c r="AP31" s="317"/>
      <c r="AQ31" s="304" t="e">
        <f>SUM(AQ29:AQ30)</f>
        <v>#REF!</v>
      </c>
      <c r="AR31" s="305">
        <f t="shared" ref="AR31:AS31" si="57">SUM(AR29:AR30)</f>
        <v>0</v>
      </c>
      <c r="AS31" s="306">
        <f t="shared" si="57"/>
        <v>0</v>
      </c>
      <c r="AT31" s="147"/>
      <c r="AU31" s="304" t="e">
        <f>SUM(AU29:AU30)</f>
        <v>#REF!</v>
      </c>
      <c r="AV31" s="305">
        <f t="shared" ref="AV31" si="58">SUM(AV29:AV30)</f>
        <v>0</v>
      </c>
      <c r="AW31" s="306">
        <f t="shared" ref="AW31" si="59">SUM(AW29:AW30)</f>
        <v>0</v>
      </c>
      <c r="AX31" s="298"/>
      <c r="AY31" s="299"/>
      <c r="AZ31" s="299"/>
      <c r="BA31" s="298"/>
    </row>
    <row r="32" spans="1:53" x14ac:dyDescent="0.2">
      <c r="A32" s="76">
        <f t="shared" si="9"/>
        <v>25</v>
      </c>
      <c r="B32" s="670" t="e">
        <f>'Rev Req Proof Yr1'!B32</f>
        <v>#REF!</v>
      </c>
      <c r="C32" s="671" t="s">
        <v>4</v>
      </c>
      <c r="D32" s="147"/>
      <c r="E32" s="147" t="e">
        <f>ROUND('Allocation = ¢ per Therm'!K31,5)</f>
        <v>#REF!</v>
      </c>
      <c r="F32" s="147">
        <f>ROUND('Allocation = % of Margin'!U28,5)</f>
        <v>0</v>
      </c>
      <c r="G32" s="301">
        <f>ROUND('Allocation = % of Margin'!X28,5)</f>
        <v>-3.9100000000000003E-3</v>
      </c>
      <c r="H32" s="301">
        <f>ROUND('Allocation = % of Margin'!AA28,5)</f>
        <v>1.3799999999999999E-3</v>
      </c>
      <c r="I32" s="301">
        <f>ROUND('Allocation = % of Margin'!AG28,5)</f>
        <v>0</v>
      </c>
      <c r="J32" s="301">
        <f>ROUND('Allocation = % of Margin'!AJ28,5)</f>
        <v>-3.7799999999999999E-3</v>
      </c>
      <c r="K32" s="301">
        <f>ROUND('Allocation = % of Margin'!AM28,5)</f>
        <v>-3.8000000000000002E-4</v>
      </c>
      <c r="L32" s="147"/>
      <c r="M32" s="551" t="e">
        <f>#REF!</f>
        <v>#REF!</v>
      </c>
      <c r="N32" s="287" t="e">
        <f>'Rev Req Proof Yr1'!R32</f>
        <v>#REF!</v>
      </c>
      <c r="O32" s="288">
        <f>'Rev Req Proof Yr1'!S32</f>
        <v>0</v>
      </c>
      <c r="P32" s="289" t="e">
        <f>'Rev Req Proof Yr1'!T32</f>
        <v>#REF!</v>
      </c>
      <c r="Q32" s="290" t="e">
        <f>'Rev Req Proof Yr1'!U32</f>
        <v>#REF!</v>
      </c>
      <c r="R32" s="147"/>
      <c r="S32" s="302" t="e">
        <f>((E32)*N32)</f>
        <v>#REF!</v>
      </c>
      <c r="T32" s="298">
        <v>0</v>
      </c>
      <c r="U32" s="303">
        <v>0</v>
      </c>
      <c r="V32" s="147"/>
      <c r="W32" s="302" t="e">
        <f t="shared" si="12"/>
        <v>#REF!</v>
      </c>
      <c r="X32" s="298">
        <v>0</v>
      </c>
      <c r="Y32" s="303">
        <v>0</v>
      </c>
      <c r="Z32" s="147"/>
      <c r="AA32" s="302" t="e">
        <f>((G32)*N32)</f>
        <v>#REF!</v>
      </c>
      <c r="AB32" s="298">
        <v>0</v>
      </c>
      <c r="AC32" s="303">
        <v>0</v>
      </c>
      <c r="AD32" s="298"/>
      <c r="AE32" s="302" t="e">
        <f t="shared" si="14"/>
        <v>#REF!</v>
      </c>
      <c r="AF32" s="298">
        <v>0</v>
      </c>
      <c r="AG32" s="303">
        <v>0</v>
      </c>
      <c r="AH32" s="147"/>
      <c r="AI32" s="302" t="e">
        <f t="shared" si="15"/>
        <v>#REF!</v>
      </c>
      <c r="AJ32" s="298">
        <v>0</v>
      </c>
      <c r="AK32" s="303">
        <v>0</v>
      </c>
      <c r="AL32" s="147"/>
      <c r="AM32" s="302" t="e">
        <f>((J32)*N32)</f>
        <v>#REF!</v>
      </c>
      <c r="AN32" s="298">
        <v>0</v>
      </c>
      <c r="AO32" s="303">
        <v>0</v>
      </c>
      <c r="AP32" s="298"/>
      <c r="AQ32" s="302" t="e">
        <f t="shared" si="16"/>
        <v>#REF!</v>
      </c>
      <c r="AR32" s="298">
        <v>0</v>
      </c>
      <c r="AS32" s="303">
        <v>0</v>
      </c>
      <c r="AT32" s="147"/>
      <c r="AU32" s="302" t="e">
        <f t="shared" ref="AU32:AU33" si="60">((E32+F32+G32+K32)*N32)</f>
        <v>#REF!</v>
      </c>
      <c r="AV32" s="298">
        <v>0</v>
      </c>
      <c r="AW32" s="303">
        <v>0</v>
      </c>
      <c r="AX32" s="298"/>
      <c r="AY32" s="299"/>
      <c r="AZ32" s="299"/>
      <c r="BA32" s="298"/>
    </row>
    <row r="33" spans="1:53" x14ac:dyDescent="0.2">
      <c r="A33" s="76">
        <f t="shared" si="9"/>
        <v>26</v>
      </c>
      <c r="B33" s="670"/>
      <c r="C33" s="671" t="s">
        <v>5</v>
      </c>
      <c r="D33" s="147"/>
      <c r="E33" s="147" t="e">
        <f>ROUND('Allocation = ¢ per Therm'!K32,5)</f>
        <v>#REF!</v>
      </c>
      <c r="F33" s="147">
        <f>ROUND('Allocation = % of Margin'!U29,5)</f>
        <v>0</v>
      </c>
      <c r="G33" s="147">
        <f>ROUND('Allocation = % of Margin'!X29,5)</f>
        <v>-3.4399999999999999E-3</v>
      </c>
      <c r="H33" s="147">
        <f>ROUND('Allocation = % of Margin'!AA29,5)</f>
        <v>1.2099999999999999E-3</v>
      </c>
      <c r="I33" s="147">
        <f>ROUND('Allocation = % of Margin'!AG29,5)</f>
        <v>0</v>
      </c>
      <c r="J33" s="147">
        <f>ROUND('Allocation = % of Margin'!AJ29,5)</f>
        <v>-3.3300000000000001E-3</v>
      </c>
      <c r="K33" s="147">
        <f>ROUND('Allocation = % of Margin'!AM29,5)</f>
        <v>-3.4000000000000002E-4</v>
      </c>
      <c r="L33" s="147"/>
      <c r="M33" s="551" t="e">
        <f>#REF!</f>
        <v>#REF!</v>
      </c>
      <c r="N33" s="287" t="e">
        <f>'Rev Req Proof Yr1'!R33</f>
        <v>#REF!</v>
      </c>
      <c r="O33" s="288">
        <f>'Rev Req Proof Yr1'!S33</f>
        <v>0</v>
      </c>
      <c r="P33" s="289">
        <f>'Rev Req Proof Yr1'!T33</f>
        <v>0</v>
      </c>
      <c r="Q33" s="290">
        <f>'Rev Req Proof Yr1'!U33</f>
        <v>0</v>
      </c>
      <c r="R33" s="147"/>
      <c r="S33" s="302" t="e">
        <f>((E33)*N33)</f>
        <v>#REF!</v>
      </c>
      <c r="T33" s="298">
        <v>0</v>
      </c>
      <c r="U33" s="303">
        <v>0</v>
      </c>
      <c r="V33" s="147"/>
      <c r="W33" s="302" t="e">
        <f t="shared" si="12"/>
        <v>#REF!</v>
      </c>
      <c r="X33" s="298">
        <v>0</v>
      </c>
      <c r="Y33" s="303">
        <v>0</v>
      </c>
      <c r="Z33" s="147"/>
      <c r="AA33" s="302" t="e">
        <f>((G33)*N33)</f>
        <v>#REF!</v>
      </c>
      <c r="AB33" s="298">
        <v>0</v>
      </c>
      <c r="AC33" s="303">
        <v>0</v>
      </c>
      <c r="AD33" s="298"/>
      <c r="AE33" s="302" t="e">
        <f t="shared" si="14"/>
        <v>#REF!</v>
      </c>
      <c r="AF33" s="298">
        <v>0</v>
      </c>
      <c r="AG33" s="303">
        <v>0</v>
      </c>
      <c r="AH33" s="147"/>
      <c r="AI33" s="302" t="e">
        <f t="shared" si="15"/>
        <v>#REF!</v>
      </c>
      <c r="AJ33" s="298">
        <v>0</v>
      </c>
      <c r="AK33" s="303">
        <v>0</v>
      </c>
      <c r="AL33" s="147"/>
      <c r="AM33" s="302" t="e">
        <f>((J33)*N33)</f>
        <v>#REF!</v>
      </c>
      <c r="AN33" s="298">
        <v>0</v>
      </c>
      <c r="AO33" s="303">
        <v>0</v>
      </c>
      <c r="AP33" s="298"/>
      <c r="AQ33" s="302" t="e">
        <f t="shared" si="16"/>
        <v>#REF!</v>
      </c>
      <c r="AR33" s="298">
        <v>0</v>
      </c>
      <c r="AS33" s="303">
        <v>0</v>
      </c>
      <c r="AT33" s="147"/>
      <c r="AU33" s="302" t="e">
        <f t="shared" si="60"/>
        <v>#REF!</v>
      </c>
      <c r="AV33" s="298">
        <v>0</v>
      </c>
      <c r="AW33" s="303">
        <v>0</v>
      </c>
      <c r="AX33" s="298"/>
      <c r="AY33" s="299"/>
      <c r="AZ33" s="299"/>
      <c r="BA33" s="298"/>
    </row>
    <row r="34" spans="1:53" x14ac:dyDescent="0.2">
      <c r="A34" s="76">
        <f t="shared" si="9"/>
        <v>27</v>
      </c>
      <c r="B34" s="668"/>
      <c r="C34" s="686" t="s">
        <v>62</v>
      </c>
      <c r="D34" s="143"/>
      <c r="E34" s="143"/>
      <c r="F34" s="143"/>
      <c r="G34" s="747"/>
      <c r="H34" s="747"/>
      <c r="I34" s="747"/>
      <c r="J34" s="747"/>
      <c r="K34" s="747"/>
      <c r="L34" s="143"/>
      <c r="M34" s="551"/>
      <c r="N34" s="287"/>
      <c r="O34" s="288"/>
      <c r="P34" s="289"/>
      <c r="Q34" s="290"/>
      <c r="R34" s="147"/>
      <c r="S34" s="304" t="e">
        <f>SUM(S32:S33)</f>
        <v>#REF!</v>
      </c>
      <c r="T34" s="305">
        <f t="shared" ref="T34:U34" si="61">SUM(T32:T33)</f>
        <v>0</v>
      </c>
      <c r="U34" s="306">
        <f t="shared" si="61"/>
        <v>0</v>
      </c>
      <c r="V34" s="147"/>
      <c r="W34" s="304" t="e">
        <f>SUM(W32:W33)</f>
        <v>#REF!</v>
      </c>
      <c r="X34" s="305">
        <f t="shared" ref="X34:Y34" si="62">SUM(X32:X33)</f>
        <v>0</v>
      </c>
      <c r="Y34" s="306">
        <f t="shared" si="62"/>
        <v>0</v>
      </c>
      <c r="Z34" s="147"/>
      <c r="AA34" s="304" t="e">
        <f>SUM(AA32:AA33)</f>
        <v>#REF!</v>
      </c>
      <c r="AB34" s="305">
        <f t="shared" ref="AB34:AC34" si="63">SUM(AB32:AB33)</f>
        <v>0</v>
      </c>
      <c r="AC34" s="306">
        <f t="shared" si="63"/>
        <v>0</v>
      </c>
      <c r="AD34" s="317"/>
      <c r="AE34" s="304" t="e">
        <f>SUM(AE32:AE33)</f>
        <v>#REF!</v>
      </c>
      <c r="AF34" s="305">
        <f t="shared" ref="AF34:AG34" si="64">SUM(AF32:AF33)</f>
        <v>0</v>
      </c>
      <c r="AG34" s="306">
        <f t="shared" si="64"/>
        <v>0</v>
      </c>
      <c r="AH34" s="147"/>
      <c r="AI34" s="304" t="e">
        <f>SUM(AI32:AI33)</f>
        <v>#REF!</v>
      </c>
      <c r="AJ34" s="305">
        <f t="shared" ref="AJ34:AK34" si="65">SUM(AJ32:AJ33)</f>
        <v>0</v>
      </c>
      <c r="AK34" s="306">
        <f t="shared" si="65"/>
        <v>0</v>
      </c>
      <c r="AL34" s="147"/>
      <c r="AM34" s="304" t="e">
        <f>SUM(AM32:AM33)</f>
        <v>#REF!</v>
      </c>
      <c r="AN34" s="305">
        <f t="shared" ref="AN34:AO34" si="66">SUM(AN32:AN33)</f>
        <v>0</v>
      </c>
      <c r="AO34" s="306">
        <f t="shared" si="66"/>
        <v>0</v>
      </c>
      <c r="AP34" s="317"/>
      <c r="AQ34" s="304" t="e">
        <f>SUM(AQ32:AQ33)</f>
        <v>#REF!</v>
      </c>
      <c r="AR34" s="305">
        <f t="shared" ref="AR34:AS34" si="67">SUM(AR32:AR33)</f>
        <v>0</v>
      </c>
      <c r="AS34" s="306">
        <f t="shared" si="67"/>
        <v>0</v>
      </c>
      <c r="AT34" s="147"/>
      <c r="AU34" s="304" t="e">
        <f>SUM(AU32:AU33)</f>
        <v>#REF!</v>
      </c>
      <c r="AV34" s="305">
        <f t="shared" ref="AV34:AW34" si="68">SUM(AV32:AV33)</f>
        <v>0</v>
      </c>
      <c r="AW34" s="306">
        <f t="shared" si="68"/>
        <v>0</v>
      </c>
      <c r="AX34" s="298"/>
      <c r="AY34" s="299"/>
      <c r="AZ34" s="299"/>
      <c r="BA34" s="298"/>
    </row>
    <row r="35" spans="1:53" x14ac:dyDescent="0.2">
      <c r="A35" s="76">
        <f t="shared" si="9"/>
        <v>28</v>
      </c>
      <c r="B35" s="670" t="e">
        <f>'Rev Req Proof Yr1'!B35</f>
        <v>#REF!</v>
      </c>
      <c r="C35" s="671" t="s">
        <v>4</v>
      </c>
      <c r="D35" s="147"/>
      <c r="E35" s="147" t="e">
        <f>ROUND('Allocation = ¢ per Therm'!K33,5)</f>
        <v>#REF!</v>
      </c>
      <c r="F35" s="147">
        <f>ROUND('Allocation = % of Margin'!U30,5)</f>
        <v>0</v>
      </c>
      <c r="G35" s="147">
        <f>ROUND('Allocation = % of Margin'!X30,5)</f>
        <v>-2.8999999999999998E-3</v>
      </c>
      <c r="H35" s="147">
        <f>ROUND('Allocation = % of Margin'!AA30,5)</f>
        <v>1.32E-3</v>
      </c>
      <c r="I35" s="147">
        <f>ROUND('Allocation = % of Margin'!AG30,5)</f>
        <v>0</v>
      </c>
      <c r="J35" s="147">
        <f>ROUND('Allocation = % of Margin'!AJ30,5)</f>
        <v>-2.81E-3</v>
      </c>
      <c r="K35" s="147">
        <f>ROUND('Allocation = % of Margin'!AM30,5)</f>
        <v>-2.9E-4</v>
      </c>
      <c r="L35" s="147"/>
      <c r="M35" s="551" t="e">
        <f>#REF!</f>
        <v>#REF!</v>
      </c>
      <c r="N35" s="287" t="e">
        <f>'Rev Req Proof Yr1'!R35</f>
        <v>#REF!</v>
      </c>
      <c r="O35" s="288">
        <f>'Rev Req Proof Yr1'!S35</f>
        <v>0</v>
      </c>
      <c r="P35" s="289" t="e">
        <f>'Rev Req Proof Yr1'!T35</f>
        <v>#REF!</v>
      </c>
      <c r="Q35" s="290" t="e">
        <f>'Rev Req Proof Yr1'!U35</f>
        <v>#REF!</v>
      </c>
      <c r="R35" s="147"/>
      <c r="S35" s="302" t="e">
        <f>((E35)*N35)</f>
        <v>#REF!</v>
      </c>
      <c r="T35" s="298">
        <v>0</v>
      </c>
      <c r="U35" s="303">
        <v>0</v>
      </c>
      <c r="V35" s="147"/>
      <c r="W35" s="302" t="e">
        <f t="shared" si="12"/>
        <v>#REF!</v>
      </c>
      <c r="X35" s="298">
        <v>0</v>
      </c>
      <c r="Y35" s="303">
        <v>0</v>
      </c>
      <c r="Z35" s="147"/>
      <c r="AA35" s="302" t="e">
        <f>((G35)*N35)</f>
        <v>#REF!</v>
      </c>
      <c r="AB35" s="298">
        <v>0</v>
      </c>
      <c r="AC35" s="303">
        <v>0</v>
      </c>
      <c r="AD35" s="298"/>
      <c r="AE35" s="302" t="e">
        <f t="shared" si="14"/>
        <v>#REF!</v>
      </c>
      <c r="AF35" s="298">
        <v>0</v>
      </c>
      <c r="AG35" s="303">
        <v>0</v>
      </c>
      <c r="AH35" s="147"/>
      <c r="AI35" s="302" t="e">
        <f t="shared" si="15"/>
        <v>#REF!</v>
      </c>
      <c r="AJ35" s="298">
        <v>0</v>
      </c>
      <c r="AK35" s="303">
        <v>0</v>
      </c>
      <c r="AL35" s="147"/>
      <c r="AM35" s="302" t="e">
        <f>((J35)*N35)</f>
        <v>#REF!</v>
      </c>
      <c r="AN35" s="298">
        <v>0</v>
      </c>
      <c r="AO35" s="303">
        <v>0</v>
      </c>
      <c r="AP35" s="298"/>
      <c r="AQ35" s="302" t="e">
        <f t="shared" si="16"/>
        <v>#REF!</v>
      </c>
      <c r="AR35" s="298">
        <v>0</v>
      </c>
      <c r="AS35" s="303">
        <v>0</v>
      </c>
      <c r="AT35" s="147"/>
      <c r="AU35" s="302" t="e">
        <f t="shared" ref="AU35:AU36" si="69">((E35+F35+G35+K35)*N35)</f>
        <v>#REF!</v>
      </c>
      <c r="AV35" s="298">
        <v>0</v>
      </c>
      <c r="AW35" s="303">
        <v>0</v>
      </c>
      <c r="AX35" s="298"/>
      <c r="AY35" s="299"/>
      <c r="AZ35" s="299"/>
      <c r="BA35" s="298"/>
    </row>
    <row r="36" spans="1:53" x14ac:dyDescent="0.2">
      <c r="A36" s="76">
        <f t="shared" si="9"/>
        <v>29</v>
      </c>
      <c r="B36" s="670"/>
      <c r="C36" s="671" t="s">
        <v>5</v>
      </c>
      <c r="D36" s="147"/>
      <c r="E36" s="147" t="e">
        <f>ROUND('Allocation = ¢ per Therm'!K34,5)</f>
        <v>#REF!</v>
      </c>
      <c r="F36" s="147">
        <f>ROUND('Allocation = % of Margin'!U31,5)</f>
        <v>0</v>
      </c>
      <c r="G36" s="147">
        <f>ROUND('Allocation = % of Margin'!X31,5)</f>
        <v>-2.5600000000000002E-3</v>
      </c>
      <c r="H36" s="147">
        <f>ROUND('Allocation = % of Margin'!AA31,5)</f>
        <v>1.16E-3</v>
      </c>
      <c r="I36" s="147">
        <f>ROUND('Allocation = % of Margin'!AG31,5)</f>
        <v>0</v>
      </c>
      <c r="J36" s="147">
        <f>ROUND('Allocation = % of Margin'!AJ31,5)</f>
        <v>-2.47E-3</v>
      </c>
      <c r="K36" s="147">
        <f>ROUND('Allocation = % of Margin'!AM31,5)</f>
        <v>-2.5000000000000001E-4</v>
      </c>
      <c r="L36" s="147"/>
      <c r="M36" s="551" t="e">
        <f>#REF!</f>
        <v>#REF!</v>
      </c>
      <c r="N36" s="287" t="e">
        <f>'Rev Req Proof Yr1'!R36</f>
        <v>#REF!</v>
      </c>
      <c r="O36" s="288">
        <f>'Rev Req Proof Yr1'!S36</f>
        <v>0</v>
      </c>
      <c r="P36" s="289">
        <f>'Rev Req Proof Yr1'!T36</f>
        <v>0</v>
      </c>
      <c r="Q36" s="290">
        <f>'Rev Req Proof Yr1'!U36</f>
        <v>0</v>
      </c>
      <c r="R36" s="147"/>
      <c r="S36" s="302" t="e">
        <f>((E36)*N36)</f>
        <v>#REF!</v>
      </c>
      <c r="T36" s="298">
        <v>0</v>
      </c>
      <c r="U36" s="303">
        <v>0</v>
      </c>
      <c r="V36" s="147"/>
      <c r="W36" s="302" t="e">
        <f t="shared" si="12"/>
        <v>#REF!</v>
      </c>
      <c r="X36" s="298">
        <v>0</v>
      </c>
      <c r="Y36" s="303">
        <v>0</v>
      </c>
      <c r="Z36" s="147"/>
      <c r="AA36" s="302" t="e">
        <f>((G36)*N36)</f>
        <v>#REF!</v>
      </c>
      <c r="AB36" s="298">
        <v>0</v>
      </c>
      <c r="AC36" s="303">
        <v>0</v>
      </c>
      <c r="AD36" s="298"/>
      <c r="AE36" s="302" t="e">
        <f t="shared" si="14"/>
        <v>#REF!</v>
      </c>
      <c r="AF36" s="298">
        <v>0</v>
      </c>
      <c r="AG36" s="303">
        <v>0</v>
      </c>
      <c r="AH36" s="147"/>
      <c r="AI36" s="302" t="e">
        <f t="shared" si="15"/>
        <v>#REF!</v>
      </c>
      <c r="AJ36" s="298">
        <v>0</v>
      </c>
      <c r="AK36" s="303">
        <v>0</v>
      </c>
      <c r="AL36" s="147"/>
      <c r="AM36" s="302" t="e">
        <f>((J36)*N36)</f>
        <v>#REF!</v>
      </c>
      <c r="AN36" s="298">
        <v>0</v>
      </c>
      <c r="AO36" s="303">
        <v>0</v>
      </c>
      <c r="AP36" s="298"/>
      <c r="AQ36" s="302" t="e">
        <f t="shared" si="16"/>
        <v>#REF!</v>
      </c>
      <c r="AR36" s="298">
        <v>0</v>
      </c>
      <c r="AS36" s="303">
        <v>0</v>
      </c>
      <c r="AT36" s="147"/>
      <c r="AU36" s="302" t="e">
        <f t="shared" si="69"/>
        <v>#REF!</v>
      </c>
      <c r="AV36" s="298">
        <v>0</v>
      </c>
      <c r="AW36" s="303">
        <v>0</v>
      </c>
      <c r="AX36" s="298"/>
      <c r="AY36" s="299"/>
      <c r="AZ36" s="299"/>
      <c r="BA36" s="298"/>
    </row>
    <row r="37" spans="1:53" x14ac:dyDescent="0.2">
      <c r="A37" s="76">
        <f t="shared" si="9"/>
        <v>30</v>
      </c>
      <c r="B37" s="668"/>
      <c r="C37" s="686" t="s">
        <v>62</v>
      </c>
      <c r="D37" s="143"/>
      <c r="E37" s="143"/>
      <c r="F37" s="143"/>
      <c r="G37" s="747"/>
      <c r="H37" s="747"/>
      <c r="I37" s="747"/>
      <c r="J37" s="747"/>
      <c r="K37" s="747"/>
      <c r="L37" s="143"/>
      <c r="M37" s="551"/>
      <c r="N37" s="287"/>
      <c r="O37" s="288"/>
      <c r="P37" s="289"/>
      <c r="Q37" s="290"/>
      <c r="R37" s="147"/>
      <c r="S37" s="304" t="e">
        <f>SUM(S35:S36)</f>
        <v>#REF!</v>
      </c>
      <c r="T37" s="305">
        <f t="shared" ref="T37:U37" si="70">SUM(T35:T36)</f>
        <v>0</v>
      </c>
      <c r="U37" s="306">
        <f t="shared" si="70"/>
        <v>0</v>
      </c>
      <c r="V37" s="147"/>
      <c r="W37" s="304" t="e">
        <f>SUM(W35:W36)</f>
        <v>#REF!</v>
      </c>
      <c r="X37" s="305">
        <f t="shared" ref="X37:Y37" si="71">SUM(X35:X36)</f>
        <v>0</v>
      </c>
      <c r="Y37" s="306">
        <f t="shared" si="71"/>
        <v>0</v>
      </c>
      <c r="Z37" s="147"/>
      <c r="AA37" s="304" t="e">
        <f>SUM(AA35:AA36)</f>
        <v>#REF!</v>
      </c>
      <c r="AB37" s="305">
        <f t="shared" ref="AB37:AC37" si="72">SUM(AB35:AB36)</f>
        <v>0</v>
      </c>
      <c r="AC37" s="306">
        <f t="shared" si="72"/>
        <v>0</v>
      </c>
      <c r="AD37" s="317"/>
      <c r="AE37" s="304" t="e">
        <f>SUM(AE35:AE36)</f>
        <v>#REF!</v>
      </c>
      <c r="AF37" s="305">
        <f t="shared" ref="AF37:AG37" si="73">SUM(AF35:AF36)</f>
        <v>0</v>
      </c>
      <c r="AG37" s="306">
        <f t="shared" si="73"/>
        <v>0</v>
      </c>
      <c r="AH37" s="147"/>
      <c r="AI37" s="304" t="e">
        <f>SUM(AI35:AI36)</f>
        <v>#REF!</v>
      </c>
      <c r="AJ37" s="305">
        <f t="shared" ref="AJ37:AK37" si="74">SUM(AJ35:AJ36)</f>
        <v>0</v>
      </c>
      <c r="AK37" s="306">
        <f t="shared" si="74"/>
        <v>0</v>
      </c>
      <c r="AL37" s="147"/>
      <c r="AM37" s="304" t="e">
        <f>SUM(AM35:AM36)</f>
        <v>#REF!</v>
      </c>
      <c r="AN37" s="305">
        <f t="shared" ref="AN37:AO37" si="75">SUM(AN35:AN36)</f>
        <v>0</v>
      </c>
      <c r="AO37" s="306">
        <f t="shared" si="75"/>
        <v>0</v>
      </c>
      <c r="AP37" s="317"/>
      <c r="AQ37" s="304" t="e">
        <f>SUM(AQ35:AQ36)</f>
        <v>#REF!</v>
      </c>
      <c r="AR37" s="305">
        <f t="shared" ref="AR37:AS37" si="76">SUM(AR35:AR36)</f>
        <v>0</v>
      </c>
      <c r="AS37" s="306">
        <f t="shared" si="76"/>
        <v>0</v>
      </c>
      <c r="AT37" s="147"/>
      <c r="AU37" s="304" t="e">
        <f>SUM(AU35:AU36)</f>
        <v>#REF!</v>
      </c>
      <c r="AV37" s="305">
        <f t="shared" ref="AV37" si="77">SUM(AV35:AV36)</f>
        <v>0</v>
      </c>
      <c r="AW37" s="306">
        <f t="shared" ref="AW37" si="78">SUM(AW35:AW36)</f>
        <v>0</v>
      </c>
      <c r="AX37" s="298"/>
      <c r="AY37" s="299"/>
      <c r="AZ37" s="299"/>
      <c r="BA37" s="298"/>
    </row>
    <row r="38" spans="1:53" x14ac:dyDescent="0.2">
      <c r="A38" s="76">
        <f t="shared" si="9"/>
        <v>31</v>
      </c>
      <c r="B38" s="670" t="e">
        <f>'Rev Req Proof Yr1'!B38</f>
        <v>#REF!</v>
      </c>
      <c r="C38" s="671" t="s">
        <v>4</v>
      </c>
      <c r="D38" s="147"/>
      <c r="E38" s="147" t="e">
        <f>ROUND('Allocation = ¢ per Therm'!K35,5)</f>
        <v>#REF!</v>
      </c>
      <c r="F38" s="147">
        <f>ROUND('Allocation = % of Margin'!U32,5)</f>
        <v>-5.5300000000000002E-3</v>
      </c>
      <c r="G38" s="147">
        <f>ROUND('Allocation = % of Margin'!X32,5)</f>
        <v>-2.9399999999999999E-3</v>
      </c>
      <c r="H38" s="147">
        <f>ROUND('Allocation = % of Margin'!AA32,5)</f>
        <v>1.0399999999999999E-3</v>
      </c>
      <c r="I38" s="147">
        <f>ROUND('Allocation = % of Margin'!AG32,5)</f>
        <v>-5.5300000000000002E-3</v>
      </c>
      <c r="J38" s="147">
        <f>ROUND('Allocation = % of Margin'!AJ32,5)</f>
        <v>-2.9399999999999999E-3</v>
      </c>
      <c r="K38" s="147">
        <f>ROUND('Allocation = % of Margin'!AM32,5)</f>
        <v>-2.9999999999999997E-4</v>
      </c>
      <c r="L38" s="147"/>
      <c r="M38" s="551" t="e">
        <f>#REF!</f>
        <v>#REF!</v>
      </c>
      <c r="N38" s="287" t="e">
        <f>'Rev Req Proof Yr1'!R38</f>
        <v>#REF!</v>
      </c>
      <c r="O38" s="288">
        <f>'Rev Req Proof Yr1'!S38</f>
        <v>6761</v>
      </c>
      <c r="P38" s="289" t="e">
        <f>'Rev Req Proof Yr1'!T38</f>
        <v>#REF!</v>
      </c>
      <c r="Q38" s="290" t="e">
        <f>'Rev Req Proof Yr1'!U38</f>
        <v>#REF!</v>
      </c>
      <c r="R38" s="147"/>
      <c r="S38" s="302" t="e">
        <f t="shared" ref="S38:S43" si="79">((E38)*N38)</f>
        <v>#REF!</v>
      </c>
      <c r="T38" s="298">
        <v>0</v>
      </c>
      <c r="U38" s="303">
        <v>0</v>
      </c>
      <c r="V38" s="147"/>
      <c r="W38" s="302" t="e">
        <f>((F38)*N38)</f>
        <v>#REF!</v>
      </c>
      <c r="X38" s="298">
        <v>0</v>
      </c>
      <c r="Y38" s="303">
        <v>0</v>
      </c>
      <c r="Z38" s="147"/>
      <c r="AA38" s="302" t="e">
        <f t="shared" ref="AA38:AA43" si="80">((G38)*N38)</f>
        <v>#REF!</v>
      </c>
      <c r="AB38" s="298">
        <v>0</v>
      </c>
      <c r="AC38" s="303">
        <v>0</v>
      </c>
      <c r="AD38" s="298"/>
      <c r="AE38" s="302" t="e">
        <f t="shared" si="14"/>
        <v>#REF!</v>
      </c>
      <c r="AF38" s="298">
        <v>0</v>
      </c>
      <c r="AG38" s="303">
        <v>0</v>
      </c>
      <c r="AH38" s="147"/>
      <c r="AI38" s="302" t="e">
        <f t="shared" si="15"/>
        <v>#REF!</v>
      </c>
      <c r="AJ38" s="298">
        <v>0</v>
      </c>
      <c r="AK38" s="303">
        <v>0</v>
      </c>
      <c r="AL38" s="147"/>
      <c r="AM38" s="302" t="e">
        <f>((J38)*N38)</f>
        <v>#REF!</v>
      </c>
      <c r="AN38" s="298">
        <v>0</v>
      </c>
      <c r="AO38" s="303">
        <v>0</v>
      </c>
      <c r="AP38" s="298"/>
      <c r="AQ38" s="302" t="e">
        <f t="shared" si="16"/>
        <v>#REF!</v>
      </c>
      <c r="AR38" s="298">
        <v>0</v>
      </c>
      <c r="AS38" s="303">
        <v>0</v>
      </c>
      <c r="AT38" s="147"/>
      <c r="AU38" s="302" t="e">
        <f t="shared" ref="AU38:AU43" si="81">((E38+F38+G38+K38)*N38)</f>
        <v>#REF!</v>
      </c>
      <c r="AV38" s="298">
        <v>0</v>
      </c>
      <c r="AW38" s="303">
        <v>0</v>
      </c>
      <c r="AX38" s="298"/>
      <c r="AY38" s="299"/>
      <c r="AZ38" s="299"/>
      <c r="BA38" s="298"/>
    </row>
    <row r="39" spans="1:53" x14ac:dyDescent="0.2">
      <c r="A39" s="76">
        <f t="shared" si="9"/>
        <v>32</v>
      </c>
      <c r="B39" s="670"/>
      <c r="C39" s="671" t="s">
        <v>5</v>
      </c>
      <c r="D39" s="147"/>
      <c r="E39" s="147" t="e">
        <f>ROUND('Allocation = ¢ per Therm'!K36,5)</f>
        <v>#REF!</v>
      </c>
      <c r="F39" s="147">
        <f>ROUND('Allocation = % of Margin'!U33,5)</f>
        <v>-4.9500000000000004E-3</v>
      </c>
      <c r="G39" s="147">
        <f>ROUND('Allocation = % of Margin'!X33,5)</f>
        <v>-2.63E-3</v>
      </c>
      <c r="H39" s="147">
        <f>ROUND('Allocation = % of Margin'!AA33,5)</f>
        <v>9.3000000000000005E-4</v>
      </c>
      <c r="I39" s="147">
        <f>ROUND('Allocation = % of Margin'!AG33,5)</f>
        <v>-4.9500000000000004E-3</v>
      </c>
      <c r="J39" s="147">
        <f>ROUND('Allocation = % of Margin'!AJ33,5)</f>
        <v>-2.64E-3</v>
      </c>
      <c r="K39" s="147">
        <f>ROUND('Allocation = % of Margin'!AM33,5)</f>
        <v>-2.7E-4</v>
      </c>
      <c r="L39" s="147"/>
      <c r="M39" s="551" t="e">
        <f>#REF!</f>
        <v>#REF!</v>
      </c>
      <c r="N39" s="287" t="e">
        <f>'Rev Req Proof Yr1'!R39</f>
        <v>#REF!</v>
      </c>
      <c r="O39" s="288">
        <f>'Rev Req Proof Yr1'!S39</f>
        <v>0</v>
      </c>
      <c r="P39" s="289">
        <f>'Rev Req Proof Yr1'!T39</f>
        <v>0</v>
      </c>
      <c r="Q39" s="290">
        <f>'Rev Req Proof Yr1'!U39</f>
        <v>0</v>
      </c>
      <c r="R39" s="147"/>
      <c r="S39" s="302" t="e">
        <f t="shared" si="79"/>
        <v>#REF!</v>
      </c>
      <c r="T39" s="298">
        <v>0</v>
      </c>
      <c r="U39" s="303">
        <v>0</v>
      </c>
      <c r="V39" s="147"/>
      <c r="W39" s="302" t="e">
        <f t="shared" ref="W39:W43" si="82">((F39)*N39)</f>
        <v>#REF!</v>
      </c>
      <c r="X39" s="298">
        <v>0</v>
      </c>
      <c r="Y39" s="303">
        <v>0</v>
      </c>
      <c r="Z39" s="147"/>
      <c r="AA39" s="302" t="e">
        <f t="shared" si="80"/>
        <v>#REF!</v>
      </c>
      <c r="AB39" s="298">
        <v>0</v>
      </c>
      <c r="AC39" s="303">
        <v>0</v>
      </c>
      <c r="AD39" s="298"/>
      <c r="AE39" s="302" t="e">
        <f t="shared" si="14"/>
        <v>#REF!</v>
      </c>
      <c r="AF39" s="298">
        <v>0</v>
      </c>
      <c r="AG39" s="303">
        <v>0</v>
      </c>
      <c r="AH39" s="147"/>
      <c r="AI39" s="302" t="e">
        <f t="shared" si="15"/>
        <v>#REF!</v>
      </c>
      <c r="AJ39" s="298">
        <v>0</v>
      </c>
      <c r="AK39" s="303">
        <v>0</v>
      </c>
      <c r="AL39" s="147"/>
      <c r="AM39" s="302" t="e">
        <f>((J39)*N39)</f>
        <v>#REF!</v>
      </c>
      <c r="AN39" s="298">
        <v>0</v>
      </c>
      <c r="AO39" s="303">
        <v>0</v>
      </c>
      <c r="AP39" s="298"/>
      <c r="AQ39" s="302" t="e">
        <f t="shared" si="16"/>
        <v>#REF!</v>
      </c>
      <c r="AR39" s="298">
        <v>0</v>
      </c>
      <c r="AS39" s="303">
        <v>0</v>
      </c>
      <c r="AT39" s="147"/>
      <c r="AU39" s="302" t="e">
        <f t="shared" si="81"/>
        <v>#REF!</v>
      </c>
      <c r="AV39" s="298">
        <v>0</v>
      </c>
      <c r="AW39" s="303">
        <v>0</v>
      </c>
      <c r="AX39" s="298"/>
      <c r="AY39" s="299"/>
      <c r="AZ39" s="299"/>
      <c r="BA39" s="298"/>
    </row>
    <row r="40" spans="1:53" x14ac:dyDescent="0.2">
      <c r="A40" s="76">
        <f t="shared" si="9"/>
        <v>33</v>
      </c>
      <c r="B40" s="670"/>
      <c r="C40" s="671" t="s">
        <v>6</v>
      </c>
      <c r="D40" s="147"/>
      <c r="E40" s="147" t="e">
        <f>ROUND('Allocation = ¢ per Therm'!K37,5)</f>
        <v>#REF!</v>
      </c>
      <c r="F40" s="147">
        <f>ROUND('Allocation = % of Margin'!U34,5)</f>
        <v>-3.8E-3</v>
      </c>
      <c r="G40" s="147">
        <f>ROUND('Allocation = % of Margin'!X34,5)</f>
        <v>-2.0200000000000001E-3</v>
      </c>
      <c r="H40" s="147">
        <f>ROUND('Allocation = % of Margin'!AA34,5)</f>
        <v>7.1000000000000002E-4</v>
      </c>
      <c r="I40" s="147">
        <f>ROUND('Allocation = % of Margin'!AG34,5)</f>
        <v>-3.8E-3</v>
      </c>
      <c r="J40" s="147">
        <f>ROUND('Allocation = % of Margin'!AJ34,5)</f>
        <v>-2.0200000000000001E-3</v>
      </c>
      <c r="K40" s="147">
        <f>ROUND('Allocation = % of Margin'!AM34,5)</f>
        <v>-2.1000000000000001E-4</v>
      </c>
      <c r="L40" s="147"/>
      <c r="M40" s="551" t="e">
        <f>#REF!</f>
        <v>#REF!</v>
      </c>
      <c r="N40" s="287" t="e">
        <f>'Rev Req Proof Yr1'!R40</f>
        <v>#REF!</v>
      </c>
      <c r="O40" s="288">
        <f>'Rev Req Proof Yr1'!S40</f>
        <v>0</v>
      </c>
      <c r="P40" s="289">
        <f>'Rev Req Proof Yr1'!T40</f>
        <v>0</v>
      </c>
      <c r="Q40" s="290">
        <f>'Rev Req Proof Yr1'!U40</f>
        <v>0</v>
      </c>
      <c r="R40" s="147"/>
      <c r="S40" s="302" t="e">
        <f t="shared" si="79"/>
        <v>#REF!</v>
      </c>
      <c r="T40" s="298">
        <v>0</v>
      </c>
      <c r="U40" s="303">
        <v>0</v>
      </c>
      <c r="V40" s="147"/>
      <c r="W40" s="302" t="e">
        <f t="shared" si="82"/>
        <v>#REF!</v>
      </c>
      <c r="X40" s="298">
        <v>0</v>
      </c>
      <c r="Y40" s="303">
        <v>0</v>
      </c>
      <c r="Z40" s="147"/>
      <c r="AA40" s="302" t="e">
        <f t="shared" si="80"/>
        <v>#REF!</v>
      </c>
      <c r="AB40" s="298">
        <v>0</v>
      </c>
      <c r="AC40" s="303">
        <v>0</v>
      </c>
      <c r="AD40" s="298"/>
      <c r="AE40" s="302" t="e">
        <f t="shared" si="14"/>
        <v>#REF!</v>
      </c>
      <c r="AF40" s="298">
        <v>0</v>
      </c>
      <c r="AG40" s="303">
        <v>0</v>
      </c>
      <c r="AH40" s="147"/>
      <c r="AI40" s="302" t="e">
        <f t="shared" si="15"/>
        <v>#REF!</v>
      </c>
      <c r="AJ40" s="298">
        <v>0</v>
      </c>
      <c r="AK40" s="303">
        <v>0</v>
      </c>
      <c r="AL40" s="147"/>
      <c r="AM40" s="302" t="e">
        <f t="shared" ref="AM40:AM96" si="83">((J40)*N40)</f>
        <v>#REF!</v>
      </c>
      <c r="AN40" s="298">
        <v>0</v>
      </c>
      <c r="AO40" s="303">
        <v>0</v>
      </c>
      <c r="AP40" s="298"/>
      <c r="AQ40" s="302" t="e">
        <f t="shared" si="16"/>
        <v>#REF!</v>
      </c>
      <c r="AR40" s="298">
        <v>0</v>
      </c>
      <c r="AS40" s="303">
        <v>0</v>
      </c>
      <c r="AT40" s="147"/>
      <c r="AU40" s="302" t="e">
        <f t="shared" si="81"/>
        <v>#REF!</v>
      </c>
      <c r="AV40" s="298">
        <v>0</v>
      </c>
      <c r="AW40" s="303">
        <v>0</v>
      </c>
      <c r="AX40" s="298"/>
      <c r="AY40" s="299"/>
      <c r="AZ40" s="299"/>
      <c r="BA40" s="298"/>
    </row>
    <row r="41" spans="1:53" x14ac:dyDescent="0.2">
      <c r="A41" s="76">
        <f t="shared" si="9"/>
        <v>34</v>
      </c>
      <c r="B41" s="670"/>
      <c r="C41" s="671" t="s">
        <v>7</v>
      </c>
      <c r="D41" s="147"/>
      <c r="E41" s="147" t="e">
        <f>ROUND('Allocation = ¢ per Therm'!K38,5)</f>
        <v>#REF!</v>
      </c>
      <c r="F41" s="147">
        <f>ROUND('Allocation = % of Margin'!U35,5)</f>
        <v>-3.0400000000000002E-3</v>
      </c>
      <c r="G41" s="147">
        <f>ROUND('Allocation = % of Margin'!X35,5)</f>
        <v>-1.6100000000000001E-3</v>
      </c>
      <c r="H41" s="147">
        <f>ROUND('Allocation = % of Margin'!AA35,5)</f>
        <v>5.6999999999999998E-4</v>
      </c>
      <c r="I41" s="147">
        <f>ROUND('Allocation = % of Margin'!AG35,5)</f>
        <v>-3.0400000000000002E-3</v>
      </c>
      <c r="J41" s="147">
        <f>ROUND('Allocation = % of Margin'!AJ35,5)</f>
        <v>-1.6199999999999999E-3</v>
      </c>
      <c r="K41" s="147">
        <f>ROUND('Allocation = % of Margin'!AM35,5)</f>
        <v>-1.6000000000000001E-4</v>
      </c>
      <c r="L41" s="147"/>
      <c r="M41" s="551" t="e">
        <f>#REF!</f>
        <v>#REF!</v>
      </c>
      <c r="N41" s="287" t="e">
        <f>'Rev Req Proof Yr1'!R41</f>
        <v>#REF!</v>
      </c>
      <c r="O41" s="288">
        <f>'Rev Req Proof Yr1'!S41</f>
        <v>0</v>
      </c>
      <c r="P41" s="289">
        <f>'Rev Req Proof Yr1'!T41</f>
        <v>0</v>
      </c>
      <c r="Q41" s="290">
        <f>'Rev Req Proof Yr1'!U41</f>
        <v>0</v>
      </c>
      <c r="R41" s="147"/>
      <c r="S41" s="302" t="e">
        <f t="shared" si="79"/>
        <v>#REF!</v>
      </c>
      <c r="T41" s="298">
        <v>0</v>
      </c>
      <c r="U41" s="303">
        <v>0</v>
      </c>
      <c r="V41" s="147"/>
      <c r="W41" s="302" t="e">
        <f t="shared" si="82"/>
        <v>#REF!</v>
      </c>
      <c r="X41" s="298">
        <v>0</v>
      </c>
      <c r="Y41" s="303">
        <v>0</v>
      </c>
      <c r="Z41" s="147"/>
      <c r="AA41" s="302" t="e">
        <f t="shared" si="80"/>
        <v>#REF!</v>
      </c>
      <c r="AB41" s="298">
        <v>0</v>
      </c>
      <c r="AC41" s="303">
        <v>0</v>
      </c>
      <c r="AD41" s="298"/>
      <c r="AE41" s="302" t="e">
        <f t="shared" si="14"/>
        <v>#REF!</v>
      </c>
      <c r="AF41" s="298">
        <v>0</v>
      </c>
      <c r="AG41" s="303">
        <v>0</v>
      </c>
      <c r="AH41" s="147"/>
      <c r="AI41" s="302" t="e">
        <f t="shared" si="15"/>
        <v>#REF!</v>
      </c>
      <c r="AJ41" s="298">
        <v>0</v>
      </c>
      <c r="AK41" s="303">
        <v>0</v>
      </c>
      <c r="AL41" s="147"/>
      <c r="AM41" s="302" t="e">
        <f t="shared" si="83"/>
        <v>#REF!</v>
      </c>
      <c r="AN41" s="298">
        <v>0</v>
      </c>
      <c r="AO41" s="303">
        <v>0</v>
      </c>
      <c r="AP41" s="298"/>
      <c r="AQ41" s="302" t="e">
        <f t="shared" si="16"/>
        <v>#REF!</v>
      </c>
      <c r="AR41" s="298">
        <v>0</v>
      </c>
      <c r="AS41" s="303">
        <v>0</v>
      </c>
      <c r="AT41" s="147"/>
      <c r="AU41" s="302" t="e">
        <f t="shared" si="81"/>
        <v>#REF!</v>
      </c>
      <c r="AV41" s="298">
        <v>0</v>
      </c>
      <c r="AW41" s="303">
        <v>0</v>
      </c>
      <c r="AX41" s="298"/>
      <c r="AY41" s="299"/>
      <c r="AZ41" s="299"/>
      <c r="BA41" s="298"/>
    </row>
    <row r="42" spans="1:53" x14ac:dyDescent="0.2">
      <c r="A42" s="76">
        <f t="shared" si="9"/>
        <v>35</v>
      </c>
      <c r="B42" s="670"/>
      <c r="C42" s="671" t="s">
        <v>8</v>
      </c>
      <c r="D42" s="147"/>
      <c r="E42" s="147" t="e">
        <f>ROUND('Allocation = ¢ per Therm'!K39,5)</f>
        <v>#REF!</v>
      </c>
      <c r="F42" s="147">
        <f>ROUND('Allocation = % of Margin'!U36,5)</f>
        <v>-2.0200000000000001E-3</v>
      </c>
      <c r="G42" s="147">
        <f>ROUND('Allocation = % of Margin'!X36,5)</f>
        <v>-1.08E-3</v>
      </c>
      <c r="H42" s="147">
        <f>ROUND('Allocation = % of Margin'!AA36,5)</f>
        <v>3.8000000000000002E-4</v>
      </c>
      <c r="I42" s="147">
        <f>ROUND('Allocation = % of Margin'!AG36,5)</f>
        <v>-2.0200000000000001E-3</v>
      </c>
      <c r="J42" s="147">
        <f>ROUND('Allocation = % of Margin'!AJ36,5)</f>
        <v>-1.08E-3</v>
      </c>
      <c r="K42" s="147">
        <f>ROUND('Allocation = % of Margin'!AM36,5)</f>
        <v>-1.1E-4</v>
      </c>
      <c r="L42" s="147"/>
      <c r="M42" s="551" t="e">
        <f>#REF!</f>
        <v>#REF!</v>
      </c>
      <c r="N42" s="287" t="e">
        <f>'Rev Req Proof Yr1'!R42</f>
        <v>#REF!</v>
      </c>
      <c r="O42" s="288">
        <f>'Rev Req Proof Yr1'!S42</f>
        <v>0</v>
      </c>
      <c r="P42" s="289">
        <f>'Rev Req Proof Yr1'!T42</f>
        <v>0</v>
      </c>
      <c r="Q42" s="290">
        <f>'Rev Req Proof Yr1'!U42</f>
        <v>0</v>
      </c>
      <c r="R42" s="147"/>
      <c r="S42" s="302" t="e">
        <f t="shared" si="79"/>
        <v>#REF!</v>
      </c>
      <c r="T42" s="298">
        <v>0</v>
      </c>
      <c r="U42" s="303">
        <v>0</v>
      </c>
      <c r="V42" s="147"/>
      <c r="W42" s="302" t="e">
        <f t="shared" si="82"/>
        <v>#REF!</v>
      </c>
      <c r="X42" s="298">
        <v>0</v>
      </c>
      <c r="Y42" s="303">
        <v>0</v>
      </c>
      <c r="Z42" s="147"/>
      <c r="AA42" s="302" t="e">
        <f t="shared" si="80"/>
        <v>#REF!</v>
      </c>
      <c r="AB42" s="298">
        <v>0</v>
      </c>
      <c r="AC42" s="303">
        <v>0</v>
      </c>
      <c r="AD42" s="298"/>
      <c r="AE42" s="302" t="e">
        <f t="shared" si="14"/>
        <v>#REF!</v>
      </c>
      <c r="AF42" s="298">
        <v>0</v>
      </c>
      <c r="AG42" s="303">
        <v>0</v>
      </c>
      <c r="AH42" s="147"/>
      <c r="AI42" s="302" t="e">
        <f t="shared" si="15"/>
        <v>#REF!</v>
      </c>
      <c r="AJ42" s="298">
        <v>0</v>
      </c>
      <c r="AK42" s="303">
        <v>0</v>
      </c>
      <c r="AL42" s="147"/>
      <c r="AM42" s="302" t="e">
        <f t="shared" si="83"/>
        <v>#REF!</v>
      </c>
      <c r="AN42" s="298">
        <v>0</v>
      </c>
      <c r="AO42" s="303">
        <v>0</v>
      </c>
      <c r="AP42" s="298"/>
      <c r="AQ42" s="302" t="e">
        <f t="shared" si="16"/>
        <v>#REF!</v>
      </c>
      <c r="AR42" s="298">
        <v>0</v>
      </c>
      <c r="AS42" s="303">
        <v>0</v>
      </c>
      <c r="AT42" s="147"/>
      <c r="AU42" s="302" t="e">
        <f t="shared" si="81"/>
        <v>#REF!</v>
      </c>
      <c r="AV42" s="298">
        <v>0</v>
      </c>
      <c r="AW42" s="303">
        <v>0</v>
      </c>
      <c r="AX42" s="298"/>
      <c r="AY42" s="299"/>
      <c r="AZ42" s="299"/>
      <c r="BA42" s="298"/>
    </row>
    <row r="43" spans="1:53" x14ac:dyDescent="0.2">
      <c r="A43" s="76">
        <f t="shared" si="9"/>
        <v>36</v>
      </c>
      <c r="B43" s="670"/>
      <c r="C43" s="671" t="s">
        <v>9</v>
      </c>
      <c r="D43" s="147"/>
      <c r="E43" s="147" t="e">
        <f>ROUND('Allocation = ¢ per Therm'!K40,5)</f>
        <v>#REF!</v>
      </c>
      <c r="F43" s="147">
        <f>ROUND('Allocation = % of Margin'!U37,5)</f>
        <v>-7.6000000000000004E-4</v>
      </c>
      <c r="G43" s="147">
        <f>ROUND('Allocation = % of Margin'!X37,5)</f>
        <v>-4.0000000000000002E-4</v>
      </c>
      <c r="H43" s="147">
        <f>ROUND('Allocation = % of Margin'!AA37,5)</f>
        <v>1.3999999999999999E-4</v>
      </c>
      <c r="I43" s="147">
        <f>ROUND('Allocation = % of Margin'!AG37,5)</f>
        <v>-7.6000000000000004E-4</v>
      </c>
      <c r="J43" s="147">
        <f>ROUND('Allocation = % of Margin'!AJ37,5)</f>
        <v>-4.0000000000000002E-4</v>
      </c>
      <c r="K43" s="147">
        <f>ROUND('Allocation = % of Margin'!AM37,5)</f>
        <v>-4.0000000000000003E-5</v>
      </c>
      <c r="L43" s="147"/>
      <c r="M43" s="551" t="e">
        <f>#REF!</f>
        <v>#REF!</v>
      </c>
      <c r="N43" s="287" t="e">
        <f>'Rev Req Proof Yr1'!R43</f>
        <v>#REF!</v>
      </c>
      <c r="O43" s="288">
        <f>'Rev Req Proof Yr1'!S43</f>
        <v>0</v>
      </c>
      <c r="P43" s="289">
        <f>'Rev Req Proof Yr1'!T43</f>
        <v>0</v>
      </c>
      <c r="Q43" s="290">
        <f>'Rev Req Proof Yr1'!U43</f>
        <v>0</v>
      </c>
      <c r="R43" s="147"/>
      <c r="S43" s="302" t="e">
        <f t="shared" si="79"/>
        <v>#REF!</v>
      </c>
      <c r="T43" s="298">
        <v>0</v>
      </c>
      <c r="U43" s="303">
        <v>0</v>
      </c>
      <c r="V43" s="147"/>
      <c r="W43" s="302" t="e">
        <f t="shared" si="82"/>
        <v>#REF!</v>
      </c>
      <c r="X43" s="298">
        <v>0</v>
      </c>
      <c r="Y43" s="303">
        <v>0</v>
      </c>
      <c r="Z43" s="147"/>
      <c r="AA43" s="302" t="e">
        <f t="shared" si="80"/>
        <v>#REF!</v>
      </c>
      <c r="AB43" s="298">
        <v>0</v>
      </c>
      <c r="AC43" s="303">
        <v>0</v>
      </c>
      <c r="AD43" s="298"/>
      <c r="AE43" s="302" t="e">
        <f t="shared" si="14"/>
        <v>#REF!</v>
      </c>
      <c r="AF43" s="298">
        <v>0</v>
      </c>
      <c r="AG43" s="303">
        <v>0</v>
      </c>
      <c r="AH43" s="147"/>
      <c r="AI43" s="302" t="e">
        <f t="shared" si="15"/>
        <v>#REF!</v>
      </c>
      <c r="AJ43" s="298">
        <v>0</v>
      </c>
      <c r="AK43" s="303">
        <v>0</v>
      </c>
      <c r="AL43" s="147"/>
      <c r="AM43" s="302" t="e">
        <f t="shared" si="83"/>
        <v>#REF!</v>
      </c>
      <c r="AN43" s="298">
        <v>0</v>
      </c>
      <c r="AO43" s="303">
        <v>0</v>
      </c>
      <c r="AP43" s="298"/>
      <c r="AQ43" s="302" t="e">
        <f t="shared" si="16"/>
        <v>#REF!</v>
      </c>
      <c r="AR43" s="298">
        <v>0</v>
      </c>
      <c r="AS43" s="303">
        <v>0</v>
      </c>
      <c r="AT43" s="147"/>
      <c r="AU43" s="302" t="e">
        <f t="shared" si="81"/>
        <v>#REF!</v>
      </c>
      <c r="AV43" s="298">
        <v>0</v>
      </c>
      <c r="AW43" s="303">
        <v>0</v>
      </c>
      <c r="AX43" s="298"/>
      <c r="AY43" s="299"/>
      <c r="AZ43" s="299"/>
      <c r="BA43" s="298"/>
    </row>
    <row r="44" spans="1:53" x14ac:dyDescent="0.2">
      <c r="A44" s="76">
        <f t="shared" si="9"/>
        <v>37</v>
      </c>
      <c r="B44" s="668"/>
      <c r="C44" s="686" t="s">
        <v>62</v>
      </c>
      <c r="D44" s="143"/>
      <c r="E44" s="143"/>
      <c r="F44" s="143"/>
      <c r="G44" s="747"/>
      <c r="H44" s="747"/>
      <c r="I44" s="747"/>
      <c r="J44" s="747"/>
      <c r="K44" s="747"/>
      <c r="L44" s="143"/>
      <c r="M44" s="551"/>
      <c r="N44" s="287"/>
      <c r="O44" s="288"/>
      <c r="P44" s="289"/>
      <c r="Q44" s="290"/>
      <c r="R44" s="147"/>
      <c r="S44" s="304" t="e">
        <f>SUM(S38:S43)</f>
        <v>#REF!</v>
      </c>
      <c r="T44" s="305">
        <f>SUM(T38:T43)</f>
        <v>0</v>
      </c>
      <c r="U44" s="306">
        <f>SUM(U38:U43)</f>
        <v>0</v>
      </c>
      <c r="V44" s="147"/>
      <c r="W44" s="304" t="e">
        <f>SUM(W38:W43)</f>
        <v>#REF!</v>
      </c>
      <c r="X44" s="305">
        <f>SUM(X38:X43)</f>
        <v>0</v>
      </c>
      <c r="Y44" s="306">
        <f>SUM(Y38:Y43)</f>
        <v>0</v>
      </c>
      <c r="Z44" s="147"/>
      <c r="AA44" s="304" t="e">
        <f>SUM(AA38:AA43)</f>
        <v>#REF!</v>
      </c>
      <c r="AB44" s="305">
        <f>SUM(AB38:AB43)</f>
        <v>0</v>
      </c>
      <c r="AC44" s="306">
        <f>SUM(AC38:AC43)</f>
        <v>0</v>
      </c>
      <c r="AD44" s="317"/>
      <c r="AE44" s="304" t="e">
        <f>SUM(AE38:AE43)</f>
        <v>#REF!</v>
      </c>
      <c r="AF44" s="305">
        <f>SUM(AF38:AF43)</f>
        <v>0</v>
      </c>
      <c r="AG44" s="306">
        <f>SUM(AG38:AG43)</f>
        <v>0</v>
      </c>
      <c r="AH44" s="147"/>
      <c r="AI44" s="304" t="e">
        <f>SUM(AI38:AI43)</f>
        <v>#REF!</v>
      </c>
      <c r="AJ44" s="305">
        <f>SUM(AJ38:AJ43)</f>
        <v>0</v>
      </c>
      <c r="AK44" s="306">
        <f>SUM(AK38:AK43)</f>
        <v>0</v>
      </c>
      <c r="AL44" s="147"/>
      <c r="AM44" s="304" t="e">
        <f>SUM(AM38:AM43)</f>
        <v>#REF!</v>
      </c>
      <c r="AN44" s="305">
        <f>SUM(AN38:AN43)</f>
        <v>0</v>
      </c>
      <c r="AO44" s="306">
        <f>SUM(AO38:AO43)</f>
        <v>0</v>
      </c>
      <c r="AP44" s="317"/>
      <c r="AQ44" s="304" t="e">
        <f>SUM(AQ38:AQ43)</f>
        <v>#REF!</v>
      </c>
      <c r="AR44" s="305">
        <f>SUM(AR38:AR43)</f>
        <v>0</v>
      </c>
      <c r="AS44" s="306">
        <f>SUM(AS38:AS43)</f>
        <v>0</v>
      </c>
      <c r="AT44" s="147"/>
      <c r="AU44" s="304" t="e">
        <f>SUM(AU38:AU43)</f>
        <v>#REF!</v>
      </c>
      <c r="AV44" s="305">
        <f>SUM(AV38:AV43)</f>
        <v>0</v>
      </c>
      <c r="AW44" s="306">
        <f>SUM(AW38:AW43)</f>
        <v>0</v>
      </c>
      <c r="AX44" s="298"/>
      <c r="AY44" s="299"/>
      <c r="AZ44" s="299"/>
      <c r="BA44" s="298"/>
    </row>
    <row r="45" spans="1:53" x14ac:dyDescent="0.2">
      <c r="A45" s="76">
        <f t="shared" si="9"/>
        <v>38</v>
      </c>
      <c r="B45" s="670" t="e">
        <f>'Rev Req Proof Yr1'!B45</f>
        <v>#REF!</v>
      </c>
      <c r="C45" s="671" t="s">
        <v>4</v>
      </c>
      <c r="D45" s="147"/>
      <c r="E45" s="147" t="e">
        <f>ROUND('Allocation = ¢ per Therm'!K41,5)</f>
        <v>#REF!</v>
      </c>
      <c r="F45" s="147">
        <f>ROUND('Allocation = % of Margin'!U38,5)</f>
        <v>0</v>
      </c>
      <c r="G45" s="147">
        <f>ROUND('Allocation = % of Margin'!X38,5)</f>
        <v>-2.47E-3</v>
      </c>
      <c r="H45" s="147">
        <f>ROUND('Allocation = % of Margin'!AA38,5)</f>
        <v>8.7000000000000001E-4</v>
      </c>
      <c r="I45" s="147">
        <f>ROUND('Allocation = % of Margin'!AG38,5)</f>
        <v>0</v>
      </c>
      <c r="J45" s="147">
        <f>ROUND('Allocation = % of Margin'!AJ38,5)</f>
        <v>-2.3900000000000002E-3</v>
      </c>
      <c r="K45" s="147">
        <f>ROUND('Allocation = % of Margin'!AM38,5)</f>
        <v>-2.4000000000000001E-4</v>
      </c>
      <c r="L45" s="147"/>
      <c r="M45" s="551" t="e">
        <f>#REF!</f>
        <v>#REF!</v>
      </c>
      <c r="N45" s="287" t="e">
        <f>'Rev Req Proof Yr1'!R45</f>
        <v>#REF!</v>
      </c>
      <c r="O45" s="288">
        <f>'Rev Req Proof Yr1'!S45</f>
        <v>9556</v>
      </c>
      <c r="P45" s="289" t="e">
        <f>'Rev Req Proof Yr1'!T45</f>
        <v>#REF!</v>
      </c>
      <c r="Q45" s="290" t="e">
        <f>'Rev Req Proof Yr1'!U45</f>
        <v>#REF!</v>
      </c>
      <c r="R45" s="147"/>
      <c r="S45" s="302" t="e">
        <f t="shared" ref="S45:S50" si="84">((E45)*N45)</f>
        <v>#REF!</v>
      </c>
      <c r="T45" s="298">
        <v>0</v>
      </c>
      <c r="U45" s="303">
        <v>0</v>
      </c>
      <c r="V45" s="147"/>
      <c r="W45" s="302" t="e">
        <f>((F45)*N45)</f>
        <v>#REF!</v>
      </c>
      <c r="X45" s="298">
        <v>0</v>
      </c>
      <c r="Y45" s="303">
        <v>0</v>
      </c>
      <c r="Z45" s="147"/>
      <c r="AA45" s="302" t="e">
        <f t="shared" ref="AA45:AA50" si="85">((G45)*N45)</f>
        <v>#REF!</v>
      </c>
      <c r="AB45" s="298">
        <v>0</v>
      </c>
      <c r="AC45" s="303">
        <v>0</v>
      </c>
      <c r="AD45" s="298"/>
      <c r="AE45" s="302" t="e">
        <f t="shared" si="14"/>
        <v>#REF!</v>
      </c>
      <c r="AF45" s="298">
        <v>0</v>
      </c>
      <c r="AG45" s="303">
        <v>0</v>
      </c>
      <c r="AH45" s="147"/>
      <c r="AI45" s="302" t="e">
        <f t="shared" si="15"/>
        <v>#REF!</v>
      </c>
      <c r="AJ45" s="298">
        <v>0</v>
      </c>
      <c r="AK45" s="303">
        <v>0</v>
      </c>
      <c r="AL45" s="147"/>
      <c r="AM45" s="302" t="e">
        <f t="shared" si="83"/>
        <v>#REF!</v>
      </c>
      <c r="AN45" s="298">
        <v>0</v>
      </c>
      <c r="AO45" s="303">
        <v>0</v>
      </c>
      <c r="AP45" s="298"/>
      <c r="AQ45" s="302" t="e">
        <f t="shared" si="16"/>
        <v>#REF!</v>
      </c>
      <c r="AR45" s="298">
        <v>0</v>
      </c>
      <c r="AS45" s="303">
        <v>0</v>
      </c>
      <c r="AT45" s="147"/>
      <c r="AU45" s="302" t="e">
        <f t="shared" ref="AU45:AU50" si="86">((E45+F45+G45+K45)*N45)</f>
        <v>#REF!</v>
      </c>
      <c r="AV45" s="298">
        <v>0</v>
      </c>
      <c r="AW45" s="303">
        <v>0</v>
      </c>
      <c r="AX45" s="298"/>
      <c r="AY45" s="299"/>
      <c r="AZ45" s="299"/>
      <c r="BA45" s="298"/>
    </row>
    <row r="46" spans="1:53" x14ac:dyDescent="0.2">
      <c r="A46" s="76">
        <f t="shared" si="9"/>
        <v>39</v>
      </c>
      <c r="B46" s="670"/>
      <c r="C46" s="671" t="s">
        <v>5</v>
      </c>
      <c r="D46" s="147"/>
      <c r="E46" s="147" t="e">
        <f>ROUND('Allocation = ¢ per Therm'!K42,5)</f>
        <v>#REF!</v>
      </c>
      <c r="F46" s="147">
        <f>ROUND('Allocation = % of Margin'!U39,5)</f>
        <v>0</v>
      </c>
      <c r="G46" s="147">
        <f>ROUND('Allocation = % of Margin'!X39,5)</f>
        <v>-2.2200000000000002E-3</v>
      </c>
      <c r="H46" s="147">
        <f>ROUND('Allocation = % of Margin'!AA39,5)</f>
        <v>7.7999999999999999E-4</v>
      </c>
      <c r="I46" s="147">
        <f>ROUND('Allocation = % of Margin'!AG39,5)</f>
        <v>0</v>
      </c>
      <c r="J46" s="147">
        <f>ROUND('Allocation = % of Margin'!AJ39,5)</f>
        <v>-2.14E-3</v>
      </c>
      <c r="K46" s="147">
        <f>ROUND('Allocation = % of Margin'!AM39,5)</f>
        <v>-2.2000000000000001E-4</v>
      </c>
      <c r="L46" s="147"/>
      <c r="M46" s="551" t="e">
        <f>#REF!</f>
        <v>#REF!</v>
      </c>
      <c r="N46" s="287" t="e">
        <f>'Rev Req Proof Yr1'!R46</f>
        <v>#REF!</v>
      </c>
      <c r="O46" s="288">
        <f>'Rev Req Proof Yr1'!S46</f>
        <v>0</v>
      </c>
      <c r="P46" s="289">
        <f>'Rev Req Proof Yr1'!T46</f>
        <v>0</v>
      </c>
      <c r="Q46" s="290">
        <f>'Rev Req Proof Yr1'!U46</f>
        <v>0</v>
      </c>
      <c r="R46" s="147"/>
      <c r="S46" s="302" t="e">
        <f t="shared" si="84"/>
        <v>#REF!</v>
      </c>
      <c r="T46" s="298">
        <v>0</v>
      </c>
      <c r="U46" s="303">
        <v>0</v>
      </c>
      <c r="V46" s="147"/>
      <c r="W46" s="302" t="e">
        <f t="shared" ref="W46:W50" si="87">((F46)*N46)</f>
        <v>#REF!</v>
      </c>
      <c r="X46" s="298">
        <v>0</v>
      </c>
      <c r="Y46" s="303">
        <v>0</v>
      </c>
      <c r="Z46" s="147"/>
      <c r="AA46" s="302" t="e">
        <f t="shared" si="85"/>
        <v>#REF!</v>
      </c>
      <c r="AB46" s="298">
        <v>0</v>
      </c>
      <c r="AC46" s="303">
        <v>0</v>
      </c>
      <c r="AD46" s="298"/>
      <c r="AE46" s="302" t="e">
        <f t="shared" si="14"/>
        <v>#REF!</v>
      </c>
      <c r="AF46" s="298">
        <v>0</v>
      </c>
      <c r="AG46" s="303">
        <v>0</v>
      </c>
      <c r="AH46" s="147"/>
      <c r="AI46" s="302" t="e">
        <f t="shared" si="15"/>
        <v>#REF!</v>
      </c>
      <c r="AJ46" s="298">
        <v>0</v>
      </c>
      <c r="AK46" s="303">
        <v>0</v>
      </c>
      <c r="AL46" s="147"/>
      <c r="AM46" s="302" t="e">
        <f t="shared" si="83"/>
        <v>#REF!</v>
      </c>
      <c r="AN46" s="298">
        <v>0</v>
      </c>
      <c r="AO46" s="303">
        <v>0</v>
      </c>
      <c r="AP46" s="298"/>
      <c r="AQ46" s="302" t="e">
        <f t="shared" si="16"/>
        <v>#REF!</v>
      </c>
      <c r="AR46" s="298">
        <v>0</v>
      </c>
      <c r="AS46" s="303">
        <v>0</v>
      </c>
      <c r="AT46" s="147"/>
      <c r="AU46" s="302" t="e">
        <f t="shared" si="86"/>
        <v>#REF!</v>
      </c>
      <c r="AV46" s="298">
        <v>0</v>
      </c>
      <c r="AW46" s="303">
        <v>0</v>
      </c>
      <c r="AX46" s="298"/>
      <c r="AY46" s="299"/>
      <c r="AZ46" s="299"/>
      <c r="BA46" s="298"/>
    </row>
    <row r="47" spans="1:53" x14ac:dyDescent="0.2">
      <c r="A47" s="76">
        <f t="shared" si="9"/>
        <v>40</v>
      </c>
      <c r="B47" s="670"/>
      <c r="C47" s="671" t="s">
        <v>6</v>
      </c>
      <c r="D47" s="147"/>
      <c r="E47" s="147" t="e">
        <f>ROUND('Allocation = ¢ per Therm'!K43,5)</f>
        <v>#REF!</v>
      </c>
      <c r="F47" s="147">
        <f>ROUND('Allocation = % of Margin'!U40,5)</f>
        <v>0</v>
      </c>
      <c r="G47" s="147">
        <f>ROUND('Allocation = % of Margin'!X40,5)</f>
        <v>-1.6999999999999999E-3</v>
      </c>
      <c r="H47" s="147">
        <f>ROUND('Allocation = % of Margin'!AA40,5)</f>
        <v>5.9999999999999995E-4</v>
      </c>
      <c r="I47" s="147">
        <f>ROUND('Allocation = % of Margin'!AG40,5)</f>
        <v>0</v>
      </c>
      <c r="J47" s="147">
        <f>ROUND('Allocation = % of Margin'!AJ40,5)</f>
        <v>-1.64E-3</v>
      </c>
      <c r="K47" s="147">
        <f>ROUND('Allocation = % of Margin'!AM40,5)</f>
        <v>-1.7000000000000001E-4</v>
      </c>
      <c r="L47" s="147"/>
      <c r="M47" s="551" t="e">
        <f>#REF!</f>
        <v>#REF!</v>
      </c>
      <c r="N47" s="287" t="e">
        <f>'Rev Req Proof Yr1'!R47</f>
        <v>#REF!</v>
      </c>
      <c r="O47" s="288">
        <f>'Rev Req Proof Yr1'!S47</f>
        <v>0</v>
      </c>
      <c r="P47" s="289">
        <f>'Rev Req Proof Yr1'!T47</f>
        <v>0</v>
      </c>
      <c r="Q47" s="290">
        <f>'Rev Req Proof Yr1'!U47</f>
        <v>0</v>
      </c>
      <c r="R47" s="147"/>
      <c r="S47" s="302" t="e">
        <f t="shared" si="84"/>
        <v>#REF!</v>
      </c>
      <c r="T47" s="298">
        <v>0</v>
      </c>
      <c r="U47" s="303">
        <v>0</v>
      </c>
      <c r="V47" s="147"/>
      <c r="W47" s="302" t="e">
        <f t="shared" si="87"/>
        <v>#REF!</v>
      </c>
      <c r="X47" s="298">
        <v>0</v>
      </c>
      <c r="Y47" s="303">
        <v>0</v>
      </c>
      <c r="Z47" s="147"/>
      <c r="AA47" s="302" t="e">
        <f t="shared" si="85"/>
        <v>#REF!</v>
      </c>
      <c r="AB47" s="298">
        <v>0</v>
      </c>
      <c r="AC47" s="303">
        <v>0</v>
      </c>
      <c r="AD47" s="298"/>
      <c r="AE47" s="302" t="e">
        <f t="shared" si="14"/>
        <v>#REF!</v>
      </c>
      <c r="AF47" s="298">
        <v>0</v>
      </c>
      <c r="AG47" s="303">
        <v>0</v>
      </c>
      <c r="AH47" s="147"/>
      <c r="AI47" s="302" t="e">
        <f t="shared" si="15"/>
        <v>#REF!</v>
      </c>
      <c r="AJ47" s="298">
        <v>0</v>
      </c>
      <c r="AK47" s="303">
        <v>0</v>
      </c>
      <c r="AL47" s="147"/>
      <c r="AM47" s="302" t="e">
        <f t="shared" si="83"/>
        <v>#REF!</v>
      </c>
      <c r="AN47" s="298">
        <v>0</v>
      </c>
      <c r="AO47" s="303">
        <v>0</v>
      </c>
      <c r="AP47" s="298"/>
      <c r="AQ47" s="302" t="e">
        <f t="shared" si="16"/>
        <v>#REF!</v>
      </c>
      <c r="AR47" s="298">
        <v>0</v>
      </c>
      <c r="AS47" s="303">
        <v>0</v>
      </c>
      <c r="AT47" s="147"/>
      <c r="AU47" s="302" t="e">
        <f t="shared" si="86"/>
        <v>#REF!</v>
      </c>
      <c r="AV47" s="298">
        <v>0</v>
      </c>
      <c r="AW47" s="303">
        <v>0</v>
      </c>
      <c r="AX47" s="298"/>
      <c r="AY47" s="299"/>
      <c r="AZ47" s="299"/>
      <c r="BA47" s="298"/>
    </row>
    <row r="48" spans="1:53" x14ac:dyDescent="0.2">
      <c r="A48" s="76">
        <f t="shared" si="9"/>
        <v>41</v>
      </c>
      <c r="B48" s="670"/>
      <c r="C48" s="671" t="s">
        <v>7</v>
      </c>
      <c r="D48" s="147"/>
      <c r="E48" s="147" t="e">
        <f>ROUND('Allocation = ¢ per Therm'!K44,5)</f>
        <v>#REF!</v>
      </c>
      <c r="F48" s="147">
        <f>ROUND('Allocation = % of Margin'!U41,5)</f>
        <v>0</v>
      </c>
      <c r="G48" s="147">
        <f>ROUND('Allocation = % of Margin'!X41,5)</f>
        <v>-1.3600000000000001E-3</v>
      </c>
      <c r="H48" s="147">
        <f>ROUND('Allocation = % of Margin'!AA41,5)</f>
        <v>4.8000000000000001E-4</v>
      </c>
      <c r="I48" s="147">
        <f>ROUND('Allocation = % of Margin'!AG41,5)</f>
        <v>0</v>
      </c>
      <c r="J48" s="147">
        <f>ROUND('Allocation = % of Margin'!AJ41,5)</f>
        <v>-1.31E-3</v>
      </c>
      <c r="K48" s="147">
        <f>ROUND('Allocation = % of Margin'!AM41,5)</f>
        <v>-1.2999999999999999E-4</v>
      </c>
      <c r="L48" s="147"/>
      <c r="M48" s="551" t="e">
        <f>#REF!</f>
        <v>#REF!</v>
      </c>
      <c r="N48" s="287" t="e">
        <f>'Rev Req Proof Yr1'!R48</f>
        <v>#REF!</v>
      </c>
      <c r="O48" s="288">
        <f>'Rev Req Proof Yr1'!S48</f>
        <v>0</v>
      </c>
      <c r="P48" s="289">
        <f>'Rev Req Proof Yr1'!T48</f>
        <v>0</v>
      </c>
      <c r="Q48" s="290">
        <f>'Rev Req Proof Yr1'!U48</f>
        <v>0</v>
      </c>
      <c r="R48" s="147"/>
      <c r="S48" s="302" t="e">
        <f t="shared" si="84"/>
        <v>#REF!</v>
      </c>
      <c r="T48" s="298">
        <v>0</v>
      </c>
      <c r="U48" s="303">
        <v>0</v>
      </c>
      <c r="V48" s="147"/>
      <c r="W48" s="302" t="e">
        <f t="shared" si="87"/>
        <v>#REF!</v>
      </c>
      <c r="X48" s="298">
        <v>0</v>
      </c>
      <c r="Y48" s="303">
        <v>0</v>
      </c>
      <c r="Z48" s="147"/>
      <c r="AA48" s="302" t="e">
        <f t="shared" si="85"/>
        <v>#REF!</v>
      </c>
      <c r="AB48" s="298">
        <v>0</v>
      </c>
      <c r="AC48" s="303">
        <v>0</v>
      </c>
      <c r="AD48" s="298"/>
      <c r="AE48" s="302" t="e">
        <f t="shared" si="14"/>
        <v>#REF!</v>
      </c>
      <c r="AF48" s="298">
        <v>0</v>
      </c>
      <c r="AG48" s="303">
        <v>0</v>
      </c>
      <c r="AH48" s="147"/>
      <c r="AI48" s="302" t="e">
        <f t="shared" si="15"/>
        <v>#REF!</v>
      </c>
      <c r="AJ48" s="298">
        <v>0</v>
      </c>
      <c r="AK48" s="303">
        <v>0</v>
      </c>
      <c r="AL48" s="147"/>
      <c r="AM48" s="302" t="e">
        <f t="shared" si="83"/>
        <v>#REF!</v>
      </c>
      <c r="AN48" s="298">
        <v>0</v>
      </c>
      <c r="AO48" s="303">
        <v>0</v>
      </c>
      <c r="AP48" s="298"/>
      <c r="AQ48" s="302" t="e">
        <f t="shared" si="16"/>
        <v>#REF!</v>
      </c>
      <c r="AR48" s="298">
        <v>0</v>
      </c>
      <c r="AS48" s="303">
        <v>0</v>
      </c>
      <c r="AT48" s="147"/>
      <c r="AU48" s="302" t="e">
        <f t="shared" si="86"/>
        <v>#REF!</v>
      </c>
      <c r="AV48" s="298">
        <v>0</v>
      </c>
      <c r="AW48" s="303">
        <v>0</v>
      </c>
      <c r="AX48" s="298"/>
      <c r="AY48" s="299"/>
      <c r="AZ48" s="299"/>
      <c r="BA48" s="298"/>
    </row>
    <row r="49" spans="1:53" x14ac:dyDescent="0.2">
      <c r="A49" s="76">
        <f t="shared" si="9"/>
        <v>42</v>
      </c>
      <c r="B49" s="670"/>
      <c r="C49" s="671" t="s">
        <v>8</v>
      </c>
      <c r="D49" s="147"/>
      <c r="E49" s="147" t="e">
        <f>ROUND('Allocation = ¢ per Therm'!K45,5)</f>
        <v>#REF!</v>
      </c>
      <c r="F49" s="147">
        <f>ROUND('Allocation = % of Margin'!U42,5)</f>
        <v>0</v>
      </c>
      <c r="G49" s="147">
        <f>ROUND('Allocation = % of Margin'!X42,5)</f>
        <v>-9.1E-4</v>
      </c>
      <c r="H49" s="147">
        <f>ROUND('Allocation = % of Margin'!AA42,5)</f>
        <v>3.2000000000000003E-4</v>
      </c>
      <c r="I49" s="147">
        <f>ROUND('Allocation = % of Margin'!AG42,5)</f>
        <v>0</v>
      </c>
      <c r="J49" s="147">
        <f>ROUND('Allocation = % of Margin'!AJ42,5)</f>
        <v>-8.8000000000000003E-4</v>
      </c>
      <c r="K49" s="147">
        <f>ROUND('Allocation = % of Margin'!AM42,5)</f>
        <v>-9.0000000000000006E-5</v>
      </c>
      <c r="L49" s="147"/>
      <c r="M49" s="551" t="e">
        <f>#REF!</f>
        <v>#REF!</v>
      </c>
      <c r="N49" s="287" t="e">
        <f>'Rev Req Proof Yr1'!R49</f>
        <v>#REF!</v>
      </c>
      <c r="O49" s="288">
        <f>'Rev Req Proof Yr1'!S49</f>
        <v>0</v>
      </c>
      <c r="P49" s="289">
        <f>'Rev Req Proof Yr1'!T49</f>
        <v>0</v>
      </c>
      <c r="Q49" s="290">
        <f>'Rev Req Proof Yr1'!U49</f>
        <v>0</v>
      </c>
      <c r="R49" s="147"/>
      <c r="S49" s="302" t="e">
        <f t="shared" si="84"/>
        <v>#REF!</v>
      </c>
      <c r="T49" s="298">
        <v>0</v>
      </c>
      <c r="U49" s="303">
        <v>0</v>
      </c>
      <c r="V49" s="147"/>
      <c r="W49" s="302" t="e">
        <f t="shared" si="87"/>
        <v>#REF!</v>
      </c>
      <c r="X49" s="298">
        <v>0</v>
      </c>
      <c r="Y49" s="303">
        <v>0</v>
      </c>
      <c r="Z49" s="147"/>
      <c r="AA49" s="302" t="e">
        <f t="shared" si="85"/>
        <v>#REF!</v>
      </c>
      <c r="AB49" s="298">
        <v>0</v>
      </c>
      <c r="AC49" s="303">
        <v>0</v>
      </c>
      <c r="AD49" s="298"/>
      <c r="AE49" s="302" t="e">
        <f t="shared" si="14"/>
        <v>#REF!</v>
      </c>
      <c r="AF49" s="298">
        <v>0</v>
      </c>
      <c r="AG49" s="303">
        <v>0</v>
      </c>
      <c r="AH49" s="147"/>
      <c r="AI49" s="302" t="e">
        <f t="shared" si="15"/>
        <v>#REF!</v>
      </c>
      <c r="AJ49" s="298">
        <v>0</v>
      </c>
      <c r="AK49" s="303">
        <v>0</v>
      </c>
      <c r="AL49" s="147"/>
      <c r="AM49" s="302" t="e">
        <f t="shared" si="83"/>
        <v>#REF!</v>
      </c>
      <c r="AN49" s="298">
        <v>0</v>
      </c>
      <c r="AO49" s="303">
        <v>0</v>
      </c>
      <c r="AP49" s="298"/>
      <c r="AQ49" s="302" t="e">
        <f t="shared" si="16"/>
        <v>#REF!</v>
      </c>
      <c r="AR49" s="298">
        <v>0</v>
      </c>
      <c r="AS49" s="303">
        <v>0</v>
      </c>
      <c r="AT49" s="147"/>
      <c r="AU49" s="302" t="e">
        <f t="shared" si="86"/>
        <v>#REF!</v>
      </c>
      <c r="AV49" s="298">
        <v>0</v>
      </c>
      <c r="AW49" s="303">
        <v>0</v>
      </c>
      <c r="AX49" s="298"/>
      <c r="AY49" s="299"/>
      <c r="AZ49" s="299"/>
      <c r="BA49" s="298"/>
    </row>
    <row r="50" spans="1:53" x14ac:dyDescent="0.2">
      <c r="A50" s="76">
        <f t="shared" si="9"/>
        <v>43</v>
      </c>
      <c r="B50" s="670"/>
      <c r="C50" s="671" t="s">
        <v>9</v>
      </c>
      <c r="D50" s="147"/>
      <c r="E50" s="147" t="e">
        <f>ROUND('Allocation = ¢ per Therm'!K46,5)</f>
        <v>#REF!</v>
      </c>
      <c r="F50" s="147">
        <f>ROUND('Allocation = % of Margin'!U43,5)</f>
        <v>0</v>
      </c>
      <c r="G50" s="147">
        <f>ROUND('Allocation = % of Margin'!X43,5)</f>
        <v>-3.4000000000000002E-4</v>
      </c>
      <c r="H50" s="147">
        <f>ROUND('Allocation = % of Margin'!AA43,5)</f>
        <v>1.2E-4</v>
      </c>
      <c r="I50" s="147">
        <f>ROUND('Allocation = % of Margin'!AG43,5)</f>
        <v>0</v>
      </c>
      <c r="J50" s="147">
        <f>ROUND('Allocation = % of Margin'!AJ43,5)</f>
        <v>-3.3E-4</v>
      </c>
      <c r="K50" s="147">
        <f>ROUND('Allocation = % of Margin'!AM43,5)</f>
        <v>-3.0000000000000001E-5</v>
      </c>
      <c r="L50" s="147"/>
      <c r="M50" s="551" t="e">
        <f>#REF!</f>
        <v>#REF!</v>
      </c>
      <c r="N50" s="287" t="e">
        <f>'Rev Req Proof Yr1'!R50</f>
        <v>#REF!</v>
      </c>
      <c r="O50" s="288">
        <f>'Rev Req Proof Yr1'!S50</f>
        <v>0</v>
      </c>
      <c r="P50" s="289">
        <f>'Rev Req Proof Yr1'!T50</f>
        <v>0</v>
      </c>
      <c r="Q50" s="290">
        <f>'Rev Req Proof Yr1'!U50</f>
        <v>0</v>
      </c>
      <c r="R50" s="147"/>
      <c r="S50" s="302" t="e">
        <f t="shared" si="84"/>
        <v>#REF!</v>
      </c>
      <c r="T50" s="298">
        <v>0</v>
      </c>
      <c r="U50" s="303">
        <v>0</v>
      </c>
      <c r="V50" s="147"/>
      <c r="W50" s="302" t="e">
        <f t="shared" si="87"/>
        <v>#REF!</v>
      </c>
      <c r="X50" s="298">
        <v>0</v>
      </c>
      <c r="Y50" s="303">
        <v>0</v>
      </c>
      <c r="Z50" s="147"/>
      <c r="AA50" s="302" t="e">
        <f t="shared" si="85"/>
        <v>#REF!</v>
      </c>
      <c r="AB50" s="298">
        <v>0</v>
      </c>
      <c r="AC50" s="303">
        <v>0</v>
      </c>
      <c r="AD50" s="298"/>
      <c r="AE50" s="302" t="e">
        <f t="shared" si="14"/>
        <v>#REF!</v>
      </c>
      <c r="AF50" s="298">
        <v>0</v>
      </c>
      <c r="AG50" s="303">
        <v>0</v>
      </c>
      <c r="AH50" s="147"/>
      <c r="AI50" s="302" t="e">
        <f t="shared" si="15"/>
        <v>#REF!</v>
      </c>
      <c r="AJ50" s="298">
        <v>0</v>
      </c>
      <c r="AK50" s="303">
        <v>0</v>
      </c>
      <c r="AL50" s="147"/>
      <c r="AM50" s="302" t="e">
        <f t="shared" si="83"/>
        <v>#REF!</v>
      </c>
      <c r="AN50" s="298">
        <v>0</v>
      </c>
      <c r="AO50" s="303">
        <v>0</v>
      </c>
      <c r="AP50" s="298"/>
      <c r="AQ50" s="302" t="e">
        <f t="shared" si="16"/>
        <v>#REF!</v>
      </c>
      <c r="AR50" s="298">
        <v>0</v>
      </c>
      <c r="AS50" s="303">
        <v>0</v>
      </c>
      <c r="AT50" s="147"/>
      <c r="AU50" s="302" t="e">
        <f t="shared" si="86"/>
        <v>#REF!</v>
      </c>
      <c r="AV50" s="298">
        <v>0</v>
      </c>
      <c r="AW50" s="303">
        <v>0</v>
      </c>
      <c r="AX50" s="298"/>
      <c r="AY50" s="299"/>
      <c r="AZ50" s="299"/>
      <c r="BA50" s="298"/>
    </row>
    <row r="51" spans="1:53" x14ac:dyDescent="0.2">
      <c r="A51" s="76">
        <f t="shared" si="9"/>
        <v>44</v>
      </c>
      <c r="B51" s="668"/>
      <c r="C51" s="686" t="s">
        <v>62</v>
      </c>
      <c r="D51" s="143"/>
      <c r="E51" s="143"/>
      <c r="F51" s="143"/>
      <c r="G51" s="747"/>
      <c r="H51" s="747"/>
      <c r="I51" s="747"/>
      <c r="J51" s="747"/>
      <c r="K51" s="747"/>
      <c r="L51" s="143"/>
      <c r="M51" s="551"/>
      <c r="N51" s="287"/>
      <c r="O51" s="288"/>
      <c r="P51" s="289"/>
      <c r="Q51" s="290"/>
      <c r="R51" s="147"/>
      <c r="S51" s="304" t="e">
        <f>SUM(S45:S50)</f>
        <v>#REF!</v>
      </c>
      <c r="T51" s="305">
        <f>SUM(T45:T50)</f>
        <v>0</v>
      </c>
      <c r="U51" s="306">
        <f>SUM(U45:U50)</f>
        <v>0</v>
      </c>
      <c r="V51" s="147"/>
      <c r="W51" s="304" t="e">
        <f>SUM(W45:W50)</f>
        <v>#REF!</v>
      </c>
      <c r="X51" s="305">
        <f>SUM(X45:X50)</f>
        <v>0</v>
      </c>
      <c r="Y51" s="306">
        <f>SUM(Y45:Y50)</f>
        <v>0</v>
      </c>
      <c r="Z51" s="147"/>
      <c r="AA51" s="304" t="e">
        <f>SUM(AA45:AA50)</f>
        <v>#REF!</v>
      </c>
      <c r="AB51" s="305">
        <f>SUM(AB45:AB50)</f>
        <v>0</v>
      </c>
      <c r="AC51" s="306">
        <f>SUM(AC45:AC50)</f>
        <v>0</v>
      </c>
      <c r="AD51" s="317"/>
      <c r="AE51" s="304" t="e">
        <f>SUM(AE45:AE50)</f>
        <v>#REF!</v>
      </c>
      <c r="AF51" s="305">
        <f>SUM(AF45:AF50)</f>
        <v>0</v>
      </c>
      <c r="AG51" s="306">
        <f>SUM(AG45:AG50)</f>
        <v>0</v>
      </c>
      <c r="AH51" s="147"/>
      <c r="AI51" s="304" t="e">
        <f>SUM(AI45:AI50)</f>
        <v>#REF!</v>
      </c>
      <c r="AJ51" s="305">
        <f>SUM(AJ45:AJ50)</f>
        <v>0</v>
      </c>
      <c r="AK51" s="306">
        <f>SUM(AK45:AK50)</f>
        <v>0</v>
      </c>
      <c r="AL51" s="147"/>
      <c r="AM51" s="304" t="e">
        <f>SUM(AM45:AM50)</f>
        <v>#REF!</v>
      </c>
      <c r="AN51" s="305">
        <f>SUM(AN45:AN50)</f>
        <v>0</v>
      </c>
      <c r="AO51" s="306">
        <f>SUM(AO45:AO50)</f>
        <v>0</v>
      </c>
      <c r="AP51" s="317"/>
      <c r="AQ51" s="304" t="e">
        <f>SUM(AQ45:AQ50)</f>
        <v>#REF!</v>
      </c>
      <c r="AR51" s="305">
        <f>SUM(AR45:AR50)</f>
        <v>0</v>
      </c>
      <c r="AS51" s="306">
        <f>SUM(AS45:AS50)</f>
        <v>0</v>
      </c>
      <c r="AT51" s="147"/>
      <c r="AU51" s="304" t="e">
        <f>SUM(AU45:AU50)</f>
        <v>#REF!</v>
      </c>
      <c r="AV51" s="305">
        <f>SUM(AV45:AV50)</f>
        <v>0</v>
      </c>
      <c r="AW51" s="306">
        <f>SUM(AW45:AW50)</f>
        <v>0</v>
      </c>
      <c r="AX51" s="298"/>
      <c r="AY51" s="299"/>
      <c r="AZ51" s="299"/>
      <c r="BA51" s="298"/>
    </row>
    <row r="52" spans="1:53" x14ac:dyDescent="0.2">
      <c r="A52" s="76">
        <f t="shared" si="9"/>
        <v>45</v>
      </c>
      <c r="B52" s="670" t="e">
        <f>'Rev Req Proof Yr1'!B52</f>
        <v>#REF!</v>
      </c>
      <c r="C52" s="671" t="s">
        <v>4</v>
      </c>
      <c r="D52" s="147"/>
      <c r="E52" s="147" t="e">
        <f>ROUND('Allocation = ¢ per Therm'!K47,5)</f>
        <v>#REF!</v>
      </c>
      <c r="F52" s="147">
        <f>ROUND('Allocation = % of Margin'!U44,5)</f>
        <v>0</v>
      </c>
      <c r="G52" s="147">
        <f>ROUND('Allocation = % of Margin'!X44,5)</f>
        <v>-1.5900000000000001E-3</v>
      </c>
      <c r="H52" s="147">
        <f>ROUND('Allocation = % of Margin'!AA44,5)</f>
        <v>5.5999999999999995E-4</v>
      </c>
      <c r="I52" s="147">
        <f>ROUND('Allocation = % of Margin'!AG44,5)</f>
        <v>0</v>
      </c>
      <c r="J52" s="147">
        <f>ROUND('Allocation = % of Margin'!AJ44,5)</f>
        <v>-1.56E-3</v>
      </c>
      <c r="K52" s="147">
        <f>ROUND('Allocation = % of Margin'!AM44,5)</f>
        <v>-1.6000000000000001E-4</v>
      </c>
      <c r="L52" s="147"/>
      <c r="M52" s="551" t="e">
        <f>#REF!</f>
        <v>#REF!</v>
      </c>
      <c r="N52" s="287" t="e">
        <f>'Rev Req Proof Yr1'!R52</f>
        <v>#REF!</v>
      </c>
      <c r="O52" s="288">
        <f>'Rev Req Proof Yr1'!S52</f>
        <v>10479</v>
      </c>
      <c r="P52" s="289" t="e">
        <f>'Rev Req Proof Yr1'!T52</f>
        <v>#REF!</v>
      </c>
      <c r="Q52" s="290" t="e">
        <f>'Rev Req Proof Yr1'!U52</f>
        <v>#REF!</v>
      </c>
      <c r="R52" s="147"/>
      <c r="S52" s="302" t="e">
        <f t="shared" ref="S52:S57" si="88">((E52)*N52)</f>
        <v>#REF!</v>
      </c>
      <c r="T52" s="298">
        <v>0</v>
      </c>
      <c r="U52" s="303">
        <v>0</v>
      </c>
      <c r="V52" s="147"/>
      <c r="W52" s="302" t="e">
        <f>((F52)*N52)</f>
        <v>#REF!</v>
      </c>
      <c r="X52" s="298">
        <v>0</v>
      </c>
      <c r="Y52" s="303">
        <v>0</v>
      </c>
      <c r="Z52" s="147"/>
      <c r="AA52" s="302" t="e">
        <f t="shared" ref="AA52:AA57" si="89">((G52)*N52)</f>
        <v>#REF!</v>
      </c>
      <c r="AB52" s="298">
        <v>0</v>
      </c>
      <c r="AC52" s="303">
        <v>0</v>
      </c>
      <c r="AD52" s="298"/>
      <c r="AE52" s="302" t="e">
        <f t="shared" si="14"/>
        <v>#REF!</v>
      </c>
      <c r="AF52" s="298">
        <v>0</v>
      </c>
      <c r="AG52" s="303">
        <v>0</v>
      </c>
      <c r="AH52" s="147"/>
      <c r="AI52" s="302" t="e">
        <f t="shared" si="15"/>
        <v>#REF!</v>
      </c>
      <c r="AJ52" s="298">
        <v>0</v>
      </c>
      <c r="AK52" s="303">
        <v>0</v>
      </c>
      <c r="AL52" s="147"/>
      <c r="AM52" s="302" t="e">
        <f t="shared" si="83"/>
        <v>#REF!</v>
      </c>
      <c r="AN52" s="298">
        <v>0</v>
      </c>
      <c r="AO52" s="303">
        <v>0</v>
      </c>
      <c r="AP52" s="298"/>
      <c r="AQ52" s="302" t="e">
        <f t="shared" si="16"/>
        <v>#REF!</v>
      </c>
      <c r="AR52" s="298">
        <v>0</v>
      </c>
      <c r="AS52" s="303">
        <v>0</v>
      </c>
      <c r="AT52" s="147"/>
      <c r="AU52" s="302" t="e">
        <f t="shared" ref="AU52:AU57" si="90">((E52+F52+G52+K52)*N52)</f>
        <v>#REF!</v>
      </c>
      <c r="AV52" s="298">
        <v>0</v>
      </c>
      <c r="AW52" s="303">
        <v>0</v>
      </c>
      <c r="AX52" s="298"/>
      <c r="AY52" s="299"/>
      <c r="AZ52" s="299"/>
      <c r="BA52" s="298"/>
    </row>
    <row r="53" spans="1:53" x14ac:dyDescent="0.2">
      <c r="A53" s="76">
        <f t="shared" si="9"/>
        <v>46</v>
      </c>
      <c r="B53" s="670"/>
      <c r="C53" s="671" t="s">
        <v>5</v>
      </c>
      <c r="D53" s="147"/>
      <c r="E53" s="147" t="e">
        <f>ROUND('Allocation = ¢ per Therm'!K48,5)</f>
        <v>#REF!</v>
      </c>
      <c r="F53" s="147">
        <f>ROUND('Allocation = % of Margin'!U45,5)</f>
        <v>0</v>
      </c>
      <c r="G53" s="147">
        <f>ROUND('Allocation = % of Margin'!X45,5)</f>
        <v>-1.4300000000000001E-3</v>
      </c>
      <c r="H53" s="147">
        <f>ROUND('Allocation = % of Margin'!AA45,5)</f>
        <v>5.0000000000000001E-4</v>
      </c>
      <c r="I53" s="147">
        <f>ROUND('Allocation = % of Margin'!AG45,5)</f>
        <v>0</v>
      </c>
      <c r="J53" s="147">
        <f>ROUND('Allocation = % of Margin'!AJ45,5)</f>
        <v>-1.39E-3</v>
      </c>
      <c r="K53" s="147">
        <f>ROUND('Allocation = % of Margin'!AM45,5)</f>
        <v>-1.3999999999999999E-4</v>
      </c>
      <c r="L53" s="147"/>
      <c r="M53" s="551" t="e">
        <f>#REF!</f>
        <v>#REF!</v>
      </c>
      <c r="N53" s="287" t="e">
        <f>'Rev Req Proof Yr1'!R53</f>
        <v>#REF!</v>
      </c>
      <c r="O53" s="288">
        <f>'Rev Req Proof Yr1'!S53</f>
        <v>0</v>
      </c>
      <c r="P53" s="289">
        <f>'Rev Req Proof Yr1'!T53</f>
        <v>0</v>
      </c>
      <c r="Q53" s="290">
        <f>'Rev Req Proof Yr1'!U53</f>
        <v>0</v>
      </c>
      <c r="R53" s="147"/>
      <c r="S53" s="302" t="e">
        <f t="shared" si="88"/>
        <v>#REF!</v>
      </c>
      <c r="T53" s="298">
        <v>0</v>
      </c>
      <c r="U53" s="303">
        <v>0</v>
      </c>
      <c r="V53" s="147"/>
      <c r="W53" s="302" t="e">
        <f t="shared" ref="W53:W57" si="91">((F53)*N53)</f>
        <v>#REF!</v>
      </c>
      <c r="X53" s="298">
        <v>0</v>
      </c>
      <c r="Y53" s="303">
        <v>0</v>
      </c>
      <c r="Z53" s="147"/>
      <c r="AA53" s="302" t="e">
        <f t="shared" si="89"/>
        <v>#REF!</v>
      </c>
      <c r="AB53" s="298">
        <v>0</v>
      </c>
      <c r="AC53" s="303">
        <v>0</v>
      </c>
      <c r="AD53" s="298"/>
      <c r="AE53" s="302" t="e">
        <f t="shared" si="14"/>
        <v>#REF!</v>
      </c>
      <c r="AF53" s="298">
        <v>0</v>
      </c>
      <c r="AG53" s="303">
        <v>0</v>
      </c>
      <c r="AH53" s="147"/>
      <c r="AI53" s="302" t="e">
        <f t="shared" si="15"/>
        <v>#REF!</v>
      </c>
      <c r="AJ53" s="298">
        <v>0</v>
      </c>
      <c r="AK53" s="303">
        <v>0</v>
      </c>
      <c r="AL53" s="147"/>
      <c r="AM53" s="302" t="e">
        <f t="shared" si="83"/>
        <v>#REF!</v>
      </c>
      <c r="AN53" s="298">
        <v>0</v>
      </c>
      <c r="AO53" s="303">
        <v>0</v>
      </c>
      <c r="AP53" s="298"/>
      <c r="AQ53" s="302" t="e">
        <f t="shared" si="16"/>
        <v>#REF!</v>
      </c>
      <c r="AR53" s="298">
        <v>0</v>
      </c>
      <c r="AS53" s="303">
        <v>0</v>
      </c>
      <c r="AT53" s="147"/>
      <c r="AU53" s="302" t="e">
        <f t="shared" si="90"/>
        <v>#REF!</v>
      </c>
      <c r="AV53" s="298">
        <v>0</v>
      </c>
      <c r="AW53" s="303">
        <v>0</v>
      </c>
      <c r="AX53" s="298"/>
      <c r="AY53" s="299"/>
      <c r="AZ53" s="299"/>
      <c r="BA53" s="298"/>
    </row>
    <row r="54" spans="1:53" x14ac:dyDescent="0.2">
      <c r="A54" s="76">
        <f t="shared" si="9"/>
        <v>47</v>
      </c>
      <c r="B54" s="670"/>
      <c r="C54" s="671" t="s">
        <v>6</v>
      </c>
      <c r="D54" s="147"/>
      <c r="E54" s="147" t="e">
        <f>ROUND('Allocation = ¢ per Therm'!K49,5)</f>
        <v>#REF!</v>
      </c>
      <c r="F54" s="147">
        <f>ROUND('Allocation = % of Margin'!U46,5)</f>
        <v>0</v>
      </c>
      <c r="G54" s="147">
        <f>ROUND('Allocation = % of Margin'!X46,5)</f>
        <v>-1.09E-3</v>
      </c>
      <c r="H54" s="147">
        <f>ROUND('Allocation = % of Margin'!AA46,5)</f>
        <v>3.8999999999999999E-4</v>
      </c>
      <c r="I54" s="147">
        <f>ROUND('Allocation = % of Margin'!AG46,5)</f>
        <v>0</v>
      </c>
      <c r="J54" s="147">
        <f>ROUND('Allocation = % of Margin'!AJ46,5)</f>
        <v>-1.07E-3</v>
      </c>
      <c r="K54" s="147">
        <f>ROUND('Allocation = % of Margin'!AM46,5)</f>
        <v>-1.1E-4</v>
      </c>
      <c r="L54" s="147"/>
      <c r="M54" s="551" t="e">
        <f>#REF!</f>
        <v>#REF!</v>
      </c>
      <c r="N54" s="287" t="e">
        <f>'Rev Req Proof Yr1'!R54</f>
        <v>#REF!</v>
      </c>
      <c r="O54" s="288">
        <f>'Rev Req Proof Yr1'!S54</f>
        <v>0</v>
      </c>
      <c r="P54" s="289">
        <f>'Rev Req Proof Yr1'!T54</f>
        <v>0</v>
      </c>
      <c r="Q54" s="290">
        <f>'Rev Req Proof Yr1'!U54</f>
        <v>0</v>
      </c>
      <c r="R54" s="147"/>
      <c r="S54" s="302" t="e">
        <f t="shared" si="88"/>
        <v>#REF!</v>
      </c>
      <c r="T54" s="298">
        <v>0</v>
      </c>
      <c r="U54" s="303">
        <v>0</v>
      </c>
      <c r="V54" s="147"/>
      <c r="W54" s="302" t="e">
        <f t="shared" si="91"/>
        <v>#REF!</v>
      </c>
      <c r="X54" s="298">
        <v>0</v>
      </c>
      <c r="Y54" s="303">
        <v>0</v>
      </c>
      <c r="Z54" s="147"/>
      <c r="AA54" s="302" t="e">
        <f t="shared" si="89"/>
        <v>#REF!</v>
      </c>
      <c r="AB54" s="298">
        <v>0</v>
      </c>
      <c r="AC54" s="303">
        <v>0</v>
      </c>
      <c r="AD54" s="298"/>
      <c r="AE54" s="302" t="e">
        <f t="shared" si="14"/>
        <v>#REF!</v>
      </c>
      <c r="AF54" s="298">
        <v>0</v>
      </c>
      <c r="AG54" s="303">
        <v>0</v>
      </c>
      <c r="AH54" s="147"/>
      <c r="AI54" s="302" t="e">
        <f t="shared" si="15"/>
        <v>#REF!</v>
      </c>
      <c r="AJ54" s="298">
        <v>0</v>
      </c>
      <c r="AK54" s="303">
        <v>0</v>
      </c>
      <c r="AL54" s="147"/>
      <c r="AM54" s="302" t="e">
        <f t="shared" si="83"/>
        <v>#REF!</v>
      </c>
      <c r="AN54" s="298">
        <v>0</v>
      </c>
      <c r="AO54" s="303">
        <v>0</v>
      </c>
      <c r="AP54" s="298"/>
      <c r="AQ54" s="302" t="e">
        <f t="shared" si="16"/>
        <v>#REF!</v>
      </c>
      <c r="AR54" s="298">
        <v>0</v>
      </c>
      <c r="AS54" s="303">
        <v>0</v>
      </c>
      <c r="AT54" s="147"/>
      <c r="AU54" s="302" t="e">
        <f t="shared" si="90"/>
        <v>#REF!</v>
      </c>
      <c r="AV54" s="298">
        <v>0</v>
      </c>
      <c r="AW54" s="303">
        <v>0</v>
      </c>
      <c r="AX54" s="298"/>
      <c r="AY54" s="299"/>
      <c r="AZ54" s="299"/>
      <c r="BA54" s="298"/>
    </row>
    <row r="55" spans="1:53" x14ac:dyDescent="0.2">
      <c r="A55" s="76">
        <f t="shared" si="9"/>
        <v>48</v>
      </c>
      <c r="B55" s="670"/>
      <c r="C55" s="671" t="s">
        <v>7</v>
      </c>
      <c r="D55" s="147"/>
      <c r="E55" s="147" t="e">
        <f>ROUND('Allocation = ¢ per Therm'!K50,5)</f>
        <v>#REF!</v>
      </c>
      <c r="F55" s="147">
        <f>ROUND('Allocation = % of Margin'!U47,5)</f>
        <v>0</v>
      </c>
      <c r="G55" s="147">
        <f>ROUND('Allocation = % of Margin'!X47,5)</f>
        <v>-8.8000000000000003E-4</v>
      </c>
      <c r="H55" s="147">
        <f>ROUND('Allocation = % of Margin'!AA47,5)</f>
        <v>3.1E-4</v>
      </c>
      <c r="I55" s="147">
        <f>ROUND('Allocation = % of Margin'!AG47,5)</f>
        <v>0</v>
      </c>
      <c r="J55" s="147">
        <f>ROUND('Allocation = % of Margin'!AJ47,5)</f>
        <v>-8.4999999999999995E-4</v>
      </c>
      <c r="K55" s="147">
        <f>ROUND('Allocation = % of Margin'!AM47,5)</f>
        <v>-9.0000000000000006E-5</v>
      </c>
      <c r="L55" s="147"/>
      <c r="M55" s="551" t="e">
        <f>#REF!</f>
        <v>#REF!</v>
      </c>
      <c r="N55" s="287" t="e">
        <f>'Rev Req Proof Yr1'!R55</f>
        <v>#REF!</v>
      </c>
      <c r="O55" s="288">
        <f>'Rev Req Proof Yr1'!S55</f>
        <v>0</v>
      </c>
      <c r="P55" s="289">
        <f>'Rev Req Proof Yr1'!T55</f>
        <v>0</v>
      </c>
      <c r="Q55" s="290">
        <f>'Rev Req Proof Yr1'!U55</f>
        <v>0</v>
      </c>
      <c r="R55" s="147"/>
      <c r="S55" s="302" t="e">
        <f t="shared" si="88"/>
        <v>#REF!</v>
      </c>
      <c r="T55" s="298">
        <v>0</v>
      </c>
      <c r="U55" s="303">
        <v>0</v>
      </c>
      <c r="V55" s="147"/>
      <c r="W55" s="302" t="e">
        <f t="shared" si="91"/>
        <v>#REF!</v>
      </c>
      <c r="X55" s="298">
        <v>0</v>
      </c>
      <c r="Y55" s="303">
        <v>0</v>
      </c>
      <c r="Z55" s="147"/>
      <c r="AA55" s="302" t="e">
        <f t="shared" si="89"/>
        <v>#REF!</v>
      </c>
      <c r="AB55" s="298">
        <v>0</v>
      </c>
      <c r="AC55" s="303">
        <v>0</v>
      </c>
      <c r="AD55" s="298"/>
      <c r="AE55" s="302" t="e">
        <f t="shared" si="14"/>
        <v>#REF!</v>
      </c>
      <c r="AF55" s="298">
        <v>0</v>
      </c>
      <c r="AG55" s="303">
        <v>0</v>
      </c>
      <c r="AH55" s="147"/>
      <c r="AI55" s="302" t="e">
        <f t="shared" si="15"/>
        <v>#REF!</v>
      </c>
      <c r="AJ55" s="298">
        <v>0</v>
      </c>
      <c r="AK55" s="303">
        <v>0</v>
      </c>
      <c r="AL55" s="147"/>
      <c r="AM55" s="302" t="e">
        <f t="shared" si="83"/>
        <v>#REF!</v>
      </c>
      <c r="AN55" s="298">
        <v>0</v>
      </c>
      <c r="AO55" s="303">
        <v>0</v>
      </c>
      <c r="AP55" s="298"/>
      <c r="AQ55" s="302" t="e">
        <f t="shared" si="16"/>
        <v>#REF!</v>
      </c>
      <c r="AR55" s="298">
        <v>0</v>
      </c>
      <c r="AS55" s="303">
        <v>0</v>
      </c>
      <c r="AT55" s="147"/>
      <c r="AU55" s="302" t="e">
        <f t="shared" si="90"/>
        <v>#REF!</v>
      </c>
      <c r="AV55" s="298">
        <v>0</v>
      </c>
      <c r="AW55" s="303">
        <v>0</v>
      </c>
      <c r="AX55" s="298"/>
      <c r="AY55" s="299"/>
      <c r="AZ55" s="299"/>
      <c r="BA55" s="298"/>
    </row>
    <row r="56" spans="1:53" x14ac:dyDescent="0.2">
      <c r="A56" s="76">
        <f t="shared" si="9"/>
        <v>49</v>
      </c>
      <c r="B56" s="670"/>
      <c r="C56" s="671" t="s">
        <v>8</v>
      </c>
      <c r="D56" s="147"/>
      <c r="E56" s="147" t="e">
        <f>ROUND('Allocation = ¢ per Therm'!K51,5)</f>
        <v>#REF!</v>
      </c>
      <c r="F56" s="147">
        <f>ROUND('Allocation = % of Margin'!U48,5)</f>
        <v>0</v>
      </c>
      <c r="G56" s="147">
        <f>ROUND('Allocation = % of Margin'!X48,5)</f>
        <v>-5.8E-4</v>
      </c>
      <c r="H56" s="147">
        <f>ROUND('Allocation = % of Margin'!AA48,5)</f>
        <v>2.1000000000000001E-4</v>
      </c>
      <c r="I56" s="147">
        <f>ROUND('Allocation = % of Margin'!AG48,5)</f>
        <v>0</v>
      </c>
      <c r="J56" s="147">
        <f>ROUND('Allocation = % of Margin'!AJ48,5)</f>
        <v>-5.6999999999999998E-4</v>
      </c>
      <c r="K56" s="147">
        <f>ROUND('Allocation = % of Margin'!AM48,5)</f>
        <v>-6.0000000000000002E-5</v>
      </c>
      <c r="L56" s="147"/>
      <c r="M56" s="551" t="e">
        <f>#REF!</f>
        <v>#REF!</v>
      </c>
      <c r="N56" s="287" t="e">
        <f>'Rev Req Proof Yr1'!R56</f>
        <v>#REF!</v>
      </c>
      <c r="O56" s="288">
        <f>'Rev Req Proof Yr1'!S56</f>
        <v>0</v>
      </c>
      <c r="P56" s="289">
        <f>'Rev Req Proof Yr1'!T56</f>
        <v>0</v>
      </c>
      <c r="Q56" s="290">
        <f>'Rev Req Proof Yr1'!U56</f>
        <v>0</v>
      </c>
      <c r="R56" s="147"/>
      <c r="S56" s="302" t="e">
        <f t="shared" si="88"/>
        <v>#REF!</v>
      </c>
      <c r="T56" s="298">
        <v>0</v>
      </c>
      <c r="U56" s="303">
        <v>0</v>
      </c>
      <c r="V56" s="147"/>
      <c r="W56" s="302" t="e">
        <f t="shared" si="91"/>
        <v>#REF!</v>
      </c>
      <c r="X56" s="298">
        <v>0</v>
      </c>
      <c r="Y56" s="303">
        <v>0</v>
      </c>
      <c r="Z56" s="147"/>
      <c r="AA56" s="302" t="e">
        <f t="shared" si="89"/>
        <v>#REF!</v>
      </c>
      <c r="AB56" s="298">
        <v>0</v>
      </c>
      <c r="AC56" s="303">
        <v>0</v>
      </c>
      <c r="AD56" s="298"/>
      <c r="AE56" s="302" t="e">
        <f t="shared" si="14"/>
        <v>#REF!</v>
      </c>
      <c r="AF56" s="298">
        <v>0</v>
      </c>
      <c r="AG56" s="303">
        <v>0</v>
      </c>
      <c r="AH56" s="147"/>
      <c r="AI56" s="302" t="e">
        <f t="shared" si="15"/>
        <v>#REF!</v>
      </c>
      <c r="AJ56" s="298">
        <v>0</v>
      </c>
      <c r="AK56" s="303">
        <v>0</v>
      </c>
      <c r="AL56" s="147"/>
      <c r="AM56" s="302" t="e">
        <f t="shared" si="83"/>
        <v>#REF!</v>
      </c>
      <c r="AN56" s="298">
        <v>0</v>
      </c>
      <c r="AO56" s="303">
        <v>0</v>
      </c>
      <c r="AP56" s="298"/>
      <c r="AQ56" s="302" t="e">
        <f t="shared" si="16"/>
        <v>#REF!</v>
      </c>
      <c r="AR56" s="298">
        <v>0</v>
      </c>
      <c r="AS56" s="303">
        <v>0</v>
      </c>
      <c r="AT56" s="147"/>
      <c r="AU56" s="302" t="e">
        <f t="shared" si="90"/>
        <v>#REF!</v>
      </c>
      <c r="AV56" s="298">
        <v>0</v>
      </c>
      <c r="AW56" s="303">
        <v>0</v>
      </c>
      <c r="AX56" s="298"/>
      <c r="AY56" s="299"/>
      <c r="AZ56" s="299"/>
      <c r="BA56" s="298"/>
    </row>
    <row r="57" spans="1:53" x14ac:dyDescent="0.2">
      <c r="A57" s="76">
        <f t="shared" si="9"/>
        <v>50</v>
      </c>
      <c r="B57" s="670"/>
      <c r="C57" s="671" t="s">
        <v>9</v>
      </c>
      <c r="D57" s="147"/>
      <c r="E57" s="147" t="e">
        <f>ROUND('Allocation = ¢ per Therm'!K52,5)</f>
        <v>#REF!</v>
      </c>
      <c r="F57" s="147">
        <f>ROUND('Allocation = % of Margin'!U49,5)</f>
        <v>0</v>
      </c>
      <c r="G57" s="147">
        <f>ROUND('Allocation = % of Margin'!X49,5)</f>
        <v>-2.2000000000000001E-4</v>
      </c>
      <c r="H57" s="147">
        <f>ROUND('Allocation = % of Margin'!AA49,5)</f>
        <v>8.0000000000000007E-5</v>
      </c>
      <c r="I57" s="147">
        <f>ROUND('Allocation = % of Margin'!AG49,5)</f>
        <v>0</v>
      </c>
      <c r="J57" s="147">
        <f>ROUND('Allocation = % of Margin'!AJ49,5)</f>
        <v>-2.1000000000000001E-4</v>
      </c>
      <c r="K57" s="147">
        <f>ROUND('Allocation = % of Margin'!AM49,5)</f>
        <v>-2.0000000000000002E-5</v>
      </c>
      <c r="L57" s="147"/>
      <c r="M57" s="551" t="e">
        <f>#REF!</f>
        <v>#REF!</v>
      </c>
      <c r="N57" s="287" t="e">
        <f>'Rev Req Proof Yr1'!R57</f>
        <v>#REF!</v>
      </c>
      <c r="O57" s="288">
        <f>'Rev Req Proof Yr1'!S57</f>
        <v>0</v>
      </c>
      <c r="P57" s="289">
        <f>'Rev Req Proof Yr1'!T57</f>
        <v>0</v>
      </c>
      <c r="Q57" s="290">
        <f>'Rev Req Proof Yr1'!U57</f>
        <v>0</v>
      </c>
      <c r="R57" s="147"/>
      <c r="S57" s="302" t="e">
        <f t="shared" si="88"/>
        <v>#REF!</v>
      </c>
      <c r="T57" s="298">
        <v>0</v>
      </c>
      <c r="U57" s="303">
        <v>0</v>
      </c>
      <c r="V57" s="147"/>
      <c r="W57" s="302" t="e">
        <f t="shared" si="91"/>
        <v>#REF!</v>
      </c>
      <c r="X57" s="298">
        <v>0</v>
      </c>
      <c r="Y57" s="303">
        <v>0</v>
      </c>
      <c r="Z57" s="147"/>
      <c r="AA57" s="302" t="e">
        <f t="shared" si="89"/>
        <v>#REF!</v>
      </c>
      <c r="AB57" s="298">
        <v>0</v>
      </c>
      <c r="AC57" s="303">
        <v>0</v>
      </c>
      <c r="AD57" s="298"/>
      <c r="AE57" s="302" t="e">
        <f t="shared" si="14"/>
        <v>#REF!</v>
      </c>
      <c r="AF57" s="298">
        <v>0</v>
      </c>
      <c r="AG57" s="303">
        <v>0</v>
      </c>
      <c r="AH57" s="147"/>
      <c r="AI57" s="302" t="e">
        <f t="shared" si="15"/>
        <v>#REF!</v>
      </c>
      <c r="AJ57" s="298">
        <v>0</v>
      </c>
      <c r="AK57" s="303">
        <v>0</v>
      </c>
      <c r="AL57" s="147"/>
      <c r="AM57" s="302" t="e">
        <f t="shared" si="83"/>
        <v>#REF!</v>
      </c>
      <c r="AN57" s="298">
        <v>0</v>
      </c>
      <c r="AO57" s="303">
        <v>0</v>
      </c>
      <c r="AP57" s="298"/>
      <c r="AQ57" s="302" t="e">
        <f t="shared" si="16"/>
        <v>#REF!</v>
      </c>
      <c r="AR57" s="298">
        <v>0</v>
      </c>
      <c r="AS57" s="303">
        <v>0</v>
      </c>
      <c r="AT57" s="147"/>
      <c r="AU57" s="302" t="e">
        <f t="shared" si="90"/>
        <v>#REF!</v>
      </c>
      <c r="AV57" s="298">
        <v>0</v>
      </c>
      <c r="AW57" s="303">
        <v>0</v>
      </c>
      <c r="AX57" s="298"/>
      <c r="AY57" s="307"/>
      <c r="AZ57" s="299"/>
      <c r="BA57" s="298"/>
    </row>
    <row r="58" spans="1:53" x14ac:dyDescent="0.2">
      <c r="A58" s="76">
        <f t="shared" si="9"/>
        <v>51</v>
      </c>
      <c r="B58" s="668"/>
      <c r="C58" s="686" t="s">
        <v>62</v>
      </c>
      <c r="D58" s="143"/>
      <c r="E58" s="143"/>
      <c r="F58" s="143"/>
      <c r="G58" s="747"/>
      <c r="H58" s="747"/>
      <c r="I58" s="747"/>
      <c r="J58" s="747"/>
      <c r="K58" s="747"/>
      <c r="L58" s="143"/>
      <c r="M58" s="551"/>
      <c r="N58" s="287"/>
      <c r="O58" s="288"/>
      <c r="P58" s="289"/>
      <c r="Q58" s="290"/>
      <c r="R58" s="147"/>
      <c r="S58" s="304" t="e">
        <f>SUM(S52:S57)</f>
        <v>#REF!</v>
      </c>
      <c r="T58" s="305">
        <f>SUM(T52:T57)</f>
        <v>0</v>
      </c>
      <c r="U58" s="306">
        <f>SUM(U52:U57)</f>
        <v>0</v>
      </c>
      <c r="V58" s="147"/>
      <c r="W58" s="304" t="e">
        <f>SUM(W52:W57)</f>
        <v>#REF!</v>
      </c>
      <c r="X58" s="305">
        <f>SUM(X52:X57)</f>
        <v>0</v>
      </c>
      <c r="Y58" s="306">
        <f>SUM(Y52:Y57)</f>
        <v>0</v>
      </c>
      <c r="Z58" s="147"/>
      <c r="AA58" s="304" t="e">
        <f>SUM(AA52:AA57)</f>
        <v>#REF!</v>
      </c>
      <c r="AB58" s="305">
        <f>SUM(AB52:AB57)</f>
        <v>0</v>
      </c>
      <c r="AC58" s="306">
        <f>SUM(AC52:AC57)</f>
        <v>0</v>
      </c>
      <c r="AD58" s="317"/>
      <c r="AE58" s="304" t="e">
        <f>SUM(AE52:AE57)</f>
        <v>#REF!</v>
      </c>
      <c r="AF58" s="305">
        <f>SUM(AF52:AF57)</f>
        <v>0</v>
      </c>
      <c r="AG58" s="306">
        <f>SUM(AG52:AG57)</f>
        <v>0</v>
      </c>
      <c r="AH58" s="147"/>
      <c r="AI58" s="304" t="e">
        <f>SUM(AI52:AI57)</f>
        <v>#REF!</v>
      </c>
      <c r="AJ58" s="305">
        <f>SUM(AJ52:AJ57)</f>
        <v>0</v>
      </c>
      <c r="AK58" s="306">
        <f>SUM(AK52:AK57)</f>
        <v>0</v>
      </c>
      <c r="AL58" s="147"/>
      <c r="AM58" s="304" t="e">
        <f>SUM(AM52:AM57)</f>
        <v>#REF!</v>
      </c>
      <c r="AN58" s="305">
        <f>SUM(AN52:AN57)</f>
        <v>0</v>
      </c>
      <c r="AO58" s="306">
        <f>SUM(AO52:AO57)</f>
        <v>0</v>
      </c>
      <c r="AP58" s="317"/>
      <c r="AQ58" s="304" t="e">
        <f>SUM(AQ52:AQ57)</f>
        <v>#REF!</v>
      </c>
      <c r="AR58" s="305">
        <f>SUM(AR52:AR57)</f>
        <v>0</v>
      </c>
      <c r="AS58" s="306">
        <f>SUM(AS52:AS57)</f>
        <v>0</v>
      </c>
      <c r="AT58" s="147"/>
      <c r="AU58" s="304" t="e">
        <f>SUM(AU52:AU57)</f>
        <v>#REF!</v>
      </c>
      <c r="AV58" s="305">
        <f>SUM(AV52:AV57)</f>
        <v>0</v>
      </c>
      <c r="AW58" s="306">
        <f>SUM(AW52:AW57)</f>
        <v>0</v>
      </c>
      <c r="AX58" s="298"/>
      <c r="AY58" s="299"/>
      <c r="AZ58" s="299"/>
      <c r="BA58" s="298"/>
    </row>
    <row r="59" spans="1:53" x14ac:dyDescent="0.2">
      <c r="A59" s="76">
        <f t="shared" si="9"/>
        <v>52</v>
      </c>
      <c r="B59" s="670" t="e">
        <f>'Rev Req Proof Yr1'!B59</f>
        <v>#REF!</v>
      </c>
      <c r="C59" s="671" t="s">
        <v>4</v>
      </c>
      <c r="D59" s="147"/>
      <c r="E59" s="147" t="e">
        <f>ROUND('Allocation = ¢ per Therm'!K53,5)</f>
        <v>#REF!</v>
      </c>
      <c r="F59" s="147">
        <f>ROUND('Allocation = % of Margin'!U50,5)</f>
        <v>0</v>
      </c>
      <c r="G59" s="147">
        <f>ROUND('Allocation = % of Margin'!X50,5)</f>
        <v>-1.5900000000000001E-3</v>
      </c>
      <c r="H59" s="147">
        <f>ROUND('Allocation = % of Margin'!AA50,5)</f>
        <v>5.5999999999999995E-4</v>
      </c>
      <c r="I59" s="147">
        <f>ROUND('Allocation = % of Margin'!AG50,5)</f>
        <v>0</v>
      </c>
      <c r="J59" s="147">
        <f>ROUND('Allocation = % of Margin'!AJ50,5)</f>
        <v>-1.5399999999999999E-3</v>
      </c>
      <c r="K59" s="147">
        <f>ROUND('Allocation = % of Margin'!AM50,5)</f>
        <v>-1.6000000000000001E-4</v>
      </c>
      <c r="L59" s="147"/>
      <c r="M59" s="551" t="e">
        <f>#REF!</f>
        <v>#REF!</v>
      </c>
      <c r="N59" s="287" t="e">
        <f>'Rev Req Proof Yr1'!R59</f>
        <v>#REF!</v>
      </c>
      <c r="O59" s="288">
        <f>'Rev Req Proof Yr1'!S59</f>
        <v>26810</v>
      </c>
      <c r="P59" s="289" t="e">
        <f>'Rev Req Proof Yr1'!T59</f>
        <v>#REF!</v>
      </c>
      <c r="Q59" s="290" t="e">
        <f>'Rev Req Proof Yr1'!U59</f>
        <v>#REF!</v>
      </c>
      <c r="R59" s="147"/>
      <c r="S59" s="302" t="e">
        <f t="shared" ref="S59:S64" si="92">((E59)*N59)</f>
        <v>#REF!</v>
      </c>
      <c r="T59" s="298">
        <v>0</v>
      </c>
      <c r="U59" s="303">
        <v>0</v>
      </c>
      <c r="V59" s="147"/>
      <c r="W59" s="302" t="e">
        <f>((F59)*N59)</f>
        <v>#REF!</v>
      </c>
      <c r="X59" s="298">
        <v>0</v>
      </c>
      <c r="Y59" s="303">
        <v>0</v>
      </c>
      <c r="Z59" s="147"/>
      <c r="AA59" s="302" t="e">
        <f t="shared" ref="AA59:AA64" si="93">((G59)*N59)</f>
        <v>#REF!</v>
      </c>
      <c r="AB59" s="298">
        <v>0</v>
      </c>
      <c r="AC59" s="303">
        <v>0</v>
      </c>
      <c r="AD59" s="298"/>
      <c r="AE59" s="302" t="e">
        <f t="shared" si="14"/>
        <v>#REF!</v>
      </c>
      <c r="AF59" s="298">
        <v>0</v>
      </c>
      <c r="AG59" s="303">
        <v>0</v>
      </c>
      <c r="AH59" s="147"/>
      <c r="AI59" s="302" t="e">
        <f t="shared" si="15"/>
        <v>#REF!</v>
      </c>
      <c r="AJ59" s="298">
        <v>0</v>
      </c>
      <c r="AK59" s="303">
        <v>0</v>
      </c>
      <c r="AL59" s="147"/>
      <c r="AM59" s="302" t="e">
        <f t="shared" si="83"/>
        <v>#REF!</v>
      </c>
      <c r="AN59" s="298">
        <v>0</v>
      </c>
      <c r="AO59" s="303">
        <v>0</v>
      </c>
      <c r="AP59" s="298"/>
      <c r="AQ59" s="302" t="e">
        <f t="shared" si="16"/>
        <v>#REF!</v>
      </c>
      <c r="AR59" s="298">
        <v>0</v>
      </c>
      <c r="AS59" s="303">
        <v>0</v>
      </c>
      <c r="AT59" s="147"/>
      <c r="AU59" s="302" t="e">
        <f t="shared" ref="AU59:AU64" si="94">((E59+F59+G59+K59)*N59)</f>
        <v>#REF!</v>
      </c>
      <c r="AV59" s="298">
        <v>0</v>
      </c>
      <c r="AW59" s="303">
        <v>0</v>
      </c>
      <c r="AX59" s="298"/>
      <c r="AY59" s="299"/>
      <c r="AZ59" s="299"/>
      <c r="BA59" s="298"/>
    </row>
    <row r="60" spans="1:53" x14ac:dyDescent="0.2">
      <c r="A60" s="76">
        <f t="shared" si="9"/>
        <v>53</v>
      </c>
      <c r="B60" s="670"/>
      <c r="C60" s="671" t="s">
        <v>5</v>
      </c>
      <c r="D60" s="147"/>
      <c r="E60" s="147" t="e">
        <f>ROUND('Allocation = ¢ per Therm'!K54,5)</f>
        <v>#REF!</v>
      </c>
      <c r="F60" s="147">
        <f>ROUND('Allocation = % of Margin'!U51,5)</f>
        <v>0</v>
      </c>
      <c r="G60" s="147">
        <f>ROUND('Allocation = % of Margin'!X51,5)</f>
        <v>-1.4300000000000001E-3</v>
      </c>
      <c r="H60" s="147">
        <f>ROUND('Allocation = % of Margin'!AA51,5)</f>
        <v>5.0000000000000001E-4</v>
      </c>
      <c r="I60" s="147">
        <f>ROUND('Allocation = % of Margin'!AG51,5)</f>
        <v>0</v>
      </c>
      <c r="J60" s="147">
        <f>ROUND('Allocation = % of Margin'!AJ51,5)</f>
        <v>-1.3799999999999999E-3</v>
      </c>
      <c r="K60" s="147">
        <f>ROUND('Allocation = % of Margin'!AM51,5)</f>
        <v>-1.3999999999999999E-4</v>
      </c>
      <c r="L60" s="147"/>
      <c r="M60" s="551" t="e">
        <f>#REF!</f>
        <v>#REF!</v>
      </c>
      <c r="N60" s="287" t="e">
        <f>'Rev Req Proof Yr1'!R60</f>
        <v>#REF!</v>
      </c>
      <c r="O60" s="288">
        <f>'Rev Req Proof Yr1'!S60</f>
        <v>0</v>
      </c>
      <c r="P60" s="289">
        <f>'Rev Req Proof Yr1'!T60</f>
        <v>0</v>
      </c>
      <c r="Q60" s="290">
        <f>'Rev Req Proof Yr1'!U60</f>
        <v>0</v>
      </c>
      <c r="R60" s="147"/>
      <c r="S60" s="302" t="e">
        <f t="shared" si="92"/>
        <v>#REF!</v>
      </c>
      <c r="T60" s="298">
        <v>0</v>
      </c>
      <c r="U60" s="303">
        <v>0</v>
      </c>
      <c r="V60" s="147"/>
      <c r="W60" s="302" t="e">
        <f t="shared" ref="W60:W64" si="95">((F60)*N60)</f>
        <v>#REF!</v>
      </c>
      <c r="X60" s="298">
        <v>0</v>
      </c>
      <c r="Y60" s="303">
        <v>0</v>
      </c>
      <c r="Z60" s="147"/>
      <c r="AA60" s="302" t="e">
        <f t="shared" si="93"/>
        <v>#REF!</v>
      </c>
      <c r="AB60" s="298">
        <v>0</v>
      </c>
      <c r="AC60" s="303">
        <v>0</v>
      </c>
      <c r="AD60" s="298"/>
      <c r="AE60" s="302" t="e">
        <f t="shared" si="14"/>
        <v>#REF!</v>
      </c>
      <c r="AF60" s="298">
        <v>0</v>
      </c>
      <c r="AG60" s="303">
        <v>0</v>
      </c>
      <c r="AH60" s="147"/>
      <c r="AI60" s="302" t="e">
        <f t="shared" si="15"/>
        <v>#REF!</v>
      </c>
      <c r="AJ60" s="298">
        <v>0</v>
      </c>
      <c r="AK60" s="303">
        <v>0</v>
      </c>
      <c r="AL60" s="147"/>
      <c r="AM60" s="302" t="e">
        <f t="shared" si="83"/>
        <v>#REF!</v>
      </c>
      <c r="AN60" s="298">
        <v>0</v>
      </c>
      <c r="AO60" s="303">
        <v>0</v>
      </c>
      <c r="AP60" s="298"/>
      <c r="AQ60" s="302" t="e">
        <f t="shared" si="16"/>
        <v>#REF!</v>
      </c>
      <c r="AR60" s="298">
        <v>0</v>
      </c>
      <c r="AS60" s="303">
        <v>0</v>
      </c>
      <c r="AT60" s="147"/>
      <c r="AU60" s="302" t="e">
        <f t="shared" si="94"/>
        <v>#REF!</v>
      </c>
      <c r="AV60" s="298">
        <v>0</v>
      </c>
      <c r="AW60" s="303">
        <v>0</v>
      </c>
      <c r="AX60" s="298"/>
      <c r="AY60" s="299"/>
      <c r="AZ60" s="299"/>
      <c r="BA60" s="298"/>
    </row>
    <row r="61" spans="1:53" x14ac:dyDescent="0.2">
      <c r="A61" s="76">
        <f t="shared" si="9"/>
        <v>54</v>
      </c>
      <c r="B61" s="670"/>
      <c r="C61" s="671" t="s">
        <v>6</v>
      </c>
      <c r="D61" s="147"/>
      <c r="E61" s="147" t="e">
        <f>ROUND('Allocation = ¢ per Therm'!K55,5)</f>
        <v>#REF!</v>
      </c>
      <c r="F61" s="147">
        <f>ROUND('Allocation = % of Margin'!U52,5)</f>
        <v>0</v>
      </c>
      <c r="G61" s="147">
        <f>ROUND('Allocation = % of Margin'!X52,5)</f>
        <v>-1.09E-3</v>
      </c>
      <c r="H61" s="147">
        <f>ROUND('Allocation = % of Margin'!AA52,5)</f>
        <v>3.8999999999999999E-4</v>
      </c>
      <c r="I61" s="147">
        <f>ROUND('Allocation = % of Margin'!AG52,5)</f>
        <v>0</v>
      </c>
      <c r="J61" s="147">
        <f>ROUND('Allocation = % of Margin'!AJ52,5)</f>
        <v>-1.06E-3</v>
      </c>
      <c r="K61" s="147">
        <f>ROUND('Allocation = % of Margin'!AM52,5)</f>
        <v>-1.1E-4</v>
      </c>
      <c r="L61" s="147"/>
      <c r="M61" s="551" t="e">
        <f>#REF!</f>
        <v>#REF!</v>
      </c>
      <c r="N61" s="287" t="e">
        <f>'Rev Req Proof Yr1'!R61</f>
        <v>#REF!</v>
      </c>
      <c r="O61" s="288">
        <f>'Rev Req Proof Yr1'!S61</f>
        <v>0</v>
      </c>
      <c r="P61" s="289">
        <f>'Rev Req Proof Yr1'!T61</f>
        <v>0</v>
      </c>
      <c r="Q61" s="290">
        <f>'Rev Req Proof Yr1'!U61</f>
        <v>0</v>
      </c>
      <c r="R61" s="147"/>
      <c r="S61" s="302" t="e">
        <f t="shared" si="92"/>
        <v>#REF!</v>
      </c>
      <c r="T61" s="298">
        <v>0</v>
      </c>
      <c r="U61" s="303">
        <v>0</v>
      </c>
      <c r="V61" s="147"/>
      <c r="W61" s="302" t="e">
        <f t="shared" si="95"/>
        <v>#REF!</v>
      </c>
      <c r="X61" s="298">
        <v>0</v>
      </c>
      <c r="Y61" s="303">
        <v>0</v>
      </c>
      <c r="Z61" s="147"/>
      <c r="AA61" s="302" t="e">
        <f t="shared" si="93"/>
        <v>#REF!</v>
      </c>
      <c r="AB61" s="298">
        <v>0</v>
      </c>
      <c r="AC61" s="303">
        <v>0</v>
      </c>
      <c r="AD61" s="298"/>
      <c r="AE61" s="302" t="e">
        <f t="shared" si="14"/>
        <v>#REF!</v>
      </c>
      <c r="AF61" s="298">
        <v>0</v>
      </c>
      <c r="AG61" s="303">
        <v>0</v>
      </c>
      <c r="AH61" s="147"/>
      <c r="AI61" s="302" t="e">
        <f t="shared" si="15"/>
        <v>#REF!</v>
      </c>
      <c r="AJ61" s="298">
        <v>0</v>
      </c>
      <c r="AK61" s="303">
        <v>0</v>
      </c>
      <c r="AL61" s="147"/>
      <c r="AM61" s="302" t="e">
        <f t="shared" si="83"/>
        <v>#REF!</v>
      </c>
      <c r="AN61" s="298">
        <v>0</v>
      </c>
      <c r="AO61" s="303">
        <v>0</v>
      </c>
      <c r="AP61" s="298"/>
      <c r="AQ61" s="302" t="e">
        <f t="shared" si="16"/>
        <v>#REF!</v>
      </c>
      <c r="AR61" s="298">
        <v>0</v>
      </c>
      <c r="AS61" s="303">
        <v>0</v>
      </c>
      <c r="AT61" s="147"/>
      <c r="AU61" s="302" t="e">
        <f t="shared" si="94"/>
        <v>#REF!</v>
      </c>
      <c r="AV61" s="298">
        <v>0</v>
      </c>
      <c r="AW61" s="303">
        <v>0</v>
      </c>
      <c r="AX61" s="298"/>
      <c r="AY61" s="299"/>
      <c r="AZ61" s="299"/>
      <c r="BA61" s="298"/>
    </row>
    <row r="62" spans="1:53" x14ac:dyDescent="0.2">
      <c r="A62" s="76">
        <f t="shared" si="9"/>
        <v>55</v>
      </c>
      <c r="B62" s="670"/>
      <c r="C62" s="671" t="s">
        <v>7</v>
      </c>
      <c r="D62" s="147"/>
      <c r="E62" s="147" t="e">
        <f>ROUND('Allocation = ¢ per Therm'!K56,5)</f>
        <v>#REF!</v>
      </c>
      <c r="F62" s="147">
        <f>ROUND('Allocation = % of Margin'!U53,5)</f>
        <v>0</v>
      </c>
      <c r="G62" s="147">
        <f>ROUND('Allocation = % of Margin'!X53,5)</f>
        <v>-8.7000000000000001E-4</v>
      </c>
      <c r="H62" s="147">
        <f>ROUND('Allocation = % of Margin'!AA53,5)</f>
        <v>3.1E-4</v>
      </c>
      <c r="I62" s="147">
        <f>ROUND('Allocation = % of Margin'!AG53,5)</f>
        <v>0</v>
      </c>
      <c r="J62" s="147">
        <f>ROUND('Allocation = % of Margin'!AJ53,5)</f>
        <v>-8.4999999999999995E-4</v>
      </c>
      <c r="K62" s="147">
        <f>ROUND('Allocation = % of Margin'!AM53,5)</f>
        <v>-9.0000000000000006E-5</v>
      </c>
      <c r="L62" s="147"/>
      <c r="M62" s="551" t="e">
        <f>#REF!</f>
        <v>#REF!</v>
      </c>
      <c r="N62" s="287" t="e">
        <f>'Rev Req Proof Yr1'!R62</f>
        <v>#REF!</v>
      </c>
      <c r="O62" s="288">
        <f>'Rev Req Proof Yr1'!S62</f>
        <v>0</v>
      </c>
      <c r="P62" s="289">
        <f>'Rev Req Proof Yr1'!T62</f>
        <v>0</v>
      </c>
      <c r="Q62" s="290">
        <f>'Rev Req Proof Yr1'!U62</f>
        <v>0</v>
      </c>
      <c r="R62" s="147"/>
      <c r="S62" s="302" t="e">
        <f t="shared" si="92"/>
        <v>#REF!</v>
      </c>
      <c r="T62" s="298">
        <v>0</v>
      </c>
      <c r="U62" s="303">
        <v>0</v>
      </c>
      <c r="V62" s="147"/>
      <c r="W62" s="302" t="e">
        <f t="shared" si="95"/>
        <v>#REF!</v>
      </c>
      <c r="X62" s="298">
        <v>0</v>
      </c>
      <c r="Y62" s="303">
        <v>0</v>
      </c>
      <c r="Z62" s="147"/>
      <c r="AA62" s="302" t="e">
        <f t="shared" si="93"/>
        <v>#REF!</v>
      </c>
      <c r="AB62" s="298">
        <v>0</v>
      </c>
      <c r="AC62" s="303">
        <v>0</v>
      </c>
      <c r="AD62" s="298"/>
      <c r="AE62" s="302" t="e">
        <f t="shared" si="14"/>
        <v>#REF!</v>
      </c>
      <c r="AF62" s="298">
        <v>0</v>
      </c>
      <c r="AG62" s="303">
        <v>0</v>
      </c>
      <c r="AH62" s="147"/>
      <c r="AI62" s="302" t="e">
        <f t="shared" si="15"/>
        <v>#REF!</v>
      </c>
      <c r="AJ62" s="298">
        <v>0</v>
      </c>
      <c r="AK62" s="303">
        <v>0</v>
      </c>
      <c r="AL62" s="147"/>
      <c r="AM62" s="302" t="e">
        <f t="shared" si="83"/>
        <v>#REF!</v>
      </c>
      <c r="AN62" s="298">
        <v>0</v>
      </c>
      <c r="AO62" s="303">
        <v>0</v>
      </c>
      <c r="AP62" s="298"/>
      <c r="AQ62" s="302" t="e">
        <f t="shared" si="16"/>
        <v>#REF!</v>
      </c>
      <c r="AR62" s="298">
        <v>0</v>
      </c>
      <c r="AS62" s="303">
        <v>0</v>
      </c>
      <c r="AT62" s="147"/>
      <c r="AU62" s="302" t="e">
        <f t="shared" si="94"/>
        <v>#REF!</v>
      </c>
      <c r="AV62" s="298">
        <v>0</v>
      </c>
      <c r="AW62" s="303">
        <v>0</v>
      </c>
      <c r="AX62" s="298"/>
      <c r="AY62" s="299"/>
      <c r="AZ62" s="299"/>
      <c r="BA62" s="298"/>
    </row>
    <row r="63" spans="1:53" x14ac:dyDescent="0.2">
      <c r="A63" s="76">
        <f t="shared" si="9"/>
        <v>56</v>
      </c>
      <c r="B63" s="670"/>
      <c r="C63" s="671" t="s">
        <v>8</v>
      </c>
      <c r="D63" s="147"/>
      <c r="E63" s="147" t="e">
        <f>ROUND('Allocation = ¢ per Therm'!K57,5)</f>
        <v>#REF!</v>
      </c>
      <c r="F63" s="147">
        <f>ROUND('Allocation = % of Margin'!U54,5)</f>
        <v>0</v>
      </c>
      <c r="G63" s="147">
        <f>ROUND('Allocation = % of Margin'!X54,5)</f>
        <v>-5.8E-4</v>
      </c>
      <c r="H63" s="147">
        <f>ROUND('Allocation = % of Margin'!AA54,5)</f>
        <v>2.1000000000000001E-4</v>
      </c>
      <c r="I63" s="147">
        <f>ROUND('Allocation = % of Margin'!AG54,5)</f>
        <v>0</v>
      </c>
      <c r="J63" s="147">
        <f>ROUND('Allocation = % of Margin'!AJ54,5)</f>
        <v>-5.5999999999999995E-4</v>
      </c>
      <c r="K63" s="147">
        <f>ROUND('Allocation = % of Margin'!AM54,5)</f>
        <v>-6.0000000000000002E-5</v>
      </c>
      <c r="L63" s="147"/>
      <c r="M63" s="551" t="e">
        <f>#REF!</f>
        <v>#REF!</v>
      </c>
      <c r="N63" s="287" t="e">
        <f>'Rev Req Proof Yr1'!R63</f>
        <v>#REF!</v>
      </c>
      <c r="O63" s="288">
        <f>'Rev Req Proof Yr1'!S63</f>
        <v>0</v>
      </c>
      <c r="P63" s="289">
        <f>'Rev Req Proof Yr1'!T63</f>
        <v>0</v>
      </c>
      <c r="Q63" s="290">
        <f>'Rev Req Proof Yr1'!U63</f>
        <v>0</v>
      </c>
      <c r="R63" s="147"/>
      <c r="S63" s="302" t="e">
        <f t="shared" si="92"/>
        <v>#REF!</v>
      </c>
      <c r="T63" s="298">
        <v>0</v>
      </c>
      <c r="U63" s="303">
        <v>0</v>
      </c>
      <c r="V63" s="147"/>
      <c r="W63" s="302" t="e">
        <f t="shared" si="95"/>
        <v>#REF!</v>
      </c>
      <c r="X63" s="298">
        <v>0</v>
      </c>
      <c r="Y63" s="303">
        <v>0</v>
      </c>
      <c r="Z63" s="147"/>
      <c r="AA63" s="302" t="e">
        <f t="shared" si="93"/>
        <v>#REF!</v>
      </c>
      <c r="AB63" s="298">
        <v>0</v>
      </c>
      <c r="AC63" s="303">
        <v>0</v>
      </c>
      <c r="AD63" s="298"/>
      <c r="AE63" s="302" t="e">
        <f t="shared" si="14"/>
        <v>#REF!</v>
      </c>
      <c r="AF63" s="298">
        <v>0</v>
      </c>
      <c r="AG63" s="303">
        <v>0</v>
      </c>
      <c r="AH63" s="147"/>
      <c r="AI63" s="302" t="e">
        <f t="shared" si="15"/>
        <v>#REF!</v>
      </c>
      <c r="AJ63" s="298">
        <v>0</v>
      </c>
      <c r="AK63" s="303">
        <v>0</v>
      </c>
      <c r="AL63" s="147"/>
      <c r="AM63" s="302" t="e">
        <f t="shared" si="83"/>
        <v>#REF!</v>
      </c>
      <c r="AN63" s="298">
        <v>0</v>
      </c>
      <c r="AO63" s="303">
        <v>0</v>
      </c>
      <c r="AP63" s="298"/>
      <c r="AQ63" s="302" t="e">
        <f t="shared" si="16"/>
        <v>#REF!</v>
      </c>
      <c r="AR63" s="298">
        <v>0</v>
      </c>
      <c r="AS63" s="303">
        <v>0</v>
      </c>
      <c r="AT63" s="147"/>
      <c r="AU63" s="302" t="e">
        <f t="shared" si="94"/>
        <v>#REF!</v>
      </c>
      <c r="AV63" s="298">
        <v>0</v>
      </c>
      <c r="AW63" s="303">
        <v>0</v>
      </c>
      <c r="AX63" s="298"/>
      <c r="AY63" s="299"/>
      <c r="AZ63" s="299"/>
      <c r="BA63" s="298"/>
    </row>
    <row r="64" spans="1:53" x14ac:dyDescent="0.2">
      <c r="A64" s="76">
        <f t="shared" si="9"/>
        <v>57</v>
      </c>
      <c r="B64" s="670"/>
      <c r="C64" s="671" t="s">
        <v>9</v>
      </c>
      <c r="D64" s="147"/>
      <c r="E64" s="147" t="e">
        <f>ROUND('Allocation = ¢ per Therm'!K58,5)</f>
        <v>#REF!</v>
      </c>
      <c r="F64" s="147">
        <f>ROUND('Allocation = % of Margin'!U55,5)</f>
        <v>0</v>
      </c>
      <c r="G64" s="147">
        <f>ROUND('Allocation = % of Margin'!X55,5)</f>
        <v>-2.2000000000000001E-4</v>
      </c>
      <c r="H64" s="147">
        <f>ROUND('Allocation = % of Margin'!AA55,5)</f>
        <v>8.0000000000000007E-5</v>
      </c>
      <c r="I64" s="147">
        <f>ROUND('Allocation = % of Margin'!AG55,5)</f>
        <v>0</v>
      </c>
      <c r="J64" s="147">
        <f>ROUND('Allocation = % of Margin'!AJ55,5)</f>
        <v>-2.1000000000000001E-4</v>
      </c>
      <c r="K64" s="147">
        <f>ROUND('Allocation = % of Margin'!AM55,5)</f>
        <v>-2.0000000000000002E-5</v>
      </c>
      <c r="L64" s="147"/>
      <c r="M64" s="551" t="e">
        <f>#REF!</f>
        <v>#REF!</v>
      </c>
      <c r="N64" s="287" t="e">
        <f>'Rev Req Proof Yr1'!R64</f>
        <v>#REF!</v>
      </c>
      <c r="O64" s="288">
        <f>'Rev Req Proof Yr1'!S64</f>
        <v>0</v>
      </c>
      <c r="P64" s="289">
        <f>'Rev Req Proof Yr1'!T64</f>
        <v>0</v>
      </c>
      <c r="Q64" s="290">
        <f>'Rev Req Proof Yr1'!U64</f>
        <v>0</v>
      </c>
      <c r="R64" s="147"/>
      <c r="S64" s="302" t="e">
        <f t="shared" si="92"/>
        <v>#REF!</v>
      </c>
      <c r="T64" s="298">
        <v>0</v>
      </c>
      <c r="U64" s="303">
        <v>0</v>
      </c>
      <c r="V64" s="147"/>
      <c r="W64" s="302" t="e">
        <f t="shared" si="95"/>
        <v>#REF!</v>
      </c>
      <c r="X64" s="298">
        <v>0</v>
      </c>
      <c r="Y64" s="303">
        <v>0</v>
      </c>
      <c r="Z64" s="147"/>
      <c r="AA64" s="302" t="e">
        <f t="shared" si="93"/>
        <v>#REF!</v>
      </c>
      <c r="AB64" s="298">
        <v>0</v>
      </c>
      <c r="AC64" s="303">
        <v>0</v>
      </c>
      <c r="AD64" s="298"/>
      <c r="AE64" s="302" t="e">
        <f t="shared" si="14"/>
        <v>#REF!</v>
      </c>
      <c r="AF64" s="298">
        <v>0</v>
      </c>
      <c r="AG64" s="303">
        <v>0</v>
      </c>
      <c r="AH64" s="147"/>
      <c r="AI64" s="302" t="e">
        <f t="shared" si="15"/>
        <v>#REF!</v>
      </c>
      <c r="AJ64" s="298">
        <v>0</v>
      </c>
      <c r="AK64" s="303">
        <v>0</v>
      </c>
      <c r="AL64" s="147"/>
      <c r="AM64" s="302" t="e">
        <f t="shared" si="83"/>
        <v>#REF!</v>
      </c>
      <c r="AN64" s="298">
        <v>0</v>
      </c>
      <c r="AO64" s="303">
        <v>0</v>
      </c>
      <c r="AP64" s="298"/>
      <c r="AQ64" s="302" t="e">
        <f t="shared" si="16"/>
        <v>#REF!</v>
      </c>
      <c r="AR64" s="298">
        <v>0</v>
      </c>
      <c r="AS64" s="303">
        <v>0</v>
      </c>
      <c r="AT64" s="147"/>
      <c r="AU64" s="302" t="e">
        <f t="shared" si="94"/>
        <v>#REF!</v>
      </c>
      <c r="AV64" s="298">
        <v>0</v>
      </c>
      <c r="AW64" s="303">
        <v>0</v>
      </c>
      <c r="AX64" s="298"/>
      <c r="AY64" s="299"/>
      <c r="AZ64" s="299"/>
      <c r="BA64" s="298"/>
    </row>
    <row r="65" spans="1:53" x14ac:dyDescent="0.2">
      <c r="A65" s="76">
        <f t="shared" si="9"/>
        <v>58</v>
      </c>
      <c r="B65" s="668"/>
      <c r="C65" s="686" t="s">
        <v>62</v>
      </c>
      <c r="D65" s="143"/>
      <c r="E65" s="143"/>
      <c r="F65" s="143"/>
      <c r="G65" s="747"/>
      <c r="H65" s="747"/>
      <c r="I65" s="747"/>
      <c r="J65" s="747"/>
      <c r="K65" s="747"/>
      <c r="L65" s="143"/>
      <c r="M65" s="551"/>
      <c r="N65" s="287"/>
      <c r="O65" s="288"/>
      <c r="P65" s="289"/>
      <c r="Q65" s="290"/>
      <c r="R65" s="147"/>
      <c r="S65" s="304" t="e">
        <f>SUM(S59:S64)</f>
        <v>#REF!</v>
      </c>
      <c r="T65" s="305">
        <f>SUM(T59:T64)</f>
        <v>0</v>
      </c>
      <c r="U65" s="306">
        <f>SUM(U59:U64)</f>
        <v>0</v>
      </c>
      <c r="V65" s="147"/>
      <c r="W65" s="304" t="e">
        <f>SUM(W59:W64)</f>
        <v>#REF!</v>
      </c>
      <c r="X65" s="305">
        <f>SUM(X59:X64)</f>
        <v>0</v>
      </c>
      <c r="Y65" s="306">
        <f>SUM(Y59:Y64)</f>
        <v>0</v>
      </c>
      <c r="Z65" s="147"/>
      <c r="AA65" s="304" t="e">
        <f>SUM(AA59:AA64)</f>
        <v>#REF!</v>
      </c>
      <c r="AB65" s="305">
        <f>SUM(AB59:AB64)</f>
        <v>0</v>
      </c>
      <c r="AC65" s="306">
        <f>SUM(AC59:AC64)</f>
        <v>0</v>
      </c>
      <c r="AD65" s="317"/>
      <c r="AE65" s="304" t="e">
        <f>SUM(AE59:AE64)</f>
        <v>#REF!</v>
      </c>
      <c r="AF65" s="305">
        <f>SUM(AF59:AF64)</f>
        <v>0</v>
      </c>
      <c r="AG65" s="306">
        <f>SUM(AG59:AG64)</f>
        <v>0</v>
      </c>
      <c r="AH65" s="147"/>
      <c r="AI65" s="304" t="e">
        <f>SUM(AI59:AI64)</f>
        <v>#REF!</v>
      </c>
      <c r="AJ65" s="305">
        <f>SUM(AJ59:AJ64)</f>
        <v>0</v>
      </c>
      <c r="AK65" s="306">
        <f>SUM(AK59:AK64)</f>
        <v>0</v>
      </c>
      <c r="AL65" s="147"/>
      <c r="AM65" s="304" t="e">
        <f>SUM(AM59:AM64)</f>
        <v>#REF!</v>
      </c>
      <c r="AN65" s="305">
        <f>SUM(AN59:AN64)</f>
        <v>0</v>
      </c>
      <c r="AO65" s="306">
        <f>SUM(AO59:AO64)</f>
        <v>0</v>
      </c>
      <c r="AP65" s="317"/>
      <c r="AQ65" s="304" t="e">
        <f>SUM(AQ59:AQ64)</f>
        <v>#REF!</v>
      </c>
      <c r="AR65" s="305">
        <f>SUM(AR59:AR64)</f>
        <v>0</v>
      </c>
      <c r="AS65" s="306">
        <f>SUM(AS59:AS64)</f>
        <v>0</v>
      </c>
      <c r="AT65" s="147"/>
      <c r="AU65" s="304" t="e">
        <f>SUM(AU59:AU64)</f>
        <v>#REF!</v>
      </c>
      <c r="AV65" s="305">
        <f>SUM(AV59:AV64)</f>
        <v>0</v>
      </c>
      <c r="AW65" s="306">
        <f>SUM(AW59:AW64)</f>
        <v>0</v>
      </c>
      <c r="AX65" s="298"/>
      <c r="AY65" s="299"/>
      <c r="AZ65" s="299"/>
      <c r="BA65" s="298"/>
    </row>
    <row r="66" spans="1:53" x14ac:dyDescent="0.2">
      <c r="A66" s="76">
        <f t="shared" si="9"/>
        <v>59</v>
      </c>
      <c r="B66" s="670" t="e">
        <f>'Rev Req Proof Yr1'!B66</f>
        <v>#REF!</v>
      </c>
      <c r="C66" s="671" t="s">
        <v>4</v>
      </c>
      <c r="D66" s="147"/>
      <c r="E66" s="147" t="e">
        <f>ROUND('Allocation = ¢ per Therm'!K59,5)</f>
        <v>#REF!</v>
      </c>
      <c r="F66" s="147">
        <f>ROUND('Allocation = % of Margin'!U56,5)</f>
        <v>-3.2799999999999999E-3</v>
      </c>
      <c r="G66" s="147">
        <f>ROUND('Allocation = % of Margin'!X56,5)</f>
        <v>-1.75E-3</v>
      </c>
      <c r="H66" s="147">
        <f>ROUND('Allocation = % of Margin'!AA56,5)</f>
        <v>6.2E-4</v>
      </c>
      <c r="I66" s="147">
        <f>ROUND('Allocation = % of Margin'!AG56,5)</f>
        <v>-3.2799999999999999E-3</v>
      </c>
      <c r="J66" s="147">
        <f>ROUND('Allocation = % of Margin'!AJ56,5)</f>
        <v>-1.75E-3</v>
      </c>
      <c r="K66" s="147">
        <f>ROUND('Allocation = % of Margin'!AM56,5)</f>
        <v>-1.8000000000000001E-4</v>
      </c>
      <c r="L66" s="147"/>
      <c r="M66" s="551" t="e">
        <f>#REF!</f>
        <v>#REF!</v>
      </c>
      <c r="N66" s="287" t="e">
        <f>'Rev Req Proof Yr1'!R66</f>
        <v>#REF!</v>
      </c>
      <c r="O66" s="288">
        <f>'Rev Req Proof Yr1'!S66</f>
        <v>4620</v>
      </c>
      <c r="P66" s="289" t="e">
        <f>'Rev Req Proof Yr1'!T66</f>
        <v>#REF!</v>
      </c>
      <c r="Q66" s="290" t="e">
        <f>'Rev Req Proof Yr1'!U66</f>
        <v>#REF!</v>
      </c>
      <c r="R66" s="147"/>
      <c r="S66" s="302" t="e">
        <f t="shared" ref="S66:S71" si="96">((E66)*N66)</f>
        <v>#REF!</v>
      </c>
      <c r="T66" s="298">
        <v>0</v>
      </c>
      <c r="U66" s="303">
        <v>0</v>
      </c>
      <c r="V66" s="147"/>
      <c r="W66" s="302" t="e">
        <f>((F66)*N66)</f>
        <v>#REF!</v>
      </c>
      <c r="X66" s="298">
        <v>0</v>
      </c>
      <c r="Y66" s="303">
        <v>0</v>
      </c>
      <c r="Z66" s="147"/>
      <c r="AA66" s="302" t="e">
        <f t="shared" ref="AA66:AA71" si="97">((G66)*N66)</f>
        <v>#REF!</v>
      </c>
      <c r="AB66" s="298">
        <v>0</v>
      </c>
      <c r="AC66" s="303">
        <v>0</v>
      </c>
      <c r="AD66" s="298"/>
      <c r="AE66" s="302" t="e">
        <f t="shared" si="14"/>
        <v>#REF!</v>
      </c>
      <c r="AF66" s="298">
        <v>0</v>
      </c>
      <c r="AG66" s="303">
        <v>0</v>
      </c>
      <c r="AH66" s="147"/>
      <c r="AI66" s="302" t="e">
        <f t="shared" si="15"/>
        <v>#REF!</v>
      </c>
      <c r="AJ66" s="298">
        <v>0</v>
      </c>
      <c r="AK66" s="303">
        <v>0</v>
      </c>
      <c r="AL66" s="147"/>
      <c r="AM66" s="302" t="e">
        <f t="shared" si="83"/>
        <v>#REF!</v>
      </c>
      <c r="AN66" s="298">
        <v>0</v>
      </c>
      <c r="AO66" s="303">
        <v>0</v>
      </c>
      <c r="AP66" s="298"/>
      <c r="AQ66" s="302" t="e">
        <f t="shared" si="16"/>
        <v>#REF!</v>
      </c>
      <c r="AR66" s="298">
        <v>0</v>
      </c>
      <c r="AS66" s="303">
        <v>0</v>
      </c>
      <c r="AT66" s="147"/>
      <c r="AU66" s="302" t="e">
        <f t="shared" ref="AU66:AU71" si="98">((E66+F66+G66+K66)*N66)</f>
        <v>#REF!</v>
      </c>
      <c r="AV66" s="298">
        <v>0</v>
      </c>
      <c r="AW66" s="303">
        <v>0</v>
      </c>
      <c r="AX66" s="298"/>
      <c r="AY66" s="299"/>
      <c r="AZ66" s="299"/>
      <c r="BA66" s="298"/>
    </row>
    <row r="67" spans="1:53" x14ac:dyDescent="0.2">
      <c r="A67" s="76">
        <f t="shared" si="9"/>
        <v>60</v>
      </c>
      <c r="B67" s="670"/>
      <c r="C67" s="671" t="s">
        <v>5</v>
      </c>
      <c r="D67" s="147"/>
      <c r="E67" s="147" t="e">
        <f>ROUND('Allocation = ¢ per Therm'!K60,5)</f>
        <v>#REF!</v>
      </c>
      <c r="F67" s="147">
        <f>ROUND('Allocation = % of Margin'!U57,5)</f>
        <v>-2.9399999999999999E-3</v>
      </c>
      <c r="G67" s="147">
        <f>ROUND('Allocation = % of Margin'!X57,5)</f>
        <v>-1.56E-3</v>
      </c>
      <c r="H67" s="147">
        <f>ROUND('Allocation = % of Margin'!AA57,5)</f>
        <v>5.5000000000000003E-4</v>
      </c>
      <c r="I67" s="147">
        <f>ROUND('Allocation = % of Margin'!AG57,5)</f>
        <v>-2.9399999999999999E-3</v>
      </c>
      <c r="J67" s="147">
        <f>ROUND('Allocation = % of Margin'!AJ57,5)</f>
        <v>-1.57E-3</v>
      </c>
      <c r="K67" s="147">
        <f>ROUND('Allocation = % of Margin'!AM57,5)</f>
        <v>-1.6000000000000001E-4</v>
      </c>
      <c r="L67" s="147"/>
      <c r="M67" s="551" t="e">
        <f>#REF!</f>
        <v>#REF!</v>
      </c>
      <c r="N67" s="287" t="e">
        <f>'Rev Req Proof Yr1'!R67</f>
        <v>#REF!</v>
      </c>
      <c r="O67" s="288">
        <f>'Rev Req Proof Yr1'!S67</f>
        <v>0</v>
      </c>
      <c r="P67" s="289">
        <f>'Rev Req Proof Yr1'!T67</f>
        <v>0</v>
      </c>
      <c r="Q67" s="290">
        <f>'Rev Req Proof Yr1'!U67</f>
        <v>0</v>
      </c>
      <c r="R67" s="147"/>
      <c r="S67" s="302" t="e">
        <f t="shared" si="96"/>
        <v>#REF!</v>
      </c>
      <c r="T67" s="298">
        <v>0</v>
      </c>
      <c r="U67" s="303">
        <v>0</v>
      </c>
      <c r="V67" s="147"/>
      <c r="W67" s="302" t="e">
        <f t="shared" ref="W67:W71" si="99">((F67)*N67)</f>
        <v>#REF!</v>
      </c>
      <c r="X67" s="298">
        <v>0</v>
      </c>
      <c r="Y67" s="303">
        <v>0</v>
      </c>
      <c r="Z67" s="147"/>
      <c r="AA67" s="302" t="e">
        <f t="shared" si="97"/>
        <v>#REF!</v>
      </c>
      <c r="AB67" s="298">
        <v>0</v>
      </c>
      <c r="AC67" s="303">
        <v>0</v>
      </c>
      <c r="AD67" s="298"/>
      <c r="AE67" s="302" t="e">
        <f t="shared" si="14"/>
        <v>#REF!</v>
      </c>
      <c r="AF67" s="298">
        <v>0</v>
      </c>
      <c r="AG67" s="303">
        <v>0</v>
      </c>
      <c r="AH67" s="147"/>
      <c r="AI67" s="302" t="e">
        <f t="shared" si="15"/>
        <v>#REF!</v>
      </c>
      <c r="AJ67" s="298">
        <v>0</v>
      </c>
      <c r="AK67" s="303">
        <v>0</v>
      </c>
      <c r="AL67" s="147"/>
      <c r="AM67" s="302" t="e">
        <f t="shared" si="83"/>
        <v>#REF!</v>
      </c>
      <c r="AN67" s="298">
        <v>0</v>
      </c>
      <c r="AO67" s="303">
        <v>0</v>
      </c>
      <c r="AP67" s="298"/>
      <c r="AQ67" s="302" t="e">
        <f t="shared" si="16"/>
        <v>#REF!</v>
      </c>
      <c r="AR67" s="298">
        <v>0</v>
      </c>
      <c r="AS67" s="303">
        <v>0</v>
      </c>
      <c r="AT67" s="147"/>
      <c r="AU67" s="302" t="e">
        <f t="shared" si="98"/>
        <v>#REF!</v>
      </c>
      <c r="AV67" s="298">
        <v>0</v>
      </c>
      <c r="AW67" s="303">
        <v>0</v>
      </c>
      <c r="AX67" s="298"/>
      <c r="AY67" s="299"/>
      <c r="AZ67" s="299"/>
      <c r="BA67" s="298"/>
    </row>
    <row r="68" spans="1:53" x14ac:dyDescent="0.2">
      <c r="A68" s="76">
        <f t="shared" si="9"/>
        <v>61</v>
      </c>
      <c r="B68" s="670"/>
      <c r="C68" s="671" t="s">
        <v>6</v>
      </c>
      <c r="D68" s="147"/>
      <c r="E68" s="147" t="e">
        <f>ROUND('Allocation = ¢ per Therm'!K61,5)</f>
        <v>#REF!</v>
      </c>
      <c r="F68" s="147">
        <f>ROUND('Allocation = % of Margin'!U58,5)</f>
        <v>-2.2499999999999998E-3</v>
      </c>
      <c r="G68" s="147">
        <f>ROUND('Allocation = % of Margin'!X58,5)</f>
        <v>-1.1999999999999999E-3</v>
      </c>
      <c r="H68" s="147">
        <f>ROUND('Allocation = % of Margin'!AA58,5)</f>
        <v>4.2000000000000002E-4</v>
      </c>
      <c r="I68" s="147">
        <f>ROUND('Allocation = % of Margin'!AG58,5)</f>
        <v>-2.2499999999999998E-3</v>
      </c>
      <c r="J68" s="147">
        <f>ROUND('Allocation = % of Margin'!AJ58,5)</f>
        <v>-1.1999999999999999E-3</v>
      </c>
      <c r="K68" s="147">
        <f>ROUND('Allocation = % of Margin'!AM58,5)</f>
        <v>-1.2E-4</v>
      </c>
      <c r="L68" s="147"/>
      <c r="M68" s="551" t="e">
        <f>#REF!</f>
        <v>#REF!</v>
      </c>
      <c r="N68" s="287" t="e">
        <f>'Rev Req Proof Yr1'!R68</f>
        <v>#REF!</v>
      </c>
      <c r="O68" s="288">
        <f>'Rev Req Proof Yr1'!S68</f>
        <v>0</v>
      </c>
      <c r="P68" s="289">
        <f>'Rev Req Proof Yr1'!T68</f>
        <v>0</v>
      </c>
      <c r="Q68" s="290">
        <f>'Rev Req Proof Yr1'!U68</f>
        <v>0</v>
      </c>
      <c r="R68" s="147"/>
      <c r="S68" s="302" t="e">
        <f t="shared" si="96"/>
        <v>#REF!</v>
      </c>
      <c r="T68" s="298">
        <v>0</v>
      </c>
      <c r="U68" s="303">
        <v>0</v>
      </c>
      <c r="V68" s="147"/>
      <c r="W68" s="302" t="e">
        <f t="shared" si="99"/>
        <v>#REF!</v>
      </c>
      <c r="X68" s="298">
        <v>0</v>
      </c>
      <c r="Y68" s="303">
        <v>0</v>
      </c>
      <c r="Z68" s="147"/>
      <c r="AA68" s="302" t="e">
        <f t="shared" si="97"/>
        <v>#REF!</v>
      </c>
      <c r="AB68" s="298">
        <v>0</v>
      </c>
      <c r="AC68" s="303">
        <v>0</v>
      </c>
      <c r="AD68" s="298"/>
      <c r="AE68" s="302" t="e">
        <f t="shared" si="14"/>
        <v>#REF!</v>
      </c>
      <c r="AF68" s="298">
        <v>0</v>
      </c>
      <c r="AG68" s="303">
        <v>0</v>
      </c>
      <c r="AH68" s="147"/>
      <c r="AI68" s="302" t="e">
        <f t="shared" si="15"/>
        <v>#REF!</v>
      </c>
      <c r="AJ68" s="298">
        <v>0</v>
      </c>
      <c r="AK68" s="303">
        <v>0</v>
      </c>
      <c r="AL68" s="147"/>
      <c r="AM68" s="302" t="e">
        <f t="shared" si="83"/>
        <v>#REF!</v>
      </c>
      <c r="AN68" s="298">
        <v>0</v>
      </c>
      <c r="AO68" s="303">
        <v>0</v>
      </c>
      <c r="AP68" s="298"/>
      <c r="AQ68" s="302" t="e">
        <f t="shared" si="16"/>
        <v>#REF!</v>
      </c>
      <c r="AR68" s="298">
        <v>0</v>
      </c>
      <c r="AS68" s="303">
        <v>0</v>
      </c>
      <c r="AT68" s="147"/>
      <c r="AU68" s="302" t="e">
        <f t="shared" si="98"/>
        <v>#REF!</v>
      </c>
      <c r="AV68" s="298">
        <v>0</v>
      </c>
      <c r="AW68" s="303">
        <v>0</v>
      </c>
      <c r="AX68" s="298"/>
      <c r="AY68" s="299"/>
      <c r="AZ68" s="299"/>
      <c r="BA68" s="298"/>
    </row>
    <row r="69" spans="1:53" x14ac:dyDescent="0.2">
      <c r="A69" s="76">
        <f t="shared" si="9"/>
        <v>62</v>
      </c>
      <c r="B69" s="670"/>
      <c r="C69" s="671" t="s">
        <v>7</v>
      </c>
      <c r="D69" s="147"/>
      <c r="E69" s="147" t="e">
        <f>ROUND('Allocation = ¢ per Therm'!K62,5)</f>
        <v>#REF!</v>
      </c>
      <c r="F69" s="147">
        <f>ROUND('Allocation = % of Margin'!U59,5)</f>
        <v>-1.8E-3</v>
      </c>
      <c r="G69" s="147">
        <f>ROUND('Allocation = % of Margin'!X59,5)</f>
        <v>-9.6000000000000002E-4</v>
      </c>
      <c r="H69" s="147">
        <f>ROUND('Allocation = % of Margin'!AA59,5)</f>
        <v>3.4000000000000002E-4</v>
      </c>
      <c r="I69" s="147">
        <f>ROUND('Allocation = % of Margin'!AG59,5)</f>
        <v>-1.8E-3</v>
      </c>
      <c r="J69" s="147">
        <f>ROUND('Allocation = % of Margin'!AJ59,5)</f>
        <v>-9.6000000000000002E-4</v>
      </c>
      <c r="K69" s="147">
        <f>ROUND('Allocation = % of Margin'!AM59,5)</f>
        <v>-1E-4</v>
      </c>
      <c r="L69" s="147"/>
      <c r="M69" s="551" t="e">
        <f>#REF!</f>
        <v>#REF!</v>
      </c>
      <c r="N69" s="287" t="e">
        <f>'Rev Req Proof Yr1'!R69</f>
        <v>#REF!</v>
      </c>
      <c r="O69" s="288">
        <f>'Rev Req Proof Yr1'!S69</f>
        <v>0</v>
      </c>
      <c r="P69" s="289">
        <f>'Rev Req Proof Yr1'!T69</f>
        <v>0</v>
      </c>
      <c r="Q69" s="290">
        <f>'Rev Req Proof Yr1'!U69</f>
        <v>0</v>
      </c>
      <c r="R69" s="147"/>
      <c r="S69" s="302" t="e">
        <f t="shared" si="96"/>
        <v>#REF!</v>
      </c>
      <c r="T69" s="298">
        <v>0</v>
      </c>
      <c r="U69" s="303">
        <v>0</v>
      </c>
      <c r="V69" s="147"/>
      <c r="W69" s="302" t="e">
        <f t="shared" si="99"/>
        <v>#REF!</v>
      </c>
      <c r="X69" s="298">
        <v>0</v>
      </c>
      <c r="Y69" s="303">
        <v>0</v>
      </c>
      <c r="Z69" s="147"/>
      <c r="AA69" s="302" t="e">
        <f t="shared" si="97"/>
        <v>#REF!</v>
      </c>
      <c r="AB69" s="298">
        <v>0</v>
      </c>
      <c r="AC69" s="303">
        <v>0</v>
      </c>
      <c r="AD69" s="298"/>
      <c r="AE69" s="302" t="e">
        <f t="shared" si="14"/>
        <v>#REF!</v>
      </c>
      <c r="AF69" s="298">
        <v>0</v>
      </c>
      <c r="AG69" s="303">
        <v>0</v>
      </c>
      <c r="AH69" s="147"/>
      <c r="AI69" s="302" t="e">
        <f t="shared" si="15"/>
        <v>#REF!</v>
      </c>
      <c r="AJ69" s="298">
        <v>0</v>
      </c>
      <c r="AK69" s="303">
        <v>0</v>
      </c>
      <c r="AL69" s="147"/>
      <c r="AM69" s="302" t="e">
        <f t="shared" si="83"/>
        <v>#REF!</v>
      </c>
      <c r="AN69" s="298">
        <v>0</v>
      </c>
      <c r="AO69" s="303">
        <v>0</v>
      </c>
      <c r="AP69" s="298"/>
      <c r="AQ69" s="302" t="e">
        <f t="shared" si="16"/>
        <v>#REF!</v>
      </c>
      <c r="AR69" s="298">
        <v>0</v>
      </c>
      <c r="AS69" s="303">
        <v>0</v>
      </c>
      <c r="AT69" s="147"/>
      <c r="AU69" s="302" t="e">
        <f t="shared" si="98"/>
        <v>#REF!</v>
      </c>
      <c r="AV69" s="298">
        <v>0</v>
      </c>
      <c r="AW69" s="303">
        <v>0</v>
      </c>
      <c r="AX69" s="298"/>
      <c r="AY69" s="299"/>
      <c r="AZ69" s="299"/>
      <c r="BA69" s="298"/>
    </row>
    <row r="70" spans="1:53" x14ac:dyDescent="0.2">
      <c r="A70" s="76">
        <f t="shared" si="9"/>
        <v>63</v>
      </c>
      <c r="B70" s="670"/>
      <c r="C70" s="671" t="s">
        <v>8</v>
      </c>
      <c r="D70" s="147"/>
      <c r="E70" s="147" t="e">
        <f>ROUND('Allocation = ¢ per Therm'!K63,5)</f>
        <v>#REF!</v>
      </c>
      <c r="F70" s="147">
        <f>ROUND('Allocation = % of Margin'!U60,5)</f>
        <v>-1.1999999999999999E-3</v>
      </c>
      <c r="G70" s="147">
        <f>ROUND('Allocation = % of Margin'!X60,5)</f>
        <v>-6.4000000000000005E-4</v>
      </c>
      <c r="H70" s="147">
        <f>ROUND('Allocation = % of Margin'!AA60,5)</f>
        <v>2.3000000000000001E-4</v>
      </c>
      <c r="I70" s="147">
        <f>ROUND('Allocation = % of Margin'!AG60,5)</f>
        <v>-1.1999999999999999E-3</v>
      </c>
      <c r="J70" s="147">
        <f>ROUND('Allocation = % of Margin'!AJ60,5)</f>
        <v>-6.4000000000000005E-4</v>
      </c>
      <c r="K70" s="147">
        <f>ROUND('Allocation = % of Margin'!AM60,5)</f>
        <v>-6.9999999999999994E-5</v>
      </c>
      <c r="L70" s="147"/>
      <c r="M70" s="551" t="e">
        <f>#REF!</f>
        <v>#REF!</v>
      </c>
      <c r="N70" s="287" t="e">
        <f>'Rev Req Proof Yr1'!R70</f>
        <v>#REF!</v>
      </c>
      <c r="O70" s="288">
        <f>'Rev Req Proof Yr1'!S70</f>
        <v>0</v>
      </c>
      <c r="P70" s="289">
        <f>'Rev Req Proof Yr1'!T70</f>
        <v>0</v>
      </c>
      <c r="Q70" s="290">
        <f>'Rev Req Proof Yr1'!U70</f>
        <v>0</v>
      </c>
      <c r="R70" s="147"/>
      <c r="S70" s="302" t="e">
        <f t="shared" si="96"/>
        <v>#REF!</v>
      </c>
      <c r="T70" s="298">
        <v>0</v>
      </c>
      <c r="U70" s="303">
        <v>0</v>
      </c>
      <c r="V70" s="147"/>
      <c r="W70" s="302" t="e">
        <f t="shared" si="99"/>
        <v>#REF!</v>
      </c>
      <c r="X70" s="298">
        <v>0</v>
      </c>
      <c r="Y70" s="303">
        <v>0</v>
      </c>
      <c r="Z70" s="147"/>
      <c r="AA70" s="302" t="e">
        <f t="shared" si="97"/>
        <v>#REF!</v>
      </c>
      <c r="AB70" s="298">
        <v>0</v>
      </c>
      <c r="AC70" s="303">
        <v>0</v>
      </c>
      <c r="AD70" s="298"/>
      <c r="AE70" s="302" t="e">
        <f t="shared" si="14"/>
        <v>#REF!</v>
      </c>
      <c r="AF70" s="298">
        <v>0</v>
      </c>
      <c r="AG70" s="303">
        <v>0</v>
      </c>
      <c r="AH70" s="147"/>
      <c r="AI70" s="302" t="e">
        <f t="shared" si="15"/>
        <v>#REF!</v>
      </c>
      <c r="AJ70" s="298">
        <v>0</v>
      </c>
      <c r="AK70" s="303">
        <v>0</v>
      </c>
      <c r="AL70" s="147"/>
      <c r="AM70" s="302" t="e">
        <f t="shared" si="83"/>
        <v>#REF!</v>
      </c>
      <c r="AN70" s="298">
        <v>0</v>
      </c>
      <c r="AO70" s="303">
        <v>0</v>
      </c>
      <c r="AP70" s="298"/>
      <c r="AQ70" s="302" t="e">
        <f t="shared" si="16"/>
        <v>#REF!</v>
      </c>
      <c r="AR70" s="298">
        <v>0</v>
      </c>
      <c r="AS70" s="303">
        <v>0</v>
      </c>
      <c r="AT70" s="147"/>
      <c r="AU70" s="302" t="e">
        <f t="shared" si="98"/>
        <v>#REF!</v>
      </c>
      <c r="AV70" s="298">
        <v>0</v>
      </c>
      <c r="AW70" s="303">
        <v>0</v>
      </c>
      <c r="AX70" s="298"/>
      <c r="AY70" s="299"/>
      <c r="AZ70" s="299"/>
      <c r="BA70" s="298"/>
    </row>
    <row r="71" spans="1:53" x14ac:dyDescent="0.2">
      <c r="A71" s="76">
        <f t="shared" si="9"/>
        <v>64</v>
      </c>
      <c r="B71" s="670"/>
      <c r="C71" s="671" t="s">
        <v>9</v>
      </c>
      <c r="D71" s="147"/>
      <c r="E71" s="147" t="e">
        <f>ROUND('Allocation = ¢ per Therm'!K64,5)</f>
        <v>#REF!</v>
      </c>
      <c r="F71" s="147">
        <f>ROUND('Allocation = % of Margin'!U61,5)</f>
        <v>-4.4999999999999999E-4</v>
      </c>
      <c r="G71" s="147">
        <f>ROUND('Allocation = % of Margin'!X61,5)</f>
        <v>-2.4000000000000001E-4</v>
      </c>
      <c r="H71" s="147">
        <f>ROUND('Allocation = % of Margin'!AA61,5)</f>
        <v>8.0000000000000007E-5</v>
      </c>
      <c r="I71" s="147">
        <f>ROUND('Allocation = % of Margin'!AG61,5)</f>
        <v>-4.4999999999999999E-4</v>
      </c>
      <c r="J71" s="147">
        <f>ROUND('Allocation = % of Margin'!AJ61,5)</f>
        <v>-2.4000000000000001E-4</v>
      </c>
      <c r="K71" s="147">
        <f>ROUND('Allocation = % of Margin'!AM61,5)</f>
        <v>-2.0000000000000002E-5</v>
      </c>
      <c r="L71" s="147"/>
      <c r="M71" s="551" t="e">
        <f>#REF!</f>
        <v>#REF!</v>
      </c>
      <c r="N71" s="287" t="e">
        <f>'Rev Req Proof Yr1'!R71</f>
        <v>#REF!</v>
      </c>
      <c r="O71" s="288">
        <f>'Rev Req Proof Yr1'!S71</f>
        <v>0</v>
      </c>
      <c r="P71" s="289">
        <f>'Rev Req Proof Yr1'!T71</f>
        <v>0</v>
      </c>
      <c r="Q71" s="290">
        <f>'Rev Req Proof Yr1'!U71</f>
        <v>0</v>
      </c>
      <c r="R71" s="147"/>
      <c r="S71" s="302" t="e">
        <f t="shared" si="96"/>
        <v>#REF!</v>
      </c>
      <c r="T71" s="298">
        <v>0</v>
      </c>
      <c r="U71" s="303">
        <v>0</v>
      </c>
      <c r="V71" s="147"/>
      <c r="W71" s="302" t="e">
        <f t="shared" si="99"/>
        <v>#REF!</v>
      </c>
      <c r="X71" s="298">
        <v>0</v>
      </c>
      <c r="Y71" s="303">
        <v>0</v>
      </c>
      <c r="Z71" s="147"/>
      <c r="AA71" s="302" t="e">
        <f t="shared" si="97"/>
        <v>#REF!</v>
      </c>
      <c r="AB71" s="298">
        <v>0</v>
      </c>
      <c r="AC71" s="303">
        <v>0</v>
      </c>
      <c r="AD71" s="298"/>
      <c r="AE71" s="302" t="e">
        <f t="shared" si="14"/>
        <v>#REF!</v>
      </c>
      <c r="AF71" s="298">
        <v>0</v>
      </c>
      <c r="AG71" s="303">
        <v>0</v>
      </c>
      <c r="AH71" s="147"/>
      <c r="AI71" s="302" t="e">
        <f t="shared" si="15"/>
        <v>#REF!</v>
      </c>
      <c r="AJ71" s="298">
        <v>0</v>
      </c>
      <c r="AK71" s="303">
        <v>0</v>
      </c>
      <c r="AL71" s="147"/>
      <c r="AM71" s="302" t="e">
        <f t="shared" si="83"/>
        <v>#REF!</v>
      </c>
      <c r="AN71" s="298">
        <v>0</v>
      </c>
      <c r="AO71" s="303">
        <v>0</v>
      </c>
      <c r="AP71" s="298"/>
      <c r="AQ71" s="302" t="e">
        <f t="shared" si="16"/>
        <v>#REF!</v>
      </c>
      <c r="AR71" s="298">
        <v>0</v>
      </c>
      <c r="AS71" s="303">
        <v>0</v>
      </c>
      <c r="AT71" s="147"/>
      <c r="AU71" s="302" t="e">
        <f t="shared" si="98"/>
        <v>#REF!</v>
      </c>
      <c r="AV71" s="298">
        <v>0</v>
      </c>
      <c r="AW71" s="303">
        <v>0</v>
      </c>
      <c r="AX71" s="298"/>
      <c r="AY71" s="299"/>
      <c r="AZ71" s="299"/>
      <c r="BA71" s="298"/>
    </row>
    <row r="72" spans="1:53" x14ac:dyDescent="0.2">
      <c r="A72" s="76">
        <f t="shared" si="9"/>
        <v>65</v>
      </c>
      <c r="B72" s="668"/>
      <c r="C72" s="686" t="s">
        <v>62</v>
      </c>
      <c r="D72" s="143"/>
      <c r="E72" s="143"/>
      <c r="F72" s="143"/>
      <c r="G72" s="747"/>
      <c r="H72" s="747"/>
      <c r="I72" s="747"/>
      <c r="J72" s="747"/>
      <c r="K72" s="747"/>
      <c r="L72" s="143"/>
      <c r="M72" s="551"/>
      <c r="N72" s="287"/>
      <c r="O72" s="288"/>
      <c r="P72" s="289"/>
      <c r="Q72" s="290"/>
      <c r="R72" s="147"/>
      <c r="S72" s="304" t="e">
        <f>SUM(S66:S71)</f>
        <v>#REF!</v>
      </c>
      <c r="T72" s="305">
        <f>SUM(T66:T71)</f>
        <v>0</v>
      </c>
      <c r="U72" s="306">
        <f>SUM(U66:U71)</f>
        <v>0</v>
      </c>
      <c r="V72" s="147"/>
      <c r="W72" s="304" t="e">
        <f>SUM(W66:W71)</f>
        <v>#REF!</v>
      </c>
      <c r="X72" s="305">
        <f>SUM(X66:X71)</f>
        <v>0</v>
      </c>
      <c r="Y72" s="306">
        <f>SUM(Y66:Y71)</f>
        <v>0</v>
      </c>
      <c r="Z72" s="147"/>
      <c r="AA72" s="304" t="e">
        <f>SUM(AA66:AA71)</f>
        <v>#REF!</v>
      </c>
      <c r="AB72" s="305">
        <f>SUM(AB66:AB71)</f>
        <v>0</v>
      </c>
      <c r="AC72" s="306">
        <f>SUM(AC66:AC71)</f>
        <v>0</v>
      </c>
      <c r="AD72" s="317"/>
      <c r="AE72" s="304" t="e">
        <f>SUM(AE66:AE71)</f>
        <v>#REF!</v>
      </c>
      <c r="AF72" s="305">
        <f>SUM(AF66:AF71)</f>
        <v>0</v>
      </c>
      <c r="AG72" s="306">
        <f>SUM(AG66:AG71)</f>
        <v>0</v>
      </c>
      <c r="AH72" s="147"/>
      <c r="AI72" s="304" t="e">
        <f>SUM(AI66:AI71)</f>
        <v>#REF!</v>
      </c>
      <c r="AJ72" s="305">
        <f>SUM(AJ66:AJ71)</f>
        <v>0</v>
      </c>
      <c r="AK72" s="306">
        <f>SUM(AK66:AK71)</f>
        <v>0</v>
      </c>
      <c r="AL72" s="147"/>
      <c r="AM72" s="304" t="e">
        <f>SUM(AM66:AM71)</f>
        <v>#REF!</v>
      </c>
      <c r="AN72" s="305">
        <f>SUM(AN66:AN71)</f>
        <v>0</v>
      </c>
      <c r="AO72" s="306">
        <f>SUM(AO66:AO71)</f>
        <v>0</v>
      </c>
      <c r="AP72" s="317"/>
      <c r="AQ72" s="304" t="e">
        <f>SUM(AQ66:AQ71)</f>
        <v>#REF!</v>
      </c>
      <c r="AR72" s="305">
        <f>SUM(AR66:AR71)</f>
        <v>0</v>
      </c>
      <c r="AS72" s="306">
        <f>SUM(AS66:AS71)</f>
        <v>0</v>
      </c>
      <c r="AT72" s="147"/>
      <c r="AU72" s="304" t="e">
        <f>SUM(AU66:AU71)</f>
        <v>#REF!</v>
      </c>
      <c r="AV72" s="305">
        <f>SUM(AV66:AV71)</f>
        <v>0</v>
      </c>
      <c r="AW72" s="306">
        <f>SUM(AW66:AW71)</f>
        <v>0</v>
      </c>
      <c r="AX72" s="298"/>
      <c r="AY72" s="308"/>
      <c r="AZ72" s="299"/>
      <c r="BA72" s="298"/>
    </row>
    <row r="73" spans="1:53" x14ac:dyDescent="0.2">
      <c r="A73" s="76">
        <f t="shared" si="9"/>
        <v>66</v>
      </c>
      <c r="B73" s="670" t="e">
        <f>'Rev Req Proof Yr1'!B73</f>
        <v>#REF!</v>
      </c>
      <c r="C73" s="671" t="s">
        <v>4</v>
      </c>
      <c r="D73" s="147"/>
      <c r="E73" s="147" t="e">
        <f>ROUND('Allocation = ¢ per Therm'!K65,5)</f>
        <v>#REF!</v>
      </c>
      <c r="F73" s="147">
        <f>ROUND('Allocation = % of Margin'!U62,5)</f>
        <v>0</v>
      </c>
      <c r="G73" s="147">
        <f>ROUND('Allocation = % of Margin'!X62,5)</f>
        <v>-2.2799999999999999E-3</v>
      </c>
      <c r="H73" s="147">
        <f>ROUND('Allocation = % of Margin'!AA62,5)</f>
        <v>8.0000000000000004E-4</v>
      </c>
      <c r="I73" s="147">
        <f>ROUND('Allocation = % of Margin'!AG62,5)</f>
        <v>0</v>
      </c>
      <c r="J73" s="147">
        <f>ROUND('Allocation = % of Margin'!AJ62,5)</f>
        <v>-2.2100000000000002E-3</v>
      </c>
      <c r="K73" s="147">
        <f>ROUND('Allocation = % of Margin'!AM62,5)</f>
        <v>-2.2000000000000001E-4</v>
      </c>
      <c r="L73" s="147"/>
      <c r="M73" s="551" t="e">
        <f>#REF!</f>
        <v>#REF!</v>
      </c>
      <c r="N73" s="287" t="e">
        <f>'Rev Req Proof Yr1'!R73</f>
        <v>#REF!</v>
      </c>
      <c r="O73" s="288">
        <f>'Rev Req Proof Yr1'!S73</f>
        <v>2934</v>
      </c>
      <c r="P73" s="289" t="e">
        <f>'Rev Req Proof Yr1'!T73</f>
        <v>#REF!</v>
      </c>
      <c r="Q73" s="290" t="e">
        <f>'Rev Req Proof Yr1'!U73</f>
        <v>#REF!</v>
      </c>
      <c r="R73" s="147"/>
      <c r="S73" s="302" t="e">
        <f t="shared" ref="S73:S78" si="100">((E73)*N73)</f>
        <v>#REF!</v>
      </c>
      <c r="T73" s="298">
        <v>0</v>
      </c>
      <c r="U73" s="303">
        <v>0</v>
      </c>
      <c r="V73" s="147"/>
      <c r="W73" s="302" t="e">
        <f>((F73)*N73)</f>
        <v>#REF!</v>
      </c>
      <c r="X73" s="298">
        <v>0</v>
      </c>
      <c r="Y73" s="303">
        <v>0</v>
      </c>
      <c r="Z73" s="147"/>
      <c r="AA73" s="302" t="e">
        <f t="shared" ref="AA73:AA78" si="101">((G73)*N73)</f>
        <v>#REF!</v>
      </c>
      <c r="AB73" s="298">
        <v>0</v>
      </c>
      <c r="AC73" s="303">
        <v>0</v>
      </c>
      <c r="AD73" s="298"/>
      <c r="AE73" s="302" t="e">
        <f t="shared" si="14"/>
        <v>#REF!</v>
      </c>
      <c r="AF73" s="298">
        <v>0</v>
      </c>
      <c r="AG73" s="303">
        <v>0</v>
      </c>
      <c r="AH73" s="147"/>
      <c r="AI73" s="302" t="e">
        <f t="shared" si="15"/>
        <v>#REF!</v>
      </c>
      <c r="AJ73" s="298">
        <v>0</v>
      </c>
      <c r="AK73" s="303">
        <v>0</v>
      </c>
      <c r="AL73" s="147"/>
      <c r="AM73" s="302" t="e">
        <f t="shared" si="83"/>
        <v>#REF!</v>
      </c>
      <c r="AN73" s="298">
        <v>0</v>
      </c>
      <c r="AO73" s="303">
        <v>0</v>
      </c>
      <c r="AP73" s="298"/>
      <c r="AQ73" s="302" t="e">
        <f t="shared" si="16"/>
        <v>#REF!</v>
      </c>
      <c r="AR73" s="298">
        <v>0</v>
      </c>
      <c r="AS73" s="303">
        <v>0</v>
      </c>
      <c r="AT73" s="147"/>
      <c r="AU73" s="302" t="e">
        <f t="shared" ref="AU73:AU78" si="102">((E73+F73+G73+K73)*N73)</f>
        <v>#REF!</v>
      </c>
      <c r="AV73" s="298">
        <v>0</v>
      </c>
      <c r="AW73" s="303">
        <v>0</v>
      </c>
      <c r="AX73" s="298"/>
      <c r="AY73" s="299"/>
      <c r="AZ73" s="299"/>
      <c r="BA73" s="298"/>
    </row>
    <row r="74" spans="1:53" x14ac:dyDescent="0.2">
      <c r="A74" s="76">
        <f t="shared" ref="A74:A102" si="103">+A73+1</f>
        <v>67</v>
      </c>
      <c r="B74" s="670"/>
      <c r="C74" s="671" t="s">
        <v>5</v>
      </c>
      <c r="D74" s="147"/>
      <c r="E74" s="147" t="e">
        <f>ROUND('Allocation = ¢ per Therm'!K66,5)</f>
        <v>#REF!</v>
      </c>
      <c r="F74" s="147">
        <f>ROUND('Allocation = % of Margin'!U63,5)</f>
        <v>0</v>
      </c>
      <c r="G74" s="147">
        <f>ROUND('Allocation = % of Margin'!X63,5)</f>
        <v>-2.0400000000000001E-3</v>
      </c>
      <c r="H74" s="147">
        <f>ROUND('Allocation = % of Margin'!AA63,5)</f>
        <v>7.2000000000000005E-4</v>
      </c>
      <c r="I74" s="147">
        <f>ROUND('Allocation = % of Margin'!AG63,5)</f>
        <v>0</v>
      </c>
      <c r="J74" s="147">
        <f>ROUND('Allocation = % of Margin'!AJ63,5)</f>
        <v>-1.97E-3</v>
      </c>
      <c r="K74" s="147">
        <f>ROUND('Allocation = % of Margin'!AM63,5)</f>
        <v>-2.0000000000000001E-4</v>
      </c>
      <c r="L74" s="147"/>
      <c r="M74" s="551" t="e">
        <f>#REF!</f>
        <v>#REF!</v>
      </c>
      <c r="N74" s="287" t="e">
        <f>'Rev Req Proof Yr1'!R74</f>
        <v>#REF!</v>
      </c>
      <c r="O74" s="288">
        <f>'Rev Req Proof Yr1'!S74</f>
        <v>0</v>
      </c>
      <c r="P74" s="289">
        <f>'Rev Req Proof Yr1'!T74</f>
        <v>0</v>
      </c>
      <c r="Q74" s="290">
        <f>'Rev Req Proof Yr1'!U74</f>
        <v>0</v>
      </c>
      <c r="R74" s="147"/>
      <c r="S74" s="302" t="e">
        <f t="shared" si="100"/>
        <v>#REF!</v>
      </c>
      <c r="T74" s="298">
        <v>0</v>
      </c>
      <c r="U74" s="303">
        <v>0</v>
      </c>
      <c r="V74" s="147"/>
      <c r="W74" s="302" t="e">
        <f t="shared" ref="W74:W78" si="104">((F74)*N74)</f>
        <v>#REF!</v>
      </c>
      <c r="X74" s="298">
        <v>0</v>
      </c>
      <c r="Y74" s="303">
        <v>0</v>
      </c>
      <c r="Z74" s="147"/>
      <c r="AA74" s="302" t="e">
        <f t="shared" si="101"/>
        <v>#REF!</v>
      </c>
      <c r="AB74" s="298">
        <v>0</v>
      </c>
      <c r="AC74" s="303">
        <v>0</v>
      </c>
      <c r="AD74" s="298"/>
      <c r="AE74" s="302" t="e">
        <f t="shared" si="14"/>
        <v>#REF!</v>
      </c>
      <c r="AF74" s="298">
        <v>0</v>
      </c>
      <c r="AG74" s="303">
        <v>0</v>
      </c>
      <c r="AH74" s="147"/>
      <c r="AI74" s="302" t="e">
        <f t="shared" si="15"/>
        <v>#REF!</v>
      </c>
      <c r="AJ74" s="298">
        <v>0</v>
      </c>
      <c r="AK74" s="303">
        <v>0</v>
      </c>
      <c r="AL74" s="147"/>
      <c r="AM74" s="302" t="e">
        <f t="shared" si="83"/>
        <v>#REF!</v>
      </c>
      <c r="AN74" s="298">
        <v>0</v>
      </c>
      <c r="AO74" s="303">
        <v>0</v>
      </c>
      <c r="AP74" s="298"/>
      <c r="AQ74" s="302" t="e">
        <f t="shared" si="16"/>
        <v>#REF!</v>
      </c>
      <c r="AR74" s="298">
        <v>0</v>
      </c>
      <c r="AS74" s="303">
        <v>0</v>
      </c>
      <c r="AT74" s="147"/>
      <c r="AU74" s="302" t="e">
        <f t="shared" si="102"/>
        <v>#REF!</v>
      </c>
      <c r="AV74" s="298">
        <v>0</v>
      </c>
      <c r="AW74" s="303">
        <v>0</v>
      </c>
      <c r="AX74" s="298"/>
      <c r="AY74" s="299"/>
      <c r="AZ74" s="299"/>
      <c r="BA74" s="298"/>
    </row>
    <row r="75" spans="1:53" x14ac:dyDescent="0.2">
      <c r="A75" s="76">
        <f t="shared" si="103"/>
        <v>68</v>
      </c>
      <c r="B75" s="670"/>
      <c r="C75" s="671" t="s">
        <v>6</v>
      </c>
      <c r="D75" s="147"/>
      <c r="E75" s="147" t="e">
        <f>ROUND('Allocation = ¢ per Therm'!K67,5)</f>
        <v>#REF!</v>
      </c>
      <c r="F75" s="147">
        <f>ROUND('Allocation = % of Margin'!U64,5)</f>
        <v>0</v>
      </c>
      <c r="G75" s="147">
        <f>ROUND('Allocation = % of Margin'!X64,5)</f>
        <v>-1.56E-3</v>
      </c>
      <c r="H75" s="147">
        <f>ROUND('Allocation = % of Margin'!AA64,5)</f>
        <v>5.5000000000000003E-4</v>
      </c>
      <c r="I75" s="147">
        <f>ROUND('Allocation = % of Margin'!AG64,5)</f>
        <v>0</v>
      </c>
      <c r="J75" s="147">
        <f>ROUND('Allocation = % of Margin'!AJ64,5)</f>
        <v>-1.5100000000000001E-3</v>
      </c>
      <c r="K75" s="147">
        <f>ROUND('Allocation = % of Margin'!AM64,5)</f>
        <v>-1.4999999999999999E-4</v>
      </c>
      <c r="L75" s="147"/>
      <c r="M75" s="551" t="e">
        <f>#REF!</f>
        <v>#REF!</v>
      </c>
      <c r="N75" s="287" t="e">
        <f>'Rev Req Proof Yr1'!R75</f>
        <v>#REF!</v>
      </c>
      <c r="O75" s="288">
        <f>'Rev Req Proof Yr1'!S75</f>
        <v>0</v>
      </c>
      <c r="P75" s="289">
        <f>'Rev Req Proof Yr1'!T75</f>
        <v>0</v>
      </c>
      <c r="Q75" s="290">
        <f>'Rev Req Proof Yr1'!U75</f>
        <v>0</v>
      </c>
      <c r="R75" s="147"/>
      <c r="S75" s="302" t="e">
        <f t="shared" si="100"/>
        <v>#REF!</v>
      </c>
      <c r="T75" s="298">
        <v>0</v>
      </c>
      <c r="U75" s="303">
        <v>0</v>
      </c>
      <c r="V75" s="147"/>
      <c r="W75" s="302" t="e">
        <f t="shared" si="104"/>
        <v>#REF!</v>
      </c>
      <c r="X75" s="298">
        <v>0</v>
      </c>
      <c r="Y75" s="303">
        <v>0</v>
      </c>
      <c r="Z75" s="147"/>
      <c r="AA75" s="302" t="e">
        <f t="shared" si="101"/>
        <v>#REF!</v>
      </c>
      <c r="AB75" s="298">
        <v>0</v>
      </c>
      <c r="AC75" s="303">
        <v>0</v>
      </c>
      <c r="AD75" s="298"/>
      <c r="AE75" s="302" t="e">
        <f t="shared" si="14"/>
        <v>#REF!</v>
      </c>
      <c r="AF75" s="298">
        <v>0</v>
      </c>
      <c r="AG75" s="303">
        <v>0</v>
      </c>
      <c r="AH75" s="147"/>
      <c r="AI75" s="302" t="e">
        <f t="shared" si="15"/>
        <v>#REF!</v>
      </c>
      <c r="AJ75" s="298">
        <v>0</v>
      </c>
      <c r="AK75" s="303">
        <v>0</v>
      </c>
      <c r="AL75" s="147"/>
      <c r="AM75" s="302" t="e">
        <f t="shared" si="83"/>
        <v>#REF!</v>
      </c>
      <c r="AN75" s="298">
        <v>0</v>
      </c>
      <c r="AO75" s="303">
        <v>0</v>
      </c>
      <c r="AP75" s="298"/>
      <c r="AQ75" s="302" t="e">
        <f t="shared" si="16"/>
        <v>#REF!</v>
      </c>
      <c r="AR75" s="298">
        <v>0</v>
      </c>
      <c r="AS75" s="303">
        <v>0</v>
      </c>
      <c r="AT75" s="147"/>
      <c r="AU75" s="302" t="e">
        <f t="shared" si="102"/>
        <v>#REF!</v>
      </c>
      <c r="AV75" s="298">
        <v>0</v>
      </c>
      <c r="AW75" s="303">
        <v>0</v>
      </c>
      <c r="AX75" s="298"/>
      <c r="AY75" s="299"/>
      <c r="AZ75" s="299"/>
      <c r="BA75" s="298"/>
    </row>
    <row r="76" spans="1:53" x14ac:dyDescent="0.2">
      <c r="A76" s="76">
        <f t="shared" si="103"/>
        <v>69</v>
      </c>
      <c r="B76" s="670"/>
      <c r="C76" s="671" t="s">
        <v>7</v>
      </c>
      <c r="D76" s="147"/>
      <c r="E76" s="147" t="e">
        <f>ROUND('Allocation = ¢ per Therm'!K68,5)</f>
        <v>#REF!</v>
      </c>
      <c r="F76" s="147">
        <f>ROUND('Allocation = % of Margin'!U65,5)</f>
        <v>0</v>
      </c>
      <c r="G76" s="147">
        <f>ROUND('Allocation = % of Margin'!X65,5)</f>
        <v>-1.25E-3</v>
      </c>
      <c r="H76" s="147">
        <f>ROUND('Allocation = % of Margin'!AA65,5)</f>
        <v>4.4000000000000002E-4</v>
      </c>
      <c r="I76" s="147">
        <f>ROUND('Allocation = % of Margin'!AG65,5)</f>
        <v>0</v>
      </c>
      <c r="J76" s="147">
        <f>ROUND('Allocation = % of Margin'!AJ65,5)</f>
        <v>-1.2099999999999999E-3</v>
      </c>
      <c r="K76" s="147">
        <f>ROUND('Allocation = % of Margin'!AM65,5)</f>
        <v>-1.2E-4</v>
      </c>
      <c r="L76" s="147"/>
      <c r="M76" s="551" t="e">
        <f>#REF!</f>
        <v>#REF!</v>
      </c>
      <c r="N76" s="287" t="e">
        <f>'Rev Req Proof Yr1'!R76</f>
        <v>#REF!</v>
      </c>
      <c r="O76" s="288">
        <f>'Rev Req Proof Yr1'!S76</f>
        <v>0</v>
      </c>
      <c r="P76" s="289">
        <f>'Rev Req Proof Yr1'!T76</f>
        <v>0</v>
      </c>
      <c r="Q76" s="290">
        <f>'Rev Req Proof Yr1'!U76</f>
        <v>0</v>
      </c>
      <c r="R76" s="147"/>
      <c r="S76" s="302" t="e">
        <f t="shared" si="100"/>
        <v>#REF!</v>
      </c>
      <c r="T76" s="298">
        <v>0</v>
      </c>
      <c r="U76" s="303">
        <v>0</v>
      </c>
      <c r="V76" s="147"/>
      <c r="W76" s="302" t="e">
        <f t="shared" si="104"/>
        <v>#REF!</v>
      </c>
      <c r="X76" s="298">
        <v>0</v>
      </c>
      <c r="Y76" s="303">
        <v>0</v>
      </c>
      <c r="Z76" s="147"/>
      <c r="AA76" s="302" t="e">
        <f t="shared" si="101"/>
        <v>#REF!</v>
      </c>
      <c r="AB76" s="298">
        <v>0</v>
      </c>
      <c r="AC76" s="303">
        <v>0</v>
      </c>
      <c r="AD76" s="298"/>
      <c r="AE76" s="302" t="e">
        <f t="shared" si="14"/>
        <v>#REF!</v>
      </c>
      <c r="AF76" s="298">
        <v>0</v>
      </c>
      <c r="AG76" s="303">
        <v>0</v>
      </c>
      <c r="AH76" s="147"/>
      <c r="AI76" s="302" t="e">
        <f t="shared" si="15"/>
        <v>#REF!</v>
      </c>
      <c r="AJ76" s="298">
        <v>0</v>
      </c>
      <c r="AK76" s="303">
        <v>0</v>
      </c>
      <c r="AL76" s="147"/>
      <c r="AM76" s="302" t="e">
        <f t="shared" si="83"/>
        <v>#REF!</v>
      </c>
      <c r="AN76" s="298">
        <v>0</v>
      </c>
      <c r="AO76" s="303">
        <v>0</v>
      </c>
      <c r="AP76" s="298"/>
      <c r="AQ76" s="302" t="e">
        <f t="shared" si="16"/>
        <v>#REF!</v>
      </c>
      <c r="AR76" s="298">
        <v>0</v>
      </c>
      <c r="AS76" s="303">
        <v>0</v>
      </c>
      <c r="AT76" s="147"/>
      <c r="AU76" s="302" t="e">
        <f t="shared" si="102"/>
        <v>#REF!</v>
      </c>
      <c r="AV76" s="298">
        <v>0</v>
      </c>
      <c r="AW76" s="303">
        <v>0</v>
      </c>
      <c r="AX76" s="298"/>
      <c r="AY76" s="299"/>
      <c r="AZ76" s="299"/>
      <c r="BA76" s="298"/>
    </row>
    <row r="77" spans="1:53" x14ac:dyDescent="0.2">
      <c r="A77" s="76">
        <f t="shared" si="103"/>
        <v>70</v>
      </c>
      <c r="B77" s="670"/>
      <c r="C77" s="671" t="s">
        <v>8</v>
      </c>
      <c r="D77" s="147"/>
      <c r="E77" s="147" t="e">
        <f>ROUND('Allocation = ¢ per Therm'!K69,5)</f>
        <v>#REF!</v>
      </c>
      <c r="F77" s="147">
        <f>ROUND('Allocation = % of Margin'!U66,5)</f>
        <v>0</v>
      </c>
      <c r="G77" s="147">
        <f>ROUND('Allocation = % of Margin'!X66,5)</f>
        <v>-8.3000000000000001E-4</v>
      </c>
      <c r="H77" s="147">
        <f>ROUND('Allocation = % of Margin'!AA66,5)</f>
        <v>2.9E-4</v>
      </c>
      <c r="I77" s="147">
        <f>ROUND('Allocation = % of Margin'!AG66,5)</f>
        <v>0</v>
      </c>
      <c r="J77" s="147">
        <f>ROUND('Allocation = % of Margin'!AJ66,5)</f>
        <v>-8.0999999999999996E-4</v>
      </c>
      <c r="K77" s="147">
        <f>ROUND('Allocation = % of Margin'!AM66,5)</f>
        <v>-8.0000000000000007E-5</v>
      </c>
      <c r="L77" s="147"/>
      <c r="M77" s="551" t="e">
        <f>#REF!</f>
        <v>#REF!</v>
      </c>
      <c r="N77" s="287" t="e">
        <f>'Rev Req Proof Yr1'!R77</f>
        <v>#REF!</v>
      </c>
      <c r="O77" s="288">
        <f>'Rev Req Proof Yr1'!S77</f>
        <v>0</v>
      </c>
      <c r="P77" s="289">
        <f>'Rev Req Proof Yr1'!T77</f>
        <v>0</v>
      </c>
      <c r="Q77" s="290">
        <f>'Rev Req Proof Yr1'!U77</f>
        <v>0</v>
      </c>
      <c r="R77" s="147"/>
      <c r="S77" s="302" t="e">
        <f t="shared" si="100"/>
        <v>#REF!</v>
      </c>
      <c r="T77" s="298">
        <v>0</v>
      </c>
      <c r="U77" s="303">
        <v>0</v>
      </c>
      <c r="V77" s="147"/>
      <c r="W77" s="302" t="e">
        <f t="shared" si="104"/>
        <v>#REF!</v>
      </c>
      <c r="X77" s="298">
        <v>0</v>
      </c>
      <c r="Y77" s="303">
        <v>0</v>
      </c>
      <c r="Z77" s="147"/>
      <c r="AA77" s="302" t="e">
        <f t="shared" si="101"/>
        <v>#REF!</v>
      </c>
      <c r="AB77" s="298">
        <v>0</v>
      </c>
      <c r="AC77" s="303">
        <v>0</v>
      </c>
      <c r="AD77" s="298"/>
      <c r="AE77" s="302" t="e">
        <f t="shared" si="14"/>
        <v>#REF!</v>
      </c>
      <c r="AF77" s="298">
        <v>0</v>
      </c>
      <c r="AG77" s="303">
        <v>0</v>
      </c>
      <c r="AH77" s="147"/>
      <c r="AI77" s="302" t="e">
        <f t="shared" si="15"/>
        <v>#REF!</v>
      </c>
      <c r="AJ77" s="298">
        <v>0</v>
      </c>
      <c r="AK77" s="303">
        <v>0</v>
      </c>
      <c r="AL77" s="147"/>
      <c r="AM77" s="302" t="e">
        <f t="shared" si="83"/>
        <v>#REF!</v>
      </c>
      <c r="AN77" s="298">
        <v>0</v>
      </c>
      <c r="AO77" s="303">
        <v>0</v>
      </c>
      <c r="AP77" s="298"/>
      <c r="AQ77" s="302" t="e">
        <f t="shared" si="16"/>
        <v>#REF!</v>
      </c>
      <c r="AR77" s="298">
        <v>0</v>
      </c>
      <c r="AS77" s="303">
        <v>0</v>
      </c>
      <c r="AT77" s="147"/>
      <c r="AU77" s="302" t="e">
        <f t="shared" si="102"/>
        <v>#REF!</v>
      </c>
      <c r="AV77" s="298">
        <v>0</v>
      </c>
      <c r="AW77" s="303">
        <v>0</v>
      </c>
      <c r="AX77" s="298"/>
      <c r="AY77" s="299"/>
      <c r="AZ77" s="299"/>
      <c r="BA77" s="298"/>
    </row>
    <row r="78" spans="1:53" x14ac:dyDescent="0.2">
      <c r="A78" s="76">
        <f t="shared" si="103"/>
        <v>71</v>
      </c>
      <c r="B78" s="670"/>
      <c r="C78" s="671" t="s">
        <v>9</v>
      </c>
      <c r="D78" s="147"/>
      <c r="E78" s="147" t="e">
        <f>ROUND('Allocation = ¢ per Therm'!K70,5)</f>
        <v>#REF!</v>
      </c>
      <c r="F78" s="147">
        <f>ROUND('Allocation = % of Margin'!U67,5)</f>
        <v>0</v>
      </c>
      <c r="G78" s="147">
        <f>ROUND('Allocation = % of Margin'!X67,5)</f>
        <v>-3.1E-4</v>
      </c>
      <c r="H78" s="147">
        <f>ROUND('Allocation = % of Margin'!AA67,5)</f>
        <v>1.1E-4</v>
      </c>
      <c r="I78" s="147">
        <f>ROUND('Allocation = % of Margin'!AG67,5)</f>
        <v>0</v>
      </c>
      <c r="J78" s="147">
        <f>ROUND('Allocation = % of Margin'!AJ67,5)</f>
        <v>-2.9999999999999997E-4</v>
      </c>
      <c r="K78" s="147">
        <f>ROUND('Allocation = % of Margin'!AM67,5)</f>
        <v>-3.0000000000000001E-5</v>
      </c>
      <c r="L78" s="147"/>
      <c r="M78" s="551" t="e">
        <f>#REF!</f>
        <v>#REF!</v>
      </c>
      <c r="N78" s="287" t="e">
        <f>'Rev Req Proof Yr1'!R78</f>
        <v>#REF!</v>
      </c>
      <c r="O78" s="288">
        <f>'Rev Req Proof Yr1'!S78</f>
        <v>0</v>
      </c>
      <c r="P78" s="289">
        <f>'Rev Req Proof Yr1'!T78</f>
        <v>0</v>
      </c>
      <c r="Q78" s="290">
        <f>'Rev Req Proof Yr1'!U78</f>
        <v>0</v>
      </c>
      <c r="R78" s="147"/>
      <c r="S78" s="302" t="e">
        <f t="shared" si="100"/>
        <v>#REF!</v>
      </c>
      <c r="T78" s="298">
        <v>0</v>
      </c>
      <c r="U78" s="303">
        <v>0</v>
      </c>
      <c r="V78" s="147"/>
      <c r="W78" s="302" t="e">
        <f t="shared" si="104"/>
        <v>#REF!</v>
      </c>
      <c r="X78" s="298">
        <v>0</v>
      </c>
      <c r="Y78" s="303">
        <v>0</v>
      </c>
      <c r="Z78" s="147"/>
      <c r="AA78" s="302" t="e">
        <f t="shared" si="101"/>
        <v>#REF!</v>
      </c>
      <c r="AB78" s="298">
        <v>0</v>
      </c>
      <c r="AC78" s="303">
        <v>0</v>
      </c>
      <c r="AD78" s="298"/>
      <c r="AE78" s="302" t="e">
        <f t="shared" si="14"/>
        <v>#REF!</v>
      </c>
      <c r="AF78" s="298">
        <v>0</v>
      </c>
      <c r="AG78" s="303">
        <v>0</v>
      </c>
      <c r="AH78" s="147"/>
      <c r="AI78" s="302" t="e">
        <f t="shared" si="15"/>
        <v>#REF!</v>
      </c>
      <c r="AJ78" s="298">
        <v>0</v>
      </c>
      <c r="AK78" s="303">
        <v>0</v>
      </c>
      <c r="AL78" s="147"/>
      <c r="AM78" s="302" t="e">
        <f t="shared" si="83"/>
        <v>#REF!</v>
      </c>
      <c r="AN78" s="298">
        <v>0</v>
      </c>
      <c r="AO78" s="303">
        <v>0</v>
      </c>
      <c r="AP78" s="298"/>
      <c r="AQ78" s="302" t="e">
        <f t="shared" si="16"/>
        <v>#REF!</v>
      </c>
      <c r="AR78" s="298">
        <v>0</v>
      </c>
      <c r="AS78" s="303">
        <v>0</v>
      </c>
      <c r="AT78" s="147"/>
      <c r="AU78" s="302" t="e">
        <f t="shared" si="102"/>
        <v>#REF!</v>
      </c>
      <c r="AV78" s="298">
        <v>0</v>
      </c>
      <c r="AW78" s="303">
        <v>0</v>
      </c>
      <c r="AX78" s="298"/>
      <c r="AY78" s="299"/>
      <c r="AZ78" s="299"/>
      <c r="BA78" s="298"/>
    </row>
    <row r="79" spans="1:53" x14ac:dyDescent="0.2">
      <c r="A79" s="76">
        <f t="shared" si="103"/>
        <v>72</v>
      </c>
      <c r="B79" s="668"/>
      <c r="C79" s="686" t="s">
        <v>62</v>
      </c>
      <c r="D79" s="143"/>
      <c r="E79" s="143"/>
      <c r="F79" s="143"/>
      <c r="G79" s="747"/>
      <c r="H79" s="747"/>
      <c r="I79" s="747"/>
      <c r="J79" s="747"/>
      <c r="K79" s="747"/>
      <c r="L79" s="143"/>
      <c r="M79" s="551"/>
      <c r="N79" s="287"/>
      <c r="O79" s="288"/>
      <c r="P79" s="289"/>
      <c r="Q79" s="290"/>
      <c r="R79" s="147"/>
      <c r="S79" s="304" t="e">
        <f>SUM(S73:S78)</f>
        <v>#REF!</v>
      </c>
      <c r="T79" s="305">
        <f>SUM(T73:T78)</f>
        <v>0</v>
      </c>
      <c r="U79" s="306">
        <f>SUM(U73:U78)</f>
        <v>0</v>
      </c>
      <c r="V79" s="147"/>
      <c r="W79" s="304" t="e">
        <f>SUM(W73:W78)</f>
        <v>#REF!</v>
      </c>
      <c r="X79" s="305">
        <f>SUM(X73:X78)</f>
        <v>0</v>
      </c>
      <c r="Y79" s="306">
        <f>SUM(Y73:Y78)</f>
        <v>0</v>
      </c>
      <c r="Z79" s="147"/>
      <c r="AA79" s="304" t="e">
        <f>SUM(AA73:AA78)</f>
        <v>#REF!</v>
      </c>
      <c r="AB79" s="305">
        <f>SUM(AB73:AB78)</f>
        <v>0</v>
      </c>
      <c r="AC79" s="306">
        <f>SUM(AC73:AC78)</f>
        <v>0</v>
      </c>
      <c r="AD79" s="317"/>
      <c r="AE79" s="304" t="e">
        <f>SUM(AE73:AE78)</f>
        <v>#REF!</v>
      </c>
      <c r="AF79" s="305">
        <f>SUM(AF73:AF78)</f>
        <v>0</v>
      </c>
      <c r="AG79" s="306">
        <f>SUM(AG73:AG78)</f>
        <v>0</v>
      </c>
      <c r="AH79" s="147"/>
      <c r="AI79" s="304" t="e">
        <f>SUM(AI73:AI78)</f>
        <v>#REF!</v>
      </c>
      <c r="AJ79" s="305">
        <f>SUM(AJ73:AJ78)</f>
        <v>0</v>
      </c>
      <c r="AK79" s="306">
        <f>SUM(AK73:AK78)</f>
        <v>0</v>
      </c>
      <c r="AL79" s="147"/>
      <c r="AM79" s="304" t="e">
        <f>SUM(AM73:AM78)</f>
        <v>#REF!</v>
      </c>
      <c r="AN79" s="305">
        <f>SUM(AN73:AN78)</f>
        <v>0</v>
      </c>
      <c r="AO79" s="306">
        <f>SUM(AO73:AO78)</f>
        <v>0</v>
      </c>
      <c r="AP79" s="317"/>
      <c r="AQ79" s="304" t="e">
        <f>SUM(AQ73:AQ78)</f>
        <v>#REF!</v>
      </c>
      <c r="AR79" s="305">
        <f>SUM(AR73:AR78)</f>
        <v>0</v>
      </c>
      <c r="AS79" s="306">
        <f>SUM(AS73:AS78)</f>
        <v>0</v>
      </c>
      <c r="AT79" s="147"/>
      <c r="AU79" s="304" t="e">
        <f>SUM(AU73:AU78)</f>
        <v>#REF!</v>
      </c>
      <c r="AV79" s="305">
        <f>SUM(AV73:AV78)</f>
        <v>0</v>
      </c>
      <c r="AW79" s="306">
        <f>SUM(AW73:AW78)</f>
        <v>0</v>
      </c>
      <c r="AX79" s="298"/>
      <c r="AY79" s="299"/>
      <c r="AZ79" s="299"/>
      <c r="BA79" s="298"/>
    </row>
    <row r="80" spans="1:53" x14ac:dyDescent="0.2">
      <c r="A80" s="76">
        <f t="shared" si="103"/>
        <v>73</v>
      </c>
      <c r="B80" s="670" t="str">
        <f>'Avg Bill by RS'!B73</f>
        <v>42I Interr Sales</v>
      </c>
      <c r="C80" s="671" t="s">
        <v>4</v>
      </c>
      <c r="D80" s="152"/>
      <c r="E80" s="147" t="e">
        <f>ROUND('Allocation = ¢ per Therm'!K71,5)</f>
        <v>#REF!</v>
      </c>
      <c r="F80" s="147">
        <f>ROUND('Allocation = % of Margin'!U68,5)</f>
        <v>0</v>
      </c>
      <c r="G80" s="147">
        <f>ROUND('Allocation = % of Margin'!X68,5)</f>
        <v>-1.1199999999999999E-3</v>
      </c>
      <c r="H80" s="147">
        <f>ROUND('Allocation = % of Margin'!AA68,5)</f>
        <v>5.1000000000000004E-4</v>
      </c>
      <c r="I80" s="147">
        <f>ROUND('Allocation = % of Margin'!AG68,5)</f>
        <v>0</v>
      </c>
      <c r="J80" s="147">
        <f>ROUND('Allocation = % of Margin'!AJ68,5)</f>
        <v>-1.08E-3</v>
      </c>
      <c r="K80" s="147">
        <f>ROUND('Allocation = % of Margin'!AM68,5)</f>
        <v>-1.1E-4</v>
      </c>
      <c r="L80" s="152"/>
      <c r="M80" s="551" t="e">
        <f>#REF!</f>
        <v>#REF!</v>
      </c>
      <c r="N80" s="287" t="e">
        <f>'Rev Req Proof Yr1'!R80</f>
        <v>#REF!</v>
      </c>
      <c r="O80" s="288">
        <f>'Rev Req Proof Yr1'!S80</f>
        <v>0</v>
      </c>
      <c r="P80" s="289" t="e">
        <f>'Rev Req Proof Yr1'!T80</f>
        <v>#REF!</v>
      </c>
      <c r="Q80" s="290" t="e">
        <f>'Rev Req Proof Yr1'!U80</f>
        <v>#REF!</v>
      </c>
      <c r="R80" s="152"/>
      <c r="S80" s="302" t="e">
        <f t="shared" ref="S80:S85" si="105">((E80)*N80)</f>
        <v>#REF!</v>
      </c>
      <c r="T80" s="298">
        <v>0</v>
      </c>
      <c r="U80" s="303">
        <v>0</v>
      </c>
      <c r="V80" s="152"/>
      <c r="W80" s="302" t="e">
        <f>((F80)*N80)</f>
        <v>#REF!</v>
      </c>
      <c r="X80" s="298">
        <v>0</v>
      </c>
      <c r="Y80" s="303">
        <v>0</v>
      </c>
      <c r="Z80" s="152"/>
      <c r="AA80" s="302" t="e">
        <f t="shared" ref="AA80:AA85" si="106">((G80)*N80)</f>
        <v>#REF!</v>
      </c>
      <c r="AB80" s="298">
        <v>0</v>
      </c>
      <c r="AC80" s="303">
        <v>0</v>
      </c>
      <c r="AD80" s="298"/>
      <c r="AE80" s="302" t="e">
        <f t="shared" si="14"/>
        <v>#REF!</v>
      </c>
      <c r="AF80" s="298">
        <v>0</v>
      </c>
      <c r="AG80" s="303">
        <v>0</v>
      </c>
      <c r="AH80" s="152"/>
      <c r="AI80" s="302" t="e">
        <f t="shared" si="15"/>
        <v>#REF!</v>
      </c>
      <c r="AJ80" s="298">
        <v>0</v>
      </c>
      <c r="AK80" s="303">
        <v>0</v>
      </c>
      <c r="AL80" s="152"/>
      <c r="AM80" s="302" t="e">
        <f t="shared" si="83"/>
        <v>#REF!</v>
      </c>
      <c r="AN80" s="298">
        <v>0</v>
      </c>
      <c r="AO80" s="303">
        <v>0</v>
      </c>
      <c r="AP80" s="298"/>
      <c r="AQ80" s="302" t="e">
        <f t="shared" si="16"/>
        <v>#REF!</v>
      </c>
      <c r="AR80" s="298">
        <v>0</v>
      </c>
      <c r="AS80" s="303">
        <v>0</v>
      </c>
      <c r="AT80" s="152"/>
      <c r="AU80" s="302" t="e">
        <f t="shared" ref="AU80:AU85" si="107">((E80+F80+G80+K80)*N80)</f>
        <v>#REF!</v>
      </c>
      <c r="AV80" s="298">
        <v>0</v>
      </c>
      <c r="AW80" s="303">
        <v>0</v>
      </c>
      <c r="AX80" s="309"/>
      <c r="AY80" s="299"/>
      <c r="AZ80" s="299"/>
      <c r="BA80" s="309"/>
    </row>
    <row r="81" spans="1:53" x14ac:dyDescent="0.2">
      <c r="A81" s="76">
        <f t="shared" si="103"/>
        <v>74</v>
      </c>
      <c r="B81" s="670"/>
      <c r="C81" s="671" t="s">
        <v>5</v>
      </c>
      <c r="D81" s="152"/>
      <c r="E81" s="147" t="e">
        <f>ROUND('Allocation = ¢ per Therm'!K72,5)</f>
        <v>#REF!</v>
      </c>
      <c r="F81" s="147">
        <f>ROUND('Allocation = % of Margin'!U69,5)</f>
        <v>0</v>
      </c>
      <c r="G81" s="147">
        <f>ROUND('Allocation = % of Margin'!X69,5)</f>
        <v>-1E-3</v>
      </c>
      <c r="H81" s="147">
        <f>ROUND('Allocation = % of Margin'!AA69,5)</f>
        <v>4.4999999999999999E-4</v>
      </c>
      <c r="I81" s="147">
        <f>ROUND('Allocation = % of Margin'!AG69,5)</f>
        <v>0</v>
      </c>
      <c r="J81" s="147">
        <f>ROUND('Allocation = % of Margin'!AJ69,5)</f>
        <v>-9.7000000000000005E-4</v>
      </c>
      <c r="K81" s="147">
        <f>ROUND('Allocation = % of Margin'!AM69,5)</f>
        <v>-1E-4</v>
      </c>
      <c r="L81" s="152"/>
      <c r="M81" s="551" t="e">
        <f>#REF!</f>
        <v>#REF!</v>
      </c>
      <c r="N81" s="287" t="e">
        <f>'Rev Req Proof Yr1'!R81</f>
        <v>#REF!</v>
      </c>
      <c r="O81" s="288">
        <f>'Rev Req Proof Yr1'!S81</f>
        <v>0</v>
      </c>
      <c r="P81" s="289">
        <f>'Rev Req Proof Yr1'!T81</f>
        <v>0</v>
      </c>
      <c r="Q81" s="290">
        <f>'Rev Req Proof Yr1'!U81</f>
        <v>0</v>
      </c>
      <c r="R81" s="152"/>
      <c r="S81" s="302" t="e">
        <f t="shared" si="105"/>
        <v>#REF!</v>
      </c>
      <c r="T81" s="298">
        <v>0</v>
      </c>
      <c r="U81" s="303">
        <v>0</v>
      </c>
      <c r="V81" s="152"/>
      <c r="W81" s="302" t="e">
        <f t="shared" ref="W81:W85" si="108">((F81)*N81)</f>
        <v>#REF!</v>
      </c>
      <c r="X81" s="298">
        <v>0</v>
      </c>
      <c r="Y81" s="303">
        <v>0</v>
      </c>
      <c r="Z81" s="152"/>
      <c r="AA81" s="302" t="e">
        <f t="shared" si="106"/>
        <v>#REF!</v>
      </c>
      <c r="AB81" s="298">
        <v>0</v>
      </c>
      <c r="AC81" s="303">
        <v>0</v>
      </c>
      <c r="AD81" s="298"/>
      <c r="AE81" s="302" t="e">
        <f t="shared" si="14"/>
        <v>#REF!</v>
      </c>
      <c r="AF81" s="298">
        <v>0</v>
      </c>
      <c r="AG81" s="303">
        <v>0</v>
      </c>
      <c r="AH81" s="152"/>
      <c r="AI81" s="302" t="e">
        <f t="shared" si="15"/>
        <v>#REF!</v>
      </c>
      <c r="AJ81" s="298">
        <v>0</v>
      </c>
      <c r="AK81" s="303">
        <v>0</v>
      </c>
      <c r="AL81" s="152"/>
      <c r="AM81" s="302" t="e">
        <f t="shared" si="83"/>
        <v>#REF!</v>
      </c>
      <c r="AN81" s="298">
        <v>0</v>
      </c>
      <c r="AO81" s="303">
        <v>0</v>
      </c>
      <c r="AP81" s="298"/>
      <c r="AQ81" s="302" t="e">
        <f t="shared" ref="AQ81:AQ85" si="109">((K81)*N81)</f>
        <v>#REF!</v>
      </c>
      <c r="AR81" s="298">
        <v>0</v>
      </c>
      <c r="AS81" s="303">
        <v>0</v>
      </c>
      <c r="AT81" s="152"/>
      <c r="AU81" s="302" t="e">
        <f t="shared" si="107"/>
        <v>#REF!</v>
      </c>
      <c r="AV81" s="298">
        <v>0</v>
      </c>
      <c r="AW81" s="303">
        <v>0</v>
      </c>
      <c r="AX81" s="309"/>
      <c r="AY81" s="299"/>
      <c r="AZ81" s="146"/>
      <c r="BA81" s="309"/>
    </row>
    <row r="82" spans="1:53" x14ac:dyDescent="0.2">
      <c r="A82" s="76">
        <f t="shared" si="103"/>
        <v>75</v>
      </c>
      <c r="B82" s="670"/>
      <c r="C82" s="671" t="s">
        <v>6</v>
      </c>
      <c r="D82" s="152"/>
      <c r="E82" s="147" t="e">
        <f>ROUND('Allocation = ¢ per Therm'!K73,5)</f>
        <v>#REF!</v>
      </c>
      <c r="F82" s="147">
        <f>ROUND('Allocation = % of Margin'!U70,5)</f>
        <v>0</v>
      </c>
      <c r="G82" s="147">
        <f>ROUND('Allocation = % of Margin'!X70,5)</f>
        <v>-7.6999999999999996E-4</v>
      </c>
      <c r="H82" s="147">
        <f>ROUND('Allocation = % of Margin'!AA70,5)</f>
        <v>3.5E-4</v>
      </c>
      <c r="I82" s="147">
        <f>ROUND('Allocation = % of Margin'!AG70,5)</f>
        <v>0</v>
      </c>
      <c r="J82" s="147">
        <f>ROUND('Allocation = % of Margin'!AJ70,5)</f>
        <v>-7.3999999999999999E-4</v>
      </c>
      <c r="K82" s="147">
        <f>ROUND('Allocation = % of Margin'!AM70,5)</f>
        <v>-8.0000000000000007E-5</v>
      </c>
      <c r="L82" s="152"/>
      <c r="M82" s="551" t="e">
        <f>#REF!</f>
        <v>#REF!</v>
      </c>
      <c r="N82" s="287" t="e">
        <f>'Rev Req Proof Yr1'!R82</f>
        <v>#REF!</v>
      </c>
      <c r="O82" s="288">
        <f>'Rev Req Proof Yr1'!S82</f>
        <v>0</v>
      </c>
      <c r="P82" s="289">
        <f>'Rev Req Proof Yr1'!T82</f>
        <v>0</v>
      </c>
      <c r="Q82" s="290">
        <f>'Rev Req Proof Yr1'!U82</f>
        <v>0</v>
      </c>
      <c r="R82" s="152"/>
      <c r="S82" s="302" t="e">
        <f t="shared" si="105"/>
        <v>#REF!</v>
      </c>
      <c r="T82" s="298">
        <v>0</v>
      </c>
      <c r="U82" s="303">
        <v>0</v>
      </c>
      <c r="V82" s="152"/>
      <c r="W82" s="302" t="e">
        <f t="shared" si="108"/>
        <v>#REF!</v>
      </c>
      <c r="X82" s="298">
        <v>0</v>
      </c>
      <c r="Y82" s="303">
        <v>0</v>
      </c>
      <c r="Z82" s="152"/>
      <c r="AA82" s="302" t="e">
        <f t="shared" si="106"/>
        <v>#REF!</v>
      </c>
      <c r="AB82" s="298">
        <v>0</v>
      </c>
      <c r="AC82" s="303">
        <v>0</v>
      </c>
      <c r="AD82" s="298"/>
      <c r="AE82" s="302" t="e">
        <f t="shared" ref="AE82:AE96" si="110">((H82)*N82)</f>
        <v>#REF!</v>
      </c>
      <c r="AF82" s="298">
        <v>0</v>
      </c>
      <c r="AG82" s="303">
        <v>0</v>
      </c>
      <c r="AH82" s="152"/>
      <c r="AI82" s="302" t="e">
        <f t="shared" ref="AI82:AI96" si="111">((I82)*N82)</f>
        <v>#REF!</v>
      </c>
      <c r="AJ82" s="298">
        <v>0</v>
      </c>
      <c r="AK82" s="303">
        <v>0</v>
      </c>
      <c r="AL82" s="152"/>
      <c r="AM82" s="302" t="e">
        <f t="shared" si="83"/>
        <v>#REF!</v>
      </c>
      <c r="AN82" s="298">
        <v>0</v>
      </c>
      <c r="AO82" s="303">
        <v>0</v>
      </c>
      <c r="AP82" s="298"/>
      <c r="AQ82" s="302" t="e">
        <f t="shared" si="109"/>
        <v>#REF!</v>
      </c>
      <c r="AR82" s="298">
        <v>0</v>
      </c>
      <c r="AS82" s="303">
        <v>0</v>
      </c>
      <c r="AT82" s="152"/>
      <c r="AU82" s="302" t="e">
        <f t="shared" si="107"/>
        <v>#REF!</v>
      </c>
      <c r="AV82" s="298">
        <v>0</v>
      </c>
      <c r="AW82" s="303">
        <v>0</v>
      </c>
      <c r="AX82" s="309"/>
      <c r="AY82" s="299"/>
      <c r="AZ82" s="146"/>
      <c r="BA82" s="309"/>
    </row>
    <row r="83" spans="1:53" x14ac:dyDescent="0.2">
      <c r="A83" s="76">
        <f t="shared" si="103"/>
        <v>76</v>
      </c>
      <c r="B83" s="670"/>
      <c r="C83" s="671" t="s">
        <v>7</v>
      </c>
      <c r="D83" s="152"/>
      <c r="E83" s="147" t="e">
        <f>ROUND('Allocation = ¢ per Therm'!K74,5)</f>
        <v>#REF!</v>
      </c>
      <c r="F83" s="147">
        <f>ROUND('Allocation = % of Margin'!U71,5)</f>
        <v>0</v>
      </c>
      <c r="G83" s="147">
        <f>ROUND('Allocation = % of Margin'!X71,5)</f>
        <v>-6.0999999999999997E-4</v>
      </c>
      <c r="H83" s="147">
        <f>ROUND('Allocation = % of Margin'!AA71,5)</f>
        <v>2.7999999999999998E-4</v>
      </c>
      <c r="I83" s="147">
        <f>ROUND('Allocation = % of Margin'!AG71,5)</f>
        <v>0</v>
      </c>
      <c r="J83" s="147">
        <f>ROUND('Allocation = % of Margin'!AJ71,5)</f>
        <v>-5.9000000000000003E-4</v>
      </c>
      <c r="K83" s="147">
        <f>ROUND('Allocation = % of Margin'!AM71,5)</f>
        <v>-6.0000000000000002E-5</v>
      </c>
      <c r="L83" s="152"/>
      <c r="M83" s="551" t="e">
        <f>#REF!</f>
        <v>#REF!</v>
      </c>
      <c r="N83" s="287" t="e">
        <f>'Rev Req Proof Yr1'!R83</f>
        <v>#REF!</v>
      </c>
      <c r="O83" s="288">
        <f>'Rev Req Proof Yr1'!S83</f>
        <v>0</v>
      </c>
      <c r="P83" s="289">
        <f>'Rev Req Proof Yr1'!T83</f>
        <v>0</v>
      </c>
      <c r="Q83" s="290">
        <f>'Rev Req Proof Yr1'!U83</f>
        <v>0</v>
      </c>
      <c r="R83" s="152"/>
      <c r="S83" s="302" t="e">
        <f t="shared" si="105"/>
        <v>#REF!</v>
      </c>
      <c r="T83" s="298">
        <v>0</v>
      </c>
      <c r="U83" s="303">
        <v>0</v>
      </c>
      <c r="V83" s="152"/>
      <c r="W83" s="302" t="e">
        <f t="shared" si="108"/>
        <v>#REF!</v>
      </c>
      <c r="X83" s="298">
        <v>0</v>
      </c>
      <c r="Y83" s="303">
        <v>0</v>
      </c>
      <c r="Z83" s="152"/>
      <c r="AA83" s="302" t="e">
        <f t="shared" si="106"/>
        <v>#REF!</v>
      </c>
      <c r="AB83" s="298">
        <v>0</v>
      </c>
      <c r="AC83" s="303">
        <v>0</v>
      </c>
      <c r="AD83" s="298"/>
      <c r="AE83" s="302" t="e">
        <f t="shared" si="110"/>
        <v>#REF!</v>
      </c>
      <c r="AF83" s="298">
        <v>0</v>
      </c>
      <c r="AG83" s="303">
        <v>0</v>
      </c>
      <c r="AH83" s="152"/>
      <c r="AI83" s="302" t="e">
        <f t="shared" si="111"/>
        <v>#REF!</v>
      </c>
      <c r="AJ83" s="298">
        <v>0</v>
      </c>
      <c r="AK83" s="303">
        <v>0</v>
      </c>
      <c r="AL83" s="152"/>
      <c r="AM83" s="302" t="e">
        <f t="shared" si="83"/>
        <v>#REF!</v>
      </c>
      <c r="AN83" s="298">
        <v>0</v>
      </c>
      <c r="AO83" s="303">
        <v>0</v>
      </c>
      <c r="AP83" s="298"/>
      <c r="AQ83" s="302" t="e">
        <f t="shared" si="109"/>
        <v>#REF!</v>
      </c>
      <c r="AR83" s="298">
        <v>0</v>
      </c>
      <c r="AS83" s="303">
        <v>0</v>
      </c>
      <c r="AT83" s="152"/>
      <c r="AU83" s="302" t="e">
        <f t="shared" si="107"/>
        <v>#REF!</v>
      </c>
      <c r="AV83" s="298">
        <v>0</v>
      </c>
      <c r="AW83" s="303">
        <v>0</v>
      </c>
      <c r="AX83" s="309"/>
      <c r="AY83" s="299"/>
      <c r="AZ83" s="146"/>
      <c r="BA83" s="309"/>
    </row>
    <row r="84" spans="1:53" x14ac:dyDescent="0.2">
      <c r="A84" s="76">
        <f t="shared" si="103"/>
        <v>77</v>
      </c>
      <c r="B84" s="670"/>
      <c r="C84" s="671" t="s">
        <v>8</v>
      </c>
      <c r="D84" s="152"/>
      <c r="E84" s="147" t="e">
        <f>ROUND('Allocation = ¢ per Therm'!K75,5)</f>
        <v>#REF!</v>
      </c>
      <c r="F84" s="147">
        <f>ROUND('Allocation = % of Margin'!U72,5)</f>
        <v>0</v>
      </c>
      <c r="G84" s="147">
        <f>ROUND('Allocation = % of Margin'!X72,5)</f>
        <v>-4.0999999999999999E-4</v>
      </c>
      <c r="H84" s="147">
        <f>ROUND('Allocation = % of Margin'!AA72,5)</f>
        <v>1.9000000000000001E-4</v>
      </c>
      <c r="I84" s="147">
        <f>ROUND('Allocation = % of Margin'!AG72,5)</f>
        <v>0</v>
      </c>
      <c r="J84" s="147">
        <f>ROUND('Allocation = % of Margin'!AJ72,5)</f>
        <v>-4.0000000000000002E-4</v>
      </c>
      <c r="K84" s="147">
        <f>ROUND('Allocation = % of Margin'!AM72,5)</f>
        <v>-4.0000000000000003E-5</v>
      </c>
      <c r="L84" s="152"/>
      <c r="M84" s="551" t="e">
        <f>#REF!</f>
        <v>#REF!</v>
      </c>
      <c r="N84" s="287" t="e">
        <f>'Rev Req Proof Yr1'!R84</f>
        <v>#REF!</v>
      </c>
      <c r="O84" s="288">
        <f>'Rev Req Proof Yr1'!S84</f>
        <v>0</v>
      </c>
      <c r="P84" s="289">
        <f>'Rev Req Proof Yr1'!T84</f>
        <v>0</v>
      </c>
      <c r="Q84" s="290">
        <f>'Rev Req Proof Yr1'!U84</f>
        <v>0</v>
      </c>
      <c r="R84" s="152"/>
      <c r="S84" s="302" t="e">
        <f t="shared" si="105"/>
        <v>#REF!</v>
      </c>
      <c r="T84" s="298">
        <v>0</v>
      </c>
      <c r="U84" s="303">
        <v>0</v>
      </c>
      <c r="V84" s="152"/>
      <c r="W84" s="302" t="e">
        <f t="shared" si="108"/>
        <v>#REF!</v>
      </c>
      <c r="X84" s="298">
        <v>0</v>
      </c>
      <c r="Y84" s="303">
        <v>0</v>
      </c>
      <c r="Z84" s="152"/>
      <c r="AA84" s="302" t="e">
        <f t="shared" si="106"/>
        <v>#REF!</v>
      </c>
      <c r="AB84" s="298">
        <v>0</v>
      </c>
      <c r="AC84" s="303">
        <v>0</v>
      </c>
      <c r="AD84" s="298"/>
      <c r="AE84" s="302" t="e">
        <f t="shared" si="110"/>
        <v>#REF!</v>
      </c>
      <c r="AF84" s="298">
        <v>0</v>
      </c>
      <c r="AG84" s="303">
        <v>0</v>
      </c>
      <c r="AH84" s="152"/>
      <c r="AI84" s="302" t="e">
        <f t="shared" si="111"/>
        <v>#REF!</v>
      </c>
      <c r="AJ84" s="298">
        <v>0</v>
      </c>
      <c r="AK84" s="303">
        <v>0</v>
      </c>
      <c r="AL84" s="152"/>
      <c r="AM84" s="302" t="e">
        <f t="shared" si="83"/>
        <v>#REF!</v>
      </c>
      <c r="AN84" s="298">
        <v>0</v>
      </c>
      <c r="AO84" s="303">
        <v>0</v>
      </c>
      <c r="AP84" s="298"/>
      <c r="AQ84" s="302" t="e">
        <f t="shared" si="109"/>
        <v>#REF!</v>
      </c>
      <c r="AR84" s="298">
        <v>0</v>
      </c>
      <c r="AS84" s="303">
        <v>0</v>
      </c>
      <c r="AT84" s="152"/>
      <c r="AU84" s="302" t="e">
        <f t="shared" si="107"/>
        <v>#REF!</v>
      </c>
      <c r="AV84" s="298">
        <v>0</v>
      </c>
      <c r="AW84" s="303">
        <v>0</v>
      </c>
      <c r="AX84" s="309"/>
      <c r="AY84" s="299"/>
      <c r="AZ84" s="144"/>
      <c r="BA84" s="309"/>
    </row>
    <row r="85" spans="1:53" x14ac:dyDescent="0.2">
      <c r="A85" s="76">
        <f t="shared" si="103"/>
        <v>78</v>
      </c>
      <c r="B85" s="670"/>
      <c r="C85" s="671" t="s">
        <v>9</v>
      </c>
      <c r="D85" s="152"/>
      <c r="E85" s="147" t="e">
        <f>ROUND('Allocation = ¢ per Therm'!K76,5)</f>
        <v>#REF!</v>
      </c>
      <c r="F85" s="147">
        <f>ROUND('Allocation = % of Margin'!U73,5)</f>
        <v>0</v>
      </c>
      <c r="G85" s="147">
        <f>ROUND('Allocation = % of Margin'!X73,5)</f>
        <v>-1.4999999999999999E-4</v>
      </c>
      <c r="H85" s="147">
        <f>ROUND('Allocation = % of Margin'!AA73,5)</f>
        <v>6.9999999999999994E-5</v>
      </c>
      <c r="I85" s="147">
        <f>ROUND('Allocation = % of Margin'!AG73,5)</f>
        <v>0</v>
      </c>
      <c r="J85" s="147">
        <f>ROUND('Allocation = % of Margin'!AJ73,5)</f>
        <v>-1.4999999999999999E-4</v>
      </c>
      <c r="K85" s="147">
        <f>ROUND('Allocation = % of Margin'!AM73,5)</f>
        <v>-2.0000000000000002E-5</v>
      </c>
      <c r="L85" s="152"/>
      <c r="M85" s="551" t="e">
        <f>#REF!</f>
        <v>#REF!</v>
      </c>
      <c r="N85" s="287" t="e">
        <f>'Rev Req Proof Yr1'!R85</f>
        <v>#REF!</v>
      </c>
      <c r="O85" s="288">
        <f>'Rev Req Proof Yr1'!S85</f>
        <v>0</v>
      </c>
      <c r="P85" s="289">
        <f>'Rev Req Proof Yr1'!T85</f>
        <v>0</v>
      </c>
      <c r="Q85" s="290">
        <f>'Rev Req Proof Yr1'!U85</f>
        <v>0</v>
      </c>
      <c r="R85" s="152"/>
      <c r="S85" s="302" t="e">
        <f t="shared" si="105"/>
        <v>#REF!</v>
      </c>
      <c r="T85" s="298">
        <v>0</v>
      </c>
      <c r="U85" s="303">
        <v>0</v>
      </c>
      <c r="V85" s="152"/>
      <c r="W85" s="302" t="e">
        <f t="shared" si="108"/>
        <v>#REF!</v>
      </c>
      <c r="X85" s="298">
        <v>0</v>
      </c>
      <c r="Y85" s="303">
        <v>0</v>
      </c>
      <c r="Z85" s="152"/>
      <c r="AA85" s="302" t="e">
        <f t="shared" si="106"/>
        <v>#REF!</v>
      </c>
      <c r="AB85" s="298">
        <v>0</v>
      </c>
      <c r="AC85" s="303">
        <v>0</v>
      </c>
      <c r="AD85" s="298"/>
      <c r="AE85" s="302" t="e">
        <f t="shared" si="110"/>
        <v>#REF!</v>
      </c>
      <c r="AF85" s="298">
        <v>0</v>
      </c>
      <c r="AG85" s="303">
        <v>0</v>
      </c>
      <c r="AH85" s="152"/>
      <c r="AI85" s="302" t="e">
        <f t="shared" si="111"/>
        <v>#REF!</v>
      </c>
      <c r="AJ85" s="298">
        <v>0</v>
      </c>
      <c r="AK85" s="303">
        <v>0</v>
      </c>
      <c r="AL85" s="152"/>
      <c r="AM85" s="302" t="e">
        <f t="shared" si="83"/>
        <v>#REF!</v>
      </c>
      <c r="AN85" s="298">
        <v>0</v>
      </c>
      <c r="AO85" s="303">
        <v>0</v>
      </c>
      <c r="AP85" s="298"/>
      <c r="AQ85" s="302" t="e">
        <f t="shared" si="109"/>
        <v>#REF!</v>
      </c>
      <c r="AR85" s="298">
        <v>0</v>
      </c>
      <c r="AS85" s="303">
        <v>0</v>
      </c>
      <c r="AT85" s="152"/>
      <c r="AU85" s="302" t="e">
        <f t="shared" si="107"/>
        <v>#REF!</v>
      </c>
      <c r="AV85" s="298">
        <v>0</v>
      </c>
      <c r="AW85" s="303">
        <v>0</v>
      </c>
      <c r="AX85" s="309"/>
      <c r="AY85" s="299"/>
      <c r="AZ85" s="144"/>
      <c r="BA85" s="309"/>
    </row>
    <row r="86" spans="1:53" x14ac:dyDescent="0.2">
      <c r="A86" s="76">
        <f t="shared" si="103"/>
        <v>79</v>
      </c>
      <c r="B86" s="668"/>
      <c r="C86" s="686" t="s">
        <v>62</v>
      </c>
      <c r="D86" s="153"/>
      <c r="E86" s="143"/>
      <c r="F86" s="143"/>
      <c r="G86" s="747"/>
      <c r="H86" s="747"/>
      <c r="I86" s="747"/>
      <c r="J86" s="747"/>
      <c r="K86" s="747"/>
      <c r="L86" s="153"/>
      <c r="M86" s="550"/>
      <c r="N86" s="287"/>
      <c r="O86" s="147"/>
      <c r="P86" s="147"/>
      <c r="Q86" s="148"/>
      <c r="R86" s="152"/>
      <c r="S86" s="304" t="e">
        <f>SUM(S80:S85)</f>
        <v>#REF!</v>
      </c>
      <c r="T86" s="305">
        <f>SUM(T80:T85)</f>
        <v>0</v>
      </c>
      <c r="U86" s="306">
        <f>SUM(U80:U85)</f>
        <v>0</v>
      </c>
      <c r="V86" s="152"/>
      <c r="W86" s="304" t="e">
        <f>SUM(W80:W85)</f>
        <v>#REF!</v>
      </c>
      <c r="X86" s="305">
        <f>SUM(X80:X85)</f>
        <v>0</v>
      </c>
      <c r="Y86" s="306">
        <f>SUM(Y80:Y85)</f>
        <v>0</v>
      </c>
      <c r="Z86" s="152"/>
      <c r="AA86" s="304" t="e">
        <f>SUM(AA80:AA85)</f>
        <v>#REF!</v>
      </c>
      <c r="AB86" s="305">
        <f>SUM(AB80:AB85)</f>
        <v>0</v>
      </c>
      <c r="AC86" s="306">
        <f>SUM(AC80:AC85)</f>
        <v>0</v>
      </c>
      <c r="AD86" s="317"/>
      <c r="AE86" s="304" t="e">
        <f>SUM(AE80:AE85)</f>
        <v>#REF!</v>
      </c>
      <c r="AF86" s="305">
        <f>SUM(AF80:AF85)</f>
        <v>0</v>
      </c>
      <c r="AG86" s="306">
        <f>SUM(AG80:AG85)</f>
        <v>0</v>
      </c>
      <c r="AH86" s="152"/>
      <c r="AI86" s="304" t="e">
        <f>SUM(AI80:AI85)</f>
        <v>#REF!</v>
      </c>
      <c r="AJ86" s="305">
        <f>SUM(AJ80:AJ85)</f>
        <v>0</v>
      </c>
      <c r="AK86" s="306">
        <f>SUM(AK80:AK85)</f>
        <v>0</v>
      </c>
      <c r="AL86" s="152"/>
      <c r="AM86" s="304" t="e">
        <f>SUM(AM80:AM85)</f>
        <v>#REF!</v>
      </c>
      <c r="AN86" s="305">
        <f>SUM(AN80:AN85)</f>
        <v>0</v>
      </c>
      <c r="AO86" s="306">
        <f>SUM(AO80:AO85)</f>
        <v>0</v>
      </c>
      <c r="AP86" s="317"/>
      <c r="AQ86" s="304" t="e">
        <f>SUM(AQ80:AQ85)</f>
        <v>#REF!</v>
      </c>
      <c r="AR86" s="305">
        <f>SUM(AR80:AR85)</f>
        <v>0</v>
      </c>
      <c r="AS86" s="306">
        <f>SUM(AS80:AS85)</f>
        <v>0</v>
      </c>
      <c r="AT86" s="152"/>
      <c r="AU86" s="304" t="e">
        <f>SUM(AU80:AU85)</f>
        <v>#REF!</v>
      </c>
      <c r="AV86" s="305">
        <f>SUM(AV80:AV85)</f>
        <v>0</v>
      </c>
      <c r="AW86" s="306">
        <f>SUM(AW80:AW85)</f>
        <v>0</v>
      </c>
      <c r="AX86" s="309"/>
      <c r="AY86" s="299"/>
      <c r="AZ86" s="144"/>
      <c r="BA86" s="309"/>
    </row>
    <row r="87" spans="1:53" x14ac:dyDescent="0.2">
      <c r="A87" s="76">
        <f t="shared" si="103"/>
        <v>80</v>
      </c>
      <c r="B87" s="670" t="str">
        <f>'Avg Bill by RS'!B80</f>
        <v>42C Inter Transpt</v>
      </c>
      <c r="C87" s="671" t="s">
        <v>4</v>
      </c>
      <c r="D87" s="152"/>
      <c r="E87" s="147" t="e">
        <f>ROUND('Allocation = ¢ per Therm'!K77,5)</f>
        <v>#REF!</v>
      </c>
      <c r="F87" s="147">
        <f>ROUND('Allocation = % of Margin'!U74,5)</f>
        <v>0</v>
      </c>
      <c r="G87" s="147">
        <f>ROUND('Allocation = % of Margin'!X74,5)</f>
        <v>-1.34E-3</v>
      </c>
      <c r="H87" s="147">
        <f>ROUND('Allocation = % of Margin'!AA74,5)</f>
        <v>4.6999999999999999E-4</v>
      </c>
      <c r="I87" s="147">
        <f>ROUND('Allocation = % of Margin'!AG74,5)</f>
        <v>0</v>
      </c>
      <c r="J87" s="147">
        <f>ROUND('Allocation = % of Margin'!AJ74,5)</f>
        <v>-1.2999999999999999E-3</v>
      </c>
      <c r="K87" s="147">
        <f>ROUND('Allocation = % of Margin'!AM74,5)</f>
        <v>-1.2999999999999999E-4</v>
      </c>
      <c r="L87" s="152"/>
      <c r="M87" s="551" t="e">
        <f>#REF!</f>
        <v>#REF!</v>
      </c>
      <c r="N87" s="287" t="e">
        <f>'Rev Req Proof Yr1'!R87</f>
        <v>#REF!</v>
      </c>
      <c r="O87" s="288">
        <f>'Rev Req Proof Yr1'!S87</f>
        <v>0</v>
      </c>
      <c r="P87" s="289" t="e">
        <f>'Rev Req Proof Yr1'!T87</f>
        <v>#REF!</v>
      </c>
      <c r="Q87" s="290" t="e">
        <f>'Rev Req Proof Yr1'!U87</f>
        <v>#REF!</v>
      </c>
      <c r="R87" s="152"/>
      <c r="S87" s="302" t="e">
        <f t="shared" ref="S87:S92" si="112">((E87)*N87)</f>
        <v>#REF!</v>
      </c>
      <c r="T87" s="298">
        <v>0</v>
      </c>
      <c r="U87" s="303">
        <v>0</v>
      </c>
      <c r="V87" s="152"/>
      <c r="W87" s="302" t="e">
        <f>((F87)*N87)</f>
        <v>#REF!</v>
      </c>
      <c r="X87" s="298">
        <v>0</v>
      </c>
      <c r="Y87" s="303">
        <v>0</v>
      </c>
      <c r="Z87" s="152"/>
      <c r="AA87" s="302" t="e">
        <f t="shared" ref="AA87:AA92" si="113">((G87)*N87)</f>
        <v>#REF!</v>
      </c>
      <c r="AB87" s="298">
        <v>0</v>
      </c>
      <c r="AC87" s="303">
        <v>0</v>
      </c>
      <c r="AD87" s="298"/>
      <c r="AE87" s="302" t="e">
        <f t="shared" si="110"/>
        <v>#REF!</v>
      </c>
      <c r="AF87" s="298">
        <v>0</v>
      </c>
      <c r="AG87" s="303">
        <v>0</v>
      </c>
      <c r="AH87" s="152"/>
      <c r="AI87" s="302" t="e">
        <f t="shared" si="111"/>
        <v>#REF!</v>
      </c>
      <c r="AJ87" s="298">
        <v>0</v>
      </c>
      <c r="AK87" s="303">
        <v>0</v>
      </c>
      <c r="AL87" s="152"/>
      <c r="AM87" s="302" t="e">
        <f t="shared" si="83"/>
        <v>#REF!</v>
      </c>
      <c r="AN87" s="298">
        <v>0</v>
      </c>
      <c r="AO87" s="303">
        <v>0</v>
      </c>
      <c r="AP87" s="298"/>
      <c r="AQ87" s="302" t="e">
        <f t="shared" ref="AQ87:AQ96" si="114">((K87)*N87)</f>
        <v>#REF!</v>
      </c>
      <c r="AR87" s="298">
        <v>0</v>
      </c>
      <c r="AS87" s="303">
        <v>0</v>
      </c>
      <c r="AT87" s="152"/>
      <c r="AU87" s="302" t="e">
        <f t="shared" ref="AU87:AU92" si="115">((E87+F87+G87+K87)*N87)</f>
        <v>#REF!</v>
      </c>
      <c r="AV87" s="298">
        <v>0</v>
      </c>
      <c r="AW87" s="303">
        <v>0</v>
      </c>
      <c r="AX87" s="309"/>
      <c r="AY87" s="299"/>
      <c r="AZ87" s="299"/>
      <c r="BA87" s="309"/>
    </row>
    <row r="88" spans="1:53" x14ac:dyDescent="0.2">
      <c r="A88" s="76">
        <f t="shared" si="103"/>
        <v>81</v>
      </c>
      <c r="B88" s="670"/>
      <c r="C88" s="671" t="s">
        <v>5</v>
      </c>
      <c r="D88" s="152"/>
      <c r="E88" s="147" t="e">
        <f>ROUND('Allocation = ¢ per Therm'!K78,5)</f>
        <v>#REF!</v>
      </c>
      <c r="F88" s="147">
        <f>ROUND('Allocation = % of Margin'!U75,5)</f>
        <v>0</v>
      </c>
      <c r="G88" s="147">
        <f>ROUND('Allocation = % of Margin'!X75,5)</f>
        <v>-1.1999999999999999E-3</v>
      </c>
      <c r="H88" s="147">
        <f>ROUND('Allocation = % of Margin'!AA75,5)</f>
        <v>4.2000000000000002E-4</v>
      </c>
      <c r="I88" s="147">
        <f>ROUND('Allocation = % of Margin'!AG75,5)</f>
        <v>0</v>
      </c>
      <c r="J88" s="147">
        <f>ROUND('Allocation = % of Margin'!AJ75,5)</f>
        <v>-1.16E-3</v>
      </c>
      <c r="K88" s="147">
        <f>ROUND('Allocation = % of Margin'!AM75,5)</f>
        <v>-1.2E-4</v>
      </c>
      <c r="L88" s="152"/>
      <c r="M88" s="551" t="e">
        <f>#REF!</f>
        <v>#REF!</v>
      </c>
      <c r="N88" s="287" t="e">
        <f>'Rev Req Proof Yr1'!R88</f>
        <v>#REF!</v>
      </c>
      <c r="O88" s="288">
        <f>'Rev Req Proof Yr1'!S88</f>
        <v>0</v>
      </c>
      <c r="P88" s="289">
        <f>'Rev Req Proof Yr1'!T88</f>
        <v>0</v>
      </c>
      <c r="Q88" s="290">
        <f>'Rev Req Proof Yr1'!U88</f>
        <v>0</v>
      </c>
      <c r="R88" s="152"/>
      <c r="S88" s="302" t="e">
        <f t="shared" si="112"/>
        <v>#REF!</v>
      </c>
      <c r="T88" s="298">
        <v>0</v>
      </c>
      <c r="U88" s="303">
        <v>0</v>
      </c>
      <c r="V88" s="152"/>
      <c r="W88" s="302" t="e">
        <f t="shared" ref="W88:W92" si="116">((F88)*N88)</f>
        <v>#REF!</v>
      </c>
      <c r="X88" s="298">
        <v>0</v>
      </c>
      <c r="Y88" s="303">
        <v>0</v>
      </c>
      <c r="Z88" s="152"/>
      <c r="AA88" s="302" t="e">
        <f t="shared" si="113"/>
        <v>#REF!</v>
      </c>
      <c r="AB88" s="298">
        <v>0</v>
      </c>
      <c r="AC88" s="303">
        <v>0</v>
      </c>
      <c r="AD88" s="298"/>
      <c r="AE88" s="302" t="e">
        <f t="shared" si="110"/>
        <v>#REF!</v>
      </c>
      <c r="AF88" s="298">
        <v>0</v>
      </c>
      <c r="AG88" s="303">
        <v>0</v>
      </c>
      <c r="AH88" s="152"/>
      <c r="AI88" s="302" t="e">
        <f t="shared" si="111"/>
        <v>#REF!</v>
      </c>
      <c r="AJ88" s="298">
        <v>0</v>
      </c>
      <c r="AK88" s="303">
        <v>0</v>
      </c>
      <c r="AL88" s="152"/>
      <c r="AM88" s="302" t="e">
        <f t="shared" si="83"/>
        <v>#REF!</v>
      </c>
      <c r="AN88" s="298">
        <v>0</v>
      </c>
      <c r="AO88" s="303">
        <v>0</v>
      </c>
      <c r="AP88" s="298"/>
      <c r="AQ88" s="302" t="e">
        <f t="shared" si="114"/>
        <v>#REF!</v>
      </c>
      <c r="AR88" s="298">
        <v>0</v>
      </c>
      <c r="AS88" s="303">
        <v>0</v>
      </c>
      <c r="AT88" s="152"/>
      <c r="AU88" s="302" t="e">
        <f t="shared" si="115"/>
        <v>#REF!</v>
      </c>
      <c r="AV88" s="298">
        <v>0</v>
      </c>
      <c r="AW88" s="303">
        <v>0</v>
      </c>
      <c r="AX88" s="309"/>
      <c r="AY88" s="299"/>
      <c r="AZ88" s="146"/>
      <c r="BA88" s="309"/>
    </row>
    <row r="89" spans="1:53" x14ac:dyDescent="0.2">
      <c r="A89" s="76">
        <f t="shared" si="103"/>
        <v>82</v>
      </c>
      <c r="B89" s="670"/>
      <c r="C89" s="671" t="s">
        <v>6</v>
      </c>
      <c r="D89" s="152"/>
      <c r="E89" s="147" t="e">
        <f>ROUND('Allocation = ¢ per Therm'!K79,5)</f>
        <v>#REF!</v>
      </c>
      <c r="F89" s="147">
        <f>ROUND('Allocation = % of Margin'!U76,5)</f>
        <v>0</v>
      </c>
      <c r="G89" s="147">
        <f>ROUND('Allocation = % of Margin'!X76,5)</f>
        <v>-9.2000000000000003E-4</v>
      </c>
      <c r="H89" s="147">
        <f>ROUND('Allocation = % of Margin'!AA76,5)</f>
        <v>3.2000000000000003E-4</v>
      </c>
      <c r="I89" s="147">
        <f>ROUND('Allocation = % of Margin'!AG76,5)</f>
        <v>0</v>
      </c>
      <c r="J89" s="147">
        <f>ROUND('Allocation = % of Margin'!AJ76,5)</f>
        <v>-8.8999999999999995E-4</v>
      </c>
      <c r="K89" s="147">
        <f>ROUND('Allocation = % of Margin'!AM76,5)</f>
        <v>-9.0000000000000006E-5</v>
      </c>
      <c r="L89" s="152"/>
      <c r="M89" s="551" t="e">
        <f>#REF!</f>
        <v>#REF!</v>
      </c>
      <c r="N89" s="287" t="e">
        <f>'Rev Req Proof Yr1'!R89</f>
        <v>#REF!</v>
      </c>
      <c r="O89" s="288">
        <f>'Rev Req Proof Yr1'!S89</f>
        <v>0</v>
      </c>
      <c r="P89" s="289">
        <f>'Rev Req Proof Yr1'!T89</f>
        <v>0</v>
      </c>
      <c r="Q89" s="290">
        <f>'Rev Req Proof Yr1'!U89</f>
        <v>0</v>
      </c>
      <c r="R89" s="152"/>
      <c r="S89" s="302" t="e">
        <f t="shared" si="112"/>
        <v>#REF!</v>
      </c>
      <c r="T89" s="298">
        <v>0</v>
      </c>
      <c r="U89" s="303">
        <v>0</v>
      </c>
      <c r="V89" s="152"/>
      <c r="W89" s="302" t="e">
        <f t="shared" si="116"/>
        <v>#REF!</v>
      </c>
      <c r="X89" s="298">
        <v>0</v>
      </c>
      <c r="Y89" s="303">
        <v>0</v>
      </c>
      <c r="Z89" s="152"/>
      <c r="AA89" s="302" t="e">
        <f t="shared" si="113"/>
        <v>#REF!</v>
      </c>
      <c r="AB89" s="298">
        <v>0</v>
      </c>
      <c r="AC89" s="303">
        <v>0</v>
      </c>
      <c r="AD89" s="298"/>
      <c r="AE89" s="302" t="e">
        <f t="shared" si="110"/>
        <v>#REF!</v>
      </c>
      <c r="AF89" s="298">
        <v>0</v>
      </c>
      <c r="AG89" s="303">
        <v>0</v>
      </c>
      <c r="AH89" s="152"/>
      <c r="AI89" s="302" t="e">
        <f t="shared" si="111"/>
        <v>#REF!</v>
      </c>
      <c r="AJ89" s="298">
        <v>0</v>
      </c>
      <c r="AK89" s="303">
        <v>0</v>
      </c>
      <c r="AL89" s="152"/>
      <c r="AM89" s="302" t="e">
        <f t="shared" si="83"/>
        <v>#REF!</v>
      </c>
      <c r="AN89" s="298">
        <v>0</v>
      </c>
      <c r="AO89" s="303">
        <v>0</v>
      </c>
      <c r="AP89" s="298"/>
      <c r="AQ89" s="302" t="e">
        <f t="shared" si="114"/>
        <v>#REF!</v>
      </c>
      <c r="AR89" s="298">
        <v>0</v>
      </c>
      <c r="AS89" s="303">
        <v>0</v>
      </c>
      <c r="AT89" s="152"/>
      <c r="AU89" s="302" t="e">
        <f t="shared" si="115"/>
        <v>#REF!</v>
      </c>
      <c r="AV89" s="298">
        <v>0</v>
      </c>
      <c r="AW89" s="303">
        <v>0</v>
      </c>
      <c r="AX89" s="309"/>
      <c r="AY89" s="299"/>
      <c r="AZ89" s="146"/>
      <c r="BA89" s="309"/>
    </row>
    <row r="90" spans="1:53" x14ac:dyDescent="0.2">
      <c r="A90" s="76">
        <f t="shared" si="103"/>
        <v>83</v>
      </c>
      <c r="B90" s="670"/>
      <c r="C90" s="671" t="s">
        <v>7</v>
      </c>
      <c r="D90" s="152"/>
      <c r="E90" s="147" t="e">
        <f>ROUND('Allocation = ¢ per Therm'!K80,5)</f>
        <v>#REF!</v>
      </c>
      <c r="F90" s="147">
        <f>ROUND('Allocation = % of Margin'!U77,5)</f>
        <v>0</v>
      </c>
      <c r="G90" s="147">
        <f>ROUND('Allocation = % of Margin'!X77,5)</f>
        <v>-7.3999999999999999E-4</v>
      </c>
      <c r="H90" s="147">
        <f>ROUND('Allocation = % of Margin'!AA77,5)</f>
        <v>2.5999999999999998E-4</v>
      </c>
      <c r="I90" s="147">
        <f>ROUND('Allocation = % of Margin'!AG77,5)</f>
        <v>0</v>
      </c>
      <c r="J90" s="147">
        <f>ROUND('Allocation = % of Margin'!AJ77,5)</f>
        <v>-7.1000000000000002E-4</v>
      </c>
      <c r="K90" s="147">
        <f>ROUND('Allocation = % of Margin'!AM77,5)</f>
        <v>-6.9999999999999994E-5</v>
      </c>
      <c r="L90" s="152"/>
      <c r="M90" s="551" t="e">
        <f>#REF!</f>
        <v>#REF!</v>
      </c>
      <c r="N90" s="287" t="e">
        <f>'Rev Req Proof Yr1'!R90</f>
        <v>#REF!</v>
      </c>
      <c r="O90" s="288">
        <f>'Rev Req Proof Yr1'!S90</f>
        <v>0</v>
      </c>
      <c r="P90" s="289">
        <f>'Rev Req Proof Yr1'!T90</f>
        <v>0</v>
      </c>
      <c r="Q90" s="290">
        <f>'Rev Req Proof Yr1'!U90</f>
        <v>0</v>
      </c>
      <c r="R90" s="152"/>
      <c r="S90" s="302" t="e">
        <f t="shared" si="112"/>
        <v>#REF!</v>
      </c>
      <c r="T90" s="298">
        <v>0</v>
      </c>
      <c r="U90" s="303">
        <v>0</v>
      </c>
      <c r="V90" s="152"/>
      <c r="W90" s="302" t="e">
        <f t="shared" si="116"/>
        <v>#REF!</v>
      </c>
      <c r="X90" s="298">
        <v>0</v>
      </c>
      <c r="Y90" s="303">
        <v>0</v>
      </c>
      <c r="Z90" s="152"/>
      <c r="AA90" s="302" t="e">
        <f t="shared" si="113"/>
        <v>#REF!</v>
      </c>
      <c r="AB90" s="298">
        <v>0</v>
      </c>
      <c r="AC90" s="303">
        <v>0</v>
      </c>
      <c r="AD90" s="298"/>
      <c r="AE90" s="302" t="e">
        <f t="shared" si="110"/>
        <v>#REF!</v>
      </c>
      <c r="AF90" s="298">
        <v>0</v>
      </c>
      <c r="AG90" s="303">
        <v>0</v>
      </c>
      <c r="AH90" s="152"/>
      <c r="AI90" s="302" t="e">
        <f t="shared" si="111"/>
        <v>#REF!</v>
      </c>
      <c r="AJ90" s="298">
        <v>0</v>
      </c>
      <c r="AK90" s="303">
        <v>0</v>
      </c>
      <c r="AL90" s="152"/>
      <c r="AM90" s="302" t="e">
        <f t="shared" si="83"/>
        <v>#REF!</v>
      </c>
      <c r="AN90" s="298">
        <v>0</v>
      </c>
      <c r="AO90" s="303">
        <v>0</v>
      </c>
      <c r="AP90" s="298"/>
      <c r="AQ90" s="302" t="e">
        <f t="shared" si="114"/>
        <v>#REF!</v>
      </c>
      <c r="AR90" s="298">
        <v>0</v>
      </c>
      <c r="AS90" s="303">
        <v>0</v>
      </c>
      <c r="AT90" s="152"/>
      <c r="AU90" s="302" t="e">
        <f t="shared" si="115"/>
        <v>#REF!</v>
      </c>
      <c r="AV90" s="298">
        <v>0</v>
      </c>
      <c r="AW90" s="303">
        <v>0</v>
      </c>
      <c r="AX90" s="309"/>
      <c r="AY90" s="299"/>
      <c r="AZ90" s="146"/>
      <c r="BA90" s="309"/>
    </row>
    <row r="91" spans="1:53" x14ac:dyDescent="0.2">
      <c r="A91" s="76">
        <f t="shared" si="103"/>
        <v>84</v>
      </c>
      <c r="B91" s="670"/>
      <c r="C91" s="671" t="s">
        <v>8</v>
      </c>
      <c r="D91" s="152"/>
      <c r="E91" s="147" t="e">
        <f>ROUND('Allocation = ¢ per Therm'!K81,5)</f>
        <v>#REF!</v>
      </c>
      <c r="F91" s="147">
        <f>ROUND('Allocation = % of Margin'!U78,5)</f>
        <v>0</v>
      </c>
      <c r="G91" s="147">
        <f>ROUND('Allocation = % of Margin'!X78,5)</f>
        <v>-4.8999999999999998E-4</v>
      </c>
      <c r="H91" s="147">
        <f>ROUND('Allocation = % of Margin'!AA78,5)</f>
        <v>1.7000000000000001E-4</v>
      </c>
      <c r="I91" s="147">
        <f>ROUND('Allocation = % of Margin'!AG78,5)</f>
        <v>0</v>
      </c>
      <c r="J91" s="147">
        <f>ROUND('Allocation = % of Margin'!AJ78,5)</f>
        <v>-4.6999999999999999E-4</v>
      </c>
      <c r="K91" s="147">
        <f>ROUND('Allocation = % of Margin'!AM78,5)</f>
        <v>-5.0000000000000002E-5</v>
      </c>
      <c r="L91" s="152"/>
      <c r="M91" s="551" t="e">
        <f>#REF!</f>
        <v>#REF!</v>
      </c>
      <c r="N91" s="287" t="e">
        <f>'Rev Req Proof Yr1'!R91</f>
        <v>#REF!</v>
      </c>
      <c r="O91" s="288">
        <f>'Rev Req Proof Yr1'!S91</f>
        <v>0</v>
      </c>
      <c r="P91" s="289">
        <f>'Rev Req Proof Yr1'!T91</f>
        <v>0</v>
      </c>
      <c r="Q91" s="290">
        <f>'Rev Req Proof Yr1'!U91</f>
        <v>0</v>
      </c>
      <c r="R91" s="152"/>
      <c r="S91" s="302" t="e">
        <f t="shared" si="112"/>
        <v>#REF!</v>
      </c>
      <c r="T91" s="298">
        <v>0</v>
      </c>
      <c r="U91" s="303">
        <v>0</v>
      </c>
      <c r="V91" s="152"/>
      <c r="W91" s="302" t="e">
        <f t="shared" si="116"/>
        <v>#REF!</v>
      </c>
      <c r="X91" s="298">
        <v>0</v>
      </c>
      <c r="Y91" s="303">
        <v>0</v>
      </c>
      <c r="Z91" s="152"/>
      <c r="AA91" s="302" t="e">
        <f t="shared" si="113"/>
        <v>#REF!</v>
      </c>
      <c r="AB91" s="298">
        <v>0</v>
      </c>
      <c r="AC91" s="303">
        <v>0</v>
      </c>
      <c r="AD91" s="298"/>
      <c r="AE91" s="302" t="e">
        <f t="shared" si="110"/>
        <v>#REF!</v>
      </c>
      <c r="AF91" s="298">
        <v>0</v>
      </c>
      <c r="AG91" s="303">
        <v>0</v>
      </c>
      <c r="AH91" s="152"/>
      <c r="AI91" s="302" t="e">
        <f t="shared" si="111"/>
        <v>#REF!</v>
      </c>
      <c r="AJ91" s="298">
        <v>0</v>
      </c>
      <c r="AK91" s="303">
        <v>0</v>
      </c>
      <c r="AL91" s="152"/>
      <c r="AM91" s="302" t="e">
        <f t="shared" si="83"/>
        <v>#REF!</v>
      </c>
      <c r="AN91" s="298">
        <v>0</v>
      </c>
      <c r="AO91" s="303">
        <v>0</v>
      </c>
      <c r="AP91" s="298"/>
      <c r="AQ91" s="302" t="e">
        <f t="shared" si="114"/>
        <v>#REF!</v>
      </c>
      <c r="AR91" s="298">
        <v>0</v>
      </c>
      <c r="AS91" s="303">
        <v>0</v>
      </c>
      <c r="AT91" s="152"/>
      <c r="AU91" s="302" t="e">
        <f t="shared" si="115"/>
        <v>#REF!</v>
      </c>
      <c r="AV91" s="298">
        <v>0</v>
      </c>
      <c r="AW91" s="303">
        <v>0</v>
      </c>
      <c r="AX91" s="309"/>
      <c r="AY91" s="299"/>
      <c r="AZ91" s="144"/>
      <c r="BA91" s="309"/>
    </row>
    <row r="92" spans="1:53" x14ac:dyDescent="0.2">
      <c r="A92" s="76">
        <f t="shared" si="103"/>
        <v>85</v>
      </c>
      <c r="B92" s="670"/>
      <c r="C92" s="671" t="s">
        <v>9</v>
      </c>
      <c r="D92" s="152"/>
      <c r="E92" s="147" t="e">
        <f>ROUND('Allocation = ¢ per Therm'!K82,5)</f>
        <v>#REF!</v>
      </c>
      <c r="F92" s="147">
        <f>ROUND('Allocation = % of Margin'!U79,5)</f>
        <v>0</v>
      </c>
      <c r="G92" s="147">
        <f>ROUND('Allocation = % of Margin'!X79,5)</f>
        <v>-1.8000000000000001E-4</v>
      </c>
      <c r="H92" s="147">
        <f>ROUND('Allocation = % of Margin'!AA79,5)</f>
        <v>6.0000000000000002E-5</v>
      </c>
      <c r="I92" s="147">
        <f>ROUND('Allocation = % of Margin'!AG79,5)</f>
        <v>0</v>
      </c>
      <c r="J92" s="147">
        <f>ROUND('Allocation = % of Margin'!AJ79,5)</f>
        <v>-1.8000000000000001E-4</v>
      </c>
      <c r="K92" s="147">
        <f>ROUND('Allocation = % of Margin'!AM79,5)</f>
        <v>-2.0000000000000002E-5</v>
      </c>
      <c r="L92" s="152"/>
      <c r="M92" s="551" t="e">
        <f>#REF!</f>
        <v>#REF!</v>
      </c>
      <c r="N92" s="287" t="e">
        <f>'Rev Req Proof Yr1'!R92</f>
        <v>#REF!</v>
      </c>
      <c r="O92" s="288">
        <f>'Rev Req Proof Yr1'!S92</f>
        <v>0</v>
      </c>
      <c r="P92" s="289">
        <f>'Rev Req Proof Yr1'!T92</f>
        <v>0</v>
      </c>
      <c r="Q92" s="290">
        <f>'Rev Req Proof Yr1'!U92</f>
        <v>0</v>
      </c>
      <c r="R92" s="152"/>
      <c r="S92" s="302" t="e">
        <f t="shared" si="112"/>
        <v>#REF!</v>
      </c>
      <c r="T92" s="298">
        <v>0</v>
      </c>
      <c r="U92" s="303">
        <v>0</v>
      </c>
      <c r="V92" s="152"/>
      <c r="W92" s="302" t="e">
        <f t="shared" si="116"/>
        <v>#REF!</v>
      </c>
      <c r="X92" s="298">
        <v>0</v>
      </c>
      <c r="Y92" s="303">
        <v>0</v>
      </c>
      <c r="Z92" s="152"/>
      <c r="AA92" s="302" t="e">
        <f t="shared" si="113"/>
        <v>#REF!</v>
      </c>
      <c r="AB92" s="298">
        <v>0</v>
      </c>
      <c r="AC92" s="303">
        <v>0</v>
      </c>
      <c r="AD92" s="298"/>
      <c r="AE92" s="302" t="e">
        <f t="shared" si="110"/>
        <v>#REF!</v>
      </c>
      <c r="AF92" s="298">
        <v>0</v>
      </c>
      <c r="AG92" s="303">
        <v>0</v>
      </c>
      <c r="AH92" s="152"/>
      <c r="AI92" s="302" t="e">
        <f t="shared" si="111"/>
        <v>#REF!</v>
      </c>
      <c r="AJ92" s="298">
        <v>0</v>
      </c>
      <c r="AK92" s="303">
        <v>0</v>
      </c>
      <c r="AL92" s="152"/>
      <c r="AM92" s="302" t="e">
        <f t="shared" si="83"/>
        <v>#REF!</v>
      </c>
      <c r="AN92" s="298">
        <v>0</v>
      </c>
      <c r="AO92" s="303">
        <v>0</v>
      </c>
      <c r="AP92" s="298"/>
      <c r="AQ92" s="302" t="e">
        <f t="shared" si="114"/>
        <v>#REF!</v>
      </c>
      <c r="AR92" s="298">
        <v>0</v>
      </c>
      <c r="AS92" s="303">
        <v>0</v>
      </c>
      <c r="AT92" s="152"/>
      <c r="AU92" s="302" t="e">
        <f t="shared" si="115"/>
        <v>#REF!</v>
      </c>
      <c r="AV92" s="298">
        <v>0</v>
      </c>
      <c r="AW92" s="303">
        <v>0</v>
      </c>
      <c r="AX92" s="309"/>
      <c r="AY92" s="299"/>
      <c r="AZ92" s="144"/>
      <c r="BA92" s="309"/>
    </row>
    <row r="93" spans="1:53" x14ac:dyDescent="0.2">
      <c r="A93" s="76">
        <f t="shared" si="103"/>
        <v>86</v>
      </c>
      <c r="B93" s="668"/>
      <c r="C93" s="686" t="s">
        <v>62</v>
      </c>
      <c r="D93" s="153"/>
      <c r="E93" s="143"/>
      <c r="F93" s="143"/>
      <c r="G93" s="747"/>
      <c r="H93" s="747"/>
      <c r="I93" s="747"/>
      <c r="J93" s="747"/>
      <c r="K93" s="747"/>
      <c r="L93" s="153"/>
      <c r="M93" s="550"/>
      <c r="N93" s="287"/>
      <c r="O93" s="147"/>
      <c r="P93" s="147"/>
      <c r="Q93" s="148"/>
      <c r="R93" s="152"/>
      <c r="S93" s="304" t="e">
        <f>SUM(S87:S92)</f>
        <v>#REF!</v>
      </c>
      <c r="T93" s="305">
        <f>SUM(T87:T92)</f>
        <v>0</v>
      </c>
      <c r="U93" s="306">
        <f>SUM(U87:U92)</f>
        <v>0</v>
      </c>
      <c r="V93" s="152"/>
      <c r="W93" s="304" t="e">
        <f>SUM(W87:W92)</f>
        <v>#REF!</v>
      </c>
      <c r="X93" s="305">
        <f>SUM(X87:X92)</f>
        <v>0</v>
      </c>
      <c r="Y93" s="306">
        <f>SUM(Y87:Y92)</f>
        <v>0</v>
      </c>
      <c r="Z93" s="152"/>
      <c r="AA93" s="304" t="e">
        <f>SUM(AA87:AA92)</f>
        <v>#REF!</v>
      </c>
      <c r="AB93" s="305">
        <f>SUM(AB87:AB92)</f>
        <v>0</v>
      </c>
      <c r="AC93" s="306">
        <f>SUM(AC87:AC92)</f>
        <v>0</v>
      </c>
      <c r="AD93" s="317"/>
      <c r="AE93" s="304" t="e">
        <f>SUM(AE87:AE92)</f>
        <v>#REF!</v>
      </c>
      <c r="AF93" s="305">
        <f>SUM(AF87:AF92)</f>
        <v>0</v>
      </c>
      <c r="AG93" s="306">
        <f>SUM(AG87:AG92)</f>
        <v>0</v>
      </c>
      <c r="AH93" s="152"/>
      <c r="AI93" s="304" t="e">
        <f>SUM(AI87:AI92)</f>
        <v>#REF!</v>
      </c>
      <c r="AJ93" s="305">
        <f>SUM(AJ87:AJ92)</f>
        <v>0</v>
      </c>
      <c r="AK93" s="306">
        <f>SUM(AK87:AK92)</f>
        <v>0</v>
      </c>
      <c r="AL93" s="152"/>
      <c r="AM93" s="304" t="e">
        <f>SUM(AM87:AM92)</f>
        <v>#REF!</v>
      </c>
      <c r="AN93" s="305">
        <f>SUM(AN87:AN92)</f>
        <v>0</v>
      </c>
      <c r="AO93" s="306">
        <f>SUM(AO87:AO92)</f>
        <v>0</v>
      </c>
      <c r="AP93" s="317"/>
      <c r="AQ93" s="304" t="e">
        <f>SUM(AQ87:AQ92)</f>
        <v>#REF!</v>
      </c>
      <c r="AR93" s="305">
        <f>SUM(AR87:AR92)</f>
        <v>0</v>
      </c>
      <c r="AS93" s="306">
        <f>SUM(AS87:AS92)</f>
        <v>0</v>
      </c>
      <c r="AT93" s="152"/>
      <c r="AU93" s="304" t="e">
        <f>SUM(AU87:AU92)</f>
        <v>#REF!</v>
      </c>
      <c r="AV93" s="305">
        <f>SUM(AV87:AV92)</f>
        <v>0</v>
      </c>
      <c r="AW93" s="306">
        <f>SUM(AW87:AW92)</f>
        <v>0</v>
      </c>
      <c r="AX93" s="309"/>
      <c r="AY93" s="299"/>
      <c r="AZ93" s="144"/>
      <c r="BA93" s="309"/>
    </row>
    <row r="94" spans="1:53" x14ac:dyDescent="0.2">
      <c r="A94" s="76">
        <f t="shared" si="103"/>
        <v>87</v>
      </c>
      <c r="B94" s="668" t="str">
        <f>'Avg Bill by RS'!B94</f>
        <v>43 Firm Transpt</v>
      </c>
      <c r="C94" s="668" t="str">
        <f>'Avg Bill by RS'!C94</f>
        <v>n/a</v>
      </c>
      <c r="D94" s="152"/>
      <c r="E94" s="154" t="e">
        <f>ROUND('Allocation = ¢ per Therm'!K83,5)</f>
        <v>#REF!</v>
      </c>
      <c r="F94" s="154">
        <f>ROUND('Allocation = % of Margin'!U80,5)</f>
        <v>0</v>
      </c>
      <c r="G94" s="154">
        <f>ROUND('Allocation = % of Margin'!X80,5)</f>
        <v>-4.0000000000000003E-5</v>
      </c>
      <c r="H94" s="154">
        <f>ROUND('Allocation = % of Margin'!AA80,5)</f>
        <v>2.0000000000000002E-5</v>
      </c>
      <c r="I94" s="154">
        <f>ROUND('Allocation = % of Margin'!AG80,5)</f>
        <v>0</v>
      </c>
      <c r="J94" s="154">
        <f>ROUND('Allocation = % of Margin'!AJ80,5)</f>
        <v>-4.0000000000000003E-5</v>
      </c>
      <c r="K94" s="154">
        <f>ROUND('Allocation = % of Margin'!AM80,5)</f>
        <v>0</v>
      </c>
      <c r="L94" s="152"/>
      <c r="M94" s="551" t="e">
        <f>#REF!</f>
        <v>#REF!</v>
      </c>
      <c r="N94" s="287" t="e">
        <f>'Rev Req Proof Yr1'!R94</f>
        <v>#REF!</v>
      </c>
      <c r="O94" s="288">
        <f>'Rev Req Proof Yr1'!S94</f>
        <v>0</v>
      </c>
      <c r="P94" s="289" t="e">
        <f>'Rev Req Proof Yr1'!T94</f>
        <v>#REF!</v>
      </c>
      <c r="Q94" s="290" t="e">
        <f>'Rev Req Proof Yr1'!U94</f>
        <v>#REF!</v>
      </c>
      <c r="R94" s="152"/>
      <c r="S94" s="295" t="e">
        <f t="shared" ref="S94:S96" si="117">((E94)*N94)</f>
        <v>#REF!</v>
      </c>
      <c r="T94" s="296">
        <v>0</v>
      </c>
      <c r="U94" s="297">
        <v>0</v>
      </c>
      <c r="V94" s="152"/>
      <c r="W94" s="295" t="e">
        <f>((F94)*M94)</f>
        <v>#REF!</v>
      </c>
      <c r="X94" s="296">
        <v>0</v>
      </c>
      <c r="Y94" s="297">
        <v>0</v>
      </c>
      <c r="Z94" s="152"/>
      <c r="AA94" s="295" t="e">
        <f t="shared" ref="AA94:AA96" si="118">((G94)*N94)</f>
        <v>#REF!</v>
      </c>
      <c r="AB94" s="296">
        <v>0</v>
      </c>
      <c r="AC94" s="297">
        <v>0</v>
      </c>
      <c r="AD94" s="298"/>
      <c r="AE94" s="295" t="e">
        <f t="shared" si="110"/>
        <v>#REF!</v>
      </c>
      <c r="AF94" s="296">
        <v>0</v>
      </c>
      <c r="AG94" s="297">
        <v>0</v>
      </c>
      <c r="AH94" s="152"/>
      <c r="AI94" s="295" t="e">
        <f t="shared" si="111"/>
        <v>#REF!</v>
      </c>
      <c r="AJ94" s="296">
        <v>0</v>
      </c>
      <c r="AK94" s="297">
        <v>0</v>
      </c>
      <c r="AL94" s="152"/>
      <c r="AM94" s="295" t="e">
        <f t="shared" si="83"/>
        <v>#REF!</v>
      </c>
      <c r="AN94" s="296">
        <v>0</v>
      </c>
      <c r="AO94" s="297">
        <v>0</v>
      </c>
      <c r="AP94" s="298"/>
      <c r="AQ94" s="295" t="e">
        <f t="shared" si="114"/>
        <v>#REF!</v>
      </c>
      <c r="AR94" s="296">
        <v>0</v>
      </c>
      <c r="AS94" s="297">
        <v>0</v>
      </c>
      <c r="AT94" s="152"/>
      <c r="AU94" s="295" t="e">
        <f t="shared" ref="AU94:AU96" si="119">((E94+F94+G94+K94)*N94)</f>
        <v>#REF!</v>
      </c>
      <c r="AV94" s="296">
        <v>0</v>
      </c>
      <c r="AW94" s="297">
        <v>0</v>
      </c>
      <c r="AX94" s="309"/>
      <c r="AY94" s="144"/>
      <c r="AZ94" s="144"/>
      <c r="BA94" s="309"/>
    </row>
    <row r="95" spans="1:53" x14ac:dyDescent="0.2">
      <c r="A95" s="76">
        <f t="shared" si="103"/>
        <v>88</v>
      </c>
      <c r="B95" s="668" t="str">
        <f>'Avg Bill by RS'!B95</f>
        <v>43 Interr Transpt</v>
      </c>
      <c r="C95" s="668" t="str">
        <f>'Avg Bill by RS'!C95</f>
        <v>n/a</v>
      </c>
      <c r="D95" s="152"/>
      <c r="E95" s="154" t="e">
        <f>ROUND('Allocation = ¢ per Therm'!K84,5)</f>
        <v>#REF!</v>
      </c>
      <c r="F95" s="154">
        <f>ROUND('Allocation = % of Margin'!U81,5)</f>
        <v>0</v>
      </c>
      <c r="G95" s="154">
        <f>ROUND('Allocation = % of Margin'!X81,5)</f>
        <v>-4.0000000000000003E-5</v>
      </c>
      <c r="H95" s="154">
        <f>ROUND('Allocation = % of Margin'!AA81,5)</f>
        <v>2.0000000000000002E-5</v>
      </c>
      <c r="I95" s="154">
        <f>ROUND('Allocation = % of Margin'!AG81,5)</f>
        <v>0</v>
      </c>
      <c r="J95" s="154">
        <f>ROUND('Allocation = % of Margin'!AJ81,5)</f>
        <v>-4.0000000000000003E-5</v>
      </c>
      <c r="K95" s="154">
        <f>ROUND('Allocation = % of Margin'!AM81,5)</f>
        <v>0</v>
      </c>
      <c r="L95" s="154"/>
      <c r="M95" s="551" t="e">
        <f>#REF!</f>
        <v>#REF!</v>
      </c>
      <c r="N95" s="287" t="e">
        <f>'Rev Req Proof Yr1'!R95</f>
        <v>#REF!</v>
      </c>
      <c r="O95" s="288">
        <f>'Rev Req Proof Yr1'!S95</f>
        <v>0</v>
      </c>
      <c r="P95" s="289" t="e">
        <f>'Rev Req Proof Yr1'!T95</f>
        <v>#REF!</v>
      </c>
      <c r="Q95" s="290" t="e">
        <f>'Rev Req Proof Yr1'!U95</f>
        <v>#REF!</v>
      </c>
      <c r="R95" s="152"/>
      <c r="S95" s="311" t="e">
        <f t="shared" si="117"/>
        <v>#REF!</v>
      </c>
      <c r="T95" s="310">
        <v>0</v>
      </c>
      <c r="U95" s="312">
        <v>0</v>
      </c>
      <c r="V95" s="152"/>
      <c r="W95" s="311" t="e">
        <f>((F95)*M95)</f>
        <v>#REF!</v>
      </c>
      <c r="X95" s="310">
        <v>0</v>
      </c>
      <c r="Y95" s="312">
        <v>0</v>
      </c>
      <c r="Z95" s="152"/>
      <c r="AA95" s="311" t="e">
        <f t="shared" si="118"/>
        <v>#REF!</v>
      </c>
      <c r="AB95" s="310">
        <v>0</v>
      </c>
      <c r="AC95" s="312">
        <v>0</v>
      </c>
      <c r="AD95" s="309"/>
      <c r="AE95" s="311" t="e">
        <f t="shared" si="110"/>
        <v>#REF!</v>
      </c>
      <c r="AF95" s="310">
        <v>0</v>
      </c>
      <c r="AG95" s="312">
        <v>0</v>
      </c>
      <c r="AH95" s="152"/>
      <c r="AI95" s="311" t="e">
        <f t="shared" si="111"/>
        <v>#REF!</v>
      </c>
      <c r="AJ95" s="310">
        <v>0</v>
      </c>
      <c r="AK95" s="312">
        <v>0</v>
      </c>
      <c r="AL95" s="152"/>
      <c r="AM95" s="311" t="e">
        <f t="shared" si="83"/>
        <v>#REF!</v>
      </c>
      <c r="AN95" s="310">
        <v>0</v>
      </c>
      <c r="AO95" s="312">
        <v>0</v>
      </c>
      <c r="AP95" s="309"/>
      <c r="AQ95" s="311" t="e">
        <f t="shared" si="114"/>
        <v>#REF!</v>
      </c>
      <c r="AR95" s="310">
        <v>0</v>
      </c>
      <c r="AS95" s="312">
        <v>0</v>
      </c>
      <c r="AT95" s="152"/>
      <c r="AU95" s="311" t="e">
        <f t="shared" si="119"/>
        <v>#REF!</v>
      </c>
      <c r="AV95" s="310">
        <v>0</v>
      </c>
      <c r="AW95" s="312">
        <v>0</v>
      </c>
      <c r="AX95" s="309"/>
      <c r="AY95" s="144"/>
      <c r="AZ95" s="144"/>
      <c r="BA95" s="309"/>
    </row>
    <row r="96" spans="1:53" ht="13.5" thickBot="1" x14ac:dyDescent="0.25">
      <c r="A96" s="76">
        <f t="shared" si="103"/>
        <v>89</v>
      </c>
      <c r="B96" s="716" t="str">
        <f>'Avg Bill by RS'!B96</f>
        <v>Special Contract</v>
      </c>
      <c r="C96" s="716" t="str">
        <f>'Avg Bill by RS'!C96</f>
        <v>n/a</v>
      </c>
      <c r="D96" s="156"/>
      <c r="E96" s="156" t="e">
        <f>ROUND('Allocation = ¢ per Therm'!K85,5)</f>
        <v>#REF!</v>
      </c>
      <c r="F96" s="156">
        <f>ROUND('Allocation = % of Margin'!U82,5)</f>
        <v>0</v>
      </c>
      <c r="G96" s="156">
        <f>ROUND('Allocation = % of Margin'!X82,5)</f>
        <v>0</v>
      </c>
      <c r="H96" s="156">
        <f>ROUND('Allocation = % of Margin'!AA82,5)</f>
        <v>0</v>
      </c>
      <c r="I96" s="156">
        <f>ROUND('Allocation = % of Margin'!AG82,5)</f>
        <v>0</v>
      </c>
      <c r="J96" s="156">
        <f>ROUND('Allocation = % of Margin'!AJ82,5)</f>
        <v>0</v>
      </c>
      <c r="K96" s="156">
        <f>ROUND('Allocation = % of Margin'!AM82,5)</f>
        <v>0</v>
      </c>
      <c r="L96" s="719"/>
      <c r="M96" s="746" t="e">
        <f>#REF!</f>
        <v>#REF!</v>
      </c>
      <c r="N96" s="743" t="e">
        <f>'Rev Req Proof Yr1'!R96</f>
        <v>#REF!</v>
      </c>
      <c r="O96" s="742">
        <f>'Rev Req Proof Yr1'!S96</f>
        <v>0</v>
      </c>
      <c r="P96" s="738" t="e">
        <f>'Rev Req Proof Yr1'!T96</f>
        <v>#REF!</v>
      </c>
      <c r="Q96" s="739" t="e">
        <f>'Rev Req Proof Yr1'!U96</f>
        <v>#REF!</v>
      </c>
      <c r="R96" s="152"/>
      <c r="S96" s="313" t="e">
        <f t="shared" si="117"/>
        <v>#REF!</v>
      </c>
      <c r="T96" s="314">
        <v>0</v>
      </c>
      <c r="U96" s="315">
        <v>0</v>
      </c>
      <c r="V96" s="152"/>
      <c r="W96" s="313" t="e">
        <f>((F96)*M96)</f>
        <v>#REF!</v>
      </c>
      <c r="X96" s="314">
        <v>0</v>
      </c>
      <c r="Y96" s="315">
        <v>0</v>
      </c>
      <c r="Z96" s="152"/>
      <c r="AA96" s="313" t="e">
        <f t="shared" si="118"/>
        <v>#REF!</v>
      </c>
      <c r="AB96" s="314">
        <v>0</v>
      </c>
      <c r="AC96" s="315">
        <v>0</v>
      </c>
      <c r="AD96" s="309"/>
      <c r="AE96" s="313" t="e">
        <f t="shared" si="110"/>
        <v>#REF!</v>
      </c>
      <c r="AF96" s="314">
        <v>0</v>
      </c>
      <c r="AG96" s="315">
        <v>0</v>
      </c>
      <c r="AH96" s="152"/>
      <c r="AI96" s="313" t="e">
        <f t="shared" si="111"/>
        <v>#REF!</v>
      </c>
      <c r="AJ96" s="314">
        <v>0</v>
      </c>
      <c r="AK96" s="315">
        <v>0</v>
      </c>
      <c r="AL96" s="152"/>
      <c r="AM96" s="313" t="e">
        <f t="shared" si="83"/>
        <v>#REF!</v>
      </c>
      <c r="AN96" s="314">
        <v>0</v>
      </c>
      <c r="AO96" s="315">
        <v>0</v>
      </c>
      <c r="AP96" s="309"/>
      <c r="AQ96" s="313" t="e">
        <f t="shared" si="114"/>
        <v>#REF!</v>
      </c>
      <c r="AR96" s="314">
        <v>0</v>
      </c>
      <c r="AS96" s="315">
        <v>0</v>
      </c>
      <c r="AT96" s="152"/>
      <c r="AU96" s="582" t="e">
        <f t="shared" si="119"/>
        <v>#REF!</v>
      </c>
      <c r="AV96" s="583">
        <v>0</v>
      </c>
      <c r="AW96" s="584">
        <v>0</v>
      </c>
      <c r="AX96" s="309"/>
      <c r="AY96" s="152"/>
      <c r="AZ96" s="152"/>
      <c r="BA96" s="309"/>
    </row>
    <row r="97" spans="1:53" x14ac:dyDescent="0.2">
      <c r="A97" s="76">
        <f t="shared" si="103"/>
        <v>90</v>
      </c>
    </row>
    <row r="98" spans="1:53" x14ac:dyDescent="0.2">
      <c r="A98" s="76">
        <f t="shared" si="103"/>
        <v>91</v>
      </c>
      <c r="B98" s="158" t="s">
        <v>45</v>
      </c>
    </row>
    <row r="99" spans="1:53" x14ac:dyDescent="0.2">
      <c r="A99" s="76">
        <f t="shared" si="103"/>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35"/>
      <c r="AJ99" s="735"/>
      <c r="AK99" s="735"/>
      <c r="AL99" s="735"/>
      <c r="AM99" s="735"/>
      <c r="AN99" s="735"/>
      <c r="AO99" s="735"/>
      <c r="AP99" s="735"/>
      <c r="AQ99" s="735"/>
      <c r="AR99" s="735"/>
      <c r="AS99" s="735"/>
      <c r="AT99" s="735"/>
      <c r="AU99" s="735"/>
      <c r="AV99" s="735"/>
      <c r="AW99" s="735"/>
      <c r="AX99" s="736"/>
      <c r="BA99" s="45"/>
    </row>
    <row r="100" spans="1:53" x14ac:dyDescent="0.2">
      <c r="A100" s="76">
        <f t="shared" si="103"/>
        <v>93</v>
      </c>
      <c r="B100" s="159"/>
      <c r="M100" s="316"/>
      <c r="N100" s="316"/>
      <c r="O100" s="316"/>
      <c r="P100" s="316"/>
    </row>
    <row r="101" spans="1:53" x14ac:dyDescent="0.2">
      <c r="A101" s="76">
        <f t="shared" si="103"/>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02"/>
      <c r="AV101" s="702"/>
      <c r="AW101" s="702"/>
      <c r="AX101" s="737"/>
      <c r="BA101" s="45"/>
    </row>
    <row r="102" spans="1:53" x14ac:dyDescent="0.2">
      <c r="A102" s="76">
        <f t="shared" si="103"/>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02"/>
      <c r="AQ102" s="702"/>
      <c r="AR102" s="702"/>
      <c r="AS102" s="702"/>
      <c r="AT102" s="702"/>
      <c r="AU102" s="702"/>
      <c r="AV102" s="702"/>
      <c r="AW102" s="702"/>
      <c r="AX102" s="737"/>
      <c r="BA102" s="45"/>
    </row>
    <row r="103" spans="1:53" x14ac:dyDescent="0.2">
      <c r="A103" s="76"/>
      <c r="B103" s="159"/>
    </row>
    <row r="104" spans="1:53" x14ac:dyDescent="0.2">
      <c r="A104" s="76"/>
      <c r="B104" s="159"/>
    </row>
    <row r="105" spans="1:53" x14ac:dyDescent="0.2">
      <c r="A105" s="76"/>
      <c r="B105" s="159"/>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1">
    <mergeCell ref="AY17:BA17"/>
    <mergeCell ref="AY2:AZ2"/>
    <mergeCell ref="N7:Q7"/>
    <mergeCell ref="AU10:AW10"/>
    <mergeCell ref="AA10:AC10"/>
    <mergeCell ref="W10:Y10"/>
    <mergeCell ref="S10:U10"/>
    <mergeCell ref="AQ10:AS10"/>
    <mergeCell ref="AI10:AK10"/>
    <mergeCell ref="AM10:AO10"/>
    <mergeCell ref="AE10:AG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zoomScaleNormal="100" workbookViewId="0">
      <pane xSplit="11" ySplit="13" topLeftCell="AM14" activePane="bottomRight" state="frozen"/>
      <selection pane="topRight" activeCell="L1" sqref="L1"/>
      <selection pane="bottomLeft" activeCell="A14" sqref="A14"/>
      <selection pane="bottomRight" activeCell="AY17" sqref="AY17"/>
    </sheetView>
  </sheetViews>
  <sheetFormatPr defaultColWidth="9.33203125" defaultRowHeight="12.75" x14ac:dyDescent="0.2"/>
  <cols>
    <col min="1" max="1" width="6.83203125" style="45" customWidth="1"/>
    <col min="2" max="2" width="19" style="46" customWidth="1"/>
    <col min="3" max="3" width="10.33203125" style="46" customWidth="1"/>
    <col min="4" max="4" width="2.83203125" style="46" customWidth="1"/>
    <col min="5" max="6" width="14.83203125" style="46" customWidth="1"/>
    <col min="7" max="7" width="14.83203125" style="46" hidden="1" customWidth="1"/>
    <col min="8" max="8" width="2.83203125" style="46" customWidth="1"/>
    <col min="9" max="10" width="15.83203125" style="46" customWidth="1"/>
    <col min="11" max="11" width="2.83203125" style="46" customWidth="1"/>
    <col min="12" max="17" width="15.83203125" style="46" customWidth="1"/>
    <col min="18" max="18" width="2.83203125" style="46" customWidth="1"/>
    <col min="19" max="19" width="17.1640625" style="46" customWidth="1"/>
    <col min="20" max="22" width="15.83203125" style="46" customWidth="1"/>
    <col min="23" max="23" width="2.83203125" style="46" customWidth="1"/>
    <col min="24" max="26" width="15.83203125" style="46" customWidth="1"/>
    <col min="27" max="27" width="2.83203125" style="46" customWidth="1"/>
    <col min="28" max="30" width="15.83203125" style="46" customWidth="1"/>
    <col min="31" max="31" width="2.83203125" style="46" customWidth="1"/>
    <col min="32" max="34" width="15.83203125" style="46" customWidth="1"/>
    <col min="35" max="35" width="2.83203125" style="46" customWidth="1"/>
    <col min="36" max="38" width="15.83203125" style="46" customWidth="1"/>
    <col min="39" max="39" width="2.83203125" style="46" customWidth="1"/>
    <col min="40" max="40" width="15.6640625" style="46" hidden="1" customWidth="1"/>
    <col min="41" max="41" width="15.83203125" style="46" hidden="1" customWidth="1"/>
    <col min="42" max="42" width="2.83203125" style="46" customWidth="1"/>
    <col min="43" max="45" width="15.83203125" style="46" customWidth="1"/>
    <col min="46" max="46" width="2.83203125" style="46" customWidth="1"/>
    <col min="47" max="47" width="23.83203125" style="46" customWidth="1"/>
    <col min="48" max="48" width="15.33203125" style="46" customWidth="1"/>
    <col min="49" max="49" width="2.83203125" style="46" customWidth="1"/>
    <col min="50" max="50" width="9.33203125" style="45" customWidth="1"/>
    <col min="51" max="51" width="16.83203125" style="45" customWidth="1"/>
    <col min="52" max="52" width="18.5" style="45" customWidth="1"/>
    <col min="53" max="16384" width="9.33203125" style="45"/>
  </cols>
  <sheetData>
    <row r="1" spans="1:52" ht="15.75" thickBot="1" x14ac:dyDescent="0.3">
      <c r="A1" s="163" t="e">
        <f>+#REF!</f>
        <v>#REF!</v>
      </c>
    </row>
    <row r="2" spans="1:52" ht="15.75" thickBot="1" x14ac:dyDescent="0.3">
      <c r="A2" s="163" t="e">
        <f>+#REF!</f>
        <v>#REF!</v>
      </c>
      <c r="E2" s="130"/>
      <c r="F2" s="130"/>
      <c r="G2" s="130"/>
      <c r="U2" s="254"/>
      <c r="X2" s="255" t="s">
        <v>95</v>
      </c>
      <c r="Y2" s="256" t="s">
        <v>96</v>
      </c>
      <c r="Z2" s="257" t="s">
        <v>80</v>
      </c>
      <c r="AB2" s="255" t="s">
        <v>95</v>
      </c>
      <c r="AC2" s="256" t="s">
        <v>96</v>
      </c>
      <c r="AD2" s="257" t="s">
        <v>80</v>
      </c>
      <c r="AF2" s="255" t="s">
        <v>95</v>
      </c>
      <c r="AG2" s="256" t="s">
        <v>96</v>
      </c>
      <c r="AH2" s="257" t="s">
        <v>80</v>
      </c>
      <c r="AJ2" s="255" t="s">
        <v>95</v>
      </c>
      <c r="AK2" s="256" t="s">
        <v>96</v>
      </c>
      <c r="AL2" s="257" t="s">
        <v>80</v>
      </c>
      <c r="AO2" s="135"/>
      <c r="AQ2" s="255" t="s">
        <v>95</v>
      </c>
      <c r="AR2" s="256" t="s">
        <v>96</v>
      </c>
      <c r="AS2" s="257" t="s">
        <v>80</v>
      </c>
      <c r="AU2" s="1629" t="s">
        <v>244</v>
      </c>
      <c r="AV2" s="1630"/>
    </row>
    <row r="3" spans="1:52" ht="15" x14ac:dyDescent="0.25">
      <c r="A3" s="163" t="e">
        <f>+#REF!</f>
        <v>#REF!</v>
      </c>
      <c r="E3" s="130"/>
      <c r="F3" s="130"/>
      <c r="G3" s="130"/>
      <c r="U3" s="341"/>
      <c r="X3" s="258" t="e">
        <f>SUM(X14:X19)+X22+X28+X31+X37+X44+X51+X58+X65+X72+X79+X94+X93+X25+X34+X86+X95+X96</f>
        <v>#REF!</v>
      </c>
      <c r="Y3" s="259" t="e">
        <f>SUM(Y14:Y19)+Y22+Y28+Y31+Y37+Y44+Y51+Y58+Y65+Y72+Y79+Y94+Y93+Y25+Y34+Y86+Y95+Y96</f>
        <v>#REF!</v>
      </c>
      <c r="Z3" s="260">
        <f>SUM(Z14:Z19)+Z22+Z28+Z31+Z37+Z44+Z51+Z58+Z65+Z72+Z79+Z94+Z93+Z25+Z34+Z86+Z95+Z96</f>
        <v>141275.86116</v>
      </c>
      <c r="AB3" s="258" t="e">
        <f t="shared" ref="AB3:AD3" si="0">SUM(AB14:AB19)+AB22+AB28+AB31+AB37+AB44+AB51+AB58+AB65+AB72+AB79+AB94+AB93+AB25+AB34+AB86+AB95+AB96</f>
        <v>#REF!</v>
      </c>
      <c r="AC3" s="259" t="e">
        <f t="shared" si="0"/>
        <v>#REF!</v>
      </c>
      <c r="AD3" s="260">
        <f t="shared" si="0"/>
        <v>141275.86116</v>
      </c>
      <c r="AF3" s="258" t="e">
        <f t="shared" ref="AF3:AH3" si="1">SUM(AF14:AF19)+AF22+AF28+AF31+AF37+AF44+AF51+AF58+AF65+AF72+AF79+AF94+AF93+AF25+AF34+AF86+AF95+AF96</f>
        <v>#REF!</v>
      </c>
      <c r="AG3" s="259">
        <f t="shared" si="1"/>
        <v>0</v>
      </c>
      <c r="AH3" s="260">
        <f t="shared" si="1"/>
        <v>0</v>
      </c>
      <c r="AJ3" s="258" t="e">
        <f t="shared" ref="AJ3:AL3" si="2">SUM(AJ14:AJ19)+AJ22+AJ28+AJ31+AJ37+AJ44+AJ51+AJ58+AJ65+AJ72+AJ79+AJ94+AJ93+AJ25+AJ34+AJ86+AJ95+AJ96</f>
        <v>#REF!</v>
      </c>
      <c r="AK3" s="259" t="e">
        <f t="shared" si="2"/>
        <v>#REF!</v>
      </c>
      <c r="AL3" s="260">
        <f t="shared" si="2"/>
        <v>0</v>
      </c>
      <c r="AO3" s="259"/>
      <c r="AQ3" s="258" t="e">
        <f t="shared" ref="AQ3:AS3" si="3">SUM(AQ14:AQ19)+AQ22+AQ28+AQ31+AQ37+AQ44+AQ51+AQ58+AQ65+AQ72+AQ79+AQ94+AQ93+AQ25+AQ34+AQ86+AQ95+AQ96</f>
        <v>#REF!</v>
      </c>
      <c r="AR3" s="259">
        <f t="shared" si="3"/>
        <v>0</v>
      </c>
      <c r="AS3" s="260">
        <f t="shared" si="3"/>
        <v>0</v>
      </c>
      <c r="AU3" s="46" t="s">
        <v>81</v>
      </c>
      <c r="AV3" s="261" t="e">
        <f>AJ3</f>
        <v>#REF!</v>
      </c>
      <c r="AY3" s="261">
        <f>'Rate Spread SETTLEMENT'!D28</f>
        <v>3000000</v>
      </c>
      <c r="AZ3" s="45" t="s">
        <v>157</v>
      </c>
    </row>
    <row r="4" spans="1:52" ht="15" x14ac:dyDescent="0.25">
      <c r="A4" s="163" t="s">
        <v>500</v>
      </c>
      <c r="D4" s="130"/>
      <c r="E4" s="130"/>
      <c r="F4" s="130"/>
      <c r="G4" s="130"/>
      <c r="H4" s="130"/>
      <c r="I4" s="130"/>
      <c r="K4" s="130"/>
      <c r="L4" s="130"/>
      <c r="M4" s="130"/>
      <c r="R4" s="130"/>
      <c r="U4" s="341"/>
      <c r="W4" s="130"/>
      <c r="X4" s="262"/>
      <c r="Y4" s="45"/>
      <c r="Z4" s="263" t="s">
        <v>62</v>
      </c>
      <c r="AA4" s="130"/>
      <c r="AB4" s="262"/>
      <c r="AC4" s="45"/>
      <c r="AD4" s="263" t="s">
        <v>62</v>
      </c>
      <c r="AE4" s="130"/>
      <c r="AF4" s="262"/>
      <c r="AG4" s="45"/>
      <c r="AH4" s="263" t="s">
        <v>62</v>
      </c>
      <c r="AI4" s="130"/>
      <c r="AJ4" s="262"/>
      <c r="AK4" s="45"/>
      <c r="AL4" s="263" t="s">
        <v>62</v>
      </c>
      <c r="AM4" s="130"/>
      <c r="AN4" s="130"/>
      <c r="AO4" s="135"/>
      <c r="AP4" s="130"/>
      <c r="AQ4" s="262"/>
      <c r="AR4" s="45"/>
      <c r="AS4" s="263" t="s">
        <v>62</v>
      </c>
      <c r="AT4" s="130"/>
      <c r="AU4" s="46" t="s">
        <v>82</v>
      </c>
      <c r="AV4" s="261" t="e">
        <f>AK3</f>
        <v>#REF!</v>
      </c>
      <c r="AY4" s="288">
        <f>'Allocation = % of Margin'!AE10</f>
        <v>-770716</v>
      </c>
      <c r="AZ4" s="288" t="s">
        <v>326</v>
      </c>
    </row>
    <row r="5" spans="1:52" ht="13.5" thickBot="1" x14ac:dyDescent="0.25">
      <c r="E5" s="130"/>
      <c r="F5" s="130"/>
      <c r="G5" s="130"/>
      <c r="X5" s="264"/>
      <c r="Y5" s="265"/>
      <c r="Z5" s="266" t="e">
        <f>SUM(X3:Z3)</f>
        <v>#REF!</v>
      </c>
      <c r="AB5" s="264"/>
      <c r="AC5" s="265"/>
      <c r="AD5" s="266" t="e">
        <f>SUM(AB3:AD3)</f>
        <v>#REF!</v>
      </c>
      <c r="AF5" s="264"/>
      <c r="AG5" s="265"/>
      <c r="AH5" s="266" t="e">
        <f>SUM(AF3:AH3)</f>
        <v>#REF!</v>
      </c>
      <c r="AJ5" s="542"/>
      <c r="AK5" s="543"/>
      <c r="AL5" s="544" t="e">
        <f>SUM(AJ3:AL3)</f>
        <v>#REF!</v>
      </c>
      <c r="AO5" s="259"/>
      <c r="AQ5" s="264"/>
      <c r="AR5" s="265"/>
      <c r="AS5" s="266" t="e">
        <f>SUM(AQ3:AS3)</f>
        <v>#REF!</v>
      </c>
      <c r="AU5" s="46" t="s">
        <v>83</v>
      </c>
      <c r="AV5" s="261">
        <f>AL3</f>
        <v>0</v>
      </c>
      <c r="AY5" s="261">
        <f>'Allocation = % of Margin'!AH10</f>
        <v>-437870</v>
      </c>
      <c r="AZ5" s="45" t="s">
        <v>317</v>
      </c>
    </row>
    <row r="6" spans="1:52" ht="15.75" thickBot="1" x14ac:dyDescent="0.3">
      <c r="A6" s="122"/>
      <c r="E6" s="130"/>
      <c r="F6" s="130"/>
      <c r="G6" s="130"/>
      <c r="X6" s="45"/>
      <c r="Y6" s="45"/>
      <c r="Z6" s="259"/>
      <c r="AB6" s="45"/>
      <c r="AC6" s="45"/>
      <c r="AD6" s="259"/>
      <c r="AF6" s="45"/>
      <c r="AG6" s="45"/>
      <c r="AH6" s="259"/>
      <c r="AJ6" s="45"/>
      <c r="AK6" s="45"/>
      <c r="AL6" s="259"/>
      <c r="AO6" s="259"/>
      <c r="AQ6" s="45"/>
      <c r="AR6" s="45"/>
      <c r="AS6" s="259"/>
      <c r="AV6" s="261"/>
      <c r="AY6" s="261">
        <f>'Allocation = % of Margin'!AK10</f>
        <v>-44544</v>
      </c>
      <c r="AZ6" s="288" t="s">
        <v>375</v>
      </c>
    </row>
    <row r="7" spans="1:52" ht="13.5" thickBot="1" x14ac:dyDescent="0.25">
      <c r="E7" s="130"/>
      <c r="F7" s="130"/>
      <c r="G7" s="130"/>
      <c r="I7" s="1631" t="s">
        <v>103</v>
      </c>
      <c r="J7" s="1632"/>
      <c r="L7" s="1631" t="s">
        <v>105</v>
      </c>
      <c r="M7" s="1633"/>
      <c r="N7" s="1633"/>
      <c r="O7" s="1633"/>
      <c r="P7" s="1633"/>
      <c r="Q7" s="1632"/>
      <c r="S7" s="1631" t="s">
        <v>104</v>
      </c>
      <c r="T7" s="1633"/>
      <c r="U7" s="1633"/>
      <c r="V7" s="1632"/>
      <c r="X7" s="781"/>
      <c r="AC7" s="779" t="str">
        <f>J9</f>
        <v>UG-200994</v>
      </c>
      <c r="AD7" s="269"/>
      <c r="AG7" s="779" t="str">
        <f>F8</f>
        <v>UG-200994</v>
      </c>
      <c r="AH7" s="269"/>
      <c r="AS7" s="269"/>
      <c r="AU7" s="46" t="s">
        <v>84</v>
      </c>
      <c r="AV7" s="270" t="e">
        <f>SUM(AV3:AV5)</f>
        <v>#REF!</v>
      </c>
      <c r="AY7" s="261"/>
    </row>
    <row r="8" spans="1:52" x14ac:dyDescent="0.2">
      <c r="A8" s="76">
        <v>1</v>
      </c>
      <c r="D8" s="132"/>
      <c r="E8" s="506" t="s">
        <v>494</v>
      </c>
      <c r="F8" s="506" t="str">
        <f>E8</f>
        <v>UG-200994</v>
      </c>
      <c r="G8" s="506" t="str">
        <f>E8</f>
        <v>UG-200994</v>
      </c>
      <c r="H8" s="132"/>
      <c r="I8" s="138"/>
      <c r="J8" s="286"/>
      <c r="K8" s="132"/>
      <c r="L8" s="318" t="s">
        <v>17</v>
      </c>
      <c r="M8" s="319" t="s">
        <v>20</v>
      </c>
      <c r="N8" s="319" t="s">
        <v>17</v>
      </c>
      <c r="O8" s="319" t="s">
        <v>20</v>
      </c>
      <c r="P8" s="319" t="s">
        <v>17</v>
      </c>
      <c r="Q8" s="320" t="s">
        <v>20</v>
      </c>
      <c r="R8" s="132"/>
      <c r="S8" s="131"/>
      <c r="T8" s="271"/>
      <c r="U8" s="271"/>
      <c r="V8" s="272"/>
      <c r="W8" s="132"/>
      <c r="X8" s="267"/>
      <c r="Y8" s="775" t="s">
        <v>106</v>
      </c>
      <c r="Z8" s="267"/>
      <c r="AA8" s="135"/>
      <c r="AB8" s="267"/>
      <c r="AC8" s="777" t="s">
        <v>323</v>
      </c>
      <c r="AD8" s="267"/>
      <c r="AE8" s="135"/>
      <c r="AF8" s="267"/>
      <c r="AG8" s="778" t="s">
        <v>324</v>
      </c>
      <c r="AH8" s="267"/>
      <c r="AI8" s="132"/>
      <c r="AK8" s="778" t="s">
        <v>298</v>
      </c>
      <c r="AM8" s="132"/>
      <c r="AN8" s="132"/>
      <c r="AP8" s="132"/>
      <c r="AQ8" s="267"/>
      <c r="AR8" s="1138" t="s">
        <v>288</v>
      </c>
      <c r="AS8" s="267"/>
      <c r="AT8" s="135"/>
      <c r="AU8" s="46" t="s">
        <v>85</v>
      </c>
      <c r="AV8" s="261"/>
      <c r="AY8" s="261"/>
    </row>
    <row r="9" spans="1:52" ht="13.5" thickBot="1" x14ac:dyDescent="0.25">
      <c r="A9" s="76">
        <f>+A8+1</f>
        <v>2</v>
      </c>
      <c r="D9" s="133"/>
      <c r="E9" s="134" t="s">
        <v>168</v>
      </c>
      <c r="F9" s="134" t="s">
        <v>168</v>
      </c>
      <c r="G9" s="134" t="s">
        <v>295</v>
      </c>
      <c r="H9" s="133"/>
      <c r="I9" s="411" t="s">
        <v>99</v>
      </c>
      <c r="J9" s="938" t="str">
        <f>E8</f>
        <v>UG-200994</v>
      </c>
      <c r="K9" s="133"/>
      <c r="L9" s="321" t="str">
        <f>I9</f>
        <v>CURRENT</v>
      </c>
      <c r="M9" s="485" t="str">
        <f>E8</f>
        <v>UG-200994</v>
      </c>
      <c r="N9" s="133" t="str">
        <f>L9</f>
        <v>CURRENT</v>
      </c>
      <c r="O9" s="485" t="str">
        <f>E8</f>
        <v>UG-200994</v>
      </c>
      <c r="P9" s="133" t="str">
        <f>L9</f>
        <v>CURRENT</v>
      </c>
      <c r="Q9" s="938" t="str">
        <f>E8</f>
        <v>UG-200994</v>
      </c>
      <c r="R9" s="133"/>
      <c r="S9" s="939" t="str">
        <f>J9</f>
        <v>UG-200994</v>
      </c>
      <c r="T9" s="940" t="str">
        <f>S9</f>
        <v>UG-200994</v>
      </c>
      <c r="U9" s="940" t="str">
        <f>T9</f>
        <v>UG-200994</v>
      </c>
      <c r="V9" s="941" t="str">
        <f>U9</f>
        <v>UG-200994</v>
      </c>
      <c r="W9" s="133"/>
      <c r="X9" s="267"/>
      <c r="Y9" s="267"/>
      <c r="Z9" s="267"/>
      <c r="AA9" s="135"/>
      <c r="AB9" s="267"/>
      <c r="AC9" s="268"/>
      <c r="AD9" s="267"/>
      <c r="AE9" s="135"/>
      <c r="AF9" s="267"/>
      <c r="AG9" s="268"/>
      <c r="AH9" s="267"/>
      <c r="AI9" s="133"/>
      <c r="AJ9" s="267"/>
      <c r="AK9" s="267"/>
      <c r="AL9" s="267"/>
      <c r="AM9" s="133"/>
      <c r="AN9" s="133"/>
      <c r="AO9" s="267"/>
      <c r="AP9" s="133"/>
      <c r="AQ9" s="267"/>
      <c r="AR9" s="268"/>
      <c r="AS9" s="267"/>
      <c r="AT9" s="135"/>
      <c r="AU9" s="589" t="s">
        <v>225</v>
      </c>
      <c r="AV9" s="261" t="e">
        <f>AS5</f>
        <v>#REF!</v>
      </c>
      <c r="AY9" s="261"/>
    </row>
    <row r="10" spans="1:52" ht="13.5" thickBot="1" x14ac:dyDescent="0.25">
      <c r="A10" s="76">
        <f t="shared" ref="A10:A73" si="4">+A9+1</f>
        <v>3</v>
      </c>
      <c r="D10" s="135"/>
      <c r="E10" s="49" t="s">
        <v>72</v>
      </c>
      <c r="F10" s="49" t="s">
        <v>169</v>
      </c>
      <c r="G10" s="1110" t="s">
        <v>288</v>
      </c>
      <c r="H10" s="135"/>
      <c r="I10" s="411" t="s">
        <v>86</v>
      </c>
      <c r="J10" s="412" t="s">
        <v>86</v>
      </c>
      <c r="K10" s="135"/>
      <c r="L10" s="278" t="s">
        <v>66</v>
      </c>
      <c r="M10" s="413" t="s">
        <v>66</v>
      </c>
      <c r="N10" s="135" t="s">
        <v>89</v>
      </c>
      <c r="O10" s="413" t="s">
        <v>89</v>
      </c>
      <c r="P10" s="135" t="s">
        <v>90</v>
      </c>
      <c r="Q10" s="412" t="s">
        <v>90</v>
      </c>
      <c r="R10" s="135"/>
      <c r="S10" s="273" t="s">
        <v>91</v>
      </c>
      <c r="T10" s="267" t="s">
        <v>91</v>
      </c>
      <c r="U10" s="267" t="s">
        <v>101</v>
      </c>
      <c r="V10" s="274" t="s">
        <v>55</v>
      </c>
      <c r="W10" s="135"/>
      <c r="X10" s="1626" t="s">
        <v>97</v>
      </c>
      <c r="Y10" s="1627"/>
      <c r="Z10" s="1628"/>
      <c r="AA10" s="133"/>
      <c r="AB10" s="1626" t="s">
        <v>98</v>
      </c>
      <c r="AC10" s="1627"/>
      <c r="AD10" s="1628"/>
      <c r="AE10" s="133"/>
      <c r="AF10" s="1626" t="s">
        <v>170</v>
      </c>
      <c r="AG10" s="1627"/>
      <c r="AH10" s="1628"/>
      <c r="AI10" s="135"/>
      <c r="AJ10" s="1626" t="s">
        <v>88</v>
      </c>
      <c r="AK10" s="1627"/>
      <c r="AL10" s="1628"/>
      <c r="AM10" s="135"/>
      <c r="AN10" s="48" t="s">
        <v>116</v>
      </c>
      <c r="AO10" s="48" t="s">
        <v>95</v>
      </c>
      <c r="AP10" s="135"/>
      <c r="AQ10" s="1626" t="s">
        <v>98</v>
      </c>
      <c r="AR10" s="1627"/>
      <c r="AS10" s="1628"/>
      <c r="AT10" s="133"/>
      <c r="AU10" s="50" t="s">
        <v>73</v>
      </c>
      <c r="AV10" s="270" t="e">
        <f>AV7+AV9</f>
        <v>#REF!</v>
      </c>
      <c r="AY10" s="261"/>
    </row>
    <row r="11" spans="1:52" s="47" customFormat="1" ht="15.75" thickBot="1" x14ac:dyDescent="0.4">
      <c r="A11" s="76">
        <f t="shared" si="4"/>
        <v>4</v>
      </c>
      <c r="B11" s="137"/>
      <c r="C11" s="137"/>
      <c r="D11" s="135"/>
      <c r="E11" s="162" t="s">
        <v>79</v>
      </c>
      <c r="F11" s="162" t="s">
        <v>79</v>
      </c>
      <c r="G11" s="1111"/>
      <c r="H11" s="135"/>
      <c r="I11" s="414" t="s">
        <v>87</v>
      </c>
      <c r="J11" s="415" t="s">
        <v>87</v>
      </c>
      <c r="K11" s="135"/>
      <c r="L11" s="322" t="s">
        <v>56</v>
      </c>
      <c r="M11" s="416" t="s">
        <v>56</v>
      </c>
      <c r="N11" s="323" t="s">
        <v>56</v>
      </c>
      <c r="O11" s="416" t="s">
        <v>56</v>
      </c>
      <c r="P11" s="323" t="s">
        <v>56</v>
      </c>
      <c r="Q11" s="415" t="s">
        <v>56</v>
      </c>
      <c r="R11" s="135"/>
      <c r="S11" s="275" t="s">
        <v>92</v>
      </c>
      <c r="T11" s="276" t="s">
        <v>94</v>
      </c>
      <c r="U11" s="276" t="s">
        <v>60</v>
      </c>
      <c r="V11" s="277" t="s">
        <v>93</v>
      </c>
      <c r="W11" s="135"/>
      <c r="X11" s="278" t="s">
        <v>95</v>
      </c>
      <c r="Y11" s="135" t="s">
        <v>96</v>
      </c>
      <c r="Z11" s="263" t="s">
        <v>80</v>
      </c>
      <c r="AA11" s="48"/>
      <c r="AB11" s="278" t="s">
        <v>95</v>
      </c>
      <c r="AC11" s="135" t="s">
        <v>96</v>
      </c>
      <c r="AD11" s="263" t="s">
        <v>80</v>
      </c>
      <c r="AE11" s="48"/>
      <c r="AF11" s="278" t="s">
        <v>95</v>
      </c>
      <c r="AG11" s="135" t="s">
        <v>96</v>
      </c>
      <c r="AH11" s="263" t="s">
        <v>80</v>
      </c>
      <c r="AI11" s="135"/>
      <c r="AJ11" s="278" t="s">
        <v>95</v>
      </c>
      <c r="AK11" s="135" t="s">
        <v>96</v>
      </c>
      <c r="AL11" s="263" t="s">
        <v>80</v>
      </c>
      <c r="AM11" s="135"/>
      <c r="AN11" s="48" t="s">
        <v>27</v>
      </c>
      <c r="AO11" s="48" t="s">
        <v>27</v>
      </c>
      <c r="AP11" s="135"/>
      <c r="AQ11" s="278" t="s">
        <v>95</v>
      </c>
      <c r="AR11" s="135" t="s">
        <v>96</v>
      </c>
      <c r="AS11" s="263" t="s">
        <v>80</v>
      </c>
      <c r="AT11" s="48"/>
      <c r="AU11" s="267"/>
      <c r="AV11" s="267"/>
      <c r="AW11" s="135"/>
      <c r="AY11" s="874"/>
      <c r="AZ11" s="780"/>
    </row>
    <row r="12" spans="1:52" s="47" customFormat="1" x14ac:dyDescent="0.2">
      <c r="A12" s="76">
        <f t="shared" si="4"/>
        <v>5</v>
      </c>
      <c r="B12" s="46"/>
      <c r="C12" s="46"/>
      <c r="D12" s="48"/>
      <c r="E12" s="140"/>
      <c r="F12" s="140"/>
      <c r="G12" s="140"/>
      <c r="H12" s="48"/>
      <c r="I12" s="141"/>
      <c r="J12" s="139"/>
      <c r="K12" s="48"/>
      <c r="L12" s="324"/>
      <c r="M12" s="325"/>
      <c r="N12" s="325"/>
      <c r="O12" s="325"/>
      <c r="P12" s="325"/>
      <c r="Q12" s="326"/>
      <c r="R12" s="48"/>
      <c r="S12" s="279"/>
      <c r="T12" s="136"/>
      <c r="U12" s="136"/>
      <c r="V12" s="280"/>
      <c r="W12" s="48"/>
      <c r="X12" s="141"/>
      <c r="Z12" s="139"/>
      <c r="AB12" s="141"/>
      <c r="AD12" s="139"/>
      <c r="AF12" s="141"/>
      <c r="AH12" s="139"/>
      <c r="AI12" s="48"/>
      <c r="AJ12" s="141"/>
      <c r="AL12" s="139"/>
      <c r="AM12" s="48"/>
      <c r="AN12" s="48" t="s">
        <v>108</v>
      </c>
      <c r="AO12" s="48" t="s">
        <v>108</v>
      </c>
      <c r="AP12" s="48"/>
      <c r="AQ12" s="141"/>
      <c r="AS12" s="139"/>
      <c r="AU12" s="135"/>
      <c r="AV12" s="281">
        <f>AY12</f>
        <v>1746870</v>
      </c>
      <c r="AW12" s="282" t="s">
        <v>137</v>
      </c>
      <c r="AY12" s="261">
        <f>SUM(AY3:AY6)</f>
        <v>1746870</v>
      </c>
      <c r="AZ12" s="45"/>
    </row>
    <row r="13" spans="1:52" s="47" customFormat="1" ht="13.5" thickBot="1" x14ac:dyDescent="0.25">
      <c r="A13" s="76">
        <f t="shared" si="4"/>
        <v>6</v>
      </c>
      <c r="B13" s="708" t="s">
        <v>2</v>
      </c>
      <c r="C13" s="708" t="s">
        <v>3</v>
      </c>
      <c r="D13" s="283"/>
      <c r="E13" s="283" t="s">
        <v>35</v>
      </c>
      <c r="F13" s="283" t="s">
        <v>36</v>
      </c>
      <c r="G13" s="283" t="s">
        <v>36</v>
      </c>
      <c r="H13" s="283"/>
      <c r="I13" s="284" t="s">
        <v>13</v>
      </c>
      <c r="J13" s="285" t="s">
        <v>37</v>
      </c>
      <c r="K13" s="283"/>
      <c r="L13" s="284" t="s">
        <v>38</v>
      </c>
      <c r="M13" s="283" t="s">
        <v>39</v>
      </c>
      <c r="N13" s="283" t="s">
        <v>40</v>
      </c>
      <c r="O13" s="283" t="s">
        <v>41</v>
      </c>
      <c r="P13" s="283" t="s">
        <v>42</v>
      </c>
      <c r="Q13" s="285" t="s">
        <v>109</v>
      </c>
      <c r="R13" s="283"/>
      <c r="S13" s="284" t="s">
        <v>110</v>
      </c>
      <c r="T13" s="283" t="s">
        <v>43</v>
      </c>
      <c r="U13" s="283" t="s">
        <v>111</v>
      </c>
      <c r="V13" s="285" t="s">
        <v>112</v>
      </c>
      <c r="W13" s="48"/>
      <c r="X13" s="138" t="s">
        <v>113</v>
      </c>
      <c r="Y13" s="48" t="s">
        <v>114</v>
      </c>
      <c r="Z13" s="286" t="s">
        <v>115</v>
      </c>
      <c r="AA13" s="48"/>
      <c r="AB13" s="138" t="s">
        <v>71</v>
      </c>
      <c r="AC13" s="48" t="s">
        <v>74</v>
      </c>
      <c r="AD13" s="286" t="s">
        <v>75</v>
      </c>
      <c r="AE13" s="48"/>
      <c r="AF13" s="138" t="s">
        <v>76</v>
      </c>
      <c r="AG13" s="48" t="s">
        <v>165</v>
      </c>
      <c r="AH13" s="286" t="s">
        <v>208</v>
      </c>
      <c r="AI13" s="48"/>
      <c r="AJ13" s="138" t="s">
        <v>203</v>
      </c>
      <c r="AK13" s="48" t="s">
        <v>209</v>
      </c>
      <c r="AL13" s="286" t="s">
        <v>210</v>
      </c>
      <c r="AM13" s="48"/>
      <c r="AN13" s="48" t="s">
        <v>107</v>
      </c>
      <c r="AO13" s="48" t="s">
        <v>107</v>
      </c>
      <c r="AP13" s="48"/>
      <c r="AQ13" s="138" t="s">
        <v>76</v>
      </c>
      <c r="AR13" s="48" t="s">
        <v>165</v>
      </c>
      <c r="AS13" s="286" t="s">
        <v>208</v>
      </c>
      <c r="AT13" s="48"/>
      <c r="AV13" s="857" t="e">
        <f>AV12-AV10</f>
        <v>#REF!</v>
      </c>
      <c r="AW13" s="282" t="s">
        <v>147</v>
      </c>
      <c r="AY13" s="632">
        <f>SUM(AY3)</f>
        <v>3000000</v>
      </c>
      <c r="AZ13" s="595" t="s">
        <v>239</v>
      </c>
    </row>
    <row r="14" spans="1:52" ht="12.95" customHeight="1" x14ac:dyDescent="0.2">
      <c r="A14" s="76">
        <f t="shared" si="4"/>
        <v>7</v>
      </c>
      <c r="B14" s="668" t="e">
        <f>#REF!</f>
        <v>#REF!</v>
      </c>
      <c r="C14" s="668" t="s">
        <v>248</v>
      </c>
      <c r="D14" s="144"/>
      <c r="E14" s="113">
        <f>'Rates in Detail'!Y13</f>
        <v>6.1650000000000003E-2</v>
      </c>
      <c r="F14" s="113">
        <f>SUM('Rates in Detail'!Z13:AB13)</f>
        <v>-2.5819999999999999E-2</v>
      </c>
      <c r="G14" s="143"/>
      <c r="H14" s="144"/>
      <c r="I14" s="357">
        <f>'Rev Req Proof Yr2'!H14</f>
        <v>0.77856999999999998</v>
      </c>
      <c r="J14" s="710">
        <f>I14+E14</f>
        <v>0.84021999999999997</v>
      </c>
      <c r="K14" s="144"/>
      <c r="L14" s="145" t="e">
        <f>'Rev Req Proof Yr1'!K14</f>
        <v>#REF!</v>
      </c>
      <c r="M14" s="146" t="e">
        <f>'Rev Req Proof Yr1'!L14</f>
        <v>#REF!</v>
      </c>
      <c r="N14" s="112">
        <f>'Rev Req Proof Yr1'!M14</f>
        <v>0</v>
      </c>
      <c r="O14" s="112">
        <f>'Rev Req Proof Yr1'!N14</f>
        <v>0</v>
      </c>
      <c r="P14" s="112">
        <f>'Rev Req Proof Yr1'!O14</f>
        <v>0</v>
      </c>
      <c r="Q14" s="711">
        <f>'Rev Req Proof Yr1'!P14</f>
        <v>0</v>
      </c>
      <c r="R14" s="144"/>
      <c r="S14" s="287" t="e">
        <f>'Rev Req Proof Yr1'!R14</f>
        <v>#REF!</v>
      </c>
      <c r="T14" s="288"/>
      <c r="U14" s="289" t="e">
        <f>'Rev Req Proof Yr1'!T14</f>
        <v>#REF!</v>
      </c>
      <c r="V14" s="290" t="e">
        <f>'Rev Req Proof Yr1'!U14</f>
        <v>#REF!</v>
      </c>
      <c r="W14" s="144"/>
      <c r="X14" s="291" t="e">
        <f>(I14*S14)</f>
        <v>#REF!</v>
      </c>
      <c r="Y14" s="292" t="e">
        <f>(L14*U14*12)</f>
        <v>#REF!</v>
      </c>
      <c r="Z14" s="293">
        <f t="shared" ref="Z14:Z21" si="5">(T14*(N14+P14))*12</f>
        <v>0</v>
      </c>
      <c r="AA14" s="294"/>
      <c r="AB14" s="291" t="e">
        <f>(J14*S14)</f>
        <v>#REF!</v>
      </c>
      <c r="AC14" s="292" t="e">
        <f>(M14*U14*12)</f>
        <v>#REF!</v>
      </c>
      <c r="AD14" s="293">
        <f t="shared" ref="AD14:AD21" si="6">(T14*(O14+Q14))*12</f>
        <v>0</v>
      </c>
      <c r="AE14" s="294"/>
      <c r="AF14" s="291" t="e">
        <f>(F14*S14)</f>
        <v>#REF!</v>
      </c>
      <c r="AG14" s="292">
        <v>0</v>
      </c>
      <c r="AH14" s="293">
        <v>0</v>
      </c>
      <c r="AI14" s="294"/>
      <c r="AJ14" s="291" t="e">
        <f t="shared" ref="AJ14:AJ21" si="7">AB14-X14+AF14</f>
        <v>#REF!</v>
      </c>
      <c r="AK14" s="292" t="e">
        <f t="shared" ref="AK14:AL21" si="8">AC14-Y14-AG14</f>
        <v>#REF!</v>
      </c>
      <c r="AL14" s="293">
        <f t="shared" si="8"/>
        <v>0</v>
      </c>
      <c r="AM14" s="294"/>
      <c r="AN14" s="327"/>
      <c r="AO14" s="328"/>
      <c r="AP14" s="294"/>
      <c r="AQ14" s="291" t="e">
        <f t="shared" ref="AQ14:AQ21" si="9">(G14*S14)</f>
        <v>#REF!</v>
      </c>
      <c r="AR14" s="292">
        <v>0</v>
      </c>
      <c r="AS14" s="293">
        <v>0</v>
      </c>
      <c r="AT14" s="294"/>
      <c r="AU14" s="1635"/>
      <c r="AV14" s="1635"/>
      <c r="AW14" s="1635"/>
      <c r="AY14" s="633"/>
      <c r="AZ14" s="129"/>
    </row>
    <row r="15" spans="1:52" x14ac:dyDescent="0.2">
      <c r="A15" s="76">
        <f t="shared" si="4"/>
        <v>8</v>
      </c>
      <c r="B15" s="668" t="e">
        <f>#REF!</f>
        <v>#REF!</v>
      </c>
      <c r="C15" s="668" t="s">
        <v>248</v>
      </c>
      <c r="D15" s="147"/>
      <c r="E15" s="113">
        <f>'Rates in Detail'!Y14</f>
        <v>5.126E-2</v>
      </c>
      <c r="F15" s="113">
        <f>SUM('Rates in Detail'!Z14:AB14)</f>
        <v>-2.147E-2</v>
      </c>
      <c r="G15" s="143"/>
      <c r="H15" s="147"/>
      <c r="I15" s="357">
        <f>'Rev Req Proof Yr2'!H15</f>
        <v>0.81633999999999995</v>
      </c>
      <c r="J15" s="710">
        <f t="shared" ref="J15:J78" si="10">I15+E15</f>
        <v>0.86759999999999993</v>
      </c>
      <c r="K15" s="147"/>
      <c r="L15" s="145" t="e">
        <f>'Rev Req Proof Yr1'!K15</f>
        <v>#REF!</v>
      </c>
      <c r="M15" s="146" t="e">
        <f>'Rev Req Proof Yr1'!L15</f>
        <v>#REF!</v>
      </c>
      <c r="N15" s="112">
        <f>'Rev Req Proof Yr1'!M15</f>
        <v>0</v>
      </c>
      <c r="O15" s="112">
        <f>'Rev Req Proof Yr1'!N15</f>
        <v>0</v>
      </c>
      <c r="P15" s="112">
        <f>'Rev Req Proof Yr1'!O15</f>
        <v>0</v>
      </c>
      <c r="Q15" s="711">
        <f>'Rev Req Proof Yr1'!P15</f>
        <v>0</v>
      </c>
      <c r="R15" s="147"/>
      <c r="S15" s="287" t="e">
        <f>'Rev Req Proof Yr1'!R15</f>
        <v>#REF!</v>
      </c>
      <c r="T15" s="288"/>
      <c r="U15" s="289" t="e">
        <f>'Rev Req Proof Yr1'!T15</f>
        <v>#REF!</v>
      </c>
      <c r="V15" s="290" t="e">
        <f>'Rev Req Proof Yr1'!U15</f>
        <v>#REF!</v>
      </c>
      <c r="W15" s="147"/>
      <c r="X15" s="295" t="e">
        <f t="shared" ref="X15:X21" si="11">(I15*S15)</f>
        <v>#REF!</v>
      </c>
      <c r="Y15" s="296" t="e">
        <f t="shared" ref="Y15:Y21" si="12">(L15*U15*12)</f>
        <v>#REF!</v>
      </c>
      <c r="Z15" s="297">
        <f t="shared" si="5"/>
        <v>0</v>
      </c>
      <c r="AA15" s="298"/>
      <c r="AB15" s="295" t="e">
        <f t="shared" ref="AB15" si="13">(J15*S15)</f>
        <v>#REF!</v>
      </c>
      <c r="AC15" s="296" t="e">
        <f t="shared" ref="AC15:AC16" si="14">(M15*U15*12)</f>
        <v>#REF!</v>
      </c>
      <c r="AD15" s="297">
        <f t="shared" si="6"/>
        <v>0</v>
      </c>
      <c r="AE15" s="298"/>
      <c r="AF15" s="295" t="e">
        <f t="shared" ref="AF15" si="15">(F15*S15)</f>
        <v>#REF!</v>
      </c>
      <c r="AG15" s="296">
        <v>0</v>
      </c>
      <c r="AH15" s="297">
        <v>0</v>
      </c>
      <c r="AI15" s="298"/>
      <c r="AJ15" s="295" t="e">
        <f t="shared" si="7"/>
        <v>#REF!</v>
      </c>
      <c r="AK15" s="296" t="e">
        <f t="shared" si="8"/>
        <v>#REF!</v>
      </c>
      <c r="AL15" s="297">
        <f t="shared" si="8"/>
        <v>0</v>
      </c>
      <c r="AM15" s="298"/>
      <c r="AN15" s="327"/>
      <c r="AO15" s="328"/>
      <c r="AP15" s="298"/>
      <c r="AQ15" s="295" t="e">
        <f t="shared" si="9"/>
        <v>#REF!</v>
      </c>
      <c r="AR15" s="296">
        <v>0</v>
      </c>
      <c r="AS15" s="297">
        <v>0</v>
      </c>
      <c r="AT15" s="298"/>
      <c r="AU15" s="299"/>
      <c r="AV15" s="299"/>
      <c r="AW15" s="298"/>
    </row>
    <row r="16" spans="1:52" x14ac:dyDescent="0.2">
      <c r="A16" s="76">
        <f t="shared" si="4"/>
        <v>9</v>
      </c>
      <c r="B16" s="668" t="e">
        <f>#REF!</f>
        <v>#REF!</v>
      </c>
      <c r="C16" s="668" t="s">
        <v>248</v>
      </c>
      <c r="D16" s="147"/>
      <c r="E16" s="113">
        <f>'Rates in Detail'!Y15</f>
        <v>3.9019999999999999E-2</v>
      </c>
      <c r="F16" s="113">
        <f>SUM('Rates in Detail'!Z15:AB15)</f>
        <v>-1.635E-2</v>
      </c>
      <c r="G16" s="149"/>
      <c r="H16" s="147"/>
      <c r="I16" s="357">
        <f>'Rev Req Proof Yr2'!H16</f>
        <v>0.52273999999999998</v>
      </c>
      <c r="J16" s="710">
        <f t="shared" si="10"/>
        <v>0.56176000000000004</v>
      </c>
      <c r="K16" s="147"/>
      <c r="L16" s="145" t="e">
        <f>'Rev Req Proof Yr1'!K16</f>
        <v>#REF!</v>
      </c>
      <c r="M16" s="146" t="e">
        <f>'Rev Req Proof Yr1'!L16</f>
        <v>#REF!</v>
      </c>
      <c r="N16" s="112">
        <f>'Rev Req Proof Yr1'!M16</f>
        <v>0</v>
      </c>
      <c r="O16" s="112">
        <f>'Rev Req Proof Yr1'!N16</f>
        <v>0</v>
      </c>
      <c r="P16" s="112">
        <f>'Rev Req Proof Yr1'!O16</f>
        <v>0</v>
      </c>
      <c r="Q16" s="711">
        <f>'Rev Req Proof Yr1'!P16</f>
        <v>0</v>
      </c>
      <c r="R16" s="147"/>
      <c r="S16" s="287" t="e">
        <f>'Rev Req Proof Yr1'!R16</f>
        <v>#REF!</v>
      </c>
      <c r="T16" s="288"/>
      <c r="U16" s="289" t="e">
        <f>'Rev Req Proof Yr1'!T16</f>
        <v>#REF!</v>
      </c>
      <c r="V16" s="290" t="e">
        <f>'Rev Req Proof Yr1'!U16</f>
        <v>#REF!</v>
      </c>
      <c r="W16" s="147"/>
      <c r="X16" s="295" t="e">
        <f>(I16*S16)</f>
        <v>#REF!</v>
      </c>
      <c r="Y16" s="296" t="e">
        <f t="shared" si="12"/>
        <v>#REF!</v>
      </c>
      <c r="Z16" s="297">
        <f t="shared" si="5"/>
        <v>0</v>
      </c>
      <c r="AA16" s="298"/>
      <c r="AB16" s="295" t="e">
        <f>(J16*S16)</f>
        <v>#REF!</v>
      </c>
      <c r="AC16" s="296" t="e">
        <f t="shared" si="14"/>
        <v>#REF!</v>
      </c>
      <c r="AD16" s="297">
        <f t="shared" si="6"/>
        <v>0</v>
      </c>
      <c r="AE16" s="298"/>
      <c r="AF16" s="295" t="e">
        <f>(F16*S16)</f>
        <v>#REF!</v>
      </c>
      <c r="AG16" s="296">
        <v>0</v>
      </c>
      <c r="AH16" s="297">
        <v>0</v>
      </c>
      <c r="AI16" s="298"/>
      <c r="AJ16" s="295" t="e">
        <f>AB16-X16+AF16</f>
        <v>#REF!</v>
      </c>
      <c r="AK16" s="296" t="e">
        <f t="shared" si="8"/>
        <v>#REF!</v>
      </c>
      <c r="AL16" s="297">
        <f t="shared" si="8"/>
        <v>0</v>
      </c>
      <c r="AM16" s="298"/>
      <c r="AN16" s="327" t="e">
        <f>SUM(AJ16:AL16)/SUM(X16:Z16)</f>
        <v>#REF!</v>
      </c>
      <c r="AO16" s="328" t="e">
        <f t="shared" ref="AO16:AO41" si="16">SUM(AJ16)/SUM(X16)</f>
        <v>#REF!</v>
      </c>
      <c r="AP16" s="298"/>
      <c r="AQ16" s="295" t="e">
        <f t="shared" si="9"/>
        <v>#REF!</v>
      </c>
      <c r="AR16" s="296">
        <v>0</v>
      </c>
      <c r="AS16" s="297">
        <v>0</v>
      </c>
      <c r="AT16" s="298"/>
      <c r="AU16" s="299"/>
      <c r="AV16" s="590"/>
      <c r="AW16" s="298"/>
    </row>
    <row r="17" spans="1:52" x14ac:dyDescent="0.2">
      <c r="A17" s="76">
        <f t="shared" si="4"/>
        <v>10</v>
      </c>
      <c r="B17" s="668" t="e">
        <f>#REF!</f>
        <v>#REF!</v>
      </c>
      <c r="C17" s="668" t="s">
        <v>248</v>
      </c>
      <c r="D17" s="147"/>
      <c r="E17" s="113">
        <f>'Rates in Detail'!Y16</f>
        <v>3.5029999999999999E-2</v>
      </c>
      <c r="F17" s="113">
        <f>SUM('Rates in Detail'!Z16:AB16)</f>
        <v>-1.4670000000000001E-2</v>
      </c>
      <c r="G17" s="149"/>
      <c r="H17" s="147"/>
      <c r="I17" s="357">
        <f>'Rev Req Proof Yr2'!H17</f>
        <v>0.50166999999999995</v>
      </c>
      <c r="J17" s="710">
        <f t="shared" si="10"/>
        <v>0.53669999999999995</v>
      </c>
      <c r="K17" s="147"/>
      <c r="L17" s="145" t="e">
        <f>'Rev Req Proof Yr1'!K17</f>
        <v>#REF!</v>
      </c>
      <c r="M17" s="146" t="e">
        <f>'Rev Req Proof Yr1'!L17</f>
        <v>#REF!</v>
      </c>
      <c r="N17" s="112">
        <f>'Rev Req Proof Yr1'!M17</f>
        <v>0</v>
      </c>
      <c r="O17" s="112">
        <f>'Rev Req Proof Yr1'!N17</f>
        <v>0</v>
      </c>
      <c r="P17" s="112">
        <f>'Rev Req Proof Yr1'!O17</f>
        <v>0</v>
      </c>
      <c r="Q17" s="711">
        <f>'Rev Req Proof Yr1'!P17</f>
        <v>0</v>
      </c>
      <c r="R17" s="147"/>
      <c r="S17" s="287" t="e">
        <f>'Rev Req Proof Yr1'!R17</f>
        <v>#REF!</v>
      </c>
      <c r="T17" s="288"/>
      <c r="U17" s="289" t="e">
        <f>'Rev Req Proof Yr1'!T17</f>
        <v>#REF!</v>
      </c>
      <c r="V17" s="290" t="e">
        <f>'Rev Req Proof Yr1'!U17</f>
        <v>#REF!</v>
      </c>
      <c r="W17" s="147"/>
      <c r="X17" s="295" t="e">
        <f t="shared" si="11"/>
        <v>#REF!</v>
      </c>
      <c r="Y17" s="296" t="e">
        <f t="shared" si="12"/>
        <v>#REF!</v>
      </c>
      <c r="Z17" s="297">
        <f t="shared" si="5"/>
        <v>0</v>
      </c>
      <c r="AA17" s="298"/>
      <c r="AB17" s="295" t="e">
        <f t="shared" ref="AB17:AB21" si="17">(J17*S17)</f>
        <v>#REF!</v>
      </c>
      <c r="AC17" s="296" t="e">
        <f>(M17*U17*12)</f>
        <v>#REF!</v>
      </c>
      <c r="AD17" s="297">
        <f t="shared" si="6"/>
        <v>0</v>
      </c>
      <c r="AE17" s="298"/>
      <c r="AF17" s="295" t="e">
        <f t="shared" ref="AF17:AF21" si="18">(F17*S17)</f>
        <v>#REF!</v>
      </c>
      <c r="AG17" s="296">
        <v>0</v>
      </c>
      <c r="AH17" s="297">
        <v>0</v>
      </c>
      <c r="AI17" s="298"/>
      <c r="AJ17" s="295" t="e">
        <f t="shared" si="7"/>
        <v>#REF!</v>
      </c>
      <c r="AK17" s="296" t="e">
        <f t="shared" si="8"/>
        <v>#REF!</v>
      </c>
      <c r="AL17" s="297">
        <f t="shared" si="8"/>
        <v>0</v>
      </c>
      <c r="AM17" s="298"/>
      <c r="AN17" s="327" t="e">
        <f>SUM(AJ17:AL17)/SUM(X17:Z17)</f>
        <v>#REF!</v>
      </c>
      <c r="AO17" s="328" t="e">
        <f t="shared" si="16"/>
        <v>#REF!</v>
      </c>
      <c r="AP17" s="298"/>
      <c r="AQ17" s="295" t="e">
        <f t="shared" si="9"/>
        <v>#REF!</v>
      </c>
      <c r="AR17" s="296">
        <v>0</v>
      </c>
      <c r="AS17" s="297">
        <v>0</v>
      </c>
      <c r="AT17" s="298"/>
      <c r="AU17" s="299"/>
      <c r="AV17" s="299"/>
      <c r="AW17" s="298"/>
      <c r="AX17" s="634"/>
      <c r="AY17" s="462"/>
    </row>
    <row r="18" spans="1:52" x14ac:dyDescent="0.2">
      <c r="A18" s="76">
        <f t="shared" si="4"/>
        <v>11</v>
      </c>
      <c r="B18" s="668" t="e">
        <f>#REF!</f>
        <v>#REF!</v>
      </c>
      <c r="C18" s="668" t="s">
        <v>248</v>
      </c>
      <c r="D18" s="147"/>
      <c r="E18" s="113">
        <f>'Rates in Detail'!Y17</f>
        <v>3.1730000000000001E-2</v>
      </c>
      <c r="F18" s="113">
        <f>SUM('Rates in Detail'!Z17:AB17)</f>
        <v>-4.9100000000000003E-3</v>
      </c>
      <c r="G18" s="149"/>
      <c r="H18" s="147"/>
      <c r="I18" s="357">
        <f>'Rev Req Proof Yr2'!H18</f>
        <v>0.51500999999999997</v>
      </c>
      <c r="J18" s="710">
        <f t="shared" si="10"/>
        <v>0.54674</v>
      </c>
      <c r="K18" s="147"/>
      <c r="L18" s="145" t="e">
        <f>'Rev Req Proof Yr1'!K18</f>
        <v>#REF!</v>
      </c>
      <c r="M18" s="146" t="e">
        <f>'Rev Req Proof Yr1'!L18</f>
        <v>#REF!</v>
      </c>
      <c r="N18" s="112">
        <f>'Rev Req Proof Yr1'!M18</f>
        <v>0</v>
      </c>
      <c r="O18" s="112">
        <f>'Rev Req Proof Yr1'!N18</f>
        <v>0</v>
      </c>
      <c r="P18" s="112">
        <f>'Rev Req Proof Yr1'!O18</f>
        <v>0</v>
      </c>
      <c r="Q18" s="711">
        <f>'Rev Req Proof Yr1'!P18</f>
        <v>0</v>
      </c>
      <c r="R18" s="147"/>
      <c r="S18" s="287" t="e">
        <f>'Rev Req Proof Yr1'!R18</f>
        <v>#REF!</v>
      </c>
      <c r="T18" s="288"/>
      <c r="U18" s="289" t="e">
        <f>'Rev Req Proof Yr1'!T18</f>
        <v>#REF!</v>
      </c>
      <c r="V18" s="290" t="e">
        <f>'Rev Req Proof Yr1'!U18</f>
        <v>#REF!</v>
      </c>
      <c r="W18" s="147"/>
      <c r="X18" s="295" t="e">
        <f t="shared" si="11"/>
        <v>#REF!</v>
      </c>
      <c r="Y18" s="296" t="e">
        <f t="shared" si="12"/>
        <v>#REF!</v>
      </c>
      <c r="Z18" s="297">
        <f t="shared" si="5"/>
        <v>0</v>
      </c>
      <c r="AA18" s="298"/>
      <c r="AB18" s="295" t="e">
        <f t="shared" si="17"/>
        <v>#REF!</v>
      </c>
      <c r="AC18" s="296" t="e">
        <f t="shared" ref="AC18:AC21" si="19">(M18*U18*12)</f>
        <v>#REF!</v>
      </c>
      <c r="AD18" s="297">
        <f t="shared" si="6"/>
        <v>0</v>
      </c>
      <c r="AE18" s="298"/>
      <c r="AF18" s="295" t="e">
        <f t="shared" si="18"/>
        <v>#REF!</v>
      </c>
      <c r="AG18" s="296">
        <v>0</v>
      </c>
      <c r="AH18" s="297">
        <v>0</v>
      </c>
      <c r="AI18" s="298"/>
      <c r="AJ18" s="295" t="e">
        <f t="shared" si="7"/>
        <v>#REF!</v>
      </c>
      <c r="AK18" s="296" t="e">
        <f t="shared" si="8"/>
        <v>#REF!</v>
      </c>
      <c r="AL18" s="297">
        <f t="shared" si="8"/>
        <v>0</v>
      </c>
      <c r="AM18" s="298"/>
      <c r="AN18" s="327" t="e">
        <f>SUM(AJ18:AL18)/SUM(X18:Z18)</f>
        <v>#REF!</v>
      </c>
      <c r="AO18" s="328" t="e">
        <f t="shared" si="16"/>
        <v>#REF!</v>
      </c>
      <c r="AP18" s="298"/>
      <c r="AQ18" s="295" t="e">
        <f t="shared" si="9"/>
        <v>#REF!</v>
      </c>
      <c r="AR18" s="296">
        <v>0</v>
      </c>
      <c r="AS18" s="297">
        <v>0</v>
      </c>
      <c r="AT18" s="298"/>
      <c r="AU18" s="299"/>
      <c r="AV18" s="299"/>
      <c r="AW18" s="298"/>
      <c r="AX18" s="634"/>
      <c r="AY18" s="462"/>
      <c r="AZ18" s="259"/>
    </row>
    <row r="19" spans="1:52" x14ac:dyDescent="0.2">
      <c r="A19" s="76">
        <f t="shared" si="4"/>
        <v>12</v>
      </c>
      <c r="B19" s="668" t="e">
        <f>#REF!</f>
        <v>#REF!</v>
      </c>
      <c r="C19" s="668" t="s">
        <v>248</v>
      </c>
      <c r="D19" s="147"/>
      <c r="E19" s="113">
        <f>'Rates in Detail'!Y18</f>
        <v>2.777E-2</v>
      </c>
      <c r="F19" s="113">
        <f>SUM('Rates in Detail'!Z18:AB18)</f>
        <v>-1.163E-2</v>
      </c>
      <c r="G19" s="149"/>
      <c r="H19" s="147"/>
      <c r="I19" s="357">
        <f>'Rev Req Proof Yr2'!H19</f>
        <v>0.28683999999999998</v>
      </c>
      <c r="J19" s="710">
        <f t="shared" si="10"/>
        <v>0.31461</v>
      </c>
      <c r="K19" s="147"/>
      <c r="L19" s="145" t="e">
        <f>'Rev Req Proof Yr1'!K19</f>
        <v>#REF!</v>
      </c>
      <c r="M19" s="577" t="e">
        <f>'Rev Req Proof Yr1'!L19</f>
        <v>#REF!</v>
      </c>
      <c r="N19" s="112">
        <f>'Rev Req Proof Yr1'!M19</f>
        <v>0</v>
      </c>
      <c r="O19" s="112">
        <f>'Rev Req Proof Yr1'!N19</f>
        <v>0</v>
      </c>
      <c r="P19" s="112">
        <f>'Rev Req Proof Yr1'!O19</f>
        <v>0</v>
      </c>
      <c r="Q19" s="711">
        <f>'Rev Req Proof Yr1'!P19</f>
        <v>0</v>
      </c>
      <c r="R19" s="147"/>
      <c r="S19" s="287" t="e">
        <f>'Rev Req Proof Yr1'!R19</f>
        <v>#REF!</v>
      </c>
      <c r="T19" s="288"/>
      <c r="U19" s="289" t="e">
        <f>'Rev Req Proof Yr1'!T19</f>
        <v>#REF!</v>
      </c>
      <c r="V19" s="290" t="e">
        <f>'Rev Req Proof Yr1'!U19</f>
        <v>#REF!</v>
      </c>
      <c r="W19" s="147"/>
      <c r="X19" s="295" t="e">
        <f t="shared" si="11"/>
        <v>#REF!</v>
      </c>
      <c r="Y19" s="296" t="e">
        <f t="shared" si="12"/>
        <v>#REF!</v>
      </c>
      <c r="Z19" s="297">
        <f t="shared" si="5"/>
        <v>0</v>
      </c>
      <c r="AA19" s="298"/>
      <c r="AB19" s="295" t="e">
        <f t="shared" si="17"/>
        <v>#REF!</v>
      </c>
      <c r="AC19" s="296" t="e">
        <f t="shared" si="19"/>
        <v>#REF!</v>
      </c>
      <c r="AD19" s="297">
        <f t="shared" si="6"/>
        <v>0</v>
      </c>
      <c r="AE19" s="298"/>
      <c r="AF19" s="295" t="e">
        <f t="shared" si="18"/>
        <v>#REF!</v>
      </c>
      <c r="AG19" s="296">
        <v>0</v>
      </c>
      <c r="AH19" s="297">
        <v>0</v>
      </c>
      <c r="AI19" s="298"/>
      <c r="AJ19" s="295" t="e">
        <f t="shared" si="7"/>
        <v>#REF!</v>
      </c>
      <c r="AK19" s="296" t="e">
        <f t="shared" si="8"/>
        <v>#REF!</v>
      </c>
      <c r="AL19" s="297">
        <f t="shared" si="8"/>
        <v>0</v>
      </c>
      <c r="AM19" s="298"/>
      <c r="AN19" s="327" t="e">
        <f>SUM(AJ19:AL19)/SUM(X19:Z19)</f>
        <v>#REF!</v>
      </c>
      <c r="AO19" s="328" t="e">
        <f t="shared" si="16"/>
        <v>#REF!</v>
      </c>
      <c r="AP19" s="298"/>
      <c r="AQ19" s="295" t="e">
        <f t="shared" si="9"/>
        <v>#REF!</v>
      </c>
      <c r="AR19" s="296">
        <v>0</v>
      </c>
      <c r="AS19" s="297">
        <v>0</v>
      </c>
      <c r="AT19" s="298"/>
      <c r="AU19" s="299"/>
      <c r="AV19" s="299"/>
      <c r="AW19" s="298"/>
      <c r="AX19" s="634"/>
      <c r="AY19" s="462"/>
    </row>
    <row r="20" spans="1:52" x14ac:dyDescent="0.2">
      <c r="A20" s="76">
        <f t="shared" si="4"/>
        <v>13</v>
      </c>
      <c r="B20" s="677" t="e">
        <f>#REF!</f>
        <v>#REF!</v>
      </c>
      <c r="C20" s="671" t="s">
        <v>4</v>
      </c>
      <c r="D20" s="147"/>
      <c r="E20" s="112">
        <f>'Rates in Detail'!Y19</f>
        <v>2.7820000000000001E-2</v>
      </c>
      <c r="F20" s="112">
        <f>SUM('Rates in Detail'!Z19:AB19)</f>
        <v>-1.1650000000000001E-2</v>
      </c>
      <c r="G20" s="147"/>
      <c r="H20" s="147"/>
      <c r="I20" s="362">
        <f>'Rev Req Proof Yr2'!H20</f>
        <v>0.39079000000000003</v>
      </c>
      <c r="J20" s="711">
        <f t="shared" si="10"/>
        <v>0.41861000000000004</v>
      </c>
      <c r="K20" s="147"/>
      <c r="L20" s="145" t="e">
        <f>'Rev Req Proof Yr1'!K20</f>
        <v>#REF!</v>
      </c>
      <c r="M20" s="146" t="e">
        <f>'Rev Req Proof Yr1'!L20</f>
        <v>#REF!</v>
      </c>
      <c r="N20" s="112">
        <f>'Rev Req Proof Yr1'!M20</f>
        <v>0</v>
      </c>
      <c r="O20" s="112">
        <f>'Rev Req Proof Yr1'!N20</f>
        <v>0</v>
      </c>
      <c r="P20" s="112">
        <f>'Rev Req Proof Yr1'!O20</f>
        <v>0</v>
      </c>
      <c r="Q20" s="711">
        <f>'Rev Req Proof Yr1'!P20</f>
        <v>0</v>
      </c>
      <c r="R20" s="147"/>
      <c r="S20" s="287" t="e">
        <f>'Rev Req Proof Yr1'!R20</f>
        <v>#REF!</v>
      </c>
      <c r="T20" s="288"/>
      <c r="U20" s="289" t="e">
        <f>'Rev Req Proof Yr1'!T20</f>
        <v>#REF!</v>
      </c>
      <c r="V20" s="290" t="e">
        <f>'Rev Req Proof Yr1'!U20</f>
        <v>#REF!</v>
      </c>
      <c r="W20" s="147"/>
      <c r="X20" s="302" t="e">
        <f t="shared" si="11"/>
        <v>#REF!</v>
      </c>
      <c r="Y20" s="298" t="e">
        <f t="shared" si="12"/>
        <v>#REF!</v>
      </c>
      <c r="Z20" s="303">
        <f t="shared" si="5"/>
        <v>0</v>
      </c>
      <c r="AA20" s="298"/>
      <c r="AB20" s="302" t="e">
        <f t="shared" si="17"/>
        <v>#REF!</v>
      </c>
      <c r="AC20" s="298" t="e">
        <f t="shared" si="19"/>
        <v>#REF!</v>
      </c>
      <c r="AD20" s="303">
        <f t="shared" si="6"/>
        <v>0</v>
      </c>
      <c r="AE20" s="298"/>
      <c r="AF20" s="302" t="e">
        <f t="shared" si="18"/>
        <v>#REF!</v>
      </c>
      <c r="AG20" s="298">
        <v>0</v>
      </c>
      <c r="AH20" s="303">
        <v>0</v>
      </c>
      <c r="AI20" s="298"/>
      <c r="AJ20" s="302" t="e">
        <f t="shared" si="7"/>
        <v>#REF!</v>
      </c>
      <c r="AK20" s="298" t="e">
        <f t="shared" si="8"/>
        <v>#REF!</v>
      </c>
      <c r="AL20" s="303">
        <f t="shared" si="8"/>
        <v>0</v>
      </c>
      <c r="AM20" s="298"/>
      <c r="AN20" s="327"/>
      <c r="AO20" s="329" t="e">
        <f t="shared" si="16"/>
        <v>#REF!</v>
      </c>
      <c r="AP20" s="298"/>
      <c r="AQ20" s="302" t="e">
        <f t="shared" si="9"/>
        <v>#REF!</v>
      </c>
      <c r="AR20" s="298">
        <v>0</v>
      </c>
      <c r="AS20" s="303">
        <v>0</v>
      </c>
      <c r="AT20" s="298"/>
      <c r="AU20" s="299"/>
      <c r="AV20" s="299"/>
      <c r="AW20" s="298"/>
      <c r="AX20" s="634"/>
      <c r="AY20" s="462"/>
    </row>
    <row r="21" spans="1:52" x14ac:dyDescent="0.2">
      <c r="A21" s="76">
        <f t="shared" si="4"/>
        <v>14</v>
      </c>
      <c r="B21" s="670"/>
      <c r="C21" s="671" t="s">
        <v>5</v>
      </c>
      <c r="D21" s="147"/>
      <c r="E21" s="112">
        <f>'Rates in Detail'!Y20</f>
        <v>2.4510000000000001E-2</v>
      </c>
      <c r="F21" s="112">
        <f>SUM('Rates in Detail'!Z20:AB20)</f>
        <v>-1.027E-2</v>
      </c>
      <c r="G21" s="147"/>
      <c r="H21" s="147"/>
      <c r="I21" s="362">
        <f>'Rev Req Proof Yr2'!H21</f>
        <v>0.34434999999999999</v>
      </c>
      <c r="J21" s="711">
        <f t="shared" si="10"/>
        <v>0.36885999999999997</v>
      </c>
      <c r="K21" s="147"/>
      <c r="L21" s="145"/>
      <c r="M21" s="146"/>
      <c r="N21" s="112"/>
      <c r="O21" s="112"/>
      <c r="P21" s="112"/>
      <c r="Q21" s="711"/>
      <c r="R21" s="147"/>
      <c r="S21" s="287" t="e">
        <f>'Rev Req Proof Yr1'!R21</f>
        <v>#REF!</v>
      </c>
      <c r="T21" s="288"/>
      <c r="U21" s="289">
        <f>'Rev Req Proof Yr1'!T21</f>
        <v>0</v>
      </c>
      <c r="V21" s="290">
        <f>'Rev Req Proof Yr1'!U21</f>
        <v>0</v>
      </c>
      <c r="W21" s="147"/>
      <c r="X21" s="302" t="e">
        <f t="shared" si="11"/>
        <v>#REF!</v>
      </c>
      <c r="Y21" s="298">
        <f t="shared" si="12"/>
        <v>0</v>
      </c>
      <c r="Z21" s="303">
        <f t="shared" si="5"/>
        <v>0</v>
      </c>
      <c r="AA21" s="298"/>
      <c r="AB21" s="302" t="e">
        <f t="shared" si="17"/>
        <v>#REF!</v>
      </c>
      <c r="AC21" s="298">
        <f t="shared" si="19"/>
        <v>0</v>
      </c>
      <c r="AD21" s="303">
        <f t="shared" si="6"/>
        <v>0</v>
      </c>
      <c r="AE21" s="298"/>
      <c r="AF21" s="302" t="e">
        <f t="shared" si="18"/>
        <v>#REF!</v>
      </c>
      <c r="AG21" s="298">
        <v>0</v>
      </c>
      <c r="AH21" s="303">
        <v>0</v>
      </c>
      <c r="AI21" s="298"/>
      <c r="AJ21" s="302" t="e">
        <f t="shared" si="7"/>
        <v>#REF!</v>
      </c>
      <c r="AK21" s="298">
        <f t="shared" si="8"/>
        <v>0</v>
      </c>
      <c r="AL21" s="303">
        <f t="shared" si="8"/>
        <v>0</v>
      </c>
      <c r="AM21" s="298"/>
      <c r="AN21" s="327"/>
      <c r="AO21" s="329" t="e">
        <f t="shared" si="16"/>
        <v>#REF!</v>
      </c>
      <c r="AP21" s="298"/>
      <c r="AQ21" s="302" t="e">
        <f t="shared" si="9"/>
        <v>#REF!</v>
      </c>
      <c r="AR21" s="298">
        <v>0</v>
      </c>
      <c r="AS21" s="303">
        <v>0</v>
      </c>
      <c r="AT21" s="298"/>
      <c r="AU21" s="299"/>
      <c r="AV21" s="299"/>
      <c r="AW21" s="298"/>
      <c r="AX21" s="634"/>
      <c r="AY21" s="462"/>
    </row>
    <row r="22" spans="1:52" x14ac:dyDescent="0.2">
      <c r="A22" s="76">
        <f t="shared" si="4"/>
        <v>15</v>
      </c>
      <c r="B22" s="668"/>
      <c r="C22" s="686" t="s">
        <v>62</v>
      </c>
      <c r="D22" s="143"/>
      <c r="E22" s="113"/>
      <c r="F22" s="113"/>
      <c r="G22" s="143"/>
      <c r="H22" s="143"/>
      <c r="I22" s="357"/>
      <c r="J22" s="710"/>
      <c r="K22" s="147"/>
      <c r="L22" s="145"/>
      <c r="M22" s="146"/>
      <c r="N22" s="112"/>
      <c r="O22" s="112"/>
      <c r="P22" s="112"/>
      <c r="Q22" s="711"/>
      <c r="R22" s="147"/>
      <c r="S22" s="287"/>
      <c r="T22" s="288"/>
      <c r="U22" s="289"/>
      <c r="V22" s="290"/>
      <c r="W22" s="147"/>
      <c r="X22" s="304" t="e">
        <f>SUM(X20:X21)</f>
        <v>#REF!</v>
      </c>
      <c r="Y22" s="305" t="e">
        <f>SUM(Y20:Y21)</f>
        <v>#REF!</v>
      </c>
      <c r="Z22" s="306">
        <f t="shared" ref="Z22" si="20">SUM(Z20:Z21)</f>
        <v>0</v>
      </c>
      <c r="AA22" s="298"/>
      <c r="AB22" s="304" t="e">
        <f>SUM(AB20:AB21)</f>
        <v>#REF!</v>
      </c>
      <c r="AC22" s="305" t="e">
        <f t="shared" ref="AC22:AD22" si="21">SUM(AC20:AC21)</f>
        <v>#REF!</v>
      </c>
      <c r="AD22" s="306">
        <f t="shared" si="21"/>
        <v>0</v>
      </c>
      <c r="AE22" s="298"/>
      <c r="AF22" s="304" t="e">
        <f>SUM(AF20:AF21)</f>
        <v>#REF!</v>
      </c>
      <c r="AG22" s="305">
        <f t="shared" ref="AG22:AH22" si="22">SUM(AG20:AG21)</f>
        <v>0</v>
      </c>
      <c r="AH22" s="306">
        <f t="shared" si="22"/>
        <v>0</v>
      </c>
      <c r="AI22" s="298"/>
      <c r="AJ22" s="304" t="e">
        <f>SUM(AJ20:AJ21)</f>
        <v>#REF!</v>
      </c>
      <c r="AK22" s="305" t="e">
        <f t="shared" ref="AK22:AL22" si="23">SUM(AK20:AK21)</f>
        <v>#REF!</v>
      </c>
      <c r="AL22" s="306">
        <f t="shared" si="23"/>
        <v>0</v>
      </c>
      <c r="AM22" s="298"/>
      <c r="AN22" s="327" t="e">
        <f>SUM(AJ22:AL22)/SUM(X22:Z22)</f>
        <v>#REF!</v>
      </c>
      <c r="AO22" s="328" t="e">
        <f t="shared" si="16"/>
        <v>#REF!</v>
      </c>
      <c r="AP22" s="298"/>
      <c r="AQ22" s="304" t="e">
        <f>SUM(AQ20:AQ21)</f>
        <v>#REF!</v>
      </c>
      <c r="AR22" s="305">
        <f t="shared" ref="AR22:AS22" si="24">SUM(AR20:AR21)</f>
        <v>0</v>
      </c>
      <c r="AS22" s="306">
        <f t="shared" si="24"/>
        <v>0</v>
      </c>
      <c r="AT22" s="298"/>
      <c r="AU22" s="299"/>
      <c r="AV22" s="299"/>
      <c r="AW22" s="317"/>
      <c r="AX22" s="47"/>
      <c r="AY22" s="642"/>
    </row>
    <row r="23" spans="1:52" x14ac:dyDescent="0.2">
      <c r="A23" s="76">
        <f t="shared" si="4"/>
        <v>16</v>
      </c>
      <c r="B23" s="677" t="e">
        <f>#REF!</f>
        <v>#REF!</v>
      </c>
      <c r="C23" s="671" t="s">
        <v>4</v>
      </c>
      <c r="D23" s="147"/>
      <c r="E23" s="112">
        <f>'Rates in Detail'!Y21</f>
        <v>8.7299999999999999E-3</v>
      </c>
      <c r="F23" s="112">
        <f>SUM('Rates in Detail'!Z21:AB21)</f>
        <v>-3.7499999999999999E-3</v>
      </c>
      <c r="G23" s="147"/>
      <c r="H23" s="147"/>
      <c r="I23" s="362">
        <f>'Rev Req Proof Yr2'!H23</f>
        <v>0.36329</v>
      </c>
      <c r="J23" s="711">
        <f t="shared" si="10"/>
        <v>0.37202000000000002</v>
      </c>
      <c r="K23" s="147"/>
      <c r="L23" s="145" t="e">
        <f>'Rev Req Proof Yr1'!K23</f>
        <v>#REF!</v>
      </c>
      <c r="M23" s="146" t="e">
        <f>'Rev Req Proof Yr1'!L23</f>
        <v>#REF!</v>
      </c>
      <c r="N23" s="112">
        <f>'Rev Req Proof Yr1'!M23</f>
        <v>0</v>
      </c>
      <c r="O23" s="112">
        <f>'Rev Req Proof Yr1'!N23</f>
        <v>0</v>
      </c>
      <c r="P23" s="112">
        <f>'Rev Req Proof Yr1'!O23</f>
        <v>0</v>
      </c>
      <c r="Q23" s="711">
        <f>'Rev Req Proof Yr1'!P23</f>
        <v>0</v>
      </c>
      <c r="R23" s="147"/>
      <c r="S23" s="287" t="e">
        <f>'Rev Req Proof Yr1'!R23</f>
        <v>#REF!</v>
      </c>
      <c r="T23" s="288"/>
      <c r="U23" s="289" t="e">
        <f>'Rev Req Proof Yr1'!T23</f>
        <v>#REF!</v>
      </c>
      <c r="V23" s="290" t="e">
        <f>'Rev Req Proof Yr1'!U23</f>
        <v>#REF!</v>
      </c>
      <c r="W23" s="147"/>
      <c r="X23" s="302" t="e">
        <f t="shared" ref="X23:X24" si="25">(I23*S23)</f>
        <v>#REF!</v>
      </c>
      <c r="Y23" s="298" t="e">
        <f t="shared" ref="Y23:Y24" si="26">(L23*U23*12)</f>
        <v>#REF!</v>
      </c>
      <c r="Z23" s="303">
        <f t="shared" ref="Z23:Z24" si="27">(T23*(N23+P23))*12</f>
        <v>0</v>
      </c>
      <c r="AA23" s="298"/>
      <c r="AB23" s="302" t="e">
        <f t="shared" ref="AB23:AB24" si="28">(J23*S23)</f>
        <v>#REF!</v>
      </c>
      <c r="AC23" s="298" t="e">
        <f t="shared" ref="AC23:AC24" si="29">(M23*U23*12)</f>
        <v>#REF!</v>
      </c>
      <c r="AD23" s="303">
        <f t="shared" ref="AD23:AD24" si="30">(T23*(O23+Q23))*12</f>
        <v>0</v>
      </c>
      <c r="AE23" s="298"/>
      <c r="AF23" s="302" t="e">
        <f t="shared" ref="AF23:AF24" si="31">(F23*S23)</f>
        <v>#REF!</v>
      </c>
      <c r="AG23" s="298">
        <v>0</v>
      </c>
      <c r="AH23" s="303">
        <v>0</v>
      </c>
      <c r="AI23" s="298"/>
      <c r="AJ23" s="302" t="e">
        <f t="shared" ref="AJ23:AJ24" si="32">AB23-X23+AF23</f>
        <v>#REF!</v>
      </c>
      <c r="AK23" s="298" t="e">
        <f t="shared" ref="AK23:AL24" si="33">AC23-Y23-AG23</f>
        <v>#REF!</v>
      </c>
      <c r="AL23" s="303">
        <f t="shared" si="33"/>
        <v>0</v>
      </c>
      <c r="AM23" s="298"/>
      <c r="AN23" s="327"/>
      <c r="AO23" s="329" t="e">
        <f t="shared" ref="AO23:AO25" si="34">SUM(AJ23)/SUM(X23)</f>
        <v>#REF!</v>
      </c>
      <c r="AP23" s="298"/>
      <c r="AQ23" s="302" t="e">
        <f t="shared" ref="AQ23:AQ24" si="35">(G23*S23)</f>
        <v>#REF!</v>
      </c>
      <c r="AR23" s="298">
        <v>0</v>
      </c>
      <c r="AS23" s="303">
        <v>0</v>
      </c>
      <c r="AT23" s="298"/>
      <c r="AU23" s="299"/>
      <c r="AV23" s="299"/>
      <c r="AW23" s="298"/>
      <c r="AX23" s="634"/>
      <c r="AY23" s="462"/>
    </row>
    <row r="24" spans="1:52" x14ac:dyDescent="0.2">
      <c r="A24" s="76">
        <f t="shared" si="4"/>
        <v>17</v>
      </c>
      <c r="B24" s="670"/>
      <c r="C24" s="671" t="s">
        <v>5</v>
      </c>
      <c r="D24" s="147"/>
      <c r="E24" s="112">
        <f>'Rates in Detail'!Y22</f>
        <v>7.6899999999999998E-3</v>
      </c>
      <c r="F24" s="112">
        <f>SUM('Rates in Detail'!Z22:AB22)</f>
        <v>-3.29E-3</v>
      </c>
      <c r="G24" s="147"/>
      <c r="H24" s="147"/>
      <c r="I24" s="362">
        <f>'Rev Req Proof Yr2'!H24</f>
        <v>0.32011000000000001</v>
      </c>
      <c r="J24" s="711">
        <f t="shared" si="10"/>
        <v>0.32779999999999998</v>
      </c>
      <c r="K24" s="147"/>
      <c r="L24" s="145"/>
      <c r="M24" s="146"/>
      <c r="N24" s="112"/>
      <c r="O24" s="112"/>
      <c r="P24" s="112"/>
      <c r="Q24" s="711"/>
      <c r="R24" s="147"/>
      <c r="S24" s="287" t="e">
        <f>'Rev Req Proof Yr1'!R24</f>
        <v>#REF!</v>
      </c>
      <c r="T24" s="288"/>
      <c r="U24" s="289"/>
      <c r="V24" s="290"/>
      <c r="W24" s="147"/>
      <c r="X24" s="302" t="e">
        <f t="shared" si="25"/>
        <v>#REF!</v>
      </c>
      <c r="Y24" s="298">
        <f t="shared" si="26"/>
        <v>0</v>
      </c>
      <c r="Z24" s="303">
        <f t="shared" si="27"/>
        <v>0</v>
      </c>
      <c r="AA24" s="298"/>
      <c r="AB24" s="302" t="e">
        <f t="shared" si="28"/>
        <v>#REF!</v>
      </c>
      <c r="AC24" s="298">
        <f t="shared" si="29"/>
        <v>0</v>
      </c>
      <c r="AD24" s="303">
        <f t="shared" si="30"/>
        <v>0</v>
      </c>
      <c r="AE24" s="298"/>
      <c r="AF24" s="302" t="e">
        <f t="shared" si="31"/>
        <v>#REF!</v>
      </c>
      <c r="AG24" s="298">
        <v>0</v>
      </c>
      <c r="AH24" s="303">
        <v>0</v>
      </c>
      <c r="AI24" s="298"/>
      <c r="AJ24" s="302" t="e">
        <f t="shared" si="32"/>
        <v>#REF!</v>
      </c>
      <c r="AK24" s="298">
        <f t="shared" si="33"/>
        <v>0</v>
      </c>
      <c r="AL24" s="303">
        <f t="shared" si="33"/>
        <v>0</v>
      </c>
      <c r="AM24" s="298"/>
      <c r="AN24" s="327"/>
      <c r="AO24" s="329" t="e">
        <f t="shared" si="34"/>
        <v>#REF!</v>
      </c>
      <c r="AP24" s="298"/>
      <c r="AQ24" s="302" t="e">
        <f t="shared" si="35"/>
        <v>#REF!</v>
      </c>
      <c r="AR24" s="298">
        <v>0</v>
      </c>
      <c r="AS24" s="303">
        <v>0</v>
      </c>
      <c r="AT24" s="298"/>
      <c r="AU24" s="299"/>
      <c r="AV24" s="299"/>
      <c r="AW24" s="298"/>
      <c r="AX24" s="634"/>
      <c r="AY24" s="462"/>
    </row>
    <row r="25" spans="1:52" x14ac:dyDescent="0.2">
      <c r="A25" s="76">
        <f t="shared" si="4"/>
        <v>18</v>
      </c>
      <c r="B25" s="668"/>
      <c r="C25" s="686" t="s">
        <v>62</v>
      </c>
      <c r="D25" s="143"/>
      <c r="E25" s="113"/>
      <c r="F25" s="113"/>
      <c r="G25" s="143"/>
      <c r="H25" s="143"/>
      <c r="I25" s="357"/>
      <c r="J25" s="710"/>
      <c r="K25" s="147"/>
      <c r="L25" s="145"/>
      <c r="M25" s="146"/>
      <c r="N25" s="112"/>
      <c r="O25" s="112"/>
      <c r="P25" s="112"/>
      <c r="Q25" s="711"/>
      <c r="R25" s="147"/>
      <c r="S25" s="287"/>
      <c r="T25" s="288"/>
      <c r="U25" s="289"/>
      <c r="V25" s="290"/>
      <c r="W25" s="147"/>
      <c r="X25" s="304" t="e">
        <f>SUM(X23:X24)</f>
        <v>#REF!</v>
      </c>
      <c r="Y25" s="305" t="e">
        <f t="shared" ref="Y25:Z25" si="36">SUM(Y23:Y24)</f>
        <v>#REF!</v>
      </c>
      <c r="Z25" s="306">
        <f t="shared" si="36"/>
        <v>0</v>
      </c>
      <c r="AA25" s="298"/>
      <c r="AB25" s="304" t="e">
        <f>SUM(AB23:AB24)</f>
        <v>#REF!</v>
      </c>
      <c r="AC25" s="305" t="e">
        <f t="shared" ref="AC25:AD25" si="37">SUM(AC23:AC24)</f>
        <v>#REF!</v>
      </c>
      <c r="AD25" s="306">
        <f t="shared" si="37"/>
        <v>0</v>
      </c>
      <c r="AE25" s="298"/>
      <c r="AF25" s="304" t="e">
        <f>SUM(AF23:AF24)</f>
        <v>#REF!</v>
      </c>
      <c r="AG25" s="305">
        <f t="shared" ref="AG25:AH25" si="38">SUM(AG23:AG24)</f>
        <v>0</v>
      </c>
      <c r="AH25" s="306">
        <f t="shared" si="38"/>
        <v>0</v>
      </c>
      <c r="AI25" s="298"/>
      <c r="AJ25" s="304" t="e">
        <f>SUM(AJ23:AJ24)</f>
        <v>#REF!</v>
      </c>
      <c r="AK25" s="305" t="e">
        <f t="shared" ref="AK25:AL25" si="39">SUM(AK23:AK24)</f>
        <v>#REF!</v>
      </c>
      <c r="AL25" s="306">
        <f t="shared" si="39"/>
        <v>0</v>
      </c>
      <c r="AM25" s="298"/>
      <c r="AN25" s="327" t="e">
        <f>SUM(AJ25:AL25)/SUM(X25:Z25)</f>
        <v>#REF!</v>
      </c>
      <c r="AO25" s="328" t="e">
        <f t="shared" si="34"/>
        <v>#REF!</v>
      </c>
      <c r="AP25" s="298"/>
      <c r="AQ25" s="304" t="e">
        <f>SUM(AQ23:AQ24)</f>
        <v>#REF!</v>
      </c>
      <c r="AR25" s="305">
        <f t="shared" ref="AR25:AS25" si="40">SUM(AR23:AR24)</f>
        <v>0</v>
      </c>
      <c r="AS25" s="306">
        <f t="shared" si="40"/>
        <v>0</v>
      </c>
      <c r="AT25" s="298"/>
      <c r="AU25" s="299"/>
      <c r="AV25" s="299"/>
      <c r="AW25" s="317"/>
      <c r="AX25" s="47"/>
      <c r="AY25" s="642"/>
    </row>
    <row r="26" spans="1:52" x14ac:dyDescent="0.2">
      <c r="A26" s="76">
        <f t="shared" si="4"/>
        <v>19</v>
      </c>
      <c r="B26" s="670" t="e">
        <f>#REF!</f>
        <v>#REF!</v>
      </c>
      <c r="C26" s="671" t="s">
        <v>4</v>
      </c>
      <c r="D26" s="147"/>
      <c r="E26" s="112">
        <f>'Rates in Detail'!Y23</f>
        <v>2.162E-2</v>
      </c>
      <c r="F26" s="112">
        <f>SUM('Rates in Detail'!Z23:AB23)</f>
        <v>-1.013E-2</v>
      </c>
      <c r="G26" s="147"/>
      <c r="H26" s="147"/>
      <c r="I26" s="362">
        <f>'Rev Req Proof Yr2'!H26</f>
        <v>0.37659999999999999</v>
      </c>
      <c r="J26" s="711">
        <f t="shared" si="10"/>
        <v>0.39822000000000002</v>
      </c>
      <c r="K26" s="147"/>
      <c r="L26" s="145" t="e">
        <f>'Rev Req Proof Yr1'!K26</f>
        <v>#REF!</v>
      </c>
      <c r="M26" s="146" t="e">
        <f>'Rev Req Proof Yr1'!L26</f>
        <v>#REF!</v>
      </c>
      <c r="N26" s="112">
        <f>'Rev Req Proof Yr1'!M26</f>
        <v>0</v>
      </c>
      <c r="O26" s="112">
        <f>'Rev Req Proof Yr1'!N26</f>
        <v>0</v>
      </c>
      <c r="P26" s="112">
        <f>'Rev Req Proof Yr1'!O26</f>
        <v>0</v>
      </c>
      <c r="Q26" s="711">
        <f>'Rev Req Proof Yr1'!P26</f>
        <v>0</v>
      </c>
      <c r="R26" s="147"/>
      <c r="S26" s="287" t="e">
        <f>'Rev Req Proof Yr1'!R26</f>
        <v>#REF!</v>
      </c>
      <c r="T26" s="288"/>
      <c r="U26" s="289" t="e">
        <f>'Rev Req Proof Yr1'!T26</f>
        <v>#REF!</v>
      </c>
      <c r="V26" s="290" t="e">
        <f>'Rev Req Proof Yr1'!U26</f>
        <v>#REF!</v>
      </c>
      <c r="W26" s="147"/>
      <c r="X26" s="302" t="e">
        <f t="shared" ref="X26:X27" si="41">(I26*S26)</f>
        <v>#REF!</v>
      </c>
      <c r="Y26" s="298" t="e">
        <f t="shared" ref="Y26:Y27" si="42">(L26*U26*12)</f>
        <v>#REF!</v>
      </c>
      <c r="Z26" s="303">
        <f t="shared" ref="Z26:Z27" si="43">(T26*(N26+P26))*12</f>
        <v>0</v>
      </c>
      <c r="AA26" s="298"/>
      <c r="AB26" s="302" t="e">
        <f t="shared" ref="AB26:AB27" si="44">(J26*S26)</f>
        <v>#REF!</v>
      </c>
      <c r="AC26" s="298" t="e">
        <f t="shared" ref="AC26:AC27" si="45">(M26*U26*12)</f>
        <v>#REF!</v>
      </c>
      <c r="AD26" s="303">
        <f t="shared" ref="AD26:AD27" si="46">(T26*(O26+Q26))*12</f>
        <v>0</v>
      </c>
      <c r="AE26" s="298"/>
      <c r="AF26" s="302" t="e">
        <f t="shared" ref="AF26:AF27" si="47">(F26*S26)</f>
        <v>#REF!</v>
      </c>
      <c r="AG26" s="298">
        <v>0</v>
      </c>
      <c r="AH26" s="303">
        <v>0</v>
      </c>
      <c r="AI26" s="298"/>
      <c r="AJ26" s="302" t="e">
        <f t="shared" ref="AJ26:AJ27" si="48">AB26-X26+AF26</f>
        <v>#REF!</v>
      </c>
      <c r="AK26" s="298" t="e">
        <f t="shared" ref="AK26:AL27" si="49">AC26-Y26-AG26</f>
        <v>#REF!</v>
      </c>
      <c r="AL26" s="303">
        <f t="shared" si="49"/>
        <v>0</v>
      </c>
      <c r="AM26" s="298"/>
      <c r="AN26" s="327"/>
      <c r="AO26" s="329" t="e">
        <f t="shared" si="16"/>
        <v>#REF!</v>
      </c>
      <c r="AP26" s="298"/>
      <c r="AQ26" s="302" t="e">
        <f t="shared" ref="AQ26:AQ27" si="50">(G26*S26)</f>
        <v>#REF!</v>
      </c>
      <c r="AR26" s="298">
        <v>0</v>
      </c>
      <c r="AS26" s="303">
        <v>0</v>
      </c>
      <c r="AT26" s="298"/>
      <c r="AU26" s="299"/>
      <c r="AV26" s="299"/>
      <c r="AW26" s="298"/>
      <c r="AX26" s="634"/>
      <c r="AY26" s="462"/>
    </row>
    <row r="27" spans="1:52" x14ac:dyDescent="0.2">
      <c r="A27" s="76">
        <f t="shared" si="4"/>
        <v>20</v>
      </c>
      <c r="B27" s="670"/>
      <c r="C27" s="671" t="s">
        <v>5</v>
      </c>
      <c r="D27" s="147"/>
      <c r="E27" s="112">
        <f>'Rates in Detail'!Y24</f>
        <v>1.9050000000000001E-2</v>
      </c>
      <c r="F27" s="112">
        <f>SUM('Rates in Detail'!Z24:AB24)</f>
        <v>-8.9200000000000008E-3</v>
      </c>
      <c r="G27" s="147"/>
      <c r="H27" s="147"/>
      <c r="I27" s="362">
        <f>'Rev Req Proof Yr2'!H27</f>
        <v>0.33180999999999999</v>
      </c>
      <c r="J27" s="711">
        <f t="shared" si="10"/>
        <v>0.35086000000000001</v>
      </c>
      <c r="K27" s="147"/>
      <c r="L27" s="145"/>
      <c r="M27" s="146"/>
      <c r="N27" s="112"/>
      <c r="O27" s="112"/>
      <c r="P27" s="112"/>
      <c r="Q27" s="711"/>
      <c r="R27" s="147"/>
      <c r="S27" s="287" t="e">
        <f>'Rev Req Proof Yr1'!R27</f>
        <v>#REF!</v>
      </c>
      <c r="T27" s="288"/>
      <c r="U27" s="289"/>
      <c r="V27" s="290"/>
      <c r="W27" s="147"/>
      <c r="X27" s="302" t="e">
        <f t="shared" si="41"/>
        <v>#REF!</v>
      </c>
      <c r="Y27" s="298">
        <f t="shared" si="42"/>
        <v>0</v>
      </c>
      <c r="Z27" s="303">
        <f t="shared" si="43"/>
        <v>0</v>
      </c>
      <c r="AA27" s="298"/>
      <c r="AB27" s="302" t="e">
        <f t="shared" si="44"/>
        <v>#REF!</v>
      </c>
      <c r="AC27" s="298">
        <f t="shared" si="45"/>
        <v>0</v>
      </c>
      <c r="AD27" s="303">
        <f t="shared" si="46"/>
        <v>0</v>
      </c>
      <c r="AE27" s="298"/>
      <c r="AF27" s="302" t="e">
        <f t="shared" si="47"/>
        <v>#REF!</v>
      </c>
      <c r="AG27" s="298">
        <v>0</v>
      </c>
      <c r="AH27" s="303">
        <v>0</v>
      </c>
      <c r="AI27" s="298"/>
      <c r="AJ27" s="302" t="e">
        <f t="shared" si="48"/>
        <v>#REF!</v>
      </c>
      <c r="AK27" s="298">
        <f t="shared" si="49"/>
        <v>0</v>
      </c>
      <c r="AL27" s="303">
        <f t="shared" si="49"/>
        <v>0</v>
      </c>
      <c r="AM27" s="298"/>
      <c r="AN27" s="327"/>
      <c r="AO27" s="329" t="e">
        <f t="shared" si="16"/>
        <v>#REF!</v>
      </c>
      <c r="AP27" s="298"/>
      <c r="AQ27" s="302" t="e">
        <f t="shared" si="50"/>
        <v>#REF!</v>
      </c>
      <c r="AR27" s="298">
        <v>0</v>
      </c>
      <c r="AS27" s="303">
        <v>0</v>
      </c>
      <c r="AT27" s="298"/>
      <c r="AU27" s="299"/>
      <c r="AX27" s="634"/>
      <c r="AY27" s="462"/>
    </row>
    <row r="28" spans="1:52" x14ac:dyDescent="0.2">
      <c r="A28" s="76">
        <f t="shared" si="4"/>
        <v>21</v>
      </c>
      <c r="B28" s="668"/>
      <c r="C28" s="686" t="s">
        <v>62</v>
      </c>
      <c r="D28" s="143"/>
      <c r="E28" s="113"/>
      <c r="F28" s="113"/>
      <c r="G28" s="143"/>
      <c r="H28" s="143"/>
      <c r="I28" s="357"/>
      <c r="J28" s="710"/>
      <c r="K28" s="147"/>
      <c r="L28" s="145"/>
      <c r="M28" s="146"/>
      <c r="N28" s="112"/>
      <c r="O28" s="112"/>
      <c r="P28" s="112"/>
      <c r="Q28" s="711"/>
      <c r="R28" s="147"/>
      <c r="S28" s="287"/>
      <c r="T28" s="288"/>
      <c r="U28" s="289"/>
      <c r="V28" s="290"/>
      <c r="W28" s="147"/>
      <c r="X28" s="304" t="e">
        <f>SUM(X26:X27)</f>
        <v>#REF!</v>
      </c>
      <c r="Y28" s="305" t="e">
        <f t="shared" ref="Y28:Z28" si="51">SUM(Y26:Y27)</f>
        <v>#REF!</v>
      </c>
      <c r="Z28" s="306">
        <f t="shared" si="51"/>
        <v>0</v>
      </c>
      <c r="AA28" s="298"/>
      <c r="AB28" s="304" t="e">
        <f>SUM(AB26:AB27)</f>
        <v>#REF!</v>
      </c>
      <c r="AC28" s="305" t="e">
        <f t="shared" ref="AC28:AD28" si="52">SUM(AC26:AC27)</f>
        <v>#REF!</v>
      </c>
      <c r="AD28" s="306">
        <f t="shared" si="52"/>
        <v>0</v>
      </c>
      <c r="AE28" s="298"/>
      <c r="AF28" s="304" t="e">
        <f>SUM(AF26:AF27)</f>
        <v>#REF!</v>
      </c>
      <c r="AG28" s="305">
        <f t="shared" ref="AG28:AH28" si="53">SUM(AG26:AG27)</f>
        <v>0</v>
      </c>
      <c r="AH28" s="306">
        <f t="shared" si="53"/>
        <v>0</v>
      </c>
      <c r="AI28" s="298"/>
      <c r="AJ28" s="304" t="e">
        <f>SUM(AJ26:AJ27)</f>
        <v>#REF!</v>
      </c>
      <c r="AK28" s="305" t="e">
        <f t="shared" ref="AK28:AL28" si="54">SUM(AK26:AK27)</f>
        <v>#REF!</v>
      </c>
      <c r="AL28" s="306">
        <f t="shared" si="54"/>
        <v>0</v>
      </c>
      <c r="AM28" s="298"/>
      <c r="AN28" s="327" t="e">
        <f>SUM(AJ28:AL28)/SUM(X28:Z28)</f>
        <v>#REF!</v>
      </c>
      <c r="AO28" s="328" t="e">
        <f t="shared" si="16"/>
        <v>#REF!</v>
      </c>
      <c r="AP28" s="298"/>
      <c r="AQ28" s="304" t="e">
        <f>SUM(AQ26:AQ27)</f>
        <v>#REF!</v>
      </c>
      <c r="AR28" s="305">
        <f t="shared" ref="AR28:AS28" si="55">SUM(AR26:AR27)</f>
        <v>0</v>
      </c>
      <c r="AS28" s="306">
        <f t="shared" si="55"/>
        <v>0</v>
      </c>
      <c r="AT28" s="298"/>
      <c r="AU28" s="299"/>
      <c r="AV28" s="299"/>
      <c r="AW28" s="298"/>
      <c r="AX28" s="634"/>
      <c r="AY28" s="462"/>
    </row>
    <row r="29" spans="1:52" x14ac:dyDescent="0.2">
      <c r="A29" s="76">
        <f t="shared" si="4"/>
        <v>22</v>
      </c>
      <c r="B29" s="670" t="e">
        <f>#REF!</f>
        <v>#REF!</v>
      </c>
      <c r="C29" s="671" t="s">
        <v>4</v>
      </c>
      <c r="D29" s="147"/>
      <c r="E29" s="112">
        <f>'Rates in Detail'!Y25</f>
        <v>7.1300000000000001E-3</v>
      </c>
      <c r="F29" s="112">
        <f>SUM('Rates in Detail'!Z25:AB25)</f>
        <v>-3.0499999999999998E-3</v>
      </c>
      <c r="G29" s="147"/>
      <c r="H29" s="147"/>
      <c r="I29" s="362">
        <f>'Rev Req Proof Yr2'!H29</f>
        <v>0.35626999999999998</v>
      </c>
      <c r="J29" s="711">
        <f t="shared" si="10"/>
        <v>0.3634</v>
      </c>
      <c r="K29" s="147"/>
      <c r="L29" s="145" t="e">
        <f>'Rev Req Proof Yr1'!K29</f>
        <v>#REF!</v>
      </c>
      <c r="M29" s="146" t="e">
        <f>'Rev Req Proof Yr1'!L29</f>
        <v>#REF!</v>
      </c>
      <c r="N29" s="112">
        <f>'Rev Req Proof Yr1'!M29</f>
        <v>0</v>
      </c>
      <c r="O29" s="112">
        <f>'Rev Req Proof Yr1'!N29</f>
        <v>0</v>
      </c>
      <c r="P29" s="112">
        <f>'Rev Req Proof Yr1'!O29</f>
        <v>0</v>
      </c>
      <c r="Q29" s="711">
        <f>'Rev Req Proof Yr1'!P29</f>
        <v>0</v>
      </c>
      <c r="R29" s="147"/>
      <c r="S29" s="287" t="e">
        <f>'Rev Req Proof Yr1'!R29</f>
        <v>#REF!</v>
      </c>
      <c r="T29" s="288"/>
      <c r="U29" s="289" t="e">
        <f>'Rev Req Proof Yr1'!T29</f>
        <v>#REF!</v>
      </c>
      <c r="V29" s="290" t="e">
        <f>'Rev Req Proof Yr1'!U29</f>
        <v>#REF!</v>
      </c>
      <c r="W29" s="147"/>
      <c r="X29" s="302" t="e">
        <f t="shared" ref="X29:X30" si="56">(I29*S29)</f>
        <v>#REF!</v>
      </c>
      <c r="Y29" s="298" t="e">
        <f t="shared" ref="Y29:Y30" si="57">(L29*U29*12)</f>
        <v>#REF!</v>
      </c>
      <c r="Z29" s="303">
        <f t="shared" ref="Z29:Z30" si="58">(T29*(N29+P29))*12</f>
        <v>0</v>
      </c>
      <c r="AA29" s="298"/>
      <c r="AB29" s="302" t="e">
        <f t="shared" ref="AB29:AB30" si="59">(J29*S29)</f>
        <v>#REF!</v>
      </c>
      <c r="AC29" s="298" t="e">
        <f t="shared" ref="AC29:AC30" si="60">(M29*U29*12)</f>
        <v>#REF!</v>
      </c>
      <c r="AD29" s="303">
        <f t="shared" ref="AD29:AD30" si="61">(T29*(O29+Q29))*12</f>
        <v>0</v>
      </c>
      <c r="AE29" s="298"/>
      <c r="AF29" s="302" t="e">
        <f t="shared" ref="AF29:AF30" si="62">(F29*S29)</f>
        <v>#REF!</v>
      </c>
      <c r="AG29" s="298">
        <v>0</v>
      </c>
      <c r="AH29" s="303">
        <v>0</v>
      </c>
      <c r="AI29" s="298"/>
      <c r="AJ29" s="302" t="e">
        <f t="shared" ref="AJ29:AJ30" si="63">AB29-X29+AF29</f>
        <v>#REF!</v>
      </c>
      <c r="AK29" s="298" t="e">
        <f t="shared" ref="AK29:AL30" si="64">AC29-Y29-AG29</f>
        <v>#REF!</v>
      </c>
      <c r="AL29" s="303">
        <f t="shared" si="64"/>
        <v>0</v>
      </c>
      <c r="AM29" s="298"/>
      <c r="AN29" s="327"/>
      <c r="AO29" s="329" t="e">
        <f t="shared" si="16"/>
        <v>#REF!</v>
      </c>
      <c r="AP29" s="298"/>
      <c r="AQ29" s="302" t="e">
        <f t="shared" ref="AQ29:AQ30" si="65">(G29*S29)</f>
        <v>#REF!</v>
      </c>
      <c r="AR29" s="298">
        <v>0</v>
      </c>
      <c r="AS29" s="303">
        <v>0</v>
      </c>
      <c r="AT29" s="298"/>
      <c r="AU29" s="299"/>
      <c r="AV29" s="299"/>
      <c r="AW29" s="298"/>
      <c r="AX29" s="634"/>
      <c r="AY29" s="462"/>
    </row>
    <row r="30" spans="1:52" x14ac:dyDescent="0.2">
      <c r="A30" s="76">
        <f t="shared" si="4"/>
        <v>23</v>
      </c>
      <c r="B30" s="670"/>
      <c r="C30" s="671" t="s">
        <v>5</v>
      </c>
      <c r="D30" s="147"/>
      <c r="E30" s="112">
        <f>'Rates in Detail'!Y26</f>
        <v>6.28E-3</v>
      </c>
      <c r="F30" s="112">
        <f>SUM('Rates in Detail'!Z26:AB26)</f>
        <v>-2.6899999999999997E-3</v>
      </c>
      <c r="G30" s="147"/>
      <c r="H30" s="147"/>
      <c r="I30" s="362">
        <f>'Rev Req Proof Yr2'!H30</f>
        <v>0.31389</v>
      </c>
      <c r="J30" s="711">
        <f t="shared" si="10"/>
        <v>0.32017000000000001</v>
      </c>
      <c r="K30" s="147"/>
      <c r="L30" s="145"/>
      <c r="M30" s="146"/>
      <c r="N30" s="112"/>
      <c r="O30" s="112"/>
      <c r="P30" s="112"/>
      <c r="Q30" s="711"/>
      <c r="R30" s="147"/>
      <c r="S30" s="287" t="e">
        <f>'Rev Req Proof Yr1'!R30</f>
        <v>#REF!</v>
      </c>
      <c r="T30" s="288"/>
      <c r="U30" s="289"/>
      <c r="V30" s="290"/>
      <c r="W30" s="147"/>
      <c r="X30" s="302" t="e">
        <f t="shared" si="56"/>
        <v>#REF!</v>
      </c>
      <c r="Y30" s="298">
        <f t="shared" si="57"/>
        <v>0</v>
      </c>
      <c r="Z30" s="303">
        <f t="shared" si="58"/>
        <v>0</v>
      </c>
      <c r="AA30" s="298"/>
      <c r="AB30" s="302" t="e">
        <f t="shared" si="59"/>
        <v>#REF!</v>
      </c>
      <c r="AC30" s="298">
        <f t="shared" si="60"/>
        <v>0</v>
      </c>
      <c r="AD30" s="303">
        <f t="shared" si="61"/>
        <v>0</v>
      </c>
      <c r="AE30" s="298"/>
      <c r="AF30" s="302" t="e">
        <f t="shared" si="62"/>
        <v>#REF!</v>
      </c>
      <c r="AG30" s="298">
        <v>0</v>
      </c>
      <c r="AH30" s="303">
        <v>0</v>
      </c>
      <c r="AI30" s="298"/>
      <c r="AJ30" s="302" t="e">
        <f t="shared" si="63"/>
        <v>#REF!</v>
      </c>
      <c r="AK30" s="298">
        <f t="shared" si="64"/>
        <v>0</v>
      </c>
      <c r="AL30" s="303">
        <f t="shared" si="64"/>
        <v>0</v>
      </c>
      <c r="AM30" s="298"/>
      <c r="AN30" s="327"/>
      <c r="AO30" s="329" t="e">
        <f t="shared" si="16"/>
        <v>#REF!</v>
      </c>
      <c r="AP30" s="298"/>
      <c r="AQ30" s="302" t="e">
        <f t="shared" si="65"/>
        <v>#REF!</v>
      </c>
      <c r="AR30" s="298">
        <v>0</v>
      </c>
      <c r="AS30" s="303">
        <v>0</v>
      </c>
      <c r="AT30" s="298"/>
      <c r="AU30" s="299"/>
      <c r="AV30" s="299"/>
      <c r="AW30" s="298"/>
      <c r="AX30" s="47"/>
      <c r="AY30" s="633"/>
    </row>
    <row r="31" spans="1:52" x14ac:dyDescent="0.2">
      <c r="A31" s="76">
        <f t="shared" si="4"/>
        <v>24</v>
      </c>
      <c r="B31" s="668"/>
      <c r="C31" s="686" t="s">
        <v>62</v>
      </c>
      <c r="D31" s="143"/>
      <c r="E31" s="113"/>
      <c r="F31" s="113"/>
      <c r="G31" s="143"/>
      <c r="H31" s="143"/>
      <c r="I31" s="357"/>
      <c r="J31" s="710"/>
      <c r="K31" s="147"/>
      <c r="L31" s="145"/>
      <c r="M31" s="146"/>
      <c r="N31" s="112"/>
      <c r="O31" s="112"/>
      <c r="P31" s="112"/>
      <c r="Q31" s="711"/>
      <c r="R31" s="147"/>
      <c r="S31" s="287"/>
      <c r="T31" s="288"/>
      <c r="U31" s="289"/>
      <c r="V31" s="290"/>
      <c r="W31" s="147"/>
      <c r="X31" s="304" t="e">
        <f>SUM(X29:X30)</f>
        <v>#REF!</v>
      </c>
      <c r="Y31" s="305" t="e">
        <f t="shared" ref="Y31:Z31" si="66">SUM(Y29:Y30)</f>
        <v>#REF!</v>
      </c>
      <c r="Z31" s="306">
        <f t="shared" si="66"/>
        <v>0</v>
      </c>
      <c r="AA31" s="298"/>
      <c r="AB31" s="304" t="e">
        <f>SUM(AB29:AB30)</f>
        <v>#REF!</v>
      </c>
      <c r="AC31" s="305" t="e">
        <f t="shared" ref="AC31:AD31" si="67">SUM(AC29:AC30)</f>
        <v>#REF!</v>
      </c>
      <c r="AD31" s="306">
        <f t="shared" si="67"/>
        <v>0</v>
      </c>
      <c r="AE31" s="298"/>
      <c r="AF31" s="304" t="e">
        <f>SUM(AF29:AF30)</f>
        <v>#REF!</v>
      </c>
      <c r="AG31" s="305">
        <f t="shared" ref="AG31:AH31" si="68">SUM(AG29:AG30)</f>
        <v>0</v>
      </c>
      <c r="AH31" s="306">
        <f t="shared" si="68"/>
        <v>0</v>
      </c>
      <c r="AI31" s="298"/>
      <c r="AJ31" s="304" t="e">
        <f>SUM(AJ29:AJ30)</f>
        <v>#REF!</v>
      </c>
      <c r="AK31" s="305" t="e">
        <f t="shared" ref="AK31:AL31" si="69">SUM(AK29:AK30)</f>
        <v>#REF!</v>
      </c>
      <c r="AL31" s="306">
        <f t="shared" si="69"/>
        <v>0</v>
      </c>
      <c r="AM31" s="298"/>
      <c r="AN31" s="327" t="e">
        <f>SUM(AJ31:AL31)/SUM(X31:Z31)</f>
        <v>#REF!</v>
      </c>
      <c r="AO31" s="328" t="e">
        <f t="shared" si="16"/>
        <v>#REF!</v>
      </c>
      <c r="AP31" s="298"/>
      <c r="AQ31" s="304" t="e">
        <f>SUM(AQ29:AQ30)</f>
        <v>#REF!</v>
      </c>
      <c r="AR31" s="305">
        <f t="shared" ref="AR31:AS31" si="70">SUM(AR29:AR30)</f>
        <v>0</v>
      </c>
      <c r="AS31" s="306">
        <f t="shared" si="70"/>
        <v>0</v>
      </c>
      <c r="AT31" s="298"/>
      <c r="AU31" s="299"/>
      <c r="AV31" s="299"/>
      <c r="AW31" s="298"/>
    </row>
    <row r="32" spans="1:52" x14ac:dyDescent="0.2">
      <c r="A32" s="76">
        <f t="shared" si="4"/>
        <v>25</v>
      </c>
      <c r="B32" s="670" t="e">
        <f>#REF!</f>
        <v>#REF!</v>
      </c>
      <c r="C32" s="671" t="s">
        <v>4</v>
      </c>
      <c r="D32" s="147"/>
      <c r="E32" s="112">
        <f>'Rates in Detail'!Y27</f>
        <v>9.7099999999999999E-3</v>
      </c>
      <c r="F32" s="112">
        <f>SUM('Rates in Detail'!Z27:AB27)</f>
        <v>-4.1599999999999996E-3</v>
      </c>
      <c r="G32" s="147"/>
      <c r="H32" s="147"/>
      <c r="I32" s="362">
        <f>'Rev Req Proof Yr2'!H32</f>
        <v>0.36918000000000001</v>
      </c>
      <c r="J32" s="711">
        <f t="shared" si="10"/>
        <v>0.37889</v>
      </c>
      <c r="K32" s="147"/>
      <c r="L32" s="145" t="e">
        <f>'Rev Req Proof Yr1'!K32</f>
        <v>#REF!</v>
      </c>
      <c r="M32" s="146" t="e">
        <f>'Rev Req Proof Yr1'!L32</f>
        <v>#REF!</v>
      </c>
      <c r="N32" s="112">
        <f>'Rev Req Proof Yr1'!M32</f>
        <v>0</v>
      </c>
      <c r="O32" s="112">
        <f>'Rev Req Proof Yr1'!N32</f>
        <v>0</v>
      </c>
      <c r="P32" s="112">
        <f>'Rev Req Proof Yr1'!O32</f>
        <v>0</v>
      </c>
      <c r="Q32" s="711">
        <f>'Rev Req Proof Yr1'!P32</f>
        <v>0</v>
      </c>
      <c r="R32" s="147"/>
      <c r="S32" s="287" t="e">
        <f>'Rev Req Proof Yr1'!R32</f>
        <v>#REF!</v>
      </c>
      <c r="T32" s="288"/>
      <c r="U32" s="289" t="e">
        <f>'Rev Req Proof Yr1'!T32</f>
        <v>#REF!</v>
      </c>
      <c r="V32" s="290" t="e">
        <f>'Rev Req Proof Yr1'!U32</f>
        <v>#REF!</v>
      </c>
      <c r="W32" s="147"/>
      <c r="X32" s="302" t="e">
        <f t="shared" ref="X32:X33" si="71">(I32*S32)</f>
        <v>#REF!</v>
      </c>
      <c r="Y32" s="298" t="e">
        <f t="shared" ref="Y32:Y33" si="72">(L32*U32*12)</f>
        <v>#REF!</v>
      </c>
      <c r="Z32" s="303">
        <f t="shared" ref="Z32:Z33" si="73">(T32*(N32+P32))*12</f>
        <v>0</v>
      </c>
      <c r="AA32" s="298"/>
      <c r="AB32" s="302" t="e">
        <f t="shared" ref="AB32:AB33" si="74">(J32*S32)</f>
        <v>#REF!</v>
      </c>
      <c r="AC32" s="298" t="e">
        <f t="shared" ref="AC32:AC33" si="75">(M32*U32*12)</f>
        <v>#REF!</v>
      </c>
      <c r="AD32" s="303">
        <f t="shared" ref="AD32:AD33" si="76">(T32*(O32+Q32))*12</f>
        <v>0</v>
      </c>
      <c r="AE32" s="298"/>
      <c r="AF32" s="302" t="e">
        <f t="shared" ref="AF32:AF33" si="77">(F32*S32)</f>
        <v>#REF!</v>
      </c>
      <c r="AG32" s="298">
        <v>0</v>
      </c>
      <c r="AH32" s="303">
        <v>0</v>
      </c>
      <c r="AI32" s="298"/>
      <c r="AJ32" s="302" t="e">
        <f t="shared" ref="AJ32:AJ33" si="78">AB32-X32+AF32</f>
        <v>#REF!</v>
      </c>
      <c r="AK32" s="298" t="e">
        <f t="shared" ref="AK32:AL33" si="79">AC32-Y32-AG32</f>
        <v>#REF!</v>
      </c>
      <c r="AL32" s="303">
        <f t="shared" si="79"/>
        <v>0</v>
      </c>
      <c r="AM32" s="298"/>
      <c r="AN32" s="327"/>
      <c r="AO32" s="329" t="e">
        <f t="shared" ref="AO32:AO34" si="80">SUM(AJ32)/SUM(X32)</f>
        <v>#REF!</v>
      </c>
      <c r="AP32" s="298"/>
      <c r="AQ32" s="302" t="e">
        <f t="shared" ref="AQ32:AQ33" si="81">(G32*S32)</f>
        <v>#REF!</v>
      </c>
      <c r="AR32" s="298">
        <v>0</v>
      </c>
      <c r="AS32" s="303">
        <v>0</v>
      </c>
      <c r="AT32" s="298"/>
      <c r="AU32" s="299"/>
      <c r="AV32" s="299"/>
      <c r="AW32" s="298"/>
      <c r="AX32" s="634"/>
      <c r="AY32" s="462"/>
    </row>
    <row r="33" spans="1:51" x14ac:dyDescent="0.2">
      <c r="A33" s="76">
        <f t="shared" si="4"/>
        <v>26</v>
      </c>
      <c r="B33" s="670"/>
      <c r="C33" s="671" t="s">
        <v>5</v>
      </c>
      <c r="D33" s="147"/>
      <c r="E33" s="112">
        <f>'Rates in Detail'!Y28</f>
        <v>8.5500000000000003E-3</v>
      </c>
      <c r="F33" s="112">
        <f>SUM('Rates in Detail'!Z28:AB28)</f>
        <v>-3.6700000000000001E-3</v>
      </c>
      <c r="G33" s="147"/>
      <c r="H33" s="147"/>
      <c r="I33" s="362">
        <f>'Rev Req Proof Yr2'!H33</f>
        <v>0.32527</v>
      </c>
      <c r="J33" s="711">
        <f t="shared" si="10"/>
        <v>0.33382000000000001</v>
      </c>
      <c r="K33" s="147"/>
      <c r="L33" s="145"/>
      <c r="M33" s="146"/>
      <c r="N33" s="112"/>
      <c r="O33" s="112"/>
      <c r="P33" s="112"/>
      <c r="Q33" s="711"/>
      <c r="R33" s="147"/>
      <c r="S33" s="287" t="e">
        <f>'Rev Req Proof Yr1'!R33</f>
        <v>#REF!</v>
      </c>
      <c r="T33" s="288"/>
      <c r="U33" s="289"/>
      <c r="V33" s="290"/>
      <c r="W33" s="147"/>
      <c r="X33" s="302" t="e">
        <f t="shared" si="71"/>
        <v>#REF!</v>
      </c>
      <c r="Y33" s="298">
        <f t="shared" si="72"/>
        <v>0</v>
      </c>
      <c r="Z33" s="303">
        <f t="shared" si="73"/>
        <v>0</v>
      </c>
      <c r="AA33" s="298"/>
      <c r="AB33" s="302" t="e">
        <f t="shared" si="74"/>
        <v>#REF!</v>
      </c>
      <c r="AC33" s="298">
        <f t="shared" si="75"/>
        <v>0</v>
      </c>
      <c r="AD33" s="303">
        <f t="shared" si="76"/>
        <v>0</v>
      </c>
      <c r="AE33" s="298"/>
      <c r="AF33" s="302" t="e">
        <f t="shared" si="77"/>
        <v>#REF!</v>
      </c>
      <c r="AG33" s="298">
        <v>0</v>
      </c>
      <c r="AH33" s="303">
        <v>0</v>
      </c>
      <c r="AI33" s="298"/>
      <c r="AJ33" s="302" t="e">
        <f t="shared" si="78"/>
        <v>#REF!</v>
      </c>
      <c r="AK33" s="298">
        <f t="shared" si="79"/>
        <v>0</v>
      </c>
      <c r="AL33" s="303">
        <f t="shared" si="79"/>
        <v>0</v>
      </c>
      <c r="AM33" s="298"/>
      <c r="AN33" s="327"/>
      <c r="AO33" s="329" t="e">
        <f t="shared" si="80"/>
        <v>#REF!</v>
      </c>
      <c r="AP33" s="298"/>
      <c r="AQ33" s="302" t="e">
        <f t="shared" si="81"/>
        <v>#REF!</v>
      </c>
      <c r="AR33" s="298">
        <v>0</v>
      </c>
      <c r="AS33" s="303">
        <v>0</v>
      </c>
      <c r="AT33" s="298"/>
      <c r="AU33" s="299"/>
      <c r="AV33" s="299"/>
      <c r="AW33" s="298"/>
      <c r="AX33" s="47"/>
      <c r="AY33" s="633"/>
    </row>
    <row r="34" spans="1:51" x14ac:dyDescent="0.2">
      <c r="A34" s="76">
        <f t="shared" si="4"/>
        <v>27</v>
      </c>
      <c r="B34" s="668"/>
      <c r="C34" s="686" t="s">
        <v>62</v>
      </c>
      <c r="D34" s="143"/>
      <c r="E34" s="113"/>
      <c r="F34" s="113"/>
      <c r="G34" s="143"/>
      <c r="H34" s="143"/>
      <c r="I34" s="357"/>
      <c r="J34" s="710"/>
      <c r="K34" s="147"/>
      <c r="L34" s="145"/>
      <c r="M34" s="146"/>
      <c r="N34" s="112"/>
      <c r="O34" s="112"/>
      <c r="P34" s="112"/>
      <c r="Q34" s="711"/>
      <c r="R34" s="147"/>
      <c r="S34" s="287"/>
      <c r="T34" s="288"/>
      <c r="U34" s="289"/>
      <c r="V34" s="290"/>
      <c r="W34" s="147"/>
      <c r="X34" s="304" t="e">
        <f>SUM(X32:X33)</f>
        <v>#REF!</v>
      </c>
      <c r="Y34" s="305" t="e">
        <f t="shared" ref="Y34:Z34" si="82">SUM(Y32:Y33)</f>
        <v>#REF!</v>
      </c>
      <c r="Z34" s="306">
        <f t="shared" si="82"/>
        <v>0</v>
      </c>
      <c r="AA34" s="298"/>
      <c r="AB34" s="304" t="e">
        <f>SUM(AB32:AB33)</f>
        <v>#REF!</v>
      </c>
      <c r="AC34" s="305" t="e">
        <f t="shared" ref="AC34:AD34" si="83">SUM(AC32:AC33)</f>
        <v>#REF!</v>
      </c>
      <c r="AD34" s="306">
        <f t="shared" si="83"/>
        <v>0</v>
      </c>
      <c r="AE34" s="298"/>
      <c r="AF34" s="304" t="e">
        <f>SUM(AF32:AF33)</f>
        <v>#REF!</v>
      </c>
      <c r="AG34" s="305">
        <f t="shared" ref="AG34:AH34" si="84">SUM(AG32:AG33)</f>
        <v>0</v>
      </c>
      <c r="AH34" s="306">
        <f t="shared" si="84"/>
        <v>0</v>
      </c>
      <c r="AI34" s="298"/>
      <c r="AJ34" s="304" t="e">
        <f>SUM(AJ32:AJ33)</f>
        <v>#REF!</v>
      </c>
      <c r="AK34" s="305" t="e">
        <f t="shared" ref="AK34:AL34" si="85">SUM(AK32:AK33)</f>
        <v>#REF!</v>
      </c>
      <c r="AL34" s="306">
        <f t="shared" si="85"/>
        <v>0</v>
      </c>
      <c r="AM34" s="298"/>
      <c r="AN34" s="327" t="e">
        <f>SUM(AJ34:AL34)/SUM(X34:Z34)</f>
        <v>#REF!</v>
      </c>
      <c r="AO34" s="328" t="e">
        <f t="shared" si="80"/>
        <v>#REF!</v>
      </c>
      <c r="AP34" s="298"/>
      <c r="AQ34" s="304" t="e">
        <f>SUM(AQ32:AQ33)</f>
        <v>#REF!</v>
      </c>
      <c r="AR34" s="305">
        <f t="shared" ref="AR34:AS34" si="86">SUM(AR32:AR33)</f>
        <v>0</v>
      </c>
      <c r="AS34" s="306">
        <f t="shared" si="86"/>
        <v>0</v>
      </c>
      <c r="AT34" s="298"/>
      <c r="AU34" s="299"/>
      <c r="AV34" s="299"/>
      <c r="AW34" s="298"/>
    </row>
    <row r="35" spans="1:51" x14ac:dyDescent="0.2">
      <c r="A35" s="76">
        <f t="shared" si="4"/>
        <v>28</v>
      </c>
      <c r="B35" s="670" t="e">
        <f>#REF!</f>
        <v>#REF!</v>
      </c>
      <c r="C35" s="671" t="s">
        <v>4</v>
      </c>
      <c r="D35" s="147"/>
      <c r="E35" s="112">
        <f>'Rates in Detail'!Y29</f>
        <v>7.2100000000000003E-3</v>
      </c>
      <c r="F35" s="112">
        <f>SUM('Rates in Detail'!Z29:AB29)</f>
        <v>-3.0999999999999999E-3</v>
      </c>
      <c r="G35" s="147"/>
      <c r="H35" s="147"/>
      <c r="I35" s="362">
        <f>'Rev Req Proof Yr2'!H35</f>
        <v>0.36059999999999998</v>
      </c>
      <c r="J35" s="711">
        <f t="shared" si="10"/>
        <v>0.36780999999999997</v>
      </c>
      <c r="K35" s="147"/>
      <c r="L35" s="145" t="e">
        <f>'Rev Req Proof Yr1'!K35</f>
        <v>#REF!</v>
      </c>
      <c r="M35" s="146" t="e">
        <f>'Rev Req Proof Yr1'!L35</f>
        <v>#REF!</v>
      </c>
      <c r="N35" s="112">
        <f>'Rev Req Proof Yr1'!M35</f>
        <v>0</v>
      </c>
      <c r="O35" s="112">
        <f>'Rev Req Proof Yr1'!N35</f>
        <v>0</v>
      </c>
      <c r="P35" s="112">
        <f>'Rev Req Proof Yr1'!O35</f>
        <v>0</v>
      </c>
      <c r="Q35" s="711">
        <f>'Rev Req Proof Yr1'!P35</f>
        <v>0</v>
      </c>
      <c r="R35" s="147"/>
      <c r="S35" s="287" t="e">
        <f>'Rev Req Proof Yr1'!R35</f>
        <v>#REF!</v>
      </c>
      <c r="T35" s="288"/>
      <c r="U35" s="289" t="e">
        <f>'Rev Req Proof Yr1'!T35</f>
        <v>#REF!</v>
      </c>
      <c r="V35" s="290" t="e">
        <f>'Rev Req Proof Yr1'!U35</f>
        <v>#REF!</v>
      </c>
      <c r="W35" s="147"/>
      <c r="X35" s="302" t="e">
        <f t="shared" ref="X35:X36" si="87">(I35*S35)</f>
        <v>#REF!</v>
      </c>
      <c r="Y35" s="298" t="e">
        <f t="shared" ref="Y35:Y36" si="88">(L35*U35*12)</f>
        <v>#REF!</v>
      </c>
      <c r="Z35" s="303">
        <f t="shared" ref="Z35:Z36" si="89">(T35*(N35+P35))*12</f>
        <v>0</v>
      </c>
      <c r="AA35" s="298"/>
      <c r="AB35" s="302" t="e">
        <f t="shared" ref="AB35:AB36" si="90">(J35*S35)</f>
        <v>#REF!</v>
      </c>
      <c r="AC35" s="298" t="e">
        <f t="shared" ref="AC35:AC36" si="91">(M35*U35*12)</f>
        <v>#REF!</v>
      </c>
      <c r="AD35" s="303">
        <f t="shared" ref="AD35:AD36" si="92">(T35*(O35+Q35))*12</f>
        <v>0</v>
      </c>
      <c r="AE35" s="298"/>
      <c r="AF35" s="302" t="e">
        <f t="shared" ref="AF35:AF36" si="93">(F35*S35)</f>
        <v>#REF!</v>
      </c>
      <c r="AG35" s="298">
        <v>0</v>
      </c>
      <c r="AH35" s="303">
        <v>0</v>
      </c>
      <c r="AI35" s="298"/>
      <c r="AJ35" s="302" t="e">
        <f t="shared" ref="AJ35:AJ36" si="94">AB35-X35+AF35</f>
        <v>#REF!</v>
      </c>
      <c r="AK35" s="298" t="e">
        <f t="shared" ref="AK35:AL36" si="95">AC35-Y35-AG35</f>
        <v>#REF!</v>
      </c>
      <c r="AL35" s="303">
        <f t="shared" si="95"/>
        <v>0</v>
      </c>
      <c r="AM35" s="298"/>
      <c r="AN35" s="327"/>
      <c r="AO35" s="329" t="e">
        <f t="shared" si="16"/>
        <v>#REF!</v>
      </c>
      <c r="AP35" s="298"/>
      <c r="AQ35" s="302" t="e">
        <f t="shared" ref="AQ35:AQ36" si="96">(G35*S35)</f>
        <v>#REF!</v>
      </c>
      <c r="AR35" s="298">
        <v>0</v>
      </c>
      <c r="AS35" s="303">
        <v>0</v>
      </c>
      <c r="AT35" s="298"/>
      <c r="AU35" s="299"/>
      <c r="AV35" s="299"/>
      <c r="AW35" s="298"/>
    </row>
    <row r="36" spans="1:51" x14ac:dyDescent="0.2">
      <c r="A36" s="76">
        <f t="shared" si="4"/>
        <v>29</v>
      </c>
      <c r="B36" s="670"/>
      <c r="C36" s="671" t="s">
        <v>5</v>
      </c>
      <c r="D36" s="147"/>
      <c r="E36" s="112">
        <f>'Rates in Detail'!Y30</f>
        <v>6.3499999999999997E-3</v>
      </c>
      <c r="F36" s="112">
        <f>SUM('Rates in Detail'!Z30:AB30)</f>
        <v>-2.7200000000000002E-3</v>
      </c>
      <c r="G36" s="147"/>
      <c r="H36" s="147"/>
      <c r="I36" s="362">
        <f>'Rev Req Proof Yr2'!H36</f>
        <v>0.31770999999999999</v>
      </c>
      <c r="J36" s="711">
        <f t="shared" si="10"/>
        <v>0.32406000000000001</v>
      </c>
      <c r="K36" s="147"/>
      <c r="L36" s="262"/>
      <c r="M36" s="45"/>
      <c r="N36" s="112"/>
      <c r="O36" s="112"/>
      <c r="P36" s="112"/>
      <c r="Q36" s="711"/>
      <c r="R36" s="147"/>
      <c r="S36" s="287" t="e">
        <f>'Rev Req Proof Yr1'!R36</f>
        <v>#REF!</v>
      </c>
      <c r="T36" s="288"/>
      <c r="U36" s="289"/>
      <c r="V36" s="290"/>
      <c r="W36" s="147"/>
      <c r="X36" s="302" t="e">
        <f t="shared" si="87"/>
        <v>#REF!</v>
      </c>
      <c r="Y36" s="298">
        <f t="shared" si="88"/>
        <v>0</v>
      </c>
      <c r="Z36" s="303">
        <f t="shared" si="89"/>
        <v>0</v>
      </c>
      <c r="AA36" s="298"/>
      <c r="AB36" s="302" t="e">
        <f t="shared" si="90"/>
        <v>#REF!</v>
      </c>
      <c r="AC36" s="298">
        <f t="shared" si="91"/>
        <v>0</v>
      </c>
      <c r="AD36" s="303">
        <f t="shared" si="92"/>
        <v>0</v>
      </c>
      <c r="AE36" s="298"/>
      <c r="AF36" s="302" t="e">
        <f t="shared" si="93"/>
        <v>#REF!</v>
      </c>
      <c r="AG36" s="298">
        <v>0</v>
      </c>
      <c r="AH36" s="303">
        <v>0</v>
      </c>
      <c r="AI36" s="298"/>
      <c r="AJ36" s="302" t="e">
        <f t="shared" si="94"/>
        <v>#REF!</v>
      </c>
      <c r="AK36" s="298">
        <f t="shared" si="95"/>
        <v>0</v>
      </c>
      <c r="AL36" s="303">
        <f t="shared" si="95"/>
        <v>0</v>
      </c>
      <c r="AM36" s="298"/>
      <c r="AN36" s="327"/>
      <c r="AO36" s="329" t="e">
        <f t="shared" si="16"/>
        <v>#REF!</v>
      </c>
      <c r="AP36" s="298"/>
      <c r="AQ36" s="302" t="e">
        <f t="shared" si="96"/>
        <v>#REF!</v>
      </c>
      <c r="AR36" s="298">
        <v>0</v>
      </c>
      <c r="AS36" s="303">
        <v>0</v>
      </c>
      <c r="AT36" s="298"/>
      <c r="AU36" s="299"/>
      <c r="AV36" s="299"/>
      <c r="AW36" s="298"/>
    </row>
    <row r="37" spans="1:51" x14ac:dyDescent="0.2">
      <c r="A37" s="76">
        <f t="shared" si="4"/>
        <v>30</v>
      </c>
      <c r="B37" s="668"/>
      <c r="C37" s="686" t="s">
        <v>62</v>
      </c>
      <c r="D37" s="143"/>
      <c r="E37" s="113"/>
      <c r="F37" s="113"/>
      <c r="G37" s="143"/>
      <c r="H37" s="143"/>
      <c r="I37" s="357"/>
      <c r="J37" s="710"/>
      <c r="K37" s="147"/>
      <c r="L37" s="262"/>
      <c r="M37" s="45"/>
      <c r="N37" s="112"/>
      <c r="O37" s="112"/>
      <c r="P37" s="112"/>
      <c r="Q37" s="711"/>
      <c r="R37" s="147"/>
      <c r="S37" s="287"/>
      <c r="T37" s="288"/>
      <c r="U37" s="289"/>
      <c r="V37" s="290"/>
      <c r="W37" s="147"/>
      <c r="X37" s="304" t="e">
        <f>SUM(X35:X36)</f>
        <v>#REF!</v>
      </c>
      <c r="Y37" s="305" t="e">
        <f t="shared" ref="Y37:Z37" si="97">SUM(Y35:Y36)</f>
        <v>#REF!</v>
      </c>
      <c r="Z37" s="306">
        <f t="shared" si="97"/>
        <v>0</v>
      </c>
      <c r="AA37" s="298"/>
      <c r="AB37" s="304" t="e">
        <f>SUM(AB35:AB36)</f>
        <v>#REF!</v>
      </c>
      <c r="AC37" s="305" t="e">
        <f t="shared" ref="AC37:AD37" si="98">SUM(AC35:AC36)</f>
        <v>#REF!</v>
      </c>
      <c r="AD37" s="306">
        <f t="shared" si="98"/>
        <v>0</v>
      </c>
      <c r="AE37" s="298"/>
      <c r="AF37" s="304" t="e">
        <f>SUM(AF35:AF36)</f>
        <v>#REF!</v>
      </c>
      <c r="AG37" s="305">
        <f t="shared" ref="AG37:AH37" si="99">SUM(AG35:AG36)</f>
        <v>0</v>
      </c>
      <c r="AH37" s="306">
        <f t="shared" si="99"/>
        <v>0</v>
      </c>
      <c r="AI37" s="298"/>
      <c r="AJ37" s="304" t="e">
        <f>SUM(AJ35:AJ36)</f>
        <v>#REF!</v>
      </c>
      <c r="AK37" s="305" t="e">
        <f t="shared" ref="AK37:AL37" si="100">SUM(AK35:AK36)</f>
        <v>#REF!</v>
      </c>
      <c r="AL37" s="306">
        <f t="shared" si="100"/>
        <v>0</v>
      </c>
      <c r="AM37" s="298"/>
      <c r="AN37" s="327" t="e">
        <f>SUM(AJ37:AL37)/SUM(X37:Z37)</f>
        <v>#REF!</v>
      </c>
      <c r="AO37" s="328" t="e">
        <f t="shared" si="16"/>
        <v>#REF!</v>
      </c>
      <c r="AP37" s="298"/>
      <c r="AQ37" s="304" t="e">
        <f>SUM(AQ35:AQ36)</f>
        <v>#REF!</v>
      </c>
      <c r="AR37" s="305">
        <f t="shared" ref="AR37:AS37" si="101">SUM(AR35:AR36)</f>
        <v>0</v>
      </c>
      <c r="AS37" s="306">
        <f t="shared" si="101"/>
        <v>0</v>
      </c>
      <c r="AT37" s="298"/>
      <c r="AU37" s="299"/>
      <c r="AV37" s="299"/>
      <c r="AW37" s="298"/>
    </row>
    <row r="38" spans="1:51" x14ac:dyDescent="0.2">
      <c r="A38" s="76">
        <f t="shared" si="4"/>
        <v>31</v>
      </c>
      <c r="B38" s="670" t="e">
        <f>#REF!</f>
        <v>#REF!</v>
      </c>
      <c r="C38" s="671" t="s">
        <v>4</v>
      </c>
      <c r="D38" s="147"/>
      <c r="E38" s="112">
        <f>'Rates in Detail'!Y31</f>
        <v>2.095E-2</v>
      </c>
      <c r="F38" s="112">
        <f>SUM('Rates in Detail'!Z31:AB31)</f>
        <v>-8.77E-3</v>
      </c>
      <c r="G38" s="147"/>
      <c r="H38" s="147"/>
      <c r="I38" s="362">
        <f>'Rev Req Proof Yr2'!H38</f>
        <v>0.18714</v>
      </c>
      <c r="J38" s="711">
        <f t="shared" si="10"/>
        <v>0.20809</v>
      </c>
      <c r="K38" s="147"/>
      <c r="L38" s="145" t="e">
        <f>'Rev Req Proof Yr1'!K38</f>
        <v>#REF!</v>
      </c>
      <c r="M38" s="146" t="e">
        <f>'Rev Req Proof Yr1'!L38</f>
        <v>#REF!</v>
      </c>
      <c r="N38" s="112">
        <f>'Rev Req Proof Yr1'!M38</f>
        <v>0.15748000000000001</v>
      </c>
      <c r="O38" s="112">
        <f>'Rev Req Proof Yr1'!N38</f>
        <v>0.15748000000000001</v>
      </c>
      <c r="P38" s="112">
        <f>'Rev Req Proof Yr1'!O38</f>
        <v>0.20415</v>
      </c>
      <c r="Q38" s="711">
        <f>'Rev Req Proof Yr1'!P38</f>
        <v>0.20415</v>
      </c>
      <c r="R38" s="147"/>
      <c r="S38" s="287" t="e">
        <f>'Rev Req Proof Yr1'!R38</f>
        <v>#REF!</v>
      </c>
      <c r="T38" s="288">
        <f>'Rev Req Proof Yr1'!S38</f>
        <v>6761</v>
      </c>
      <c r="U38" s="289" t="e">
        <f>'Rev Req Proof Yr1'!T38</f>
        <v>#REF!</v>
      </c>
      <c r="V38" s="290" t="e">
        <f>'Rev Req Proof Yr1'!U38</f>
        <v>#REF!</v>
      </c>
      <c r="W38" s="147"/>
      <c r="X38" s="302" t="e">
        <f t="shared" ref="X38:X43" si="102">(I38*S38)</f>
        <v>#REF!</v>
      </c>
      <c r="Y38" s="298" t="e">
        <f t="shared" ref="Y38:Y43" si="103">(L38*U38*12)</f>
        <v>#REF!</v>
      </c>
      <c r="Z38" s="303">
        <f t="shared" ref="Z38:Z43" si="104">(T38*(N38+P38))*12</f>
        <v>29339.765160000003</v>
      </c>
      <c r="AA38" s="298"/>
      <c r="AB38" s="302" t="e">
        <f t="shared" ref="AB38:AB43" si="105">(J38*S38)</f>
        <v>#REF!</v>
      </c>
      <c r="AC38" s="298" t="e">
        <f t="shared" ref="AC38:AC43" si="106">(M38*U38*12)</f>
        <v>#REF!</v>
      </c>
      <c r="AD38" s="303">
        <f t="shared" ref="AD38:AD43" si="107">(T38*(O38+Q38))*12</f>
        <v>29339.765160000003</v>
      </c>
      <c r="AE38" s="298"/>
      <c r="AF38" s="302" t="e">
        <f t="shared" ref="AF38:AF43" si="108">(F38*S38)</f>
        <v>#REF!</v>
      </c>
      <c r="AG38" s="298">
        <v>0</v>
      </c>
      <c r="AH38" s="303">
        <v>0</v>
      </c>
      <c r="AI38" s="298"/>
      <c r="AJ38" s="302" t="e">
        <f t="shared" ref="AJ38:AJ43" si="109">AB38-X38+AF38</f>
        <v>#REF!</v>
      </c>
      <c r="AK38" s="298" t="e">
        <f t="shared" ref="AK38:AL43" si="110">AC38-Y38-AG38</f>
        <v>#REF!</v>
      </c>
      <c r="AL38" s="303">
        <f t="shared" si="110"/>
        <v>0</v>
      </c>
      <c r="AM38" s="298"/>
      <c r="AN38" s="327"/>
      <c r="AO38" s="329" t="e">
        <f t="shared" si="16"/>
        <v>#REF!</v>
      </c>
      <c r="AP38" s="298"/>
      <c r="AQ38" s="302" t="e">
        <f t="shared" ref="AQ38:AQ43" si="111">(G38*S38)</f>
        <v>#REF!</v>
      </c>
      <c r="AR38" s="298">
        <v>0</v>
      </c>
      <c r="AS38" s="303">
        <v>0</v>
      </c>
      <c r="AT38" s="298"/>
      <c r="AU38" s="299"/>
      <c r="AV38" s="299"/>
      <c r="AW38" s="298"/>
    </row>
    <row r="39" spans="1:51" x14ac:dyDescent="0.2">
      <c r="A39" s="76">
        <f t="shared" si="4"/>
        <v>32</v>
      </c>
      <c r="B39" s="670"/>
      <c r="C39" s="671" t="s">
        <v>5</v>
      </c>
      <c r="D39" s="147"/>
      <c r="E39" s="112">
        <f>'Rates in Detail'!Y32</f>
        <v>1.8749999999999999E-2</v>
      </c>
      <c r="F39" s="112">
        <f>SUM('Rates in Detail'!Z32:AB32)</f>
        <v>-7.8600000000000007E-3</v>
      </c>
      <c r="G39" s="147"/>
      <c r="H39" s="147"/>
      <c r="I39" s="362">
        <f>'Rev Req Proof Yr2'!H39</f>
        <v>0.16750999999999999</v>
      </c>
      <c r="J39" s="711">
        <f t="shared" si="10"/>
        <v>0.18625999999999998</v>
      </c>
      <c r="K39" s="147"/>
      <c r="L39" s="145"/>
      <c r="M39" s="146"/>
      <c r="N39" s="112"/>
      <c r="O39" s="112"/>
      <c r="P39" s="112"/>
      <c r="Q39" s="711"/>
      <c r="R39" s="147"/>
      <c r="S39" s="287" t="e">
        <f>'Rev Req Proof Yr1'!R39</f>
        <v>#REF!</v>
      </c>
      <c r="T39" s="288"/>
      <c r="U39" s="289"/>
      <c r="V39" s="290"/>
      <c r="W39" s="147"/>
      <c r="X39" s="302" t="e">
        <f t="shared" si="102"/>
        <v>#REF!</v>
      </c>
      <c r="Y39" s="298">
        <f t="shared" si="103"/>
        <v>0</v>
      </c>
      <c r="Z39" s="303">
        <f t="shared" si="104"/>
        <v>0</v>
      </c>
      <c r="AA39" s="298"/>
      <c r="AB39" s="302" t="e">
        <f t="shared" si="105"/>
        <v>#REF!</v>
      </c>
      <c r="AC39" s="298">
        <f t="shared" si="106"/>
        <v>0</v>
      </c>
      <c r="AD39" s="303">
        <f t="shared" si="107"/>
        <v>0</v>
      </c>
      <c r="AE39" s="298"/>
      <c r="AF39" s="302" t="e">
        <f t="shared" si="108"/>
        <v>#REF!</v>
      </c>
      <c r="AG39" s="298">
        <v>0</v>
      </c>
      <c r="AH39" s="303">
        <v>0</v>
      </c>
      <c r="AI39" s="298"/>
      <c r="AJ39" s="302" t="e">
        <f t="shared" si="109"/>
        <v>#REF!</v>
      </c>
      <c r="AK39" s="298">
        <f t="shared" si="110"/>
        <v>0</v>
      </c>
      <c r="AL39" s="303">
        <f t="shared" si="110"/>
        <v>0</v>
      </c>
      <c r="AM39" s="298"/>
      <c r="AN39" s="327"/>
      <c r="AO39" s="329" t="e">
        <f t="shared" si="16"/>
        <v>#REF!</v>
      </c>
      <c r="AP39" s="298"/>
      <c r="AQ39" s="302" t="e">
        <f t="shared" si="111"/>
        <v>#REF!</v>
      </c>
      <c r="AR39" s="298">
        <v>0</v>
      </c>
      <c r="AS39" s="303">
        <v>0</v>
      </c>
      <c r="AT39" s="298"/>
      <c r="AU39" s="299"/>
      <c r="AV39" s="299"/>
      <c r="AW39" s="298"/>
    </row>
    <row r="40" spans="1:51" x14ac:dyDescent="0.2">
      <c r="A40" s="76">
        <f t="shared" si="4"/>
        <v>33</v>
      </c>
      <c r="B40" s="670"/>
      <c r="C40" s="671" t="s">
        <v>6</v>
      </c>
      <c r="D40" s="147"/>
      <c r="E40" s="112">
        <f>'Rates in Detail'!Y33</f>
        <v>1.438E-2</v>
      </c>
      <c r="F40" s="112">
        <f>SUM('Rates in Detail'!Z33:AB33)</f>
        <v>-6.0299999999999998E-3</v>
      </c>
      <c r="G40" s="147"/>
      <c r="H40" s="147"/>
      <c r="I40" s="362">
        <f>'Rev Req Proof Yr2'!H40</f>
        <v>0.12848000000000001</v>
      </c>
      <c r="J40" s="711">
        <f t="shared" si="10"/>
        <v>0.14286000000000001</v>
      </c>
      <c r="K40" s="147"/>
      <c r="L40" s="262"/>
      <c r="M40" s="45"/>
      <c r="N40" s="112"/>
      <c r="O40" s="112"/>
      <c r="P40" s="112"/>
      <c r="Q40" s="711"/>
      <c r="R40" s="147"/>
      <c r="S40" s="287" t="e">
        <f>'Rev Req Proof Yr1'!R40</f>
        <v>#REF!</v>
      </c>
      <c r="T40" s="288"/>
      <c r="U40" s="289"/>
      <c r="V40" s="290"/>
      <c r="W40" s="147"/>
      <c r="X40" s="302" t="e">
        <f t="shared" si="102"/>
        <v>#REF!</v>
      </c>
      <c r="Y40" s="298">
        <f t="shared" si="103"/>
        <v>0</v>
      </c>
      <c r="Z40" s="303">
        <f t="shared" si="104"/>
        <v>0</v>
      </c>
      <c r="AA40" s="298"/>
      <c r="AB40" s="302" t="e">
        <f t="shared" si="105"/>
        <v>#REF!</v>
      </c>
      <c r="AC40" s="298">
        <f t="shared" si="106"/>
        <v>0</v>
      </c>
      <c r="AD40" s="303">
        <f t="shared" si="107"/>
        <v>0</v>
      </c>
      <c r="AE40" s="298"/>
      <c r="AF40" s="302" t="e">
        <f t="shared" si="108"/>
        <v>#REF!</v>
      </c>
      <c r="AG40" s="298">
        <v>0</v>
      </c>
      <c r="AH40" s="303">
        <v>0</v>
      </c>
      <c r="AI40" s="298"/>
      <c r="AJ40" s="302" t="e">
        <f t="shared" si="109"/>
        <v>#REF!</v>
      </c>
      <c r="AK40" s="298">
        <f t="shared" si="110"/>
        <v>0</v>
      </c>
      <c r="AL40" s="303">
        <f t="shared" si="110"/>
        <v>0</v>
      </c>
      <c r="AM40" s="298"/>
      <c r="AN40" s="327"/>
      <c r="AO40" s="329" t="e">
        <f t="shared" si="16"/>
        <v>#REF!</v>
      </c>
      <c r="AP40" s="298"/>
      <c r="AQ40" s="302" t="e">
        <f t="shared" si="111"/>
        <v>#REF!</v>
      </c>
      <c r="AR40" s="298">
        <v>0</v>
      </c>
      <c r="AS40" s="303">
        <v>0</v>
      </c>
      <c r="AT40" s="298"/>
      <c r="AU40" s="299"/>
      <c r="AV40" s="299"/>
      <c r="AW40" s="298"/>
    </row>
    <row r="41" spans="1:51" x14ac:dyDescent="0.2">
      <c r="A41" s="76">
        <f t="shared" si="4"/>
        <v>34</v>
      </c>
      <c r="B41" s="670"/>
      <c r="C41" s="671" t="s">
        <v>7</v>
      </c>
      <c r="D41" s="147"/>
      <c r="E41" s="112">
        <f>'Rates in Detail'!Y34</f>
        <v>1.1509999999999999E-2</v>
      </c>
      <c r="F41" s="112">
        <f>SUM('Rates in Detail'!Z34:AB34)</f>
        <v>-4.8199999999999996E-3</v>
      </c>
      <c r="G41" s="147"/>
      <c r="H41" s="147"/>
      <c r="I41" s="362">
        <f>'Rev Req Proof Yr2'!H41</f>
        <v>0.10277</v>
      </c>
      <c r="J41" s="711">
        <f t="shared" si="10"/>
        <v>0.11427999999999999</v>
      </c>
      <c r="K41" s="147"/>
      <c r="L41" s="145"/>
      <c r="M41" s="146"/>
      <c r="N41" s="112"/>
      <c r="O41" s="112"/>
      <c r="P41" s="112"/>
      <c r="Q41" s="711"/>
      <c r="R41" s="147"/>
      <c r="S41" s="287" t="e">
        <f>'Rev Req Proof Yr1'!R41</f>
        <v>#REF!</v>
      </c>
      <c r="T41" s="288"/>
      <c r="U41" s="289"/>
      <c r="V41" s="290"/>
      <c r="W41" s="147"/>
      <c r="X41" s="302" t="e">
        <f t="shared" si="102"/>
        <v>#REF!</v>
      </c>
      <c r="Y41" s="298">
        <f t="shared" si="103"/>
        <v>0</v>
      </c>
      <c r="Z41" s="303">
        <f t="shared" si="104"/>
        <v>0</v>
      </c>
      <c r="AA41" s="298"/>
      <c r="AB41" s="302" t="e">
        <f t="shared" si="105"/>
        <v>#REF!</v>
      </c>
      <c r="AC41" s="298">
        <f t="shared" si="106"/>
        <v>0</v>
      </c>
      <c r="AD41" s="303">
        <f t="shared" si="107"/>
        <v>0</v>
      </c>
      <c r="AE41" s="298"/>
      <c r="AF41" s="302" t="e">
        <f t="shared" si="108"/>
        <v>#REF!</v>
      </c>
      <c r="AG41" s="298">
        <v>0</v>
      </c>
      <c r="AH41" s="303">
        <v>0</v>
      </c>
      <c r="AI41" s="298"/>
      <c r="AJ41" s="302" t="e">
        <f t="shared" si="109"/>
        <v>#REF!</v>
      </c>
      <c r="AK41" s="298">
        <f t="shared" si="110"/>
        <v>0</v>
      </c>
      <c r="AL41" s="303">
        <f t="shared" si="110"/>
        <v>0</v>
      </c>
      <c r="AM41" s="298"/>
      <c r="AN41" s="327"/>
      <c r="AO41" s="329" t="e">
        <f t="shared" si="16"/>
        <v>#REF!</v>
      </c>
      <c r="AP41" s="298"/>
      <c r="AQ41" s="302" t="e">
        <f t="shared" si="111"/>
        <v>#REF!</v>
      </c>
      <c r="AR41" s="298">
        <v>0</v>
      </c>
      <c r="AS41" s="303">
        <v>0</v>
      </c>
      <c r="AT41" s="298"/>
      <c r="AU41" s="299"/>
      <c r="AV41" s="299"/>
      <c r="AW41" s="298"/>
    </row>
    <row r="42" spans="1:51" x14ac:dyDescent="0.2">
      <c r="A42" s="76">
        <f t="shared" si="4"/>
        <v>35</v>
      </c>
      <c r="B42" s="670"/>
      <c r="C42" s="671" t="s">
        <v>8</v>
      </c>
      <c r="D42" s="147"/>
      <c r="E42" s="112">
        <f>'Rates in Detail'!Y35</f>
        <v>7.6699999999999997E-3</v>
      </c>
      <c r="F42" s="112">
        <f>SUM('Rates in Detail'!Z35:AB35)</f>
        <v>-3.2100000000000002E-3</v>
      </c>
      <c r="G42" s="147"/>
      <c r="H42" s="147"/>
      <c r="I42" s="362">
        <f>'Rev Req Proof Yr2'!H42</f>
        <v>6.8510000000000001E-2</v>
      </c>
      <c r="J42" s="711">
        <f t="shared" si="10"/>
        <v>7.6179999999999998E-2</v>
      </c>
      <c r="K42" s="147"/>
      <c r="L42" s="145"/>
      <c r="M42" s="146"/>
      <c r="N42" s="112"/>
      <c r="O42" s="112"/>
      <c r="P42" s="112"/>
      <c r="Q42" s="711"/>
      <c r="R42" s="147"/>
      <c r="S42" s="287" t="e">
        <f>'Rev Req Proof Yr1'!R42</f>
        <v>#REF!</v>
      </c>
      <c r="T42" s="288"/>
      <c r="U42" s="289"/>
      <c r="V42" s="290"/>
      <c r="W42" s="147"/>
      <c r="X42" s="302" t="e">
        <f t="shared" si="102"/>
        <v>#REF!</v>
      </c>
      <c r="Y42" s="298">
        <f t="shared" si="103"/>
        <v>0</v>
      </c>
      <c r="Z42" s="303">
        <f t="shared" si="104"/>
        <v>0</v>
      </c>
      <c r="AA42" s="298"/>
      <c r="AB42" s="302" t="e">
        <f t="shared" si="105"/>
        <v>#REF!</v>
      </c>
      <c r="AC42" s="298">
        <f t="shared" si="106"/>
        <v>0</v>
      </c>
      <c r="AD42" s="303">
        <f t="shared" si="107"/>
        <v>0</v>
      </c>
      <c r="AE42" s="298"/>
      <c r="AF42" s="302" t="e">
        <f t="shared" si="108"/>
        <v>#REF!</v>
      </c>
      <c r="AG42" s="298">
        <v>0</v>
      </c>
      <c r="AH42" s="303">
        <v>0</v>
      </c>
      <c r="AI42" s="298"/>
      <c r="AJ42" s="302" t="e">
        <f t="shared" si="109"/>
        <v>#REF!</v>
      </c>
      <c r="AK42" s="298">
        <f t="shared" si="110"/>
        <v>0</v>
      </c>
      <c r="AL42" s="303">
        <f t="shared" si="110"/>
        <v>0</v>
      </c>
      <c r="AM42" s="298"/>
      <c r="AN42" s="327"/>
      <c r="AO42" s="329" t="e">
        <f>AO41</f>
        <v>#REF!</v>
      </c>
      <c r="AP42" s="298"/>
      <c r="AQ42" s="302" t="e">
        <f t="shared" si="111"/>
        <v>#REF!</v>
      </c>
      <c r="AR42" s="298">
        <v>0</v>
      </c>
      <c r="AS42" s="303">
        <v>0</v>
      </c>
      <c r="AT42" s="298"/>
      <c r="AU42" s="299"/>
      <c r="AV42" s="299"/>
      <c r="AW42" s="298"/>
    </row>
    <row r="43" spans="1:51" x14ac:dyDescent="0.2">
      <c r="A43" s="76">
        <f t="shared" si="4"/>
        <v>36</v>
      </c>
      <c r="B43" s="670"/>
      <c r="C43" s="671" t="s">
        <v>9</v>
      </c>
      <c r="D43" s="147"/>
      <c r="E43" s="112">
        <f>'Rates in Detail'!Y36</f>
        <v>2.8800000000000002E-3</v>
      </c>
      <c r="F43" s="112">
        <f>SUM('Rates in Detail'!Z36:AB36)</f>
        <v>-1.2000000000000001E-3</v>
      </c>
      <c r="G43" s="147"/>
      <c r="H43" s="147"/>
      <c r="I43" s="362">
        <f>'Rev Req Proof Yr2'!H43</f>
        <v>2.5680000000000001E-2</v>
      </c>
      <c r="J43" s="711">
        <f t="shared" si="10"/>
        <v>2.8560000000000002E-2</v>
      </c>
      <c r="K43" s="147"/>
      <c r="L43" s="262"/>
      <c r="M43" s="45"/>
      <c r="N43" s="112"/>
      <c r="O43" s="112"/>
      <c r="P43" s="112"/>
      <c r="Q43" s="711"/>
      <c r="R43" s="147"/>
      <c r="S43" s="287" t="e">
        <f>'Rev Req Proof Yr1'!R43</f>
        <v>#REF!</v>
      </c>
      <c r="T43" s="288"/>
      <c r="U43" s="289"/>
      <c r="V43" s="290"/>
      <c r="W43" s="147"/>
      <c r="X43" s="302" t="e">
        <f t="shared" si="102"/>
        <v>#REF!</v>
      </c>
      <c r="Y43" s="298">
        <f t="shared" si="103"/>
        <v>0</v>
      </c>
      <c r="Z43" s="303">
        <f t="shared" si="104"/>
        <v>0</v>
      </c>
      <c r="AA43" s="298"/>
      <c r="AB43" s="302" t="e">
        <f t="shared" si="105"/>
        <v>#REF!</v>
      </c>
      <c r="AC43" s="298">
        <f t="shared" si="106"/>
        <v>0</v>
      </c>
      <c r="AD43" s="303">
        <f t="shared" si="107"/>
        <v>0</v>
      </c>
      <c r="AE43" s="298"/>
      <c r="AF43" s="302" t="e">
        <f t="shared" si="108"/>
        <v>#REF!</v>
      </c>
      <c r="AG43" s="298">
        <v>0</v>
      </c>
      <c r="AH43" s="303">
        <v>0</v>
      </c>
      <c r="AI43" s="298"/>
      <c r="AJ43" s="302" t="e">
        <f t="shared" si="109"/>
        <v>#REF!</v>
      </c>
      <c r="AK43" s="298">
        <f t="shared" si="110"/>
        <v>0</v>
      </c>
      <c r="AL43" s="303">
        <f t="shared" si="110"/>
        <v>0</v>
      </c>
      <c r="AM43" s="298"/>
      <c r="AN43" s="327"/>
      <c r="AO43" s="329" t="e">
        <f>AO42</f>
        <v>#REF!</v>
      </c>
      <c r="AP43" s="298"/>
      <c r="AQ43" s="302" t="e">
        <f t="shared" si="111"/>
        <v>#REF!</v>
      </c>
      <c r="AR43" s="298">
        <v>0</v>
      </c>
      <c r="AS43" s="303">
        <v>0</v>
      </c>
      <c r="AT43" s="298"/>
      <c r="AU43" s="299"/>
      <c r="AV43" s="299"/>
      <c r="AW43" s="298"/>
    </row>
    <row r="44" spans="1:51" x14ac:dyDescent="0.2">
      <c r="A44" s="76">
        <f t="shared" si="4"/>
        <v>37</v>
      </c>
      <c r="B44" s="668"/>
      <c r="C44" s="686" t="s">
        <v>62</v>
      </c>
      <c r="D44" s="143"/>
      <c r="E44" s="113"/>
      <c r="F44" s="113"/>
      <c r="G44" s="143"/>
      <c r="H44" s="143"/>
      <c r="I44" s="357"/>
      <c r="J44" s="710"/>
      <c r="K44" s="147"/>
      <c r="L44" s="262"/>
      <c r="M44" s="45"/>
      <c r="N44" s="112"/>
      <c r="O44" s="112"/>
      <c r="P44" s="112"/>
      <c r="Q44" s="711"/>
      <c r="R44" s="147"/>
      <c r="S44" s="287"/>
      <c r="T44" s="288"/>
      <c r="U44" s="289"/>
      <c r="V44" s="290"/>
      <c r="W44" s="147"/>
      <c r="X44" s="304" t="e">
        <f>SUM(X38:X43)</f>
        <v>#REF!</v>
      </c>
      <c r="Y44" s="305" t="e">
        <f>SUM(Y38:Y43)</f>
        <v>#REF!</v>
      </c>
      <c r="Z44" s="306">
        <f>SUM(Z38:Z43)</f>
        <v>29339.765160000003</v>
      </c>
      <c r="AA44" s="298"/>
      <c r="AB44" s="304" t="e">
        <f>SUM(AB38:AB43)</f>
        <v>#REF!</v>
      </c>
      <c r="AC44" s="305" t="e">
        <f>SUM(AC38:AC43)</f>
        <v>#REF!</v>
      </c>
      <c r="AD44" s="306">
        <f>SUM(AD38:AD43)</f>
        <v>29339.765160000003</v>
      </c>
      <c r="AE44" s="298"/>
      <c r="AF44" s="304" t="e">
        <f>SUM(AF38:AF43)</f>
        <v>#REF!</v>
      </c>
      <c r="AG44" s="305">
        <f>SUM(AG38:AG43)</f>
        <v>0</v>
      </c>
      <c r="AH44" s="306">
        <f>SUM(AH38:AH43)</f>
        <v>0</v>
      </c>
      <c r="AI44" s="298"/>
      <c r="AJ44" s="304" t="e">
        <f>SUM(AJ38:AJ43)</f>
        <v>#REF!</v>
      </c>
      <c r="AK44" s="305" t="e">
        <f>SUM(AK38:AK43)</f>
        <v>#REF!</v>
      </c>
      <c r="AL44" s="306">
        <f>SUM(AL38:AL43)</f>
        <v>0</v>
      </c>
      <c r="AM44" s="298"/>
      <c r="AN44" s="327" t="e">
        <f>SUM(AJ44:AL44)/SUM(X44:Z44)</f>
        <v>#REF!</v>
      </c>
      <c r="AO44" s="328" t="e">
        <f>SUM(AJ44)/SUM(X44)</f>
        <v>#REF!</v>
      </c>
      <c r="AP44" s="298"/>
      <c r="AQ44" s="304" t="e">
        <f>SUM(AQ38:AQ43)</f>
        <v>#REF!</v>
      </c>
      <c r="AR44" s="305">
        <f>SUM(AR38:AR43)</f>
        <v>0</v>
      </c>
      <c r="AS44" s="306">
        <f>SUM(AS38:AS43)</f>
        <v>0</v>
      </c>
      <c r="AT44" s="298"/>
      <c r="AU44" s="299"/>
      <c r="AV44" s="299"/>
      <c r="AW44" s="298"/>
    </row>
    <row r="45" spans="1:51" x14ac:dyDescent="0.2">
      <c r="A45" s="76">
        <f t="shared" si="4"/>
        <v>38</v>
      </c>
      <c r="B45" s="670" t="e">
        <f>#REF!</f>
        <v>#REF!</v>
      </c>
      <c r="C45" s="671" t="s">
        <v>4</v>
      </c>
      <c r="D45" s="147"/>
      <c r="E45" s="112">
        <f>'Rates in Detail'!Y37</f>
        <v>6.1399999999999996E-3</v>
      </c>
      <c r="F45" s="112">
        <f>SUM('Rates in Detail'!Z37:AB37)</f>
        <v>-2.6300000000000004E-3</v>
      </c>
      <c r="G45" s="147"/>
      <c r="H45" s="147"/>
      <c r="I45" s="362">
        <f>'Rev Req Proof Yr2'!H45</f>
        <v>0.16067999999999999</v>
      </c>
      <c r="J45" s="711">
        <f t="shared" si="10"/>
        <v>0.16682</v>
      </c>
      <c r="K45" s="147"/>
      <c r="L45" s="145" t="e">
        <f>'Rev Req Proof Yr1'!K45</f>
        <v>#REF!</v>
      </c>
      <c r="M45" s="146" t="e">
        <f>'Rev Req Proof Yr1'!L45</f>
        <v>#REF!</v>
      </c>
      <c r="N45" s="112">
        <f>'Rev Req Proof Yr1'!M45</f>
        <v>0.15748000000000001</v>
      </c>
      <c r="O45" s="112">
        <f>'Rev Req Proof Yr1'!N45</f>
        <v>0.15748000000000001</v>
      </c>
      <c r="P45" s="112">
        <f>'Rev Req Proof Yr1'!O45</f>
        <v>0.20415</v>
      </c>
      <c r="Q45" s="711">
        <f>'Rev Req Proof Yr1'!P45</f>
        <v>0.20415</v>
      </c>
      <c r="R45" s="147"/>
      <c r="S45" s="287" t="e">
        <f>'Rev Req Proof Yr1'!R45</f>
        <v>#REF!</v>
      </c>
      <c r="T45" s="288">
        <f>'Rev Req Proof Yr1'!S45</f>
        <v>9556</v>
      </c>
      <c r="U45" s="289" t="e">
        <f>'Rev Req Proof Yr1'!T45</f>
        <v>#REF!</v>
      </c>
      <c r="V45" s="290" t="e">
        <f>'Rev Req Proof Yr1'!U45</f>
        <v>#REF!</v>
      </c>
      <c r="W45" s="147"/>
      <c r="X45" s="302" t="e">
        <f t="shared" ref="X45:X50" si="112">(I45*S45)</f>
        <v>#REF!</v>
      </c>
      <c r="Y45" s="298" t="e">
        <f t="shared" ref="Y45:Y50" si="113">(L45*U45*12)</f>
        <v>#REF!</v>
      </c>
      <c r="Z45" s="303">
        <f t="shared" ref="Z45:Z50" si="114">(T45*(N45+P45))*12</f>
        <v>41468.835359999997</v>
      </c>
      <c r="AA45" s="298"/>
      <c r="AB45" s="302" t="e">
        <f t="shared" ref="AB45:AB50" si="115">(J45*S45)</f>
        <v>#REF!</v>
      </c>
      <c r="AC45" s="298" t="e">
        <f t="shared" ref="AC45:AC50" si="116">(M45*U45*12)</f>
        <v>#REF!</v>
      </c>
      <c r="AD45" s="303">
        <f t="shared" ref="AD45:AD50" si="117">(T45*(O45+Q45))*12</f>
        <v>41468.835359999997</v>
      </c>
      <c r="AE45" s="298"/>
      <c r="AF45" s="302" t="e">
        <f t="shared" ref="AF45:AF50" si="118">(F45*S45)</f>
        <v>#REF!</v>
      </c>
      <c r="AG45" s="298">
        <v>0</v>
      </c>
      <c r="AH45" s="303">
        <v>0</v>
      </c>
      <c r="AI45" s="298"/>
      <c r="AJ45" s="302" t="e">
        <f t="shared" ref="AJ45:AJ50" si="119">AB45-X45+AF45</f>
        <v>#REF!</v>
      </c>
      <c r="AK45" s="298" t="e">
        <f t="shared" ref="AK45:AL50" si="120">AC45-Y45-AG45</f>
        <v>#REF!</v>
      </c>
      <c r="AL45" s="303">
        <f t="shared" si="120"/>
        <v>0</v>
      </c>
      <c r="AM45" s="298"/>
      <c r="AN45" s="327"/>
      <c r="AO45" s="329" t="e">
        <f>SUM(AJ45)/SUM(X45)</f>
        <v>#REF!</v>
      </c>
      <c r="AP45" s="298"/>
      <c r="AQ45" s="302" t="e">
        <f t="shared" ref="AQ45:AQ50" si="121">(G45*S45)</f>
        <v>#REF!</v>
      </c>
      <c r="AR45" s="298">
        <v>0</v>
      </c>
      <c r="AS45" s="303">
        <v>0</v>
      </c>
      <c r="AT45" s="298"/>
      <c r="AU45" s="299"/>
      <c r="AV45" s="299"/>
      <c r="AW45" s="298"/>
    </row>
    <row r="46" spans="1:51" x14ac:dyDescent="0.2">
      <c r="A46" s="76">
        <f t="shared" si="4"/>
        <v>39</v>
      </c>
      <c r="B46" s="670"/>
      <c r="C46" s="671" t="s">
        <v>5</v>
      </c>
      <c r="D46" s="147"/>
      <c r="E46" s="112">
        <f>'Rates in Detail'!Y38</f>
        <v>5.4999999999999997E-3</v>
      </c>
      <c r="F46" s="112">
        <f>SUM('Rates in Detail'!Z38:AB38)</f>
        <v>-2.3600000000000001E-3</v>
      </c>
      <c r="G46" s="147"/>
      <c r="H46" s="147"/>
      <c r="I46" s="362">
        <f>'Rev Req Proof Yr2'!H46</f>
        <v>0.14383000000000001</v>
      </c>
      <c r="J46" s="711">
        <f t="shared" si="10"/>
        <v>0.14933000000000002</v>
      </c>
      <c r="K46" s="147"/>
      <c r="L46" s="145"/>
      <c r="M46" s="146"/>
      <c r="N46" s="112"/>
      <c r="O46" s="112"/>
      <c r="P46" s="112"/>
      <c r="Q46" s="711"/>
      <c r="R46" s="147"/>
      <c r="S46" s="287" t="e">
        <f>'Rev Req Proof Yr1'!R46</f>
        <v>#REF!</v>
      </c>
      <c r="T46" s="288"/>
      <c r="U46" s="289"/>
      <c r="V46" s="290"/>
      <c r="W46" s="147"/>
      <c r="X46" s="302" t="e">
        <f t="shared" si="112"/>
        <v>#REF!</v>
      </c>
      <c r="Y46" s="298">
        <f t="shared" si="113"/>
        <v>0</v>
      </c>
      <c r="Z46" s="303">
        <f t="shared" si="114"/>
        <v>0</v>
      </c>
      <c r="AA46" s="298"/>
      <c r="AB46" s="302" t="e">
        <f t="shared" si="115"/>
        <v>#REF!</v>
      </c>
      <c r="AC46" s="298">
        <f t="shared" si="116"/>
        <v>0</v>
      </c>
      <c r="AD46" s="303">
        <f t="shared" si="117"/>
        <v>0</v>
      </c>
      <c r="AE46" s="298"/>
      <c r="AF46" s="302" t="e">
        <f t="shared" si="118"/>
        <v>#REF!</v>
      </c>
      <c r="AG46" s="298">
        <v>0</v>
      </c>
      <c r="AH46" s="303">
        <v>0</v>
      </c>
      <c r="AI46" s="298"/>
      <c r="AJ46" s="302" t="e">
        <f t="shared" si="119"/>
        <v>#REF!</v>
      </c>
      <c r="AK46" s="298">
        <f t="shared" si="120"/>
        <v>0</v>
      </c>
      <c r="AL46" s="303">
        <f t="shared" si="120"/>
        <v>0</v>
      </c>
      <c r="AM46" s="298"/>
      <c r="AN46" s="327"/>
      <c r="AO46" s="329" t="e">
        <f>SUM(AJ46)/SUM(X46)</f>
        <v>#REF!</v>
      </c>
      <c r="AP46" s="298"/>
      <c r="AQ46" s="302" t="e">
        <f t="shared" si="121"/>
        <v>#REF!</v>
      </c>
      <c r="AR46" s="298">
        <v>0</v>
      </c>
      <c r="AS46" s="303">
        <v>0</v>
      </c>
      <c r="AT46" s="298"/>
      <c r="AU46" s="299"/>
      <c r="AV46" s="299"/>
      <c r="AW46" s="298"/>
    </row>
    <row r="47" spans="1:51" x14ac:dyDescent="0.2">
      <c r="A47" s="76">
        <f t="shared" si="4"/>
        <v>40</v>
      </c>
      <c r="B47" s="670"/>
      <c r="C47" s="671" t="s">
        <v>6</v>
      </c>
      <c r="D47" s="147"/>
      <c r="E47" s="112">
        <f>'Rates in Detail'!Y39</f>
        <v>4.2199999999999998E-3</v>
      </c>
      <c r="F47" s="112">
        <f>SUM('Rates in Detail'!Z39:AB39)</f>
        <v>-1.81E-3</v>
      </c>
      <c r="G47" s="147"/>
      <c r="H47" s="147"/>
      <c r="I47" s="362">
        <f>'Rev Req Proof Yr2'!H47</f>
        <v>0.11029</v>
      </c>
      <c r="J47" s="711">
        <f t="shared" si="10"/>
        <v>0.11451</v>
      </c>
      <c r="K47" s="147"/>
      <c r="L47" s="145"/>
      <c r="M47" s="146"/>
      <c r="N47" s="112"/>
      <c r="O47" s="112"/>
      <c r="P47" s="112"/>
      <c r="Q47" s="711"/>
      <c r="R47" s="147"/>
      <c r="S47" s="287" t="e">
        <f>'Rev Req Proof Yr1'!R47</f>
        <v>#REF!</v>
      </c>
      <c r="T47" s="288"/>
      <c r="U47" s="289"/>
      <c r="V47" s="290"/>
      <c r="W47" s="147"/>
      <c r="X47" s="302" t="e">
        <f t="shared" si="112"/>
        <v>#REF!</v>
      </c>
      <c r="Y47" s="298">
        <f t="shared" si="113"/>
        <v>0</v>
      </c>
      <c r="Z47" s="303">
        <f t="shared" si="114"/>
        <v>0</v>
      </c>
      <c r="AA47" s="298"/>
      <c r="AB47" s="302" t="e">
        <f t="shared" si="115"/>
        <v>#REF!</v>
      </c>
      <c r="AC47" s="298">
        <f t="shared" si="116"/>
        <v>0</v>
      </c>
      <c r="AD47" s="303">
        <f t="shared" si="117"/>
        <v>0</v>
      </c>
      <c r="AE47" s="298"/>
      <c r="AF47" s="302" t="e">
        <f t="shared" si="118"/>
        <v>#REF!</v>
      </c>
      <c r="AG47" s="298">
        <v>0</v>
      </c>
      <c r="AH47" s="303">
        <v>0</v>
      </c>
      <c r="AI47" s="298"/>
      <c r="AJ47" s="302" t="e">
        <f t="shared" si="119"/>
        <v>#REF!</v>
      </c>
      <c r="AK47" s="298">
        <f t="shared" si="120"/>
        <v>0</v>
      </c>
      <c r="AL47" s="303">
        <f t="shared" si="120"/>
        <v>0</v>
      </c>
      <c r="AM47" s="298"/>
      <c r="AN47" s="327"/>
      <c r="AO47" s="329" t="e">
        <f>SUM(AJ47)/SUM(X47)</f>
        <v>#REF!</v>
      </c>
      <c r="AP47" s="298"/>
      <c r="AQ47" s="302" t="e">
        <f t="shared" si="121"/>
        <v>#REF!</v>
      </c>
      <c r="AR47" s="298">
        <v>0</v>
      </c>
      <c r="AS47" s="303">
        <v>0</v>
      </c>
      <c r="AT47" s="298"/>
      <c r="AU47" s="299"/>
      <c r="AV47" s="299"/>
      <c r="AW47" s="298"/>
    </row>
    <row r="48" spans="1:51" x14ac:dyDescent="0.2">
      <c r="A48" s="76">
        <f t="shared" si="4"/>
        <v>41</v>
      </c>
      <c r="B48" s="670"/>
      <c r="C48" s="671" t="s">
        <v>7</v>
      </c>
      <c r="D48" s="147"/>
      <c r="E48" s="112">
        <f>'Rates in Detail'!Y40</f>
        <v>3.3700000000000002E-3</v>
      </c>
      <c r="F48" s="112">
        <f>SUM('Rates in Detail'!Z40:AB40)</f>
        <v>-1.4399999999999999E-3</v>
      </c>
      <c r="G48" s="147"/>
      <c r="H48" s="147"/>
      <c r="I48" s="362">
        <f>'Rev Req Proof Yr2'!H48</f>
        <v>8.8239999999999999E-2</v>
      </c>
      <c r="J48" s="711">
        <f t="shared" si="10"/>
        <v>9.1609999999999997E-2</v>
      </c>
      <c r="K48" s="147"/>
      <c r="L48" s="145"/>
      <c r="M48" s="146"/>
      <c r="N48" s="112"/>
      <c r="O48" s="112"/>
      <c r="P48" s="112"/>
      <c r="Q48" s="711"/>
      <c r="R48" s="147"/>
      <c r="S48" s="287" t="e">
        <f>'Rev Req Proof Yr1'!R48</f>
        <v>#REF!</v>
      </c>
      <c r="T48" s="288"/>
      <c r="U48" s="289"/>
      <c r="V48" s="290"/>
      <c r="W48" s="147"/>
      <c r="X48" s="302" t="e">
        <f t="shared" si="112"/>
        <v>#REF!</v>
      </c>
      <c r="Y48" s="298">
        <f t="shared" si="113"/>
        <v>0</v>
      </c>
      <c r="Z48" s="303">
        <f t="shared" si="114"/>
        <v>0</v>
      </c>
      <c r="AA48" s="298"/>
      <c r="AB48" s="302" t="e">
        <f t="shared" si="115"/>
        <v>#REF!</v>
      </c>
      <c r="AC48" s="298">
        <f t="shared" si="116"/>
        <v>0</v>
      </c>
      <c r="AD48" s="303">
        <f t="shared" si="117"/>
        <v>0</v>
      </c>
      <c r="AE48" s="298"/>
      <c r="AF48" s="302" t="e">
        <f t="shared" si="118"/>
        <v>#REF!</v>
      </c>
      <c r="AG48" s="298">
        <v>0</v>
      </c>
      <c r="AH48" s="303">
        <v>0</v>
      </c>
      <c r="AI48" s="298"/>
      <c r="AJ48" s="302" t="e">
        <f t="shared" si="119"/>
        <v>#REF!</v>
      </c>
      <c r="AK48" s="298">
        <f t="shared" si="120"/>
        <v>0</v>
      </c>
      <c r="AL48" s="303">
        <f t="shared" si="120"/>
        <v>0</v>
      </c>
      <c r="AM48" s="298"/>
      <c r="AN48" s="327"/>
      <c r="AO48" s="329" t="e">
        <f>SUM(AJ48)/SUM(X48)</f>
        <v>#REF!</v>
      </c>
      <c r="AP48" s="298"/>
      <c r="AQ48" s="302" t="e">
        <f t="shared" si="121"/>
        <v>#REF!</v>
      </c>
      <c r="AR48" s="298">
        <v>0</v>
      </c>
      <c r="AS48" s="303">
        <v>0</v>
      </c>
      <c r="AT48" s="298"/>
      <c r="AU48" s="299"/>
      <c r="AV48" s="299"/>
      <c r="AW48" s="298"/>
    </row>
    <row r="49" spans="1:49" x14ac:dyDescent="0.2">
      <c r="A49" s="76">
        <f t="shared" si="4"/>
        <v>42</v>
      </c>
      <c r="B49" s="670"/>
      <c r="C49" s="671" t="s">
        <v>8</v>
      </c>
      <c r="D49" s="147"/>
      <c r="E49" s="112">
        <f>'Rates in Detail'!Y41</f>
        <v>2.2499999999999998E-3</v>
      </c>
      <c r="F49" s="112">
        <f>SUM('Rates in Detail'!Z41:AB41)</f>
        <v>-9.7000000000000005E-4</v>
      </c>
      <c r="G49" s="147"/>
      <c r="H49" s="147"/>
      <c r="I49" s="362">
        <f>'Rev Req Proof Yr2'!H49</f>
        <v>5.8840000000000003E-2</v>
      </c>
      <c r="J49" s="711">
        <f t="shared" si="10"/>
        <v>6.1090000000000005E-2</v>
      </c>
      <c r="K49" s="147"/>
      <c r="L49" s="145"/>
      <c r="M49" s="146"/>
      <c r="N49" s="112"/>
      <c r="O49" s="112"/>
      <c r="P49" s="112"/>
      <c r="Q49" s="711"/>
      <c r="R49" s="147"/>
      <c r="S49" s="287" t="e">
        <f>'Rev Req Proof Yr1'!R49</f>
        <v>#REF!</v>
      </c>
      <c r="T49" s="288"/>
      <c r="U49" s="289"/>
      <c r="V49" s="290"/>
      <c r="W49" s="147"/>
      <c r="X49" s="302" t="e">
        <f t="shared" si="112"/>
        <v>#REF!</v>
      </c>
      <c r="Y49" s="298">
        <f t="shared" si="113"/>
        <v>0</v>
      </c>
      <c r="Z49" s="303">
        <f t="shared" si="114"/>
        <v>0</v>
      </c>
      <c r="AA49" s="298"/>
      <c r="AB49" s="302" t="e">
        <f t="shared" si="115"/>
        <v>#REF!</v>
      </c>
      <c r="AC49" s="298">
        <f t="shared" si="116"/>
        <v>0</v>
      </c>
      <c r="AD49" s="303">
        <f t="shared" si="117"/>
        <v>0</v>
      </c>
      <c r="AE49" s="298"/>
      <c r="AF49" s="302" t="e">
        <f t="shared" si="118"/>
        <v>#REF!</v>
      </c>
      <c r="AG49" s="298">
        <v>0</v>
      </c>
      <c r="AH49" s="303">
        <v>0</v>
      </c>
      <c r="AI49" s="298"/>
      <c r="AJ49" s="302" t="e">
        <f t="shared" si="119"/>
        <v>#REF!</v>
      </c>
      <c r="AK49" s="298">
        <f t="shared" si="120"/>
        <v>0</v>
      </c>
      <c r="AL49" s="303">
        <f t="shared" si="120"/>
        <v>0</v>
      </c>
      <c r="AM49" s="298"/>
      <c r="AN49" s="327"/>
      <c r="AO49" s="329" t="e">
        <f>AO48</f>
        <v>#REF!</v>
      </c>
      <c r="AP49" s="298"/>
      <c r="AQ49" s="302" t="e">
        <f t="shared" si="121"/>
        <v>#REF!</v>
      </c>
      <c r="AR49" s="298">
        <v>0</v>
      </c>
      <c r="AS49" s="303">
        <v>0</v>
      </c>
      <c r="AT49" s="298"/>
      <c r="AU49" s="299"/>
      <c r="AV49" s="299"/>
      <c r="AW49" s="298"/>
    </row>
    <row r="50" spans="1:49" x14ac:dyDescent="0.2">
      <c r="A50" s="76">
        <f t="shared" si="4"/>
        <v>43</v>
      </c>
      <c r="B50" s="670"/>
      <c r="C50" s="671" t="s">
        <v>9</v>
      </c>
      <c r="D50" s="147"/>
      <c r="E50" s="112">
        <f>'Rates in Detail'!Y42</f>
        <v>8.4000000000000003E-4</v>
      </c>
      <c r="F50" s="112">
        <f>SUM('Rates in Detail'!Z42:AB42)</f>
        <v>-3.6000000000000002E-4</v>
      </c>
      <c r="G50" s="147"/>
      <c r="H50" s="147"/>
      <c r="I50" s="362">
        <f>'Rev Req Proof Yr2'!H50</f>
        <v>2.205E-2</v>
      </c>
      <c r="J50" s="711">
        <f t="shared" si="10"/>
        <v>2.2890000000000001E-2</v>
      </c>
      <c r="K50" s="147"/>
      <c r="L50" s="145"/>
      <c r="M50" s="146"/>
      <c r="N50" s="112"/>
      <c r="O50" s="112"/>
      <c r="P50" s="112"/>
      <c r="Q50" s="711"/>
      <c r="R50" s="147"/>
      <c r="S50" s="287" t="e">
        <f>'Rev Req Proof Yr1'!R50</f>
        <v>#REF!</v>
      </c>
      <c r="T50" s="288"/>
      <c r="U50" s="289"/>
      <c r="V50" s="290"/>
      <c r="W50" s="147"/>
      <c r="X50" s="302" t="e">
        <f t="shared" si="112"/>
        <v>#REF!</v>
      </c>
      <c r="Y50" s="298">
        <f t="shared" si="113"/>
        <v>0</v>
      </c>
      <c r="Z50" s="303">
        <f t="shared" si="114"/>
        <v>0</v>
      </c>
      <c r="AA50" s="298"/>
      <c r="AB50" s="302" t="e">
        <f t="shared" si="115"/>
        <v>#REF!</v>
      </c>
      <c r="AC50" s="298">
        <f t="shared" si="116"/>
        <v>0</v>
      </c>
      <c r="AD50" s="303">
        <f t="shared" si="117"/>
        <v>0</v>
      </c>
      <c r="AE50" s="298"/>
      <c r="AF50" s="302" t="e">
        <f t="shared" si="118"/>
        <v>#REF!</v>
      </c>
      <c r="AG50" s="298">
        <v>0</v>
      </c>
      <c r="AH50" s="303">
        <v>0</v>
      </c>
      <c r="AI50" s="298"/>
      <c r="AJ50" s="302" t="e">
        <f t="shared" si="119"/>
        <v>#REF!</v>
      </c>
      <c r="AK50" s="298">
        <f t="shared" si="120"/>
        <v>0</v>
      </c>
      <c r="AL50" s="303">
        <f t="shared" si="120"/>
        <v>0</v>
      </c>
      <c r="AM50" s="298"/>
      <c r="AN50" s="327"/>
      <c r="AO50" s="329" t="e">
        <f>AO49</f>
        <v>#REF!</v>
      </c>
      <c r="AP50" s="298"/>
      <c r="AQ50" s="302" t="e">
        <f t="shared" si="121"/>
        <v>#REF!</v>
      </c>
      <c r="AR50" s="298">
        <v>0</v>
      </c>
      <c r="AS50" s="303">
        <v>0</v>
      </c>
      <c r="AT50" s="298"/>
      <c r="AU50" s="299"/>
      <c r="AV50" s="299"/>
      <c r="AW50" s="298"/>
    </row>
    <row r="51" spans="1:49" x14ac:dyDescent="0.2">
      <c r="A51" s="76">
        <f t="shared" si="4"/>
        <v>44</v>
      </c>
      <c r="B51" s="668"/>
      <c r="C51" s="686" t="s">
        <v>62</v>
      </c>
      <c r="D51" s="143"/>
      <c r="E51" s="113"/>
      <c r="F51" s="113"/>
      <c r="G51" s="143"/>
      <c r="H51" s="143"/>
      <c r="I51" s="357"/>
      <c r="J51" s="710"/>
      <c r="K51" s="147"/>
      <c r="L51" s="145"/>
      <c r="M51" s="146"/>
      <c r="N51" s="112"/>
      <c r="O51" s="112"/>
      <c r="P51" s="112"/>
      <c r="Q51" s="711"/>
      <c r="R51" s="147"/>
      <c r="S51" s="287"/>
      <c r="T51" s="288"/>
      <c r="U51" s="289"/>
      <c r="V51" s="290"/>
      <c r="W51" s="147"/>
      <c r="X51" s="304" t="e">
        <f>SUM(X45:X50)</f>
        <v>#REF!</v>
      </c>
      <c r="Y51" s="305" t="e">
        <f>SUM(Y45:Y50)</f>
        <v>#REF!</v>
      </c>
      <c r="Z51" s="306">
        <f>SUM(Z45:Z50)</f>
        <v>41468.835359999997</v>
      </c>
      <c r="AA51" s="298"/>
      <c r="AB51" s="304" t="e">
        <f>SUM(AB45:AB50)</f>
        <v>#REF!</v>
      </c>
      <c r="AC51" s="305" t="e">
        <f>SUM(AC45:AC50)</f>
        <v>#REF!</v>
      </c>
      <c r="AD51" s="306">
        <f>SUM(AD45:AD50)</f>
        <v>41468.835359999997</v>
      </c>
      <c r="AE51" s="298"/>
      <c r="AF51" s="304" t="e">
        <f>SUM(AF45:AF50)</f>
        <v>#REF!</v>
      </c>
      <c r="AG51" s="305">
        <f>SUM(AG45:AG50)</f>
        <v>0</v>
      </c>
      <c r="AH51" s="306">
        <f>SUM(AH45:AH50)</f>
        <v>0</v>
      </c>
      <c r="AI51" s="298"/>
      <c r="AJ51" s="304" t="e">
        <f>SUM(AJ45:AJ50)</f>
        <v>#REF!</v>
      </c>
      <c r="AK51" s="305" t="e">
        <f>SUM(AK45:AK50)</f>
        <v>#REF!</v>
      </c>
      <c r="AL51" s="306">
        <f>SUM(AL45:AL50)</f>
        <v>0</v>
      </c>
      <c r="AM51" s="298"/>
      <c r="AN51" s="327" t="e">
        <f>SUM(AJ51:AL51)/SUM(X51:Z51)</f>
        <v>#REF!</v>
      </c>
      <c r="AO51" s="328" t="e">
        <f t="shared" ref="AO51:AO56" si="122">SUM(AJ51)/SUM(X51)</f>
        <v>#REF!</v>
      </c>
      <c r="AP51" s="298"/>
      <c r="AQ51" s="304" t="e">
        <f>SUM(AQ45:AQ50)</f>
        <v>#REF!</v>
      </c>
      <c r="AR51" s="305">
        <f>SUM(AR45:AR50)</f>
        <v>0</v>
      </c>
      <c r="AS51" s="306">
        <f>SUM(AS45:AS50)</f>
        <v>0</v>
      </c>
      <c r="AT51" s="298"/>
      <c r="AU51" s="299"/>
      <c r="AV51" s="299"/>
      <c r="AW51" s="298"/>
    </row>
    <row r="52" spans="1:49" x14ac:dyDescent="0.2">
      <c r="A52" s="76">
        <f t="shared" si="4"/>
        <v>45</v>
      </c>
      <c r="B52" s="670" t="e">
        <f>#REF!</f>
        <v>#REF!</v>
      </c>
      <c r="C52" s="671" t="s">
        <v>4</v>
      </c>
      <c r="D52" s="147"/>
      <c r="E52" s="112">
        <f>'Rates in Detail'!Y43</f>
        <v>5.94E-3</v>
      </c>
      <c r="F52" s="112">
        <f>SUM('Rates in Detail'!Z43:AB43)</f>
        <v>-1.72E-3</v>
      </c>
      <c r="G52" s="147"/>
      <c r="H52" s="147"/>
      <c r="I52" s="362">
        <f>'Rev Req Proof Yr2'!H52</f>
        <v>0.14912</v>
      </c>
      <c r="J52" s="711">
        <f t="shared" si="10"/>
        <v>0.15506</v>
      </c>
      <c r="K52" s="147"/>
      <c r="L52" s="145" t="e">
        <f>'Rev Req Proof Yr1'!K52</f>
        <v>#REF!</v>
      </c>
      <c r="M52" s="146" t="e">
        <f>'Rev Req Proof Yr1'!L52</f>
        <v>#REF!</v>
      </c>
      <c r="N52" s="112">
        <f>'Rev Req Proof Yr1'!M52</f>
        <v>0.15748000000000001</v>
      </c>
      <c r="O52" s="112">
        <f>'Rev Req Proof Yr1'!N52</f>
        <v>0.15748000000000001</v>
      </c>
      <c r="P52" s="112">
        <f>'Rev Req Proof Yr1'!O52</f>
        <v>0</v>
      </c>
      <c r="Q52" s="711">
        <f>'Rev Req Proof Yr1'!P52</f>
        <v>0</v>
      </c>
      <c r="R52" s="147"/>
      <c r="S52" s="287" t="e">
        <f>'Rev Req Proof Yr1'!R52</f>
        <v>#REF!</v>
      </c>
      <c r="T52" s="288">
        <f>'Rev Req Proof Yr1'!S52</f>
        <v>10479</v>
      </c>
      <c r="U52" s="289" t="e">
        <f>'Rev Req Proof Yr1'!T52</f>
        <v>#REF!</v>
      </c>
      <c r="V52" s="290" t="e">
        <f>'Rev Req Proof Yr1'!U52</f>
        <v>#REF!</v>
      </c>
      <c r="W52" s="147"/>
      <c r="X52" s="302" t="e">
        <f t="shared" ref="X52:X57" si="123">(I52*S52)</f>
        <v>#REF!</v>
      </c>
      <c r="Y52" s="298" t="e">
        <f t="shared" ref="Y52:Y57" si="124">(L52*U52*12)</f>
        <v>#REF!</v>
      </c>
      <c r="Z52" s="303">
        <f t="shared" ref="Z52:Z57" si="125">(T52*(N52+P52))*12</f>
        <v>19802.795040000001</v>
      </c>
      <c r="AA52" s="298"/>
      <c r="AB52" s="302" t="e">
        <f t="shared" ref="AB52:AB57" si="126">(J52*S52)</f>
        <v>#REF!</v>
      </c>
      <c r="AC52" s="298" t="e">
        <f t="shared" ref="AC52:AC57" si="127">(M52*U52*12)</f>
        <v>#REF!</v>
      </c>
      <c r="AD52" s="303">
        <f t="shared" ref="AD52:AD57" si="128">(T52*(O52+Q52))*12</f>
        <v>19802.795040000001</v>
      </c>
      <c r="AE52" s="298"/>
      <c r="AF52" s="302" t="e">
        <f t="shared" ref="AF52:AF57" si="129">(F52*S52)</f>
        <v>#REF!</v>
      </c>
      <c r="AG52" s="298">
        <v>0</v>
      </c>
      <c r="AH52" s="303">
        <v>0</v>
      </c>
      <c r="AI52" s="298"/>
      <c r="AJ52" s="302" t="e">
        <f t="shared" ref="AJ52:AJ57" si="130">AB52-X52+AF52</f>
        <v>#REF!</v>
      </c>
      <c r="AK52" s="298" t="e">
        <f t="shared" ref="AK52:AL57" si="131">AC52-Y52-AG52</f>
        <v>#REF!</v>
      </c>
      <c r="AL52" s="303">
        <f t="shared" si="131"/>
        <v>0</v>
      </c>
      <c r="AM52" s="298"/>
      <c r="AN52" s="327"/>
      <c r="AO52" s="329" t="e">
        <f t="shared" si="122"/>
        <v>#REF!</v>
      </c>
      <c r="AP52" s="298"/>
      <c r="AQ52" s="302" t="e">
        <f t="shared" ref="AQ52:AQ57" si="132">(G52*S52)</f>
        <v>#REF!</v>
      </c>
      <c r="AR52" s="298">
        <v>0</v>
      </c>
      <c r="AS52" s="303">
        <v>0</v>
      </c>
      <c r="AT52" s="298"/>
      <c r="AU52" s="299"/>
      <c r="AV52" s="299"/>
      <c r="AW52" s="298"/>
    </row>
    <row r="53" spans="1:49" x14ac:dyDescent="0.2">
      <c r="A53" s="76">
        <f t="shared" si="4"/>
        <v>46</v>
      </c>
      <c r="B53" s="670"/>
      <c r="C53" s="671" t="s">
        <v>5</v>
      </c>
      <c r="D53" s="147"/>
      <c r="E53" s="112">
        <f>'Rates in Detail'!Y44</f>
        <v>5.3099999999999996E-3</v>
      </c>
      <c r="F53" s="112">
        <f>SUM('Rates in Detail'!Z44:AB44)</f>
        <v>-1.5299999999999999E-3</v>
      </c>
      <c r="G53" s="147"/>
      <c r="H53" s="147"/>
      <c r="I53" s="362">
        <f>'Rev Req Proof Yr2'!H53</f>
        <v>0.13349</v>
      </c>
      <c r="J53" s="711">
        <f t="shared" si="10"/>
        <v>0.13880000000000001</v>
      </c>
      <c r="K53" s="147"/>
      <c r="L53" s="145"/>
      <c r="M53" s="146"/>
      <c r="N53" s="112"/>
      <c r="O53" s="112"/>
      <c r="P53" s="112"/>
      <c r="Q53" s="711"/>
      <c r="R53" s="147"/>
      <c r="S53" s="287" t="e">
        <f>'Rev Req Proof Yr1'!R53</f>
        <v>#REF!</v>
      </c>
      <c r="T53" s="288"/>
      <c r="U53" s="289"/>
      <c r="V53" s="290"/>
      <c r="W53" s="147"/>
      <c r="X53" s="302" t="e">
        <f t="shared" si="123"/>
        <v>#REF!</v>
      </c>
      <c r="Y53" s="298">
        <f t="shared" si="124"/>
        <v>0</v>
      </c>
      <c r="Z53" s="303">
        <f t="shared" si="125"/>
        <v>0</v>
      </c>
      <c r="AA53" s="298"/>
      <c r="AB53" s="302" t="e">
        <f t="shared" si="126"/>
        <v>#REF!</v>
      </c>
      <c r="AC53" s="298">
        <f t="shared" si="127"/>
        <v>0</v>
      </c>
      <c r="AD53" s="303">
        <f t="shared" si="128"/>
        <v>0</v>
      </c>
      <c r="AE53" s="298"/>
      <c r="AF53" s="302" t="e">
        <f t="shared" si="129"/>
        <v>#REF!</v>
      </c>
      <c r="AG53" s="298">
        <v>0</v>
      </c>
      <c r="AH53" s="303">
        <v>0</v>
      </c>
      <c r="AI53" s="298"/>
      <c r="AJ53" s="302" t="e">
        <f t="shared" si="130"/>
        <v>#REF!</v>
      </c>
      <c r="AK53" s="298">
        <f t="shared" si="131"/>
        <v>0</v>
      </c>
      <c r="AL53" s="303">
        <f t="shared" si="131"/>
        <v>0</v>
      </c>
      <c r="AM53" s="298"/>
      <c r="AN53" s="327"/>
      <c r="AO53" s="329" t="e">
        <f t="shared" si="122"/>
        <v>#REF!</v>
      </c>
      <c r="AP53" s="298"/>
      <c r="AQ53" s="302" t="e">
        <f t="shared" si="132"/>
        <v>#REF!</v>
      </c>
      <c r="AR53" s="298">
        <v>0</v>
      </c>
      <c r="AS53" s="303">
        <v>0</v>
      </c>
      <c r="AT53" s="298"/>
      <c r="AU53" s="299"/>
      <c r="AV53" s="299"/>
      <c r="AW53" s="298"/>
    </row>
    <row r="54" spans="1:49" x14ac:dyDescent="0.2">
      <c r="A54" s="76">
        <f t="shared" si="4"/>
        <v>47</v>
      </c>
      <c r="B54" s="670"/>
      <c r="C54" s="671" t="s">
        <v>6</v>
      </c>
      <c r="D54" s="147"/>
      <c r="E54" s="112">
        <f>'Rates in Detail'!Y45</f>
        <v>4.0699999999999998E-3</v>
      </c>
      <c r="F54" s="112">
        <f>SUM('Rates in Detail'!Z45:AB45)</f>
        <v>-1.1800000000000001E-3</v>
      </c>
      <c r="G54" s="147"/>
      <c r="H54" s="147"/>
      <c r="I54" s="362">
        <f>'Rev Req Proof Yr2'!H54</f>
        <v>0.10236000000000001</v>
      </c>
      <c r="J54" s="711">
        <f t="shared" si="10"/>
        <v>0.10643000000000001</v>
      </c>
      <c r="K54" s="147"/>
      <c r="L54" s="145"/>
      <c r="M54" s="146"/>
      <c r="N54" s="112"/>
      <c r="O54" s="112"/>
      <c r="P54" s="112"/>
      <c r="Q54" s="711"/>
      <c r="R54" s="147"/>
      <c r="S54" s="287" t="e">
        <f>'Rev Req Proof Yr1'!R54</f>
        <v>#REF!</v>
      </c>
      <c r="T54" s="288"/>
      <c r="U54" s="289"/>
      <c r="V54" s="290"/>
      <c r="W54" s="147"/>
      <c r="X54" s="302" t="e">
        <f t="shared" si="123"/>
        <v>#REF!</v>
      </c>
      <c r="Y54" s="298">
        <f t="shared" si="124"/>
        <v>0</v>
      </c>
      <c r="Z54" s="303">
        <f t="shared" si="125"/>
        <v>0</v>
      </c>
      <c r="AA54" s="298"/>
      <c r="AB54" s="302" t="e">
        <f t="shared" si="126"/>
        <v>#REF!</v>
      </c>
      <c r="AC54" s="298">
        <f t="shared" si="127"/>
        <v>0</v>
      </c>
      <c r="AD54" s="303">
        <f t="shared" si="128"/>
        <v>0</v>
      </c>
      <c r="AE54" s="298"/>
      <c r="AF54" s="302" t="e">
        <f t="shared" si="129"/>
        <v>#REF!</v>
      </c>
      <c r="AG54" s="298">
        <v>0</v>
      </c>
      <c r="AH54" s="303">
        <v>0</v>
      </c>
      <c r="AI54" s="298"/>
      <c r="AJ54" s="302" t="e">
        <f t="shared" si="130"/>
        <v>#REF!</v>
      </c>
      <c r="AK54" s="298">
        <f t="shared" si="131"/>
        <v>0</v>
      </c>
      <c r="AL54" s="303">
        <f t="shared" si="131"/>
        <v>0</v>
      </c>
      <c r="AM54" s="298"/>
      <c r="AN54" s="327"/>
      <c r="AO54" s="329" t="e">
        <f t="shared" si="122"/>
        <v>#REF!</v>
      </c>
      <c r="AP54" s="298"/>
      <c r="AQ54" s="302" t="e">
        <f t="shared" si="132"/>
        <v>#REF!</v>
      </c>
      <c r="AR54" s="298">
        <v>0</v>
      </c>
      <c r="AS54" s="303">
        <v>0</v>
      </c>
      <c r="AT54" s="298"/>
      <c r="AU54" s="299"/>
      <c r="AV54" s="299"/>
      <c r="AW54" s="298"/>
    </row>
    <row r="55" spans="1:49" x14ac:dyDescent="0.2">
      <c r="A55" s="76">
        <f t="shared" si="4"/>
        <v>48</v>
      </c>
      <c r="B55" s="670"/>
      <c r="C55" s="671" t="s">
        <v>7</v>
      </c>
      <c r="D55" s="147"/>
      <c r="E55" s="112">
        <f>'Rates in Detail'!Y46</f>
        <v>3.2599999999999999E-3</v>
      </c>
      <c r="F55" s="112">
        <f>SUM('Rates in Detail'!Z46:AB46)</f>
        <v>-9.3999999999999997E-4</v>
      </c>
      <c r="G55" s="147"/>
      <c r="H55" s="147"/>
      <c r="I55" s="362">
        <f>'Rev Req Proof Yr2'!H55</f>
        <v>8.1900000000000001E-2</v>
      </c>
      <c r="J55" s="711">
        <f t="shared" si="10"/>
        <v>8.516E-2</v>
      </c>
      <c r="K55" s="147"/>
      <c r="L55" s="145"/>
      <c r="M55" s="146"/>
      <c r="N55" s="112"/>
      <c r="O55" s="112"/>
      <c r="P55" s="112"/>
      <c r="Q55" s="711"/>
      <c r="R55" s="147"/>
      <c r="S55" s="287" t="e">
        <f>'Rev Req Proof Yr1'!R55</f>
        <v>#REF!</v>
      </c>
      <c r="T55" s="288"/>
      <c r="U55" s="289"/>
      <c r="V55" s="290"/>
      <c r="W55" s="147"/>
      <c r="X55" s="302" t="e">
        <f t="shared" si="123"/>
        <v>#REF!</v>
      </c>
      <c r="Y55" s="298">
        <f t="shared" si="124"/>
        <v>0</v>
      </c>
      <c r="Z55" s="303">
        <f t="shared" si="125"/>
        <v>0</v>
      </c>
      <c r="AA55" s="298"/>
      <c r="AB55" s="302" t="e">
        <f t="shared" si="126"/>
        <v>#REF!</v>
      </c>
      <c r="AC55" s="298">
        <f t="shared" si="127"/>
        <v>0</v>
      </c>
      <c r="AD55" s="303">
        <f t="shared" si="128"/>
        <v>0</v>
      </c>
      <c r="AE55" s="298"/>
      <c r="AF55" s="302" t="e">
        <f t="shared" si="129"/>
        <v>#REF!</v>
      </c>
      <c r="AG55" s="298">
        <v>0</v>
      </c>
      <c r="AH55" s="303">
        <v>0</v>
      </c>
      <c r="AI55" s="298"/>
      <c r="AJ55" s="302" t="e">
        <f t="shared" si="130"/>
        <v>#REF!</v>
      </c>
      <c r="AK55" s="298">
        <f t="shared" si="131"/>
        <v>0</v>
      </c>
      <c r="AL55" s="303">
        <f t="shared" si="131"/>
        <v>0</v>
      </c>
      <c r="AM55" s="298"/>
      <c r="AN55" s="327"/>
      <c r="AO55" s="329" t="e">
        <f t="shared" si="122"/>
        <v>#REF!</v>
      </c>
      <c r="AP55" s="298"/>
      <c r="AQ55" s="302" t="e">
        <f t="shared" si="132"/>
        <v>#REF!</v>
      </c>
      <c r="AR55" s="298">
        <v>0</v>
      </c>
      <c r="AS55" s="303">
        <v>0</v>
      </c>
      <c r="AT55" s="298"/>
      <c r="AU55" s="299"/>
      <c r="AV55" s="299"/>
      <c r="AW55" s="298"/>
    </row>
    <row r="56" spans="1:49" x14ac:dyDescent="0.2">
      <c r="A56" s="76">
        <f t="shared" si="4"/>
        <v>49</v>
      </c>
      <c r="B56" s="670"/>
      <c r="C56" s="671" t="s">
        <v>8</v>
      </c>
      <c r="D56" s="147"/>
      <c r="E56" s="112">
        <f>'Rates in Detail'!Y47</f>
        <v>2.1700000000000001E-3</v>
      </c>
      <c r="F56" s="112">
        <f>SUM('Rates in Detail'!Z47:AB47)</f>
        <v>-6.3000000000000003E-4</v>
      </c>
      <c r="G56" s="147"/>
      <c r="H56" s="147"/>
      <c r="I56" s="362">
        <f>'Rev Req Proof Yr2'!H56</f>
        <v>5.4600000000000003E-2</v>
      </c>
      <c r="J56" s="711">
        <f t="shared" si="10"/>
        <v>5.6770000000000001E-2</v>
      </c>
      <c r="K56" s="147"/>
      <c r="L56" s="145"/>
      <c r="M56" s="146"/>
      <c r="N56" s="112"/>
      <c r="O56" s="112"/>
      <c r="P56" s="112"/>
      <c r="Q56" s="711"/>
      <c r="R56" s="147"/>
      <c r="S56" s="287" t="e">
        <f>'Rev Req Proof Yr1'!R56</f>
        <v>#REF!</v>
      </c>
      <c r="T56" s="288"/>
      <c r="U56" s="289"/>
      <c r="V56" s="290"/>
      <c r="W56" s="147"/>
      <c r="X56" s="302" t="e">
        <f t="shared" si="123"/>
        <v>#REF!</v>
      </c>
      <c r="Y56" s="298">
        <f t="shared" si="124"/>
        <v>0</v>
      </c>
      <c r="Z56" s="303">
        <f t="shared" si="125"/>
        <v>0</v>
      </c>
      <c r="AA56" s="298"/>
      <c r="AB56" s="302" t="e">
        <f t="shared" si="126"/>
        <v>#REF!</v>
      </c>
      <c r="AC56" s="298">
        <f t="shared" si="127"/>
        <v>0</v>
      </c>
      <c r="AD56" s="303">
        <f t="shared" si="128"/>
        <v>0</v>
      </c>
      <c r="AE56" s="298"/>
      <c r="AF56" s="302" t="e">
        <f t="shared" si="129"/>
        <v>#REF!</v>
      </c>
      <c r="AG56" s="298">
        <v>0</v>
      </c>
      <c r="AH56" s="303">
        <v>0</v>
      </c>
      <c r="AI56" s="298"/>
      <c r="AJ56" s="302" t="e">
        <f t="shared" si="130"/>
        <v>#REF!</v>
      </c>
      <c r="AK56" s="298">
        <f t="shared" si="131"/>
        <v>0</v>
      </c>
      <c r="AL56" s="303">
        <f t="shared" si="131"/>
        <v>0</v>
      </c>
      <c r="AM56" s="298"/>
      <c r="AN56" s="327"/>
      <c r="AO56" s="329" t="e">
        <f t="shared" si="122"/>
        <v>#REF!</v>
      </c>
      <c r="AP56" s="298"/>
      <c r="AQ56" s="302" t="e">
        <f t="shared" si="132"/>
        <v>#REF!</v>
      </c>
      <c r="AR56" s="298">
        <v>0</v>
      </c>
      <c r="AS56" s="303">
        <v>0</v>
      </c>
      <c r="AT56" s="298"/>
      <c r="AU56" s="299"/>
      <c r="AV56" s="299"/>
      <c r="AW56" s="298"/>
    </row>
    <row r="57" spans="1:49" x14ac:dyDescent="0.2">
      <c r="A57" s="76">
        <f t="shared" si="4"/>
        <v>50</v>
      </c>
      <c r="B57" s="670"/>
      <c r="C57" s="671" t="s">
        <v>9</v>
      </c>
      <c r="D57" s="147"/>
      <c r="E57" s="112">
        <f>'Rates in Detail'!Y48</f>
        <v>8.0999999999999996E-4</v>
      </c>
      <c r="F57" s="112">
        <f>SUM('Rates in Detail'!Z48:AB48)</f>
        <v>-2.3000000000000001E-4</v>
      </c>
      <c r="G57" s="147"/>
      <c r="H57" s="147"/>
      <c r="I57" s="362">
        <f>'Rev Req Proof Yr2'!H57</f>
        <v>2.0469999999999999E-2</v>
      </c>
      <c r="J57" s="711">
        <f t="shared" si="10"/>
        <v>2.128E-2</v>
      </c>
      <c r="K57" s="147"/>
      <c r="L57" s="145"/>
      <c r="M57" s="146"/>
      <c r="N57" s="112"/>
      <c r="O57" s="112"/>
      <c r="P57" s="112"/>
      <c r="Q57" s="711"/>
      <c r="R57" s="147"/>
      <c r="S57" s="287" t="e">
        <f>'Rev Req Proof Yr1'!R57</f>
        <v>#REF!</v>
      </c>
      <c r="T57" s="288"/>
      <c r="U57" s="289"/>
      <c r="V57" s="290"/>
      <c r="W57" s="147"/>
      <c r="X57" s="302" t="e">
        <f t="shared" si="123"/>
        <v>#REF!</v>
      </c>
      <c r="Y57" s="298">
        <f t="shared" si="124"/>
        <v>0</v>
      </c>
      <c r="Z57" s="303">
        <f t="shared" si="125"/>
        <v>0</v>
      </c>
      <c r="AA57" s="298"/>
      <c r="AB57" s="302" t="e">
        <f t="shared" si="126"/>
        <v>#REF!</v>
      </c>
      <c r="AC57" s="298">
        <f t="shared" si="127"/>
        <v>0</v>
      </c>
      <c r="AD57" s="303">
        <f t="shared" si="128"/>
        <v>0</v>
      </c>
      <c r="AE57" s="298"/>
      <c r="AF57" s="302" t="e">
        <f t="shared" si="129"/>
        <v>#REF!</v>
      </c>
      <c r="AG57" s="298">
        <v>0</v>
      </c>
      <c r="AH57" s="303">
        <v>0</v>
      </c>
      <c r="AI57" s="298"/>
      <c r="AJ57" s="302" t="e">
        <f t="shared" si="130"/>
        <v>#REF!</v>
      </c>
      <c r="AK57" s="298">
        <f t="shared" si="131"/>
        <v>0</v>
      </c>
      <c r="AL57" s="303">
        <f t="shared" si="131"/>
        <v>0</v>
      </c>
      <c r="AM57" s="298"/>
      <c r="AN57" s="327"/>
      <c r="AO57" s="329" t="e">
        <f>AO56</f>
        <v>#REF!</v>
      </c>
      <c r="AP57" s="298"/>
      <c r="AQ57" s="302" t="e">
        <f t="shared" si="132"/>
        <v>#REF!</v>
      </c>
      <c r="AR57" s="298">
        <v>0</v>
      </c>
      <c r="AS57" s="303">
        <v>0</v>
      </c>
      <c r="AT57" s="298"/>
      <c r="AU57" s="307"/>
      <c r="AV57" s="299"/>
      <c r="AW57" s="298"/>
    </row>
    <row r="58" spans="1:49" x14ac:dyDescent="0.2">
      <c r="A58" s="76">
        <f t="shared" si="4"/>
        <v>51</v>
      </c>
      <c r="B58" s="668"/>
      <c r="C58" s="686" t="s">
        <v>62</v>
      </c>
      <c r="D58" s="143"/>
      <c r="E58" s="113"/>
      <c r="F58" s="113"/>
      <c r="G58" s="143"/>
      <c r="H58" s="143"/>
      <c r="I58" s="357"/>
      <c r="J58" s="710"/>
      <c r="K58" s="147"/>
      <c r="L58" s="145"/>
      <c r="M58" s="146"/>
      <c r="N58" s="112"/>
      <c r="O58" s="112"/>
      <c r="P58" s="112"/>
      <c r="Q58" s="711"/>
      <c r="R58" s="147"/>
      <c r="S58" s="287"/>
      <c r="T58" s="288"/>
      <c r="U58" s="289"/>
      <c r="V58" s="290"/>
      <c r="W58" s="147"/>
      <c r="X58" s="304" t="e">
        <f>SUM(X52:X57)</f>
        <v>#REF!</v>
      </c>
      <c r="Y58" s="305" t="e">
        <f>SUM(Y52:Y57)</f>
        <v>#REF!</v>
      </c>
      <c r="Z58" s="306">
        <f>SUM(Z52:Z57)</f>
        <v>19802.795040000001</v>
      </c>
      <c r="AA58" s="298"/>
      <c r="AB58" s="304" t="e">
        <f>SUM(AB52:AB57)</f>
        <v>#REF!</v>
      </c>
      <c r="AC58" s="305" t="e">
        <f>SUM(AC52:AC57)</f>
        <v>#REF!</v>
      </c>
      <c r="AD58" s="306">
        <f>SUM(AD52:AD57)</f>
        <v>19802.795040000001</v>
      </c>
      <c r="AE58" s="298"/>
      <c r="AF58" s="304" t="e">
        <f>SUM(AF52:AF57)</f>
        <v>#REF!</v>
      </c>
      <c r="AG58" s="305">
        <f>SUM(AG52:AG57)</f>
        <v>0</v>
      </c>
      <c r="AH58" s="306">
        <f>SUM(AH52:AH57)</f>
        <v>0</v>
      </c>
      <c r="AI58" s="298"/>
      <c r="AJ58" s="304" t="e">
        <f>SUM(AJ52:AJ57)</f>
        <v>#REF!</v>
      </c>
      <c r="AK58" s="305" t="e">
        <f>SUM(AK52:AK57)</f>
        <v>#REF!</v>
      </c>
      <c r="AL58" s="306">
        <f>SUM(AL52:AL57)</f>
        <v>0</v>
      </c>
      <c r="AM58" s="298"/>
      <c r="AN58" s="327" t="e">
        <f>SUM(AJ58:AL58)/SUM(X58:Z58)</f>
        <v>#REF!</v>
      </c>
      <c r="AO58" s="328" t="e">
        <f t="shared" ref="AO58:AO70" si="133">SUM(AJ58)/SUM(X58)</f>
        <v>#REF!</v>
      </c>
      <c r="AP58" s="298"/>
      <c r="AQ58" s="304" t="e">
        <f>SUM(AQ52:AQ57)</f>
        <v>#REF!</v>
      </c>
      <c r="AR58" s="305">
        <f>SUM(AR52:AR57)</f>
        <v>0</v>
      </c>
      <c r="AS58" s="306">
        <f>SUM(AS52:AS57)</f>
        <v>0</v>
      </c>
      <c r="AT58" s="298"/>
      <c r="AU58" s="299"/>
      <c r="AV58" s="299"/>
      <c r="AW58" s="298"/>
    </row>
    <row r="59" spans="1:49" x14ac:dyDescent="0.2">
      <c r="A59" s="76">
        <f t="shared" si="4"/>
        <v>52</v>
      </c>
      <c r="B59" s="670" t="e">
        <f>#REF!</f>
        <v>#REF!</v>
      </c>
      <c r="C59" s="671" t="s">
        <v>4</v>
      </c>
      <c r="D59" s="147"/>
      <c r="E59" s="112">
        <f>'Rates in Detail'!Y49</f>
        <v>3.96E-3</v>
      </c>
      <c r="F59" s="112">
        <f>SUM('Rates in Detail'!Z49:AB49)</f>
        <v>-1.6999999999999999E-3</v>
      </c>
      <c r="G59" s="147"/>
      <c r="H59" s="147"/>
      <c r="I59" s="362">
        <f>'Rev Req Proof Yr2'!H59</f>
        <v>0.14807999999999999</v>
      </c>
      <c r="J59" s="711">
        <f t="shared" si="10"/>
        <v>0.15203999999999998</v>
      </c>
      <c r="K59" s="147"/>
      <c r="L59" s="145" t="e">
        <f>'Rev Req Proof Yr1'!K59</f>
        <v>#REF!</v>
      </c>
      <c r="M59" s="146" t="e">
        <f>'Rev Req Proof Yr1'!L59</f>
        <v>#REF!</v>
      </c>
      <c r="N59" s="112">
        <f>'Rev Req Proof Yr1'!M59</f>
        <v>0.15748000000000001</v>
      </c>
      <c r="O59" s="112">
        <f>'Rev Req Proof Yr1'!N59</f>
        <v>0.15748000000000001</v>
      </c>
      <c r="P59" s="112">
        <f>'Rev Req Proof Yr1'!O59</f>
        <v>0</v>
      </c>
      <c r="Q59" s="711">
        <f>'Rev Req Proof Yr1'!P59</f>
        <v>0</v>
      </c>
      <c r="R59" s="147"/>
      <c r="S59" s="287" t="e">
        <f>'Rev Req Proof Yr1'!R59</f>
        <v>#REF!</v>
      </c>
      <c r="T59" s="288">
        <f>'Rev Req Proof Yr1'!S59</f>
        <v>26810</v>
      </c>
      <c r="U59" s="289" t="e">
        <f>'Rev Req Proof Yr1'!T59</f>
        <v>#REF!</v>
      </c>
      <c r="V59" s="290" t="e">
        <f>'Rev Req Proof Yr1'!U59</f>
        <v>#REF!</v>
      </c>
      <c r="W59" s="147"/>
      <c r="X59" s="302" t="e">
        <f t="shared" ref="X59:X64" si="134">(I59*S59)</f>
        <v>#REF!</v>
      </c>
      <c r="Y59" s="298" t="e">
        <f t="shared" ref="Y59:Y64" si="135">(L59*U59*12)</f>
        <v>#REF!</v>
      </c>
      <c r="Z59" s="303">
        <f t="shared" ref="Z59:Z64" si="136">(T59*(N59+P59))*12</f>
        <v>50664.465600000003</v>
      </c>
      <c r="AA59" s="298"/>
      <c r="AB59" s="302" t="e">
        <f t="shared" ref="AB59:AB64" si="137">(J59*S59)</f>
        <v>#REF!</v>
      </c>
      <c r="AC59" s="298" t="e">
        <f t="shared" ref="AC59:AC64" si="138">(M59*U59*12)</f>
        <v>#REF!</v>
      </c>
      <c r="AD59" s="303">
        <f t="shared" ref="AD59:AD64" si="139">(T59*(O59+Q59))*12</f>
        <v>50664.465600000003</v>
      </c>
      <c r="AE59" s="298"/>
      <c r="AF59" s="302" t="e">
        <f t="shared" ref="AF59:AF64" si="140">(F59*S59)</f>
        <v>#REF!</v>
      </c>
      <c r="AG59" s="298">
        <v>0</v>
      </c>
      <c r="AH59" s="303">
        <v>0</v>
      </c>
      <c r="AI59" s="298"/>
      <c r="AJ59" s="302" t="e">
        <f t="shared" ref="AJ59:AJ64" si="141">AB59-X59+AF59</f>
        <v>#REF!</v>
      </c>
      <c r="AK59" s="298" t="e">
        <f t="shared" ref="AK59:AL64" si="142">AC59-Y59-AG59</f>
        <v>#REF!</v>
      </c>
      <c r="AL59" s="303">
        <f t="shared" si="142"/>
        <v>0</v>
      </c>
      <c r="AM59" s="298"/>
      <c r="AN59" s="327"/>
      <c r="AO59" s="329" t="e">
        <f t="shared" si="133"/>
        <v>#REF!</v>
      </c>
      <c r="AP59" s="298"/>
      <c r="AQ59" s="302" t="e">
        <f t="shared" ref="AQ59:AQ64" si="143">(G59*S59)</f>
        <v>#REF!</v>
      </c>
      <c r="AR59" s="298">
        <v>0</v>
      </c>
      <c r="AS59" s="303">
        <v>0</v>
      </c>
      <c r="AT59" s="298"/>
      <c r="AU59" s="299"/>
      <c r="AV59" s="299"/>
      <c r="AW59" s="298"/>
    </row>
    <row r="60" spans="1:49" x14ac:dyDescent="0.2">
      <c r="A60" s="76">
        <f t="shared" si="4"/>
        <v>53</v>
      </c>
      <c r="B60" s="670"/>
      <c r="C60" s="671" t="s">
        <v>5</v>
      </c>
      <c r="D60" s="147"/>
      <c r="E60" s="112">
        <f>'Rates in Detail'!Y50</f>
        <v>3.5400000000000002E-3</v>
      </c>
      <c r="F60" s="112">
        <f>SUM('Rates in Detail'!Z50:AB50)</f>
        <v>-1.5199999999999999E-3</v>
      </c>
      <c r="G60" s="147"/>
      <c r="H60" s="147"/>
      <c r="I60" s="362">
        <f>'Rev Req Proof Yr2'!H60</f>
        <v>0.13255</v>
      </c>
      <c r="J60" s="711">
        <f t="shared" si="10"/>
        <v>0.13608999999999999</v>
      </c>
      <c r="K60" s="147"/>
      <c r="L60" s="145"/>
      <c r="M60" s="146"/>
      <c r="N60" s="112"/>
      <c r="O60" s="112"/>
      <c r="P60" s="112"/>
      <c r="Q60" s="711"/>
      <c r="R60" s="147"/>
      <c r="S60" s="287" t="e">
        <f>'Rev Req Proof Yr1'!R60</f>
        <v>#REF!</v>
      </c>
      <c r="T60" s="288"/>
      <c r="U60" s="289"/>
      <c r="V60" s="290"/>
      <c r="W60" s="147"/>
      <c r="X60" s="302" t="e">
        <f t="shared" si="134"/>
        <v>#REF!</v>
      </c>
      <c r="Y60" s="298">
        <f t="shared" si="135"/>
        <v>0</v>
      </c>
      <c r="Z60" s="303">
        <f t="shared" si="136"/>
        <v>0</v>
      </c>
      <c r="AA60" s="298"/>
      <c r="AB60" s="302" t="e">
        <f t="shared" si="137"/>
        <v>#REF!</v>
      </c>
      <c r="AC60" s="298">
        <f t="shared" si="138"/>
        <v>0</v>
      </c>
      <c r="AD60" s="303">
        <f t="shared" si="139"/>
        <v>0</v>
      </c>
      <c r="AE60" s="298"/>
      <c r="AF60" s="302" t="e">
        <f t="shared" si="140"/>
        <v>#REF!</v>
      </c>
      <c r="AG60" s="298">
        <v>0</v>
      </c>
      <c r="AH60" s="303">
        <v>0</v>
      </c>
      <c r="AI60" s="298"/>
      <c r="AJ60" s="302" t="e">
        <f t="shared" si="141"/>
        <v>#REF!</v>
      </c>
      <c r="AK60" s="298">
        <f t="shared" si="142"/>
        <v>0</v>
      </c>
      <c r="AL60" s="303">
        <f t="shared" si="142"/>
        <v>0</v>
      </c>
      <c r="AM60" s="298"/>
      <c r="AN60" s="327"/>
      <c r="AO60" s="329" t="e">
        <f t="shared" si="133"/>
        <v>#REF!</v>
      </c>
      <c r="AP60" s="298"/>
      <c r="AQ60" s="302" t="e">
        <f t="shared" si="143"/>
        <v>#REF!</v>
      </c>
      <c r="AR60" s="298">
        <v>0</v>
      </c>
      <c r="AS60" s="303">
        <v>0</v>
      </c>
      <c r="AT60" s="298"/>
      <c r="AU60" s="299"/>
      <c r="AV60" s="299"/>
      <c r="AW60" s="298"/>
    </row>
    <row r="61" spans="1:49" x14ac:dyDescent="0.2">
      <c r="A61" s="76">
        <f t="shared" si="4"/>
        <v>54</v>
      </c>
      <c r="B61" s="670"/>
      <c r="C61" s="671" t="s">
        <v>6</v>
      </c>
      <c r="D61" s="147"/>
      <c r="E61" s="112">
        <f>'Rates in Detail'!Y51</f>
        <v>2.7200000000000002E-3</v>
      </c>
      <c r="F61" s="112">
        <f>SUM('Rates in Detail'!Z51:AB51)</f>
        <v>-1.17E-3</v>
      </c>
      <c r="G61" s="147"/>
      <c r="H61" s="147"/>
      <c r="I61" s="362">
        <f>'Rev Req Proof Yr2'!H61</f>
        <v>0.10163999999999999</v>
      </c>
      <c r="J61" s="711">
        <f t="shared" si="10"/>
        <v>0.10435999999999999</v>
      </c>
      <c r="K61" s="147"/>
      <c r="L61" s="145"/>
      <c r="M61" s="146"/>
      <c r="N61" s="112"/>
      <c r="O61" s="112"/>
      <c r="P61" s="112"/>
      <c r="Q61" s="711"/>
      <c r="R61" s="147"/>
      <c r="S61" s="287" t="e">
        <f>'Rev Req Proof Yr1'!R61</f>
        <v>#REF!</v>
      </c>
      <c r="T61" s="288"/>
      <c r="U61" s="289"/>
      <c r="V61" s="290"/>
      <c r="W61" s="147"/>
      <c r="X61" s="302" t="e">
        <f t="shared" si="134"/>
        <v>#REF!</v>
      </c>
      <c r="Y61" s="298">
        <f t="shared" si="135"/>
        <v>0</v>
      </c>
      <c r="Z61" s="303">
        <f t="shared" si="136"/>
        <v>0</v>
      </c>
      <c r="AA61" s="298"/>
      <c r="AB61" s="302" t="e">
        <f t="shared" si="137"/>
        <v>#REF!</v>
      </c>
      <c r="AC61" s="298">
        <f t="shared" si="138"/>
        <v>0</v>
      </c>
      <c r="AD61" s="303">
        <f t="shared" si="139"/>
        <v>0</v>
      </c>
      <c r="AE61" s="298"/>
      <c r="AF61" s="302" t="e">
        <f t="shared" si="140"/>
        <v>#REF!</v>
      </c>
      <c r="AG61" s="298">
        <v>0</v>
      </c>
      <c r="AH61" s="303">
        <v>0</v>
      </c>
      <c r="AI61" s="298"/>
      <c r="AJ61" s="302" t="e">
        <f t="shared" si="141"/>
        <v>#REF!</v>
      </c>
      <c r="AK61" s="298">
        <f t="shared" si="142"/>
        <v>0</v>
      </c>
      <c r="AL61" s="303">
        <f t="shared" si="142"/>
        <v>0</v>
      </c>
      <c r="AM61" s="298"/>
      <c r="AN61" s="327"/>
      <c r="AO61" s="329" t="e">
        <f t="shared" si="133"/>
        <v>#REF!</v>
      </c>
      <c r="AP61" s="298"/>
      <c r="AQ61" s="302" t="e">
        <f t="shared" si="143"/>
        <v>#REF!</v>
      </c>
      <c r="AR61" s="298">
        <v>0</v>
      </c>
      <c r="AS61" s="303">
        <v>0</v>
      </c>
      <c r="AT61" s="298"/>
      <c r="AU61" s="299"/>
      <c r="AV61" s="299"/>
      <c r="AW61" s="298"/>
    </row>
    <row r="62" spans="1:49" x14ac:dyDescent="0.2">
      <c r="A62" s="76">
        <f t="shared" si="4"/>
        <v>55</v>
      </c>
      <c r="B62" s="670"/>
      <c r="C62" s="671" t="s">
        <v>7</v>
      </c>
      <c r="D62" s="147"/>
      <c r="E62" s="112">
        <f>'Rates in Detail'!Y52</f>
        <v>2.1700000000000001E-3</v>
      </c>
      <c r="F62" s="112">
        <f>SUM('Rates in Detail'!Z52:AB52)</f>
        <v>-9.3999999999999997E-4</v>
      </c>
      <c r="G62" s="147"/>
      <c r="H62" s="147"/>
      <c r="I62" s="362">
        <f>'Rev Req Proof Yr2'!H62</f>
        <v>8.1320000000000003E-2</v>
      </c>
      <c r="J62" s="711">
        <f t="shared" si="10"/>
        <v>8.3490000000000009E-2</v>
      </c>
      <c r="K62" s="147"/>
      <c r="L62" s="145"/>
      <c r="M62" s="146"/>
      <c r="N62" s="112"/>
      <c r="O62" s="112"/>
      <c r="P62" s="112"/>
      <c r="Q62" s="711"/>
      <c r="R62" s="147"/>
      <c r="S62" s="287" t="e">
        <f>'Rev Req Proof Yr1'!R62</f>
        <v>#REF!</v>
      </c>
      <c r="T62" s="288"/>
      <c r="U62" s="289"/>
      <c r="V62" s="290"/>
      <c r="W62" s="147"/>
      <c r="X62" s="302" t="e">
        <f t="shared" si="134"/>
        <v>#REF!</v>
      </c>
      <c r="Y62" s="298">
        <f t="shared" si="135"/>
        <v>0</v>
      </c>
      <c r="Z62" s="303">
        <f t="shared" si="136"/>
        <v>0</v>
      </c>
      <c r="AA62" s="298"/>
      <c r="AB62" s="302" t="e">
        <f t="shared" si="137"/>
        <v>#REF!</v>
      </c>
      <c r="AC62" s="298">
        <f t="shared" si="138"/>
        <v>0</v>
      </c>
      <c r="AD62" s="303">
        <f t="shared" si="139"/>
        <v>0</v>
      </c>
      <c r="AE62" s="298"/>
      <c r="AF62" s="302" t="e">
        <f t="shared" si="140"/>
        <v>#REF!</v>
      </c>
      <c r="AG62" s="298">
        <v>0</v>
      </c>
      <c r="AH62" s="303">
        <v>0</v>
      </c>
      <c r="AI62" s="298"/>
      <c r="AJ62" s="302" t="e">
        <f t="shared" si="141"/>
        <v>#REF!</v>
      </c>
      <c r="AK62" s="298">
        <f t="shared" si="142"/>
        <v>0</v>
      </c>
      <c r="AL62" s="303">
        <f t="shared" si="142"/>
        <v>0</v>
      </c>
      <c r="AM62" s="298"/>
      <c r="AN62" s="327"/>
      <c r="AO62" s="329" t="e">
        <f t="shared" si="133"/>
        <v>#REF!</v>
      </c>
      <c r="AP62" s="298"/>
      <c r="AQ62" s="302" t="e">
        <f t="shared" si="143"/>
        <v>#REF!</v>
      </c>
      <c r="AR62" s="298">
        <v>0</v>
      </c>
      <c r="AS62" s="303">
        <v>0</v>
      </c>
      <c r="AT62" s="298"/>
      <c r="AU62" s="299"/>
      <c r="AV62" s="299"/>
      <c r="AW62" s="298"/>
    </row>
    <row r="63" spans="1:49" x14ac:dyDescent="0.2">
      <c r="A63" s="76">
        <f t="shared" si="4"/>
        <v>56</v>
      </c>
      <c r="B63" s="670"/>
      <c r="C63" s="671" t="s">
        <v>8</v>
      </c>
      <c r="D63" s="147"/>
      <c r="E63" s="112">
        <f>'Rates in Detail'!Y53</f>
        <v>1.4499999999999999E-3</v>
      </c>
      <c r="F63" s="112">
        <f>SUM('Rates in Detail'!Z53:AB53)</f>
        <v>-6.2E-4</v>
      </c>
      <c r="G63" s="147"/>
      <c r="H63" s="147"/>
      <c r="I63" s="362">
        <f>'Rev Req Proof Yr2'!H63</f>
        <v>5.4210000000000001E-2</v>
      </c>
      <c r="J63" s="711">
        <f t="shared" si="10"/>
        <v>5.5660000000000001E-2</v>
      </c>
      <c r="K63" s="147"/>
      <c r="L63" s="145"/>
      <c r="M63" s="146"/>
      <c r="N63" s="112"/>
      <c r="O63" s="112"/>
      <c r="P63" s="112"/>
      <c r="Q63" s="711"/>
      <c r="R63" s="147"/>
      <c r="S63" s="287" t="e">
        <f>'Rev Req Proof Yr1'!R63</f>
        <v>#REF!</v>
      </c>
      <c r="T63" s="288"/>
      <c r="U63" s="289"/>
      <c r="V63" s="290"/>
      <c r="W63" s="147"/>
      <c r="X63" s="302" t="e">
        <f t="shared" si="134"/>
        <v>#REF!</v>
      </c>
      <c r="Y63" s="298">
        <f t="shared" si="135"/>
        <v>0</v>
      </c>
      <c r="Z63" s="303">
        <f t="shared" si="136"/>
        <v>0</v>
      </c>
      <c r="AA63" s="298"/>
      <c r="AB63" s="302" t="e">
        <f t="shared" si="137"/>
        <v>#REF!</v>
      </c>
      <c r="AC63" s="298">
        <f t="shared" si="138"/>
        <v>0</v>
      </c>
      <c r="AD63" s="303">
        <f t="shared" si="139"/>
        <v>0</v>
      </c>
      <c r="AE63" s="298"/>
      <c r="AF63" s="302" t="e">
        <f t="shared" si="140"/>
        <v>#REF!</v>
      </c>
      <c r="AG63" s="298">
        <v>0</v>
      </c>
      <c r="AH63" s="303">
        <v>0</v>
      </c>
      <c r="AI63" s="298"/>
      <c r="AJ63" s="302" t="e">
        <f t="shared" si="141"/>
        <v>#REF!</v>
      </c>
      <c r="AK63" s="298">
        <f t="shared" si="142"/>
        <v>0</v>
      </c>
      <c r="AL63" s="303">
        <f t="shared" si="142"/>
        <v>0</v>
      </c>
      <c r="AM63" s="298"/>
      <c r="AN63" s="327"/>
      <c r="AO63" s="329" t="e">
        <f t="shared" si="133"/>
        <v>#REF!</v>
      </c>
      <c r="AP63" s="298"/>
      <c r="AQ63" s="302" t="e">
        <f t="shared" si="143"/>
        <v>#REF!</v>
      </c>
      <c r="AR63" s="298">
        <v>0</v>
      </c>
      <c r="AS63" s="303">
        <v>0</v>
      </c>
      <c r="AT63" s="298"/>
      <c r="AU63" s="299"/>
      <c r="AV63" s="299"/>
      <c r="AW63" s="298"/>
    </row>
    <row r="64" spans="1:49" x14ac:dyDescent="0.2">
      <c r="A64" s="76">
        <f t="shared" si="4"/>
        <v>57</v>
      </c>
      <c r="B64" s="670"/>
      <c r="C64" s="671" t="s">
        <v>9</v>
      </c>
      <c r="D64" s="147"/>
      <c r="E64" s="112">
        <f>'Rates in Detail'!Y54</f>
        <v>5.4000000000000001E-4</v>
      </c>
      <c r="F64" s="112">
        <f>SUM('Rates in Detail'!Z54:AB54)</f>
        <v>-2.3000000000000001E-4</v>
      </c>
      <c r="G64" s="147"/>
      <c r="H64" s="147"/>
      <c r="I64" s="362">
        <f>'Rev Req Proof Yr2'!H64</f>
        <v>2.0330000000000001E-2</v>
      </c>
      <c r="J64" s="711">
        <f t="shared" si="10"/>
        <v>2.087E-2</v>
      </c>
      <c r="K64" s="147"/>
      <c r="L64" s="145"/>
      <c r="M64" s="146"/>
      <c r="N64" s="112"/>
      <c r="O64" s="112"/>
      <c r="P64" s="112"/>
      <c r="Q64" s="711"/>
      <c r="R64" s="147"/>
      <c r="S64" s="287" t="e">
        <f>'Rev Req Proof Yr1'!R64</f>
        <v>#REF!</v>
      </c>
      <c r="T64" s="288"/>
      <c r="U64" s="289"/>
      <c r="V64" s="290"/>
      <c r="W64" s="147"/>
      <c r="X64" s="302" t="e">
        <f t="shared" si="134"/>
        <v>#REF!</v>
      </c>
      <c r="Y64" s="298">
        <f t="shared" si="135"/>
        <v>0</v>
      </c>
      <c r="Z64" s="303">
        <f t="shared" si="136"/>
        <v>0</v>
      </c>
      <c r="AA64" s="298"/>
      <c r="AB64" s="302" t="e">
        <f t="shared" si="137"/>
        <v>#REF!</v>
      </c>
      <c r="AC64" s="298">
        <f t="shared" si="138"/>
        <v>0</v>
      </c>
      <c r="AD64" s="303">
        <f t="shared" si="139"/>
        <v>0</v>
      </c>
      <c r="AE64" s="298"/>
      <c r="AF64" s="302" t="e">
        <f t="shared" si="140"/>
        <v>#REF!</v>
      </c>
      <c r="AG64" s="298">
        <v>0</v>
      </c>
      <c r="AH64" s="303">
        <v>0</v>
      </c>
      <c r="AI64" s="298"/>
      <c r="AJ64" s="302" t="e">
        <f t="shared" si="141"/>
        <v>#REF!</v>
      </c>
      <c r="AK64" s="298">
        <f t="shared" si="142"/>
        <v>0</v>
      </c>
      <c r="AL64" s="303">
        <f t="shared" si="142"/>
        <v>0</v>
      </c>
      <c r="AM64" s="298"/>
      <c r="AN64" s="327"/>
      <c r="AO64" s="329" t="e">
        <f t="shared" si="133"/>
        <v>#REF!</v>
      </c>
      <c r="AP64" s="298"/>
      <c r="AQ64" s="302" t="e">
        <f t="shared" si="143"/>
        <v>#REF!</v>
      </c>
      <c r="AR64" s="298">
        <v>0</v>
      </c>
      <c r="AS64" s="303">
        <v>0</v>
      </c>
      <c r="AT64" s="298"/>
      <c r="AU64" s="299"/>
      <c r="AV64" s="299"/>
      <c r="AW64" s="298"/>
    </row>
    <row r="65" spans="1:49" x14ac:dyDescent="0.2">
      <c r="A65" s="76">
        <f t="shared" si="4"/>
        <v>58</v>
      </c>
      <c r="B65" s="668"/>
      <c r="C65" s="686" t="s">
        <v>62</v>
      </c>
      <c r="D65" s="143"/>
      <c r="E65" s="113"/>
      <c r="F65" s="113"/>
      <c r="G65" s="143"/>
      <c r="H65" s="143"/>
      <c r="I65" s="357"/>
      <c r="J65" s="710"/>
      <c r="K65" s="147"/>
      <c r="L65" s="145"/>
      <c r="M65" s="146"/>
      <c r="N65" s="112"/>
      <c r="O65" s="112"/>
      <c r="P65" s="112"/>
      <c r="Q65" s="711"/>
      <c r="R65" s="147"/>
      <c r="S65" s="287"/>
      <c r="T65" s="288"/>
      <c r="U65" s="289"/>
      <c r="V65" s="290"/>
      <c r="W65" s="147"/>
      <c r="X65" s="304" t="e">
        <f>SUM(X59:X64)</f>
        <v>#REF!</v>
      </c>
      <c r="Y65" s="305" t="e">
        <f>SUM(Y59:Y64)</f>
        <v>#REF!</v>
      </c>
      <c r="Z65" s="306">
        <f>SUM(Z59:Z64)</f>
        <v>50664.465600000003</v>
      </c>
      <c r="AA65" s="298"/>
      <c r="AB65" s="304" t="e">
        <f>SUM(AB59:AB64)</f>
        <v>#REF!</v>
      </c>
      <c r="AC65" s="305" t="e">
        <f>SUM(AC59:AC64)</f>
        <v>#REF!</v>
      </c>
      <c r="AD65" s="306">
        <f>SUM(AD59:AD64)</f>
        <v>50664.465600000003</v>
      </c>
      <c r="AE65" s="298"/>
      <c r="AF65" s="304" t="e">
        <f>SUM(AF59:AF64)</f>
        <v>#REF!</v>
      </c>
      <c r="AG65" s="305">
        <f>SUM(AG59:AG64)</f>
        <v>0</v>
      </c>
      <c r="AH65" s="306">
        <f>SUM(AH59:AH64)</f>
        <v>0</v>
      </c>
      <c r="AI65" s="298"/>
      <c r="AJ65" s="304" t="e">
        <f>SUM(AJ59:AJ64)</f>
        <v>#REF!</v>
      </c>
      <c r="AK65" s="305" t="e">
        <f>SUM(AK59:AK64)</f>
        <v>#REF!</v>
      </c>
      <c r="AL65" s="306">
        <f>SUM(AL59:AL64)</f>
        <v>0</v>
      </c>
      <c r="AM65" s="298"/>
      <c r="AN65" s="327" t="e">
        <f>SUM(AJ65:AL65)/SUM(X65:Z65)</f>
        <v>#REF!</v>
      </c>
      <c r="AO65" s="328" t="e">
        <f t="shared" si="133"/>
        <v>#REF!</v>
      </c>
      <c r="AP65" s="298"/>
      <c r="AQ65" s="304" t="e">
        <f>SUM(AQ59:AQ64)</f>
        <v>#REF!</v>
      </c>
      <c r="AR65" s="305">
        <f>SUM(AR59:AR64)</f>
        <v>0</v>
      </c>
      <c r="AS65" s="306">
        <f>SUM(AS59:AS64)</f>
        <v>0</v>
      </c>
      <c r="AT65" s="298"/>
      <c r="AU65" s="299"/>
      <c r="AV65" s="299"/>
      <c r="AW65" s="298"/>
    </row>
    <row r="66" spans="1:49" x14ac:dyDescent="0.2">
      <c r="A66" s="76">
        <f t="shared" si="4"/>
        <v>59</v>
      </c>
      <c r="B66" s="670" t="e">
        <f>#REF!</f>
        <v>#REF!</v>
      </c>
      <c r="C66" s="671" t="s">
        <v>4</v>
      </c>
      <c r="D66" s="147"/>
      <c r="E66" s="112">
        <f>'Rates in Detail'!Y55</f>
        <v>1.2449999999999999E-2</v>
      </c>
      <c r="F66" s="112">
        <f>SUM('Rates in Detail'!Z55:AB55)</f>
        <v>-5.2100000000000002E-3</v>
      </c>
      <c r="G66" s="147"/>
      <c r="H66" s="147"/>
      <c r="I66" s="362">
        <f>'Rev Req Proof Yr2'!H66</f>
        <v>0.15742</v>
      </c>
      <c r="J66" s="711">
        <f t="shared" si="10"/>
        <v>0.16986999999999999</v>
      </c>
      <c r="K66" s="147"/>
      <c r="L66" s="145" t="e">
        <f>'Rev Req Proof Yr1'!K66</f>
        <v>#REF!</v>
      </c>
      <c r="M66" s="146" t="e">
        <f>'Rev Req Proof Yr1'!L66</f>
        <v>#REF!</v>
      </c>
      <c r="N66" s="112">
        <f>'Rev Req Proof Yr1'!M66</f>
        <v>0</v>
      </c>
      <c r="O66" s="112">
        <f>'Rev Req Proof Yr1'!N66</f>
        <v>0</v>
      </c>
      <c r="P66" s="112">
        <f>'Rev Req Proof Yr1'!O66</f>
        <v>0</v>
      </c>
      <c r="Q66" s="711">
        <f>'Rev Req Proof Yr1'!P66</f>
        <v>0</v>
      </c>
      <c r="R66" s="147"/>
      <c r="S66" s="287" t="e">
        <f>'Rev Req Proof Yr1'!R66</f>
        <v>#REF!</v>
      </c>
      <c r="T66" s="288">
        <f>'Rev Req Proof Yr1'!S66</f>
        <v>4620</v>
      </c>
      <c r="U66" s="289" t="e">
        <f>'Rev Req Proof Yr1'!T66</f>
        <v>#REF!</v>
      </c>
      <c r="V66" s="290" t="e">
        <f>'Rev Req Proof Yr1'!U66</f>
        <v>#REF!</v>
      </c>
      <c r="W66" s="147"/>
      <c r="X66" s="302" t="e">
        <f t="shared" ref="X66:X71" si="144">(I66*S66)</f>
        <v>#REF!</v>
      </c>
      <c r="Y66" s="298" t="e">
        <f t="shared" ref="Y66:Y71" si="145">(L66*U66*12)</f>
        <v>#REF!</v>
      </c>
      <c r="Z66" s="303">
        <f t="shared" ref="Z66:Z71" si="146">(T66*(N66+P66))*12</f>
        <v>0</v>
      </c>
      <c r="AA66" s="298"/>
      <c r="AB66" s="302" t="e">
        <f t="shared" ref="AB66:AB71" si="147">(J66*S66)</f>
        <v>#REF!</v>
      </c>
      <c r="AC66" s="298" t="e">
        <f t="shared" ref="AC66:AC71" si="148">(M66*U66*12)</f>
        <v>#REF!</v>
      </c>
      <c r="AD66" s="303">
        <f t="shared" ref="AD66:AD71" si="149">(T66*(O66+Q66))*12</f>
        <v>0</v>
      </c>
      <c r="AE66" s="298"/>
      <c r="AF66" s="302" t="e">
        <f t="shared" ref="AF66:AF71" si="150">(F66*S66)</f>
        <v>#REF!</v>
      </c>
      <c r="AG66" s="298">
        <v>0</v>
      </c>
      <c r="AH66" s="303">
        <v>0</v>
      </c>
      <c r="AI66" s="298"/>
      <c r="AJ66" s="302" t="e">
        <f t="shared" ref="AJ66:AJ71" si="151">AB66-X66+AF66</f>
        <v>#REF!</v>
      </c>
      <c r="AK66" s="298" t="e">
        <f t="shared" ref="AK66:AL71" si="152">AC66-Y66-AG66</f>
        <v>#REF!</v>
      </c>
      <c r="AL66" s="303">
        <f t="shared" si="152"/>
        <v>0</v>
      </c>
      <c r="AM66" s="298"/>
      <c r="AN66" s="327"/>
      <c r="AO66" s="329" t="e">
        <f t="shared" si="133"/>
        <v>#REF!</v>
      </c>
      <c r="AP66" s="298"/>
      <c r="AQ66" s="302" t="e">
        <f t="shared" ref="AQ66:AQ71" si="153">(G66*S66)</f>
        <v>#REF!</v>
      </c>
      <c r="AR66" s="298">
        <v>0</v>
      </c>
      <c r="AS66" s="303">
        <v>0</v>
      </c>
      <c r="AT66" s="298"/>
      <c r="AU66" s="299"/>
      <c r="AV66" s="299"/>
      <c r="AW66" s="298"/>
    </row>
    <row r="67" spans="1:49" x14ac:dyDescent="0.2">
      <c r="A67" s="76">
        <f t="shared" si="4"/>
        <v>60</v>
      </c>
      <c r="B67" s="670"/>
      <c r="C67" s="671" t="s">
        <v>5</v>
      </c>
      <c r="D67" s="147"/>
      <c r="E67" s="112">
        <f>'Rates in Detail'!Y56</f>
        <v>1.1140000000000001E-2</v>
      </c>
      <c r="F67" s="112">
        <f>SUM('Rates in Detail'!Z56:AB56)</f>
        <v>-4.6699999999999997E-3</v>
      </c>
      <c r="G67" s="147"/>
      <c r="H67" s="147"/>
      <c r="I67" s="362">
        <f>'Rev Req Proof Yr2'!H67</f>
        <v>0.14091999999999999</v>
      </c>
      <c r="J67" s="711">
        <f t="shared" si="10"/>
        <v>0.15206</v>
      </c>
      <c r="K67" s="147"/>
      <c r="L67" s="262"/>
      <c r="M67" s="45"/>
      <c r="N67" s="112"/>
      <c r="O67" s="112"/>
      <c r="P67" s="112"/>
      <c r="Q67" s="711"/>
      <c r="R67" s="147"/>
      <c r="S67" s="287" t="e">
        <f>'Rev Req Proof Yr1'!R67</f>
        <v>#REF!</v>
      </c>
      <c r="T67" s="288"/>
      <c r="U67" s="289"/>
      <c r="V67" s="290"/>
      <c r="W67" s="147"/>
      <c r="X67" s="302" t="e">
        <f t="shared" si="144"/>
        <v>#REF!</v>
      </c>
      <c r="Y67" s="298">
        <f t="shared" si="145"/>
        <v>0</v>
      </c>
      <c r="Z67" s="303">
        <f t="shared" si="146"/>
        <v>0</v>
      </c>
      <c r="AA67" s="298"/>
      <c r="AB67" s="302" t="e">
        <f t="shared" si="147"/>
        <v>#REF!</v>
      </c>
      <c r="AC67" s="298">
        <f t="shared" si="148"/>
        <v>0</v>
      </c>
      <c r="AD67" s="303">
        <f t="shared" si="149"/>
        <v>0</v>
      </c>
      <c r="AE67" s="298"/>
      <c r="AF67" s="302" t="e">
        <f t="shared" si="150"/>
        <v>#REF!</v>
      </c>
      <c r="AG67" s="298">
        <v>0</v>
      </c>
      <c r="AH67" s="303">
        <v>0</v>
      </c>
      <c r="AI67" s="298"/>
      <c r="AJ67" s="302" t="e">
        <f t="shared" si="151"/>
        <v>#REF!</v>
      </c>
      <c r="AK67" s="298">
        <f t="shared" si="152"/>
        <v>0</v>
      </c>
      <c r="AL67" s="303">
        <f t="shared" si="152"/>
        <v>0</v>
      </c>
      <c r="AM67" s="298"/>
      <c r="AN67" s="327"/>
      <c r="AO67" s="329" t="e">
        <f t="shared" si="133"/>
        <v>#REF!</v>
      </c>
      <c r="AP67" s="298"/>
      <c r="AQ67" s="302" t="e">
        <f t="shared" si="153"/>
        <v>#REF!</v>
      </c>
      <c r="AR67" s="298">
        <v>0</v>
      </c>
      <c r="AS67" s="303">
        <v>0</v>
      </c>
      <c r="AT67" s="298"/>
      <c r="AU67" s="299"/>
      <c r="AV67" s="299"/>
      <c r="AW67" s="298"/>
    </row>
    <row r="68" spans="1:49" x14ac:dyDescent="0.2">
      <c r="A68" s="76">
        <f t="shared" si="4"/>
        <v>61</v>
      </c>
      <c r="B68" s="670"/>
      <c r="C68" s="671" t="s">
        <v>6</v>
      </c>
      <c r="D68" s="147"/>
      <c r="E68" s="112">
        <f>'Rates in Detail'!Y57</f>
        <v>8.5400000000000007E-3</v>
      </c>
      <c r="F68" s="112">
        <f>SUM('Rates in Detail'!Z57:AB57)</f>
        <v>-3.5699999999999994E-3</v>
      </c>
      <c r="G68" s="147"/>
      <c r="H68" s="147"/>
      <c r="I68" s="362">
        <f>'Rev Req Proof Yr2'!H68</f>
        <v>0.10804999999999999</v>
      </c>
      <c r="J68" s="711">
        <f t="shared" si="10"/>
        <v>0.11659</v>
      </c>
      <c r="K68" s="147"/>
      <c r="L68" s="145"/>
      <c r="M68" s="146"/>
      <c r="N68" s="112"/>
      <c r="O68" s="112"/>
      <c r="P68" s="112"/>
      <c r="Q68" s="711"/>
      <c r="R68" s="147"/>
      <c r="S68" s="287" t="e">
        <f>'Rev Req Proof Yr1'!R68</f>
        <v>#REF!</v>
      </c>
      <c r="T68" s="288"/>
      <c r="U68" s="289"/>
      <c r="V68" s="290"/>
      <c r="W68" s="147"/>
      <c r="X68" s="302" t="e">
        <f t="shared" si="144"/>
        <v>#REF!</v>
      </c>
      <c r="Y68" s="298">
        <f t="shared" si="145"/>
        <v>0</v>
      </c>
      <c r="Z68" s="303">
        <f t="shared" si="146"/>
        <v>0</v>
      </c>
      <c r="AA68" s="298"/>
      <c r="AB68" s="302" t="e">
        <f t="shared" si="147"/>
        <v>#REF!</v>
      </c>
      <c r="AC68" s="298">
        <f t="shared" si="148"/>
        <v>0</v>
      </c>
      <c r="AD68" s="303">
        <f t="shared" si="149"/>
        <v>0</v>
      </c>
      <c r="AE68" s="298"/>
      <c r="AF68" s="302" t="e">
        <f t="shared" si="150"/>
        <v>#REF!</v>
      </c>
      <c r="AG68" s="298">
        <v>0</v>
      </c>
      <c r="AH68" s="303">
        <v>0</v>
      </c>
      <c r="AI68" s="298"/>
      <c r="AJ68" s="302" t="e">
        <f t="shared" si="151"/>
        <v>#REF!</v>
      </c>
      <c r="AK68" s="298">
        <f t="shared" si="152"/>
        <v>0</v>
      </c>
      <c r="AL68" s="303">
        <f t="shared" si="152"/>
        <v>0</v>
      </c>
      <c r="AM68" s="298"/>
      <c r="AN68" s="327"/>
      <c r="AO68" s="329" t="e">
        <f t="shared" si="133"/>
        <v>#REF!</v>
      </c>
      <c r="AP68" s="298"/>
      <c r="AQ68" s="302" t="e">
        <f t="shared" si="153"/>
        <v>#REF!</v>
      </c>
      <c r="AR68" s="298">
        <v>0</v>
      </c>
      <c r="AS68" s="303">
        <v>0</v>
      </c>
      <c r="AT68" s="298"/>
      <c r="AU68" s="299"/>
      <c r="AV68" s="299"/>
      <c r="AW68" s="298"/>
    </row>
    <row r="69" spans="1:49" x14ac:dyDescent="0.2">
      <c r="A69" s="76">
        <f t="shared" si="4"/>
        <v>62</v>
      </c>
      <c r="B69" s="670"/>
      <c r="C69" s="671" t="s">
        <v>7</v>
      </c>
      <c r="D69" s="147"/>
      <c r="E69" s="112">
        <f>'Rates in Detail'!Y58</f>
        <v>6.8300000000000001E-3</v>
      </c>
      <c r="F69" s="112">
        <f>SUM('Rates in Detail'!Z58:AB58)</f>
        <v>-2.8600000000000001E-3</v>
      </c>
      <c r="G69" s="147"/>
      <c r="H69" s="147"/>
      <c r="I69" s="362">
        <f>'Rev Req Proof Yr2'!H69</f>
        <v>8.6440000000000003E-2</v>
      </c>
      <c r="J69" s="711">
        <f t="shared" si="10"/>
        <v>9.3270000000000006E-2</v>
      </c>
      <c r="K69" s="147"/>
      <c r="L69" s="145"/>
      <c r="M69" s="146"/>
      <c r="N69" s="112"/>
      <c r="O69" s="112"/>
      <c r="P69" s="112"/>
      <c r="Q69" s="711"/>
      <c r="R69" s="147"/>
      <c r="S69" s="287" t="e">
        <f>'Rev Req Proof Yr1'!R69</f>
        <v>#REF!</v>
      </c>
      <c r="T69" s="288"/>
      <c r="U69" s="289"/>
      <c r="V69" s="290"/>
      <c r="W69" s="147"/>
      <c r="X69" s="302" t="e">
        <f t="shared" si="144"/>
        <v>#REF!</v>
      </c>
      <c r="Y69" s="298">
        <f t="shared" si="145"/>
        <v>0</v>
      </c>
      <c r="Z69" s="303">
        <f t="shared" si="146"/>
        <v>0</v>
      </c>
      <c r="AA69" s="298"/>
      <c r="AB69" s="302" t="e">
        <f t="shared" si="147"/>
        <v>#REF!</v>
      </c>
      <c r="AC69" s="298">
        <f t="shared" si="148"/>
        <v>0</v>
      </c>
      <c r="AD69" s="303">
        <f t="shared" si="149"/>
        <v>0</v>
      </c>
      <c r="AE69" s="298"/>
      <c r="AF69" s="302" t="e">
        <f t="shared" si="150"/>
        <v>#REF!</v>
      </c>
      <c r="AG69" s="298">
        <v>0</v>
      </c>
      <c r="AH69" s="303">
        <v>0</v>
      </c>
      <c r="AI69" s="298"/>
      <c r="AJ69" s="302" t="e">
        <f t="shared" si="151"/>
        <v>#REF!</v>
      </c>
      <c r="AK69" s="298">
        <f t="shared" si="152"/>
        <v>0</v>
      </c>
      <c r="AL69" s="303">
        <f t="shared" si="152"/>
        <v>0</v>
      </c>
      <c r="AM69" s="298"/>
      <c r="AN69" s="327"/>
      <c r="AO69" s="329" t="e">
        <f t="shared" si="133"/>
        <v>#REF!</v>
      </c>
      <c r="AP69" s="298"/>
      <c r="AQ69" s="302" t="e">
        <f t="shared" si="153"/>
        <v>#REF!</v>
      </c>
      <c r="AR69" s="298">
        <v>0</v>
      </c>
      <c r="AS69" s="303">
        <v>0</v>
      </c>
      <c r="AT69" s="298"/>
      <c r="AU69" s="299"/>
      <c r="AV69" s="299"/>
      <c r="AW69" s="298"/>
    </row>
    <row r="70" spans="1:49" x14ac:dyDescent="0.2">
      <c r="A70" s="76">
        <f t="shared" si="4"/>
        <v>63</v>
      </c>
      <c r="B70" s="670"/>
      <c r="C70" s="671" t="s">
        <v>8</v>
      </c>
      <c r="D70" s="147"/>
      <c r="E70" s="112">
        <f>'Rates in Detail'!Y59</f>
        <v>4.5599999999999998E-3</v>
      </c>
      <c r="F70" s="112">
        <f>SUM('Rates in Detail'!Z59:AB59)</f>
        <v>-1.9099999999999998E-3</v>
      </c>
      <c r="G70" s="147"/>
      <c r="H70" s="147"/>
      <c r="I70" s="362">
        <f>'Rev Req Proof Yr2'!H70</f>
        <v>5.7639999999999997E-2</v>
      </c>
      <c r="J70" s="711">
        <f t="shared" si="10"/>
        <v>6.2199999999999998E-2</v>
      </c>
      <c r="K70" s="147"/>
      <c r="L70" s="145"/>
      <c r="M70" s="146"/>
      <c r="N70" s="112"/>
      <c r="O70" s="112"/>
      <c r="P70" s="112"/>
      <c r="Q70" s="711"/>
      <c r="R70" s="147"/>
      <c r="S70" s="287" t="e">
        <f>'Rev Req Proof Yr1'!R70</f>
        <v>#REF!</v>
      </c>
      <c r="T70" s="288"/>
      <c r="U70" s="289"/>
      <c r="V70" s="290"/>
      <c r="W70" s="147"/>
      <c r="X70" s="302" t="e">
        <f t="shared" si="144"/>
        <v>#REF!</v>
      </c>
      <c r="Y70" s="298">
        <f t="shared" si="145"/>
        <v>0</v>
      </c>
      <c r="Z70" s="303">
        <f t="shared" si="146"/>
        <v>0</v>
      </c>
      <c r="AA70" s="298"/>
      <c r="AB70" s="302" t="e">
        <f t="shared" si="147"/>
        <v>#REF!</v>
      </c>
      <c r="AC70" s="298">
        <f t="shared" si="148"/>
        <v>0</v>
      </c>
      <c r="AD70" s="303">
        <f t="shared" si="149"/>
        <v>0</v>
      </c>
      <c r="AE70" s="298"/>
      <c r="AF70" s="302" t="e">
        <f t="shared" si="150"/>
        <v>#REF!</v>
      </c>
      <c r="AG70" s="298">
        <v>0</v>
      </c>
      <c r="AH70" s="303">
        <v>0</v>
      </c>
      <c r="AI70" s="298"/>
      <c r="AJ70" s="302" t="e">
        <f t="shared" si="151"/>
        <v>#REF!</v>
      </c>
      <c r="AK70" s="298">
        <f t="shared" si="152"/>
        <v>0</v>
      </c>
      <c r="AL70" s="303">
        <f t="shared" si="152"/>
        <v>0</v>
      </c>
      <c r="AM70" s="298"/>
      <c r="AN70" s="327"/>
      <c r="AO70" s="329" t="e">
        <f t="shared" si="133"/>
        <v>#REF!</v>
      </c>
      <c r="AP70" s="298"/>
      <c r="AQ70" s="302" t="e">
        <f t="shared" si="153"/>
        <v>#REF!</v>
      </c>
      <c r="AR70" s="298">
        <v>0</v>
      </c>
      <c r="AS70" s="303">
        <v>0</v>
      </c>
      <c r="AT70" s="298"/>
      <c r="AU70" s="299"/>
      <c r="AV70" s="299"/>
      <c r="AW70" s="298"/>
    </row>
    <row r="71" spans="1:49" x14ac:dyDescent="0.2">
      <c r="A71" s="76">
        <f t="shared" si="4"/>
        <v>64</v>
      </c>
      <c r="B71" s="670"/>
      <c r="C71" s="671" t="s">
        <v>9</v>
      </c>
      <c r="D71" s="147"/>
      <c r="E71" s="112">
        <f>'Rates in Detail'!Y60</f>
        <v>1.7099999999999999E-3</v>
      </c>
      <c r="F71" s="112">
        <f>SUM('Rates in Detail'!Z60:AB60)</f>
        <v>-7.1000000000000002E-4</v>
      </c>
      <c r="G71" s="147"/>
      <c r="H71" s="147"/>
      <c r="I71" s="362">
        <f>'Rev Req Proof Yr2'!H71</f>
        <v>2.162E-2</v>
      </c>
      <c r="J71" s="711">
        <f t="shared" si="10"/>
        <v>2.333E-2</v>
      </c>
      <c r="K71" s="147"/>
      <c r="L71" s="145"/>
      <c r="M71" s="146"/>
      <c r="N71" s="112"/>
      <c r="O71" s="112"/>
      <c r="P71" s="112"/>
      <c r="Q71" s="711"/>
      <c r="R71" s="147"/>
      <c r="S71" s="287" t="e">
        <f>'Rev Req Proof Yr1'!R71</f>
        <v>#REF!</v>
      </c>
      <c r="T71" s="288"/>
      <c r="U71" s="289"/>
      <c r="V71" s="290"/>
      <c r="W71" s="147"/>
      <c r="X71" s="302" t="e">
        <f t="shared" si="144"/>
        <v>#REF!</v>
      </c>
      <c r="Y71" s="298">
        <f t="shared" si="145"/>
        <v>0</v>
      </c>
      <c r="Z71" s="303">
        <f t="shared" si="146"/>
        <v>0</v>
      </c>
      <c r="AA71" s="298"/>
      <c r="AB71" s="302" t="e">
        <f t="shared" si="147"/>
        <v>#REF!</v>
      </c>
      <c r="AC71" s="298">
        <f t="shared" si="148"/>
        <v>0</v>
      </c>
      <c r="AD71" s="303">
        <f t="shared" si="149"/>
        <v>0</v>
      </c>
      <c r="AE71" s="298"/>
      <c r="AF71" s="302" t="e">
        <f t="shared" si="150"/>
        <v>#REF!</v>
      </c>
      <c r="AG71" s="298">
        <v>0</v>
      </c>
      <c r="AH71" s="303">
        <v>0</v>
      </c>
      <c r="AI71" s="298"/>
      <c r="AJ71" s="302" t="e">
        <f t="shared" si="151"/>
        <v>#REF!</v>
      </c>
      <c r="AK71" s="298">
        <f t="shared" si="152"/>
        <v>0</v>
      </c>
      <c r="AL71" s="303">
        <f t="shared" si="152"/>
        <v>0</v>
      </c>
      <c r="AM71" s="298"/>
      <c r="AN71" s="327"/>
      <c r="AO71" s="329" t="e">
        <f>AO70</f>
        <v>#REF!</v>
      </c>
      <c r="AP71" s="298"/>
      <c r="AQ71" s="302" t="e">
        <f t="shared" si="153"/>
        <v>#REF!</v>
      </c>
      <c r="AR71" s="298">
        <v>0</v>
      </c>
      <c r="AS71" s="303">
        <v>0</v>
      </c>
      <c r="AT71" s="298"/>
      <c r="AU71" s="299"/>
      <c r="AV71" s="299"/>
      <c r="AW71" s="298"/>
    </row>
    <row r="72" spans="1:49" x14ac:dyDescent="0.2">
      <c r="A72" s="76">
        <f t="shared" si="4"/>
        <v>65</v>
      </c>
      <c r="B72" s="668"/>
      <c r="C72" s="686" t="s">
        <v>62</v>
      </c>
      <c r="D72" s="143"/>
      <c r="E72" s="113"/>
      <c r="F72" s="113"/>
      <c r="G72" s="143"/>
      <c r="H72" s="143"/>
      <c r="I72" s="357"/>
      <c r="J72" s="710"/>
      <c r="K72" s="147"/>
      <c r="L72" s="145"/>
      <c r="M72" s="146"/>
      <c r="N72" s="112"/>
      <c r="O72" s="112"/>
      <c r="P72" s="112"/>
      <c r="Q72" s="711"/>
      <c r="R72" s="147"/>
      <c r="S72" s="287"/>
      <c r="T72" s="288"/>
      <c r="U72" s="289"/>
      <c r="V72" s="290"/>
      <c r="W72" s="147"/>
      <c r="X72" s="304" t="e">
        <f>SUM(X66:X71)</f>
        <v>#REF!</v>
      </c>
      <c r="Y72" s="305" t="e">
        <f>SUM(Y66:Y71)</f>
        <v>#REF!</v>
      </c>
      <c r="Z72" s="306">
        <f>SUM(Z66:Z71)</f>
        <v>0</v>
      </c>
      <c r="AA72" s="298"/>
      <c r="AB72" s="304" t="e">
        <f>SUM(AB66:AB71)</f>
        <v>#REF!</v>
      </c>
      <c r="AC72" s="305" t="e">
        <f>SUM(AC66:AC71)</f>
        <v>#REF!</v>
      </c>
      <c r="AD72" s="306">
        <f>SUM(AD66:AD71)</f>
        <v>0</v>
      </c>
      <c r="AE72" s="298"/>
      <c r="AF72" s="304" t="e">
        <f>SUM(AF66:AF71)</f>
        <v>#REF!</v>
      </c>
      <c r="AG72" s="305">
        <f>SUM(AG66:AG71)</f>
        <v>0</v>
      </c>
      <c r="AH72" s="306">
        <f>SUM(AH66:AH71)</f>
        <v>0</v>
      </c>
      <c r="AI72" s="298"/>
      <c r="AJ72" s="304" t="e">
        <f>SUM(AJ66:AJ71)</f>
        <v>#REF!</v>
      </c>
      <c r="AK72" s="305" t="e">
        <f>SUM(AK66:AK71)</f>
        <v>#REF!</v>
      </c>
      <c r="AL72" s="306">
        <f>SUM(AL66:AL71)</f>
        <v>0</v>
      </c>
      <c r="AM72" s="298"/>
      <c r="AN72" s="327" t="e">
        <f>SUM(AJ72:AL72)/SUM(X72:Z72)</f>
        <v>#REF!</v>
      </c>
      <c r="AO72" s="328" t="e">
        <f t="shared" ref="AO72:AO77" si="154">SUM(AJ72)/SUM(X72)</f>
        <v>#REF!</v>
      </c>
      <c r="AP72" s="298"/>
      <c r="AQ72" s="304" t="e">
        <f>SUM(AQ66:AQ71)</f>
        <v>#REF!</v>
      </c>
      <c r="AR72" s="305">
        <f>SUM(AR66:AR71)</f>
        <v>0</v>
      </c>
      <c r="AS72" s="306">
        <f>SUM(AS66:AS71)</f>
        <v>0</v>
      </c>
      <c r="AT72" s="298"/>
      <c r="AU72" s="308"/>
      <c r="AV72" s="299"/>
      <c r="AW72" s="298"/>
    </row>
    <row r="73" spans="1:49" x14ac:dyDescent="0.2">
      <c r="A73" s="76">
        <f t="shared" si="4"/>
        <v>66</v>
      </c>
      <c r="B73" s="670" t="e">
        <f>#REF!</f>
        <v>#REF!</v>
      </c>
      <c r="C73" s="671" t="s">
        <v>4</v>
      </c>
      <c r="D73" s="147"/>
      <c r="E73" s="112">
        <f>'Rates in Detail'!Y61</f>
        <v>5.6600000000000001E-3</v>
      </c>
      <c r="F73" s="112">
        <f>SUM('Rates in Detail'!Z61:AB61)</f>
        <v>-2.4300000000000003E-3</v>
      </c>
      <c r="G73" s="147"/>
      <c r="H73" s="147"/>
      <c r="I73" s="362">
        <f>'Rev Req Proof Yr2'!H73</f>
        <v>0.15825</v>
      </c>
      <c r="J73" s="711">
        <f t="shared" si="10"/>
        <v>0.16391</v>
      </c>
      <c r="K73" s="147"/>
      <c r="L73" s="145" t="e">
        <f>'Rev Req Proof Yr1'!K73</f>
        <v>#REF!</v>
      </c>
      <c r="M73" s="146" t="e">
        <f>'Rev Req Proof Yr1'!L73</f>
        <v>#REF!</v>
      </c>
      <c r="N73" s="112">
        <f>'Rev Req Proof Yr1'!M73</f>
        <v>0</v>
      </c>
      <c r="O73" s="112">
        <f>'Rev Req Proof Yr1'!N73</f>
        <v>0</v>
      </c>
      <c r="P73" s="112">
        <f>'Rev Req Proof Yr1'!O73</f>
        <v>0</v>
      </c>
      <c r="Q73" s="711">
        <f>'Rev Req Proof Yr1'!P73</f>
        <v>0</v>
      </c>
      <c r="R73" s="147"/>
      <c r="S73" s="287" t="e">
        <f>'Rev Req Proof Yr1'!R73</f>
        <v>#REF!</v>
      </c>
      <c r="T73" s="288">
        <f>'Rev Req Proof Yr1'!S73</f>
        <v>2934</v>
      </c>
      <c r="U73" s="289" t="e">
        <f>'Rev Req Proof Yr1'!T73</f>
        <v>#REF!</v>
      </c>
      <c r="V73" s="290" t="e">
        <f>'Rev Req Proof Yr1'!U73</f>
        <v>#REF!</v>
      </c>
      <c r="W73" s="147"/>
      <c r="X73" s="302" t="e">
        <f t="shared" ref="X73:X78" si="155">(I73*S73)</f>
        <v>#REF!</v>
      </c>
      <c r="Y73" s="298" t="e">
        <f t="shared" ref="Y73:Y78" si="156">(L73*U73*12)</f>
        <v>#REF!</v>
      </c>
      <c r="Z73" s="303">
        <f t="shared" ref="Z73:Z78" si="157">(T73*(N73+P73))*12</f>
        <v>0</v>
      </c>
      <c r="AA73" s="298"/>
      <c r="AB73" s="302" t="e">
        <f t="shared" ref="AB73:AB78" si="158">(J73*S73)</f>
        <v>#REF!</v>
      </c>
      <c r="AC73" s="298" t="e">
        <f t="shared" ref="AC73:AC78" si="159">(M73*U73*12)</f>
        <v>#REF!</v>
      </c>
      <c r="AD73" s="303">
        <f t="shared" ref="AD73:AD78" si="160">(T73*(O73+Q73))*12</f>
        <v>0</v>
      </c>
      <c r="AE73" s="298"/>
      <c r="AF73" s="302" t="e">
        <f t="shared" ref="AF73:AF78" si="161">(F73*S73)</f>
        <v>#REF!</v>
      </c>
      <c r="AG73" s="298">
        <v>0</v>
      </c>
      <c r="AH73" s="303">
        <v>0</v>
      </c>
      <c r="AI73" s="298"/>
      <c r="AJ73" s="302" t="e">
        <f t="shared" ref="AJ73:AJ78" si="162">AB73-X73+AF73</f>
        <v>#REF!</v>
      </c>
      <c r="AK73" s="298" t="e">
        <f t="shared" ref="AK73:AL78" si="163">AC73-Y73-AG73</f>
        <v>#REF!</v>
      </c>
      <c r="AL73" s="303">
        <f t="shared" si="163"/>
        <v>0</v>
      </c>
      <c r="AM73" s="298"/>
      <c r="AN73" s="327"/>
      <c r="AO73" s="329" t="e">
        <f t="shared" si="154"/>
        <v>#REF!</v>
      </c>
      <c r="AP73" s="298"/>
      <c r="AQ73" s="302" t="e">
        <f t="shared" ref="AQ73:AQ78" si="164">(G73*S73)</f>
        <v>#REF!</v>
      </c>
      <c r="AR73" s="298">
        <v>0</v>
      </c>
      <c r="AS73" s="303">
        <v>0</v>
      </c>
      <c r="AT73" s="298"/>
      <c r="AU73" s="299"/>
      <c r="AV73" s="299"/>
      <c r="AW73" s="298"/>
    </row>
    <row r="74" spans="1:49" x14ac:dyDescent="0.2">
      <c r="A74" s="76">
        <f t="shared" ref="A74:A102" si="165">+A73+1</f>
        <v>67</v>
      </c>
      <c r="B74" s="670"/>
      <c r="C74" s="671" t="s">
        <v>5</v>
      </c>
      <c r="D74" s="147"/>
      <c r="E74" s="112">
        <f>'Rates in Detail'!Y62</f>
        <v>5.0699999999999999E-3</v>
      </c>
      <c r="F74" s="112">
        <f>SUM('Rates in Detail'!Z62:AB62)</f>
        <v>-2.1700000000000001E-3</v>
      </c>
      <c r="G74" s="147"/>
      <c r="H74" s="147"/>
      <c r="I74" s="362">
        <f>'Rev Req Proof Yr2'!H74</f>
        <v>0.14166000000000001</v>
      </c>
      <c r="J74" s="711">
        <f t="shared" si="10"/>
        <v>0.14673</v>
      </c>
      <c r="K74" s="147"/>
      <c r="L74" s="145"/>
      <c r="M74" s="146"/>
      <c r="N74" s="112"/>
      <c r="O74" s="112"/>
      <c r="P74" s="112"/>
      <c r="Q74" s="711"/>
      <c r="R74" s="147"/>
      <c r="S74" s="287" t="e">
        <f>'Rev Req Proof Yr1'!R74</f>
        <v>#REF!</v>
      </c>
      <c r="T74" s="288"/>
      <c r="U74" s="289"/>
      <c r="V74" s="290"/>
      <c r="W74" s="147"/>
      <c r="X74" s="302" t="e">
        <f t="shared" si="155"/>
        <v>#REF!</v>
      </c>
      <c r="Y74" s="298">
        <f t="shared" si="156"/>
        <v>0</v>
      </c>
      <c r="Z74" s="303">
        <f t="shared" si="157"/>
        <v>0</v>
      </c>
      <c r="AA74" s="298"/>
      <c r="AB74" s="302" t="e">
        <f t="shared" si="158"/>
        <v>#REF!</v>
      </c>
      <c r="AC74" s="298">
        <f t="shared" si="159"/>
        <v>0</v>
      </c>
      <c r="AD74" s="303">
        <f t="shared" si="160"/>
        <v>0</v>
      </c>
      <c r="AE74" s="298"/>
      <c r="AF74" s="302" t="e">
        <f t="shared" si="161"/>
        <v>#REF!</v>
      </c>
      <c r="AG74" s="298">
        <v>0</v>
      </c>
      <c r="AH74" s="303">
        <v>0</v>
      </c>
      <c r="AI74" s="298"/>
      <c r="AJ74" s="302" t="e">
        <f t="shared" si="162"/>
        <v>#REF!</v>
      </c>
      <c r="AK74" s="298">
        <f t="shared" si="163"/>
        <v>0</v>
      </c>
      <c r="AL74" s="303">
        <f t="shared" si="163"/>
        <v>0</v>
      </c>
      <c r="AM74" s="298"/>
      <c r="AN74" s="327"/>
      <c r="AO74" s="329" t="e">
        <f t="shared" si="154"/>
        <v>#REF!</v>
      </c>
      <c r="AP74" s="298"/>
      <c r="AQ74" s="302" t="e">
        <f t="shared" si="164"/>
        <v>#REF!</v>
      </c>
      <c r="AR74" s="298">
        <v>0</v>
      </c>
      <c r="AS74" s="303">
        <v>0</v>
      </c>
      <c r="AT74" s="298"/>
      <c r="AU74" s="299"/>
      <c r="AV74" s="299"/>
      <c r="AW74" s="298"/>
    </row>
    <row r="75" spans="1:49" x14ac:dyDescent="0.2">
      <c r="A75" s="76">
        <f t="shared" si="165"/>
        <v>68</v>
      </c>
      <c r="B75" s="670"/>
      <c r="C75" s="671" t="s">
        <v>6</v>
      </c>
      <c r="D75" s="147"/>
      <c r="E75" s="112">
        <f>'Rates in Detail'!Y63</f>
        <v>3.8899999999999998E-3</v>
      </c>
      <c r="F75" s="112">
        <f>SUM('Rates in Detail'!Z63:AB63)</f>
        <v>-1.66E-3</v>
      </c>
      <c r="G75" s="147"/>
      <c r="H75" s="147"/>
      <c r="I75" s="362">
        <f>'Rev Req Proof Yr2'!H75</f>
        <v>0.10863</v>
      </c>
      <c r="J75" s="711">
        <f t="shared" si="10"/>
        <v>0.11252000000000001</v>
      </c>
      <c r="K75" s="147"/>
      <c r="L75" s="145"/>
      <c r="M75" s="146"/>
      <c r="N75" s="112"/>
      <c r="O75" s="112"/>
      <c r="P75" s="112"/>
      <c r="Q75" s="711"/>
      <c r="R75" s="147"/>
      <c r="S75" s="287" t="e">
        <f>'Rev Req Proof Yr1'!R75</f>
        <v>#REF!</v>
      </c>
      <c r="T75" s="288"/>
      <c r="U75" s="289"/>
      <c r="V75" s="290"/>
      <c r="W75" s="147"/>
      <c r="X75" s="302" t="e">
        <f t="shared" si="155"/>
        <v>#REF!</v>
      </c>
      <c r="Y75" s="298">
        <f t="shared" si="156"/>
        <v>0</v>
      </c>
      <c r="Z75" s="303">
        <f t="shared" si="157"/>
        <v>0</v>
      </c>
      <c r="AA75" s="298"/>
      <c r="AB75" s="302" t="e">
        <f t="shared" si="158"/>
        <v>#REF!</v>
      </c>
      <c r="AC75" s="298">
        <f t="shared" si="159"/>
        <v>0</v>
      </c>
      <c r="AD75" s="303">
        <f t="shared" si="160"/>
        <v>0</v>
      </c>
      <c r="AE75" s="298"/>
      <c r="AF75" s="302" t="e">
        <f t="shared" si="161"/>
        <v>#REF!</v>
      </c>
      <c r="AG75" s="298">
        <v>0</v>
      </c>
      <c r="AH75" s="303">
        <v>0</v>
      </c>
      <c r="AI75" s="298"/>
      <c r="AJ75" s="302" t="e">
        <f t="shared" si="162"/>
        <v>#REF!</v>
      </c>
      <c r="AK75" s="298">
        <f t="shared" si="163"/>
        <v>0</v>
      </c>
      <c r="AL75" s="303">
        <f t="shared" si="163"/>
        <v>0</v>
      </c>
      <c r="AM75" s="298"/>
      <c r="AN75" s="327"/>
      <c r="AO75" s="329" t="e">
        <f t="shared" si="154"/>
        <v>#REF!</v>
      </c>
      <c r="AP75" s="298"/>
      <c r="AQ75" s="302" t="e">
        <f t="shared" si="164"/>
        <v>#REF!</v>
      </c>
      <c r="AR75" s="298">
        <v>0</v>
      </c>
      <c r="AS75" s="303">
        <v>0</v>
      </c>
      <c r="AT75" s="298"/>
      <c r="AU75" s="299"/>
      <c r="AV75" s="299"/>
      <c r="AW75" s="298"/>
    </row>
    <row r="76" spans="1:49" x14ac:dyDescent="0.2">
      <c r="A76" s="76">
        <f t="shared" si="165"/>
        <v>69</v>
      </c>
      <c r="B76" s="670"/>
      <c r="C76" s="671" t="s">
        <v>7</v>
      </c>
      <c r="D76" s="147"/>
      <c r="E76" s="112">
        <f>'Rates in Detail'!Y64</f>
        <v>3.1099999999999999E-3</v>
      </c>
      <c r="F76" s="112">
        <f>SUM('Rates in Detail'!Z64:AB64)</f>
        <v>-1.33E-3</v>
      </c>
      <c r="G76" s="147"/>
      <c r="H76" s="147"/>
      <c r="I76" s="362">
        <f>'Rev Req Proof Yr2'!H76</f>
        <v>8.6910000000000001E-2</v>
      </c>
      <c r="J76" s="711">
        <f t="shared" si="10"/>
        <v>9.0020000000000003E-2</v>
      </c>
      <c r="K76" s="147"/>
      <c r="L76" s="145"/>
      <c r="M76" s="146"/>
      <c r="N76" s="112"/>
      <c r="O76" s="112"/>
      <c r="P76" s="112"/>
      <c r="Q76" s="711"/>
      <c r="R76" s="147"/>
      <c r="S76" s="287" t="e">
        <f>'Rev Req Proof Yr1'!R76</f>
        <v>#REF!</v>
      </c>
      <c r="T76" s="288"/>
      <c r="U76" s="289"/>
      <c r="V76" s="290"/>
      <c r="W76" s="147"/>
      <c r="X76" s="302" t="e">
        <f t="shared" si="155"/>
        <v>#REF!</v>
      </c>
      <c r="Y76" s="298">
        <f t="shared" si="156"/>
        <v>0</v>
      </c>
      <c r="Z76" s="303">
        <f t="shared" si="157"/>
        <v>0</v>
      </c>
      <c r="AA76" s="298"/>
      <c r="AB76" s="302" t="e">
        <f t="shared" si="158"/>
        <v>#REF!</v>
      </c>
      <c r="AC76" s="298">
        <f t="shared" si="159"/>
        <v>0</v>
      </c>
      <c r="AD76" s="303">
        <f t="shared" si="160"/>
        <v>0</v>
      </c>
      <c r="AE76" s="298"/>
      <c r="AF76" s="302" t="e">
        <f t="shared" si="161"/>
        <v>#REF!</v>
      </c>
      <c r="AG76" s="298">
        <v>0</v>
      </c>
      <c r="AH76" s="303">
        <v>0</v>
      </c>
      <c r="AI76" s="298"/>
      <c r="AJ76" s="302" t="e">
        <f t="shared" si="162"/>
        <v>#REF!</v>
      </c>
      <c r="AK76" s="298">
        <f t="shared" si="163"/>
        <v>0</v>
      </c>
      <c r="AL76" s="303">
        <f t="shared" si="163"/>
        <v>0</v>
      </c>
      <c r="AM76" s="298"/>
      <c r="AN76" s="327"/>
      <c r="AO76" s="329" t="e">
        <f t="shared" si="154"/>
        <v>#REF!</v>
      </c>
      <c r="AP76" s="298"/>
      <c r="AQ76" s="302" t="e">
        <f t="shared" si="164"/>
        <v>#REF!</v>
      </c>
      <c r="AR76" s="298">
        <v>0</v>
      </c>
      <c r="AS76" s="303">
        <v>0</v>
      </c>
      <c r="AT76" s="298"/>
      <c r="AU76" s="299"/>
      <c r="AV76" s="299"/>
      <c r="AW76" s="298"/>
    </row>
    <row r="77" spans="1:49" x14ac:dyDescent="0.2">
      <c r="A77" s="76">
        <f t="shared" si="165"/>
        <v>70</v>
      </c>
      <c r="B77" s="670"/>
      <c r="C77" s="671" t="s">
        <v>8</v>
      </c>
      <c r="D77" s="147"/>
      <c r="E77" s="112">
        <f>'Rates in Detail'!Y65</f>
        <v>2.0699999999999998E-3</v>
      </c>
      <c r="F77" s="112">
        <f>SUM('Rates in Detail'!Z65:AB65)</f>
        <v>-8.8999999999999995E-4</v>
      </c>
      <c r="G77" s="147"/>
      <c r="H77" s="147"/>
      <c r="I77" s="362">
        <f>'Rev Req Proof Yr2'!H77</f>
        <v>5.7930000000000002E-2</v>
      </c>
      <c r="J77" s="711">
        <f t="shared" si="10"/>
        <v>6.0000000000000005E-2</v>
      </c>
      <c r="K77" s="147"/>
      <c r="L77" s="145"/>
      <c r="M77" s="146"/>
      <c r="N77" s="112"/>
      <c r="O77" s="112"/>
      <c r="P77" s="112"/>
      <c r="Q77" s="711"/>
      <c r="R77" s="147"/>
      <c r="S77" s="287" t="e">
        <f>'Rev Req Proof Yr1'!R77</f>
        <v>#REF!</v>
      </c>
      <c r="T77" s="288"/>
      <c r="U77" s="289"/>
      <c r="V77" s="290"/>
      <c r="W77" s="147"/>
      <c r="X77" s="302" t="e">
        <f t="shared" si="155"/>
        <v>#REF!</v>
      </c>
      <c r="Y77" s="298">
        <f t="shared" si="156"/>
        <v>0</v>
      </c>
      <c r="Z77" s="303">
        <f t="shared" si="157"/>
        <v>0</v>
      </c>
      <c r="AA77" s="298"/>
      <c r="AB77" s="302" t="e">
        <f t="shared" si="158"/>
        <v>#REF!</v>
      </c>
      <c r="AC77" s="298">
        <f t="shared" si="159"/>
        <v>0</v>
      </c>
      <c r="AD77" s="303">
        <f t="shared" si="160"/>
        <v>0</v>
      </c>
      <c r="AE77" s="298"/>
      <c r="AF77" s="302" t="e">
        <f t="shared" si="161"/>
        <v>#REF!</v>
      </c>
      <c r="AG77" s="298">
        <v>0</v>
      </c>
      <c r="AH77" s="303">
        <v>0</v>
      </c>
      <c r="AI77" s="298"/>
      <c r="AJ77" s="302" t="e">
        <f t="shared" si="162"/>
        <v>#REF!</v>
      </c>
      <c r="AK77" s="298">
        <f t="shared" si="163"/>
        <v>0</v>
      </c>
      <c r="AL77" s="303">
        <f t="shared" si="163"/>
        <v>0</v>
      </c>
      <c r="AM77" s="298"/>
      <c r="AN77" s="327"/>
      <c r="AO77" s="329" t="e">
        <f t="shared" si="154"/>
        <v>#REF!</v>
      </c>
      <c r="AP77" s="298"/>
      <c r="AQ77" s="302" t="e">
        <f t="shared" si="164"/>
        <v>#REF!</v>
      </c>
      <c r="AR77" s="298">
        <v>0</v>
      </c>
      <c r="AS77" s="303">
        <v>0</v>
      </c>
      <c r="AT77" s="298"/>
      <c r="AU77" s="299"/>
      <c r="AV77" s="299"/>
      <c r="AW77" s="298"/>
    </row>
    <row r="78" spans="1:49" x14ac:dyDescent="0.2">
      <c r="A78" s="76">
        <f t="shared" si="165"/>
        <v>71</v>
      </c>
      <c r="B78" s="670"/>
      <c r="C78" s="671" t="s">
        <v>9</v>
      </c>
      <c r="D78" s="147"/>
      <c r="E78" s="112">
        <f>'Rates in Detail'!Y66</f>
        <v>7.7999999999999999E-4</v>
      </c>
      <c r="F78" s="112">
        <f>SUM('Rates in Detail'!Z66:AB66)</f>
        <v>-3.3E-4</v>
      </c>
      <c r="G78" s="147"/>
      <c r="H78" s="147"/>
      <c r="I78" s="362">
        <f>'Rev Req Proof Yr2'!H78</f>
        <v>2.172E-2</v>
      </c>
      <c r="J78" s="711">
        <f t="shared" si="10"/>
        <v>2.2499999999999999E-2</v>
      </c>
      <c r="K78" s="147"/>
      <c r="L78" s="262"/>
      <c r="M78" s="45"/>
      <c r="N78" s="112"/>
      <c r="O78" s="112"/>
      <c r="P78" s="112"/>
      <c r="Q78" s="711"/>
      <c r="R78" s="147"/>
      <c r="S78" s="287" t="e">
        <f>'Rev Req Proof Yr1'!R78</f>
        <v>#REF!</v>
      </c>
      <c r="T78" s="288"/>
      <c r="U78" s="289"/>
      <c r="V78" s="290"/>
      <c r="W78" s="147"/>
      <c r="X78" s="302" t="e">
        <f t="shared" si="155"/>
        <v>#REF!</v>
      </c>
      <c r="Y78" s="298">
        <f t="shared" si="156"/>
        <v>0</v>
      </c>
      <c r="Z78" s="303">
        <f t="shared" si="157"/>
        <v>0</v>
      </c>
      <c r="AA78" s="298"/>
      <c r="AB78" s="302" t="e">
        <f t="shared" si="158"/>
        <v>#REF!</v>
      </c>
      <c r="AC78" s="298">
        <f t="shared" si="159"/>
        <v>0</v>
      </c>
      <c r="AD78" s="303">
        <f t="shared" si="160"/>
        <v>0</v>
      </c>
      <c r="AE78" s="298"/>
      <c r="AF78" s="302" t="e">
        <f t="shared" si="161"/>
        <v>#REF!</v>
      </c>
      <c r="AG78" s="298">
        <v>0</v>
      </c>
      <c r="AH78" s="303">
        <v>0</v>
      </c>
      <c r="AI78" s="298"/>
      <c r="AJ78" s="302" t="e">
        <f t="shared" si="162"/>
        <v>#REF!</v>
      </c>
      <c r="AK78" s="298">
        <f t="shared" si="163"/>
        <v>0</v>
      </c>
      <c r="AL78" s="303">
        <f t="shared" si="163"/>
        <v>0</v>
      </c>
      <c r="AM78" s="298"/>
      <c r="AN78" s="327"/>
      <c r="AO78" s="329" t="e">
        <f>AO77</f>
        <v>#REF!</v>
      </c>
      <c r="AP78" s="298"/>
      <c r="AQ78" s="302" t="e">
        <f t="shared" si="164"/>
        <v>#REF!</v>
      </c>
      <c r="AR78" s="298">
        <v>0</v>
      </c>
      <c r="AS78" s="303">
        <v>0</v>
      </c>
      <c r="AT78" s="298"/>
      <c r="AU78" s="299"/>
      <c r="AV78" s="299"/>
      <c r="AW78" s="298"/>
    </row>
    <row r="79" spans="1:49" x14ac:dyDescent="0.2">
      <c r="A79" s="76">
        <f t="shared" si="165"/>
        <v>72</v>
      </c>
      <c r="B79" s="668"/>
      <c r="C79" s="686" t="s">
        <v>62</v>
      </c>
      <c r="D79" s="143"/>
      <c r="E79" s="113"/>
      <c r="F79" s="113"/>
      <c r="G79" s="143"/>
      <c r="H79" s="143"/>
      <c r="I79" s="357"/>
      <c r="J79" s="710"/>
      <c r="K79" s="147"/>
      <c r="L79" s="262"/>
      <c r="M79" s="45"/>
      <c r="N79" s="112"/>
      <c r="O79" s="112"/>
      <c r="P79" s="112"/>
      <c r="Q79" s="711"/>
      <c r="R79" s="147"/>
      <c r="S79" s="287"/>
      <c r="T79" s="288"/>
      <c r="U79" s="289"/>
      <c r="V79" s="290"/>
      <c r="W79" s="147"/>
      <c r="X79" s="304" t="e">
        <f>SUM(X73:X78)</f>
        <v>#REF!</v>
      </c>
      <c r="Y79" s="305" t="e">
        <f>SUM(Y73:Y78)</f>
        <v>#REF!</v>
      </c>
      <c r="Z79" s="306">
        <f>SUM(Z73:Z78)</f>
        <v>0</v>
      </c>
      <c r="AA79" s="298"/>
      <c r="AB79" s="304" t="e">
        <f>SUM(AB73:AB78)</f>
        <v>#REF!</v>
      </c>
      <c r="AC79" s="305" t="e">
        <f>SUM(AC73:AC78)</f>
        <v>#REF!</v>
      </c>
      <c r="AD79" s="306">
        <f>SUM(AD73:AD78)</f>
        <v>0</v>
      </c>
      <c r="AE79" s="298"/>
      <c r="AF79" s="304" t="e">
        <f>SUM(AF73:AF78)</f>
        <v>#REF!</v>
      </c>
      <c r="AG79" s="305">
        <f>SUM(AG73:AG78)</f>
        <v>0</v>
      </c>
      <c r="AH79" s="306">
        <f>SUM(AH73:AH78)</f>
        <v>0</v>
      </c>
      <c r="AI79" s="298"/>
      <c r="AJ79" s="304" t="e">
        <f>SUM(AJ73:AJ78)</f>
        <v>#REF!</v>
      </c>
      <c r="AK79" s="305" t="e">
        <f>SUM(AK73:AK78)</f>
        <v>#REF!</v>
      </c>
      <c r="AL79" s="306">
        <f>SUM(AL73:AL78)</f>
        <v>0</v>
      </c>
      <c r="AM79" s="298"/>
      <c r="AN79" s="327" t="e">
        <f>SUM(AJ79:AL79)/SUM(X79:Z79)</f>
        <v>#REF!</v>
      </c>
      <c r="AO79" s="328" t="e">
        <f t="shared" ref="AO79:AO93" si="166">SUM(AJ79)/SUM(X79)</f>
        <v>#REF!</v>
      </c>
      <c r="AP79" s="298"/>
      <c r="AQ79" s="304" t="e">
        <f>SUM(AQ73:AQ78)</f>
        <v>#REF!</v>
      </c>
      <c r="AR79" s="305">
        <f>SUM(AR73:AR78)</f>
        <v>0</v>
      </c>
      <c r="AS79" s="306">
        <f>SUM(AS73:AS78)</f>
        <v>0</v>
      </c>
      <c r="AT79" s="298"/>
      <c r="AU79" s="299"/>
      <c r="AV79" s="299"/>
      <c r="AW79" s="298"/>
    </row>
    <row r="80" spans="1:49" x14ac:dyDescent="0.2">
      <c r="A80" s="76">
        <f t="shared" si="165"/>
        <v>73</v>
      </c>
      <c r="B80" s="670" t="e">
        <f>#REF!</f>
        <v>#REF!</v>
      </c>
      <c r="C80" s="671" t="s">
        <v>4</v>
      </c>
      <c r="D80" s="147"/>
      <c r="E80" s="112">
        <f>'Rates in Detail'!Y67</f>
        <v>2.7799999999999999E-3</v>
      </c>
      <c r="F80" s="112">
        <f>SUM('Rates in Detail'!Z67:AB67)</f>
        <v>-1.1900000000000001E-3</v>
      </c>
      <c r="G80" s="147"/>
      <c r="H80" s="147"/>
      <c r="I80" s="362">
        <f>'Rev Req Proof Yr2'!H80</f>
        <v>0.13891000000000001</v>
      </c>
      <c r="J80" s="711">
        <f t="shared" ref="J80:J96" si="167">I80+E80</f>
        <v>0.14169000000000001</v>
      </c>
      <c r="K80" s="147"/>
      <c r="L80" s="145" t="e">
        <f>'Rev Req Proof Yr1'!K80</f>
        <v>#REF!</v>
      </c>
      <c r="M80" s="146" t="e">
        <f>'Rev Req Proof Yr1'!L80</f>
        <v>#REF!</v>
      </c>
      <c r="N80" s="112">
        <f>'Rev Req Proof Yr1'!M80</f>
        <v>0</v>
      </c>
      <c r="O80" s="112">
        <f>'Rev Req Proof Yr1'!N80</f>
        <v>0</v>
      </c>
      <c r="P80" s="112">
        <f>'Rev Req Proof Yr1'!O80</f>
        <v>0</v>
      </c>
      <c r="Q80" s="711">
        <f>'Rev Req Proof Yr1'!P80</f>
        <v>0</v>
      </c>
      <c r="R80" s="147"/>
      <c r="S80" s="287" t="e">
        <f>'Rev Req Proof Yr1'!R80</f>
        <v>#REF!</v>
      </c>
      <c r="T80" s="288"/>
      <c r="U80" s="289" t="e">
        <f>'Rev Req Proof Yr1'!T80</f>
        <v>#REF!</v>
      </c>
      <c r="V80" s="290" t="e">
        <f>'Rev Req Proof Yr1'!U80</f>
        <v>#REF!</v>
      </c>
      <c r="W80" s="147"/>
      <c r="X80" s="302" t="e">
        <f t="shared" ref="X80:X85" si="168">(I80*S80)</f>
        <v>#REF!</v>
      </c>
      <c r="Y80" s="298" t="e">
        <f t="shared" ref="Y80:Y85" si="169">(L80*U80*12)</f>
        <v>#REF!</v>
      </c>
      <c r="Z80" s="303">
        <f t="shared" ref="Z80:Z85" si="170">(T80*(N80+P80))*12</f>
        <v>0</v>
      </c>
      <c r="AA80" s="298"/>
      <c r="AB80" s="302" t="e">
        <f t="shared" ref="AB80:AB85" si="171">(J80*S80)</f>
        <v>#REF!</v>
      </c>
      <c r="AC80" s="298" t="e">
        <f t="shared" ref="AC80:AC85" si="172">(M80*U80*12)</f>
        <v>#REF!</v>
      </c>
      <c r="AD80" s="303">
        <f t="shared" ref="AD80:AD85" si="173">(T80*(O80+Q80))*12</f>
        <v>0</v>
      </c>
      <c r="AE80" s="298"/>
      <c r="AF80" s="302" t="e">
        <f t="shared" ref="AF80:AF85" si="174">(F80*S80)</f>
        <v>#REF!</v>
      </c>
      <c r="AG80" s="298">
        <v>0</v>
      </c>
      <c r="AH80" s="303">
        <v>0</v>
      </c>
      <c r="AI80" s="298"/>
      <c r="AJ80" s="302" t="e">
        <f t="shared" ref="AJ80:AJ85" si="175">AB80-X80+AF80</f>
        <v>#REF!</v>
      </c>
      <c r="AK80" s="298" t="e">
        <f t="shared" ref="AK80:AL85" si="176">AC80-Y80-AG80</f>
        <v>#REF!</v>
      </c>
      <c r="AL80" s="303">
        <f t="shared" si="176"/>
        <v>0</v>
      </c>
      <c r="AM80" s="298"/>
      <c r="AN80" s="327"/>
      <c r="AO80" s="329" t="e">
        <f t="shared" ref="AO80:AO84" si="177">SUM(AJ80)/SUM(X80)</f>
        <v>#REF!</v>
      </c>
      <c r="AP80" s="298"/>
      <c r="AQ80" s="302" t="e">
        <f t="shared" ref="AQ80:AQ85" si="178">(G80*S80)</f>
        <v>#REF!</v>
      </c>
      <c r="AR80" s="298">
        <v>0</v>
      </c>
      <c r="AS80" s="303">
        <v>0</v>
      </c>
      <c r="AT80" s="298"/>
      <c r="AU80" s="299"/>
      <c r="AV80" s="299"/>
      <c r="AW80" s="298"/>
    </row>
    <row r="81" spans="1:49" x14ac:dyDescent="0.2">
      <c r="A81" s="76">
        <f t="shared" si="165"/>
        <v>74</v>
      </c>
      <c r="B81" s="670"/>
      <c r="C81" s="671" t="s">
        <v>5</v>
      </c>
      <c r="D81" s="147"/>
      <c r="E81" s="112">
        <f>'Rates in Detail'!Y68</f>
        <v>2.49E-3</v>
      </c>
      <c r="F81" s="112">
        <f>SUM('Rates in Detail'!Z68:AB68)</f>
        <v>-1.07E-3</v>
      </c>
      <c r="G81" s="147"/>
      <c r="H81" s="147"/>
      <c r="I81" s="362">
        <f>'Rev Req Proof Yr2'!H81</f>
        <v>0.12436</v>
      </c>
      <c r="J81" s="711">
        <f t="shared" si="167"/>
        <v>0.12684999999999999</v>
      </c>
      <c r="K81" s="147"/>
      <c r="L81" s="145"/>
      <c r="M81" s="146"/>
      <c r="N81" s="112"/>
      <c r="O81" s="112"/>
      <c r="P81" s="112"/>
      <c r="Q81" s="711"/>
      <c r="R81" s="147"/>
      <c r="S81" s="287" t="e">
        <f>'Rev Req Proof Yr1'!R81</f>
        <v>#REF!</v>
      </c>
      <c r="T81" s="288"/>
      <c r="U81" s="289"/>
      <c r="V81" s="290"/>
      <c r="W81" s="147"/>
      <c r="X81" s="302" t="e">
        <f t="shared" si="168"/>
        <v>#REF!</v>
      </c>
      <c r="Y81" s="298">
        <f t="shared" si="169"/>
        <v>0</v>
      </c>
      <c r="Z81" s="303">
        <f t="shared" si="170"/>
        <v>0</v>
      </c>
      <c r="AA81" s="298"/>
      <c r="AB81" s="302" t="e">
        <f t="shared" si="171"/>
        <v>#REF!</v>
      </c>
      <c r="AC81" s="298">
        <f t="shared" si="172"/>
        <v>0</v>
      </c>
      <c r="AD81" s="303">
        <f t="shared" si="173"/>
        <v>0</v>
      </c>
      <c r="AE81" s="298"/>
      <c r="AF81" s="302" t="e">
        <f t="shared" si="174"/>
        <v>#REF!</v>
      </c>
      <c r="AG81" s="298">
        <v>0</v>
      </c>
      <c r="AH81" s="303">
        <v>0</v>
      </c>
      <c r="AI81" s="298"/>
      <c r="AJ81" s="302" t="e">
        <f t="shared" si="175"/>
        <v>#REF!</v>
      </c>
      <c r="AK81" s="298">
        <f t="shared" si="176"/>
        <v>0</v>
      </c>
      <c r="AL81" s="303">
        <f t="shared" si="176"/>
        <v>0</v>
      </c>
      <c r="AM81" s="298"/>
      <c r="AN81" s="327"/>
      <c r="AO81" s="329" t="e">
        <f t="shared" si="177"/>
        <v>#REF!</v>
      </c>
      <c r="AP81" s="298"/>
      <c r="AQ81" s="302" t="e">
        <f t="shared" si="178"/>
        <v>#REF!</v>
      </c>
      <c r="AR81" s="298">
        <v>0</v>
      </c>
      <c r="AS81" s="303">
        <v>0</v>
      </c>
      <c r="AT81" s="298"/>
      <c r="AU81" s="299"/>
      <c r="AV81" s="299"/>
      <c r="AW81" s="298"/>
    </row>
    <row r="82" spans="1:49" x14ac:dyDescent="0.2">
      <c r="A82" s="76">
        <f t="shared" si="165"/>
        <v>75</v>
      </c>
      <c r="B82" s="670"/>
      <c r="C82" s="671" t="s">
        <v>6</v>
      </c>
      <c r="D82" s="147"/>
      <c r="E82" s="112">
        <f>'Rates in Detail'!Y69</f>
        <v>1.91E-3</v>
      </c>
      <c r="F82" s="112">
        <f>SUM('Rates in Detail'!Z69:AB69)</f>
        <v>-8.1999999999999998E-4</v>
      </c>
      <c r="G82" s="147"/>
      <c r="H82" s="147"/>
      <c r="I82" s="362">
        <f>'Rev Req Proof Yr2'!H82</f>
        <v>9.536E-2</v>
      </c>
      <c r="J82" s="711">
        <f t="shared" si="167"/>
        <v>9.7269999999999995E-2</v>
      </c>
      <c r="K82" s="147"/>
      <c r="L82" s="145"/>
      <c r="M82" s="146"/>
      <c r="N82" s="112"/>
      <c r="O82" s="112"/>
      <c r="P82" s="112"/>
      <c r="Q82" s="711"/>
      <c r="R82" s="147"/>
      <c r="S82" s="287" t="e">
        <f>'Rev Req Proof Yr1'!R82</f>
        <v>#REF!</v>
      </c>
      <c r="T82" s="288"/>
      <c r="U82" s="289"/>
      <c r="V82" s="290"/>
      <c r="W82" s="147"/>
      <c r="X82" s="302" t="e">
        <f t="shared" si="168"/>
        <v>#REF!</v>
      </c>
      <c r="Y82" s="298">
        <f t="shared" si="169"/>
        <v>0</v>
      </c>
      <c r="Z82" s="303">
        <f t="shared" si="170"/>
        <v>0</v>
      </c>
      <c r="AA82" s="298"/>
      <c r="AB82" s="302" t="e">
        <f t="shared" si="171"/>
        <v>#REF!</v>
      </c>
      <c r="AC82" s="298">
        <f t="shared" si="172"/>
        <v>0</v>
      </c>
      <c r="AD82" s="303">
        <f t="shared" si="173"/>
        <v>0</v>
      </c>
      <c r="AE82" s="298"/>
      <c r="AF82" s="302" t="e">
        <f t="shared" si="174"/>
        <v>#REF!</v>
      </c>
      <c r="AG82" s="298">
        <v>0</v>
      </c>
      <c r="AH82" s="303">
        <v>0</v>
      </c>
      <c r="AI82" s="298"/>
      <c r="AJ82" s="302" t="e">
        <f t="shared" si="175"/>
        <v>#REF!</v>
      </c>
      <c r="AK82" s="298">
        <f t="shared" si="176"/>
        <v>0</v>
      </c>
      <c r="AL82" s="303">
        <f t="shared" si="176"/>
        <v>0</v>
      </c>
      <c r="AM82" s="298"/>
      <c r="AN82" s="327"/>
      <c r="AO82" s="329" t="e">
        <f t="shared" si="177"/>
        <v>#REF!</v>
      </c>
      <c r="AP82" s="298"/>
      <c r="AQ82" s="302" t="e">
        <f t="shared" si="178"/>
        <v>#REF!</v>
      </c>
      <c r="AR82" s="298">
        <v>0</v>
      </c>
      <c r="AS82" s="303">
        <v>0</v>
      </c>
      <c r="AT82" s="298"/>
      <c r="AU82" s="299"/>
      <c r="AV82" s="299"/>
      <c r="AW82" s="298"/>
    </row>
    <row r="83" spans="1:49" x14ac:dyDescent="0.2">
      <c r="A83" s="76">
        <f t="shared" si="165"/>
        <v>76</v>
      </c>
      <c r="B83" s="670"/>
      <c r="C83" s="671" t="s">
        <v>7</v>
      </c>
      <c r="D83" s="147"/>
      <c r="E83" s="112">
        <f>'Rates in Detail'!Y70</f>
        <v>1.5299999999999999E-3</v>
      </c>
      <c r="F83" s="112">
        <f>SUM('Rates in Detail'!Z70:AB70)</f>
        <v>-6.5000000000000008E-4</v>
      </c>
      <c r="G83" s="147"/>
      <c r="H83" s="147"/>
      <c r="I83" s="362">
        <f>'Rev Req Proof Yr2'!H83</f>
        <v>7.6289999999999997E-2</v>
      </c>
      <c r="J83" s="711">
        <f t="shared" si="167"/>
        <v>7.782E-2</v>
      </c>
      <c r="K83" s="147"/>
      <c r="L83" s="145"/>
      <c r="M83" s="146"/>
      <c r="N83" s="112"/>
      <c r="O83" s="112"/>
      <c r="P83" s="112"/>
      <c r="Q83" s="711"/>
      <c r="R83" s="147"/>
      <c r="S83" s="287" t="e">
        <f>'Rev Req Proof Yr1'!R83</f>
        <v>#REF!</v>
      </c>
      <c r="T83" s="288"/>
      <c r="U83" s="289"/>
      <c r="V83" s="290"/>
      <c r="W83" s="147"/>
      <c r="X83" s="302" t="e">
        <f t="shared" si="168"/>
        <v>#REF!</v>
      </c>
      <c r="Y83" s="298">
        <f t="shared" si="169"/>
        <v>0</v>
      </c>
      <c r="Z83" s="303">
        <f t="shared" si="170"/>
        <v>0</v>
      </c>
      <c r="AA83" s="298"/>
      <c r="AB83" s="302" t="e">
        <f t="shared" si="171"/>
        <v>#REF!</v>
      </c>
      <c r="AC83" s="298">
        <f t="shared" si="172"/>
        <v>0</v>
      </c>
      <c r="AD83" s="303">
        <f t="shared" si="173"/>
        <v>0</v>
      </c>
      <c r="AE83" s="298"/>
      <c r="AF83" s="302" t="e">
        <f t="shared" si="174"/>
        <v>#REF!</v>
      </c>
      <c r="AG83" s="298">
        <v>0</v>
      </c>
      <c r="AH83" s="303">
        <v>0</v>
      </c>
      <c r="AI83" s="298"/>
      <c r="AJ83" s="302" t="e">
        <f t="shared" si="175"/>
        <v>#REF!</v>
      </c>
      <c r="AK83" s="298">
        <f t="shared" si="176"/>
        <v>0</v>
      </c>
      <c r="AL83" s="303">
        <f t="shared" si="176"/>
        <v>0</v>
      </c>
      <c r="AM83" s="298"/>
      <c r="AN83" s="327"/>
      <c r="AO83" s="329" t="e">
        <f t="shared" si="177"/>
        <v>#REF!</v>
      </c>
      <c r="AP83" s="298"/>
      <c r="AQ83" s="302" t="e">
        <f t="shared" si="178"/>
        <v>#REF!</v>
      </c>
      <c r="AR83" s="298">
        <v>0</v>
      </c>
      <c r="AS83" s="303">
        <v>0</v>
      </c>
      <c r="AT83" s="298"/>
      <c r="AU83" s="299"/>
      <c r="AV83" s="299"/>
      <c r="AW83" s="298"/>
    </row>
    <row r="84" spans="1:49" x14ac:dyDescent="0.2">
      <c r="A84" s="76">
        <f t="shared" si="165"/>
        <v>77</v>
      </c>
      <c r="B84" s="670"/>
      <c r="C84" s="671" t="s">
        <v>8</v>
      </c>
      <c r="D84" s="147"/>
      <c r="E84" s="112">
        <f>'Rates in Detail'!Y71</f>
        <v>1.0200000000000001E-3</v>
      </c>
      <c r="F84" s="112">
        <f>SUM('Rates in Detail'!Z71:AB71)</f>
        <v>-4.4000000000000002E-4</v>
      </c>
      <c r="G84" s="147"/>
      <c r="H84" s="147"/>
      <c r="I84" s="362">
        <f>'Rev Req Proof Yr2'!H84</f>
        <v>5.0869999999999999E-2</v>
      </c>
      <c r="J84" s="711">
        <f t="shared" si="167"/>
        <v>5.1889999999999999E-2</v>
      </c>
      <c r="K84" s="147"/>
      <c r="L84" s="145"/>
      <c r="M84" s="146"/>
      <c r="N84" s="112"/>
      <c r="O84" s="112"/>
      <c r="P84" s="112"/>
      <c r="Q84" s="711"/>
      <c r="R84" s="147"/>
      <c r="S84" s="287" t="e">
        <f>'Rev Req Proof Yr1'!R84</f>
        <v>#REF!</v>
      </c>
      <c r="T84" s="288"/>
      <c r="U84" s="289"/>
      <c r="V84" s="290"/>
      <c r="W84" s="147"/>
      <c r="X84" s="302" t="e">
        <f t="shared" si="168"/>
        <v>#REF!</v>
      </c>
      <c r="Y84" s="298">
        <f t="shared" si="169"/>
        <v>0</v>
      </c>
      <c r="Z84" s="303">
        <f t="shared" si="170"/>
        <v>0</v>
      </c>
      <c r="AA84" s="298"/>
      <c r="AB84" s="302" t="e">
        <f t="shared" si="171"/>
        <v>#REF!</v>
      </c>
      <c r="AC84" s="298">
        <f t="shared" si="172"/>
        <v>0</v>
      </c>
      <c r="AD84" s="303">
        <f t="shared" si="173"/>
        <v>0</v>
      </c>
      <c r="AE84" s="298"/>
      <c r="AF84" s="302" t="e">
        <f t="shared" si="174"/>
        <v>#REF!</v>
      </c>
      <c r="AG84" s="298">
        <v>0</v>
      </c>
      <c r="AH84" s="303">
        <v>0</v>
      </c>
      <c r="AI84" s="298"/>
      <c r="AJ84" s="302" t="e">
        <f t="shared" si="175"/>
        <v>#REF!</v>
      </c>
      <c r="AK84" s="298">
        <f t="shared" si="176"/>
        <v>0</v>
      </c>
      <c r="AL84" s="303">
        <f t="shared" si="176"/>
        <v>0</v>
      </c>
      <c r="AM84" s="298"/>
      <c r="AN84" s="327"/>
      <c r="AO84" s="329" t="e">
        <f t="shared" si="177"/>
        <v>#REF!</v>
      </c>
      <c r="AP84" s="298"/>
      <c r="AQ84" s="302" t="e">
        <f t="shared" si="178"/>
        <v>#REF!</v>
      </c>
      <c r="AR84" s="298">
        <v>0</v>
      </c>
      <c r="AS84" s="303">
        <v>0</v>
      </c>
      <c r="AT84" s="298"/>
      <c r="AU84" s="299"/>
      <c r="AV84" s="299"/>
      <c r="AW84" s="298"/>
    </row>
    <row r="85" spans="1:49" x14ac:dyDescent="0.2">
      <c r="A85" s="76">
        <f t="shared" si="165"/>
        <v>78</v>
      </c>
      <c r="B85" s="670"/>
      <c r="C85" s="671" t="s">
        <v>9</v>
      </c>
      <c r="D85" s="147"/>
      <c r="E85" s="112">
        <f>'Rates in Detail'!Y72</f>
        <v>3.8000000000000002E-4</v>
      </c>
      <c r="F85" s="112">
        <f>SUM('Rates in Detail'!Z72:AB72)</f>
        <v>-1.6999999999999999E-4</v>
      </c>
      <c r="G85" s="147"/>
      <c r="H85" s="147"/>
      <c r="I85" s="362">
        <f>'Rev Req Proof Yr2'!H85</f>
        <v>1.9060000000000001E-2</v>
      </c>
      <c r="J85" s="711">
        <f t="shared" si="167"/>
        <v>1.9439999999999999E-2</v>
      </c>
      <c r="K85" s="147"/>
      <c r="L85" s="262"/>
      <c r="M85" s="45"/>
      <c r="N85" s="112"/>
      <c r="O85" s="112"/>
      <c r="P85" s="112"/>
      <c r="Q85" s="711"/>
      <c r="R85" s="147"/>
      <c r="S85" s="287" t="e">
        <f>'Rev Req Proof Yr1'!R85</f>
        <v>#REF!</v>
      </c>
      <c r="T85" s="288"/>
      <c r="U85" s="289"/>
      <c r="V85" s="290"/>
      <c r="W85" s="147"/>
      <c r="X85" s="302" t="e">
        <f t="shared" si="168"/>
        <v>#REF!</v>
      </c>
      <c r="Y85" s="298">
        <f t="shared" si="169"/>
        <v>0</v>
      </c>
      <c r="Z85" s="303">
        <f t="shared" si="170"/>
        <v>0</v>
      </c>
      <c r="AA85" s="298"/>
      <c r="AB85" s="302" t="e">
        <f t="shared" si="171"/>
        <v>#REF!</v>
      </c>
      <c r="AC85" s="298">
        <f t="shared" si="172"/>
        <v>0</v>
      </c>
      <c r="AD85" s="303">
        <f t="shared" si="173"/>
        <v>0</v>
      </c>
      <c r="AE85" s="298"/>
      <c r="AF85" s="302" t="e">
        <f t="shared" si="174"/>
        <v>#REF!</v>
      </c>
      <c r="AG85" s="298">
        <v>0</v>
      </c>
      <c r="AH85" s="303">
        <v>0</v>
      </c>
      <c r="AI85" s="298"/>
      <c r="AJ85" s="302" t="e">
        <f t="shared" si="175"/>
        <v>#REF!</v>
      </c>
      <c r="AK85" s="298">
        <f t="shared" si="176"/>
        <v>0</v>
      </c>
      <c r="AL85" s="303">
        <f t="shared" si="176"/>
        <v>0</v>
      </c>
      <c r="AM85" s="298"/>
      <c r="AN85" s="327"/>
      <c r="AO85" s="329" t="e">
        <f>AO84</f>
        <v>#REF!</v>
      </c>
      <c r="AP85" s="298"/>
      <c r="AQ85" s="302" t="e">
        <f t="shared" si="178"/>
        <v>#REF!</v>
      </c>
      <c r="AR85" s="298">
        <v>0</v>
      </c>
      <c r="AS85" s="303">
        <v>0</v>
      </c>
      <c r="AT85" s="298"/>
      <c r="AU85" s="299"/>
      <c r="AV85" s="299"/>
      <c r="AW85" s="298"/>
    </row>
    <row r="86" spans="1:49" x14ac:dyDescent="0.2">
      <c r="A86" s="76">
        <f t="shared" si="165"/>
        <v>79</v>
      </c>
      <c r="B86" s="668"/>
      <c r="C86" s="686" t="s">
        <v>62</v>
      </c>
      <c r="D86" s="143"/>
      <c r="E86" s="113"/>
      <c r="F86" s="113"/>
      <c r="G86" s="143"/>
      <c r="H86" s="143"/>
      <c r="I86" s="357"/>
      <c r="J86" s="710"/>
      <c r="K86" s="147"/>
      <c r="L86" s="262"/>
      <c r="M86" s="45"/>
      <c r="N86" s="112"/>
      <c r="O86" s="112"/>
      <c r="P86" s="112"/>
      <c r="Q86" s="711"/>
      <c r="R86" s="147"/>
      <c r="S86" s="287"/>
      <c r="T86" s="288"/>
      <c r="U86" s="289"/>
      <c r="V86" s="290"/>
      <c r="W86" s="147"/>
      <c r="X86" s="304" t="e">
        <f>SUM(X80:X85)</f>
        <v>#REF!</v>
      </c>
      <c r="Y86" s="305" t="e">
        <f>SUM(Y80:Y85)</f>
        <v>#REF!</v>
      </c>
      <c r="Z86" s="306">
        <f>SUM(Z80:Z85)</f>
        <v>0</v>
      </c>
      <c r="AA86" s="298"/>
      <c r="AB86" s="304" t="e">
        <f>SUM(AB80:AB85)</f>
        <v>#REF!</v>
      </c>
      <c r="AC86" s="305" t="e">
        <f>SUM(AC80:AC85)</f>
        <v>#REF!</v>
      </c>
      <c r="AD86" s="306">
        <f>SUM(AD80:AD85)</f>
        <v>0</v>
      </c>
      <c r="AE86" s="298"/>
      <c r="AF86" s="304" t="e">
        <f>SUM(AF80:AF85)</f>
        <v>#REF!</v>
      </c>
      <c r="AG86" s="305">
        <f>SUM(AG80:AG85)</f>
        <v>0</v>
      </c>
      <c r="AH86" s="306">
        <f>SUM(AH80:AH85)</f>
        <v>0</v>
      </c>
      <c r="AI86" s="298"/>
      <c r="AJ86" s="304" t="e">
        <f>SUM(AJ80:AJ85)</f>
        <v>#REF!</v>
      </c>
      <c r="AK86" s="305" t="e">
        <f>SUM(AK80:AK85)</f>
        <v>#REF!</v>
      </c>
      <c r="AL86" s="306">
        <f>SUM(AL80:AL85)</f>
        <v>0</v>
      </c>
      <c r="AM86" s="298"/>
      <c r="AN86" s="327"/>
      <c r="AO86" s="328"/>
      <c r="AP86" s="298"/>
      <c r="AQ86" s="304" t="e">
        <f>SUM(AQ80:AQ85)</f>
        <v>#REF!</v>
      </c>
      <c r="AR86" s="305">
        <f>SUM(AR80:AR85)</f>
        <v>0</v>
      </c>
      <c r="AS86" s="306">
        <f>SUM(AS80:AS85)</f>
        <v>0</v>
      </c>
      <c r="AT86" s="298"/>
      <c r="AU86" s="299"/>
      <c r="AV86" s="299"/>
      <c r="AW86" s="298"/>
    </row>
    <row r="87" spans="1:49" x14ac:dyDescent="0.2">
      <c r="A87" s="76">
        <f t="shared" si="165"/>
        <v>80</v>
      </c>
      <c r="B87" s="670" t="e">
        <f>#REF!</f>
        <v>#REF!</v>
      </c>
      <c r="C87" s="671" t="s">
        <v>4</v>
      </c>
      <c r="D87" s="152"/>
      <c r="E87" s="112">
        <f>'Rates in Detail'!Y73</f>
        <v>3.3300000000000001E-3</v>
      </c>
      <c r="F87" s="112">
        <f>SUM('Rates in Detail'!Z73:AB73)</f>
        <v>-1.4299999999999998E-3</v>
      </c>
      <c r="G87" s="147"/>
      <c r="H87" s="152"/>
      <c r="I87" s="362">
        <f>'Rev Req Proof Yr2'!H87</f>
        <v>0.14133000000000001</v>
      </c>
      <c r="J87" s="711">
        <f t="shared" si="167"/>
        <v>0.14466000000000001</v>
      </c>
      <c r="K87" s="152"/>
      <c r="L87" s="145" t="e">
        <f>'Rev Req Proof Yr1'!K87</f>
        <v>#REF!</v>
      </c>
      <c r="M87" s="146" t="e">
        <f>'Rev Req Proof Yr1'!L87</f>
        <v>#REF!</v>
      </c>
      <c r="N87" s="112">
        <f>'Rev Req Proof Yr1'!M87</f>
        <v>0</v>
      </c>
      <c r="O87" s="112">
        <f>'Rev Req Proof Yr1'!N87</f>
        <v>0</v>
      </c>
      <c r="P87" s="112">
        <f>'Rev Req Proof Yr1'!O87</f>
        <v>0</v>
      </c>
      <c r="Q87" s="711">
        <f>'Rev Req Proof Yr1'!P87</f>
        <v>0</v>
      </c>
      <c r="R87" s="152"/>
      <c r="S87" s="287" t="e">
        <f>'Rev Req Proof Yr1'!R87</f>
        <v>#REF!</v>
      </c>
      <c r="T87" s="288"/>
      <c r="U87" s="289" t="e">
        <f>'Rev Req Proof Yr1'!T87</f>
        <v>#REF!</v>
      </c>
      <c r="V87" s="290" t="e">
        <f>'Rev Req Proof Yr1'!U87</f>
        <v>#REF!</v>
      </c>
      <c r="W87" s="152"/>
      <c r="X87" s="302" t="e">
        <f t="shared" ref="X87:X92" si="179">(I87*S87)</f>
        <v>#REF!</v>
      </c>
      <c r="Y87" s="298" t="e">
        <f t="shared" ref="Y87:Y92" si="180">(L87*U87*12)</f>
        <v>#REF!</v>
      </c>
      <c r="Z87" s="303">
        <f t="shared" ref="Z87:Z92" si="181">(T87*(N87+P87))*12</f>
        <v>0</v>
      </c>
      <c r="AA87" s="309"/>
      <c r="AB87" s="302" t="e">
        <f t="shared" ref="AB87:AB92" si="182">(J87*S87)</f>
        <v>#REF!</v>
      </c>
      <c r="AC87" s="298" t="e">
        <f t="shared" ref="AC87:AC92" si="183">(M87*U87*12)</f>
        <v>#REF!</v>
      </c>
      <c r="AD87" s="303">
        <f t="shared" ref="AD87:AD92" si="184">(T87*(O87+Q87))*12</f>
        <v>0</v>
      </c>
      <c r="AE87" s="309"/>
      <c r="AF87" s="302" t="e">
        <f t="shared" ref="AF87:AF92" si="185">(F87*S87)</f>
        <v>#REF!</v>
      </c>
      <c r="AG87" s="298">
        <v>0</v>
      </c>
      <c r="AH87" s="303">
        <v>0</v>
      </c>
      <c r="AI87" s="309"/>
      <c r="AJ87" s="302" t="e">
        <f t="shared" ref="AJ87:AJ92" si="186">AB87-X87+AF87</f>
        <v>#REF!</v>
      </c>
      <c r="AK87" s="298" t="e">
        <f t="shared" ref="AK87:AL92" si="187">AC87-Y87-AG87</f>
        <v>#REF!</v>
      </c>
      <c r="AL87" s="303">
        <f t="shared" si="187"/>
        <v>0</v>
      </c>
      <c r="AM87" s="309"/>
      <c r="AN87" s="327"/>
      <c r="AO87" s="329" t="e">
        <f t="shared" si="166"/>
        <v>#REF!</v>
      </c>
      <c r="AP87" s="309"/>
      <c r="AQ87" s="302" t="e">
        <f t="shared" ref="AQ87:AQ92" si="188">(G87*S87)</f>
        <v>#REF!</v>
      </c>
      <c r="AR87" s="298">
        <v>0</v>
      </c>
      <c r="AS87" s="303">
        <v>0</v>
      </c>
      <c r="AT87" s="309"/>
      <c r="AU87" s="299"/>
      <c r="AV87" s="299"/>
      <c r="AW87" s="309"/>
    </row>
    <row r="88" spans="1:49" x14ac:dyDescent="0.2">
      <c r="A88" s="76">
        <f t="shared" si="165"/>
        <v>81</v>
      </c>
      <c r="B88" s="670"/>
      <c r="C88" s="671" t="s">
        <v>5</v>
      </c>
      <c r="D88" s="152"/>
      <c r="E88" s="112">
        <f>'Rates in Detail'!Y74</f>
        <v>2.98E-3</v>
      </c>
      <c r="F88" s="112">
        <f>SUM('Rates in Detail'!Z74:AB74)</f>
        <v>-1.2800000000000001E-3</v>
      </c>
      <c r="G88" s="147"/>
      <c r="H88" s="152"/>
      <c r="I88" s="362">
        <f>'Rev Req Proof Yr2'!H88</f>
        <v>0.12651000000000001</v>
      </c>
      <c r="J88" s="711">
        <f t="shared" si="167"/>
        <v>0.12949000000000002</v>
      </c>
      <c r="K88" s="152"/>
      <c r="L88" s="262"/>
      <c r="M88" s="45"/>
      <c r="N88" s="112"/>
      <c r="O88" s="112"/>
      <c r="P88" s="112"/>
      <c r="Q88" s="711"/>
      <c r="R88" s="152"/>
      <c r="S88" s="287" t="e">
        <f>'Rev Req Proof Yr1'!R88</f>
        <v>#REF!</v>
      </c>
      <c r="T88" s="288"/>
      <c r="U88" s="147"/>
      <c r="V88" s="148"/>
      <c r="W88" s="152"/>
      <c r="X88" s="302" t="e">
        <f t="shared" si="179"/>
        <v>#REF!</v>
      </c>
      <c r="Y88" s="298">
        <f t="shared" si="180"/>
        <v>0</v>
      </c>
      <c r="Z88" s="303">
        <f t="shared" si="181"/>
        <v>0</v>
      </c>
      <c r="AA88" s="309"/>
      <c r="AB88" s="302" t="e">
        <f t="shared" si="182"/>
        <v>#REF!</v>
      </c>
      <c r="AC88" s="298">
        <f t="shared" si="183"/>
        <v>0</v>
      </c>
      <c r="AD88" s="303">
        <f t="shared" si="184"/>
        <v>0</v>
      </c>
      <c r="AE88" s="309"/>
      <c r="AF88" s="302" t="e">
        <f t="shared" si="185"/>
        <v>#REF!</v>
      </c>
      <c r="AG88" s="298">
        <v>0</v>
      </c>
      <c r="AH88" s="303">
        <v>0</v>
      </c>
      <c r="AI88" s="309"/>
      <c r="AJ88" s="302" t="e">
        <f t="shared" si="186"/>
        <v>#REF!</v>
      </c>
      <c r="AK88" s="298">
        <f t="shared" si="187"/>
        <v>0</v>
      </c>
      <c r="AL88" s="303">
        <f t="shared" si="187"/>
        <v>0</v>
      </c>
      <c r="AM88" s="309"/>
      <c r="AN88" s="327"/>
      <c r="AO88" s="329" t="e">
        <f t="shared" si="166"/>
        <v>#REF!</v>
      </c>
      <c r="AP88" s="309"/>
      <c r="AQ88" s="302" t="e">
        <f t="shared" si="188"/>
        <v>#REF!</v>
      </c>
      <c r="AR88" s="298">
        <v>0</v>
      </c>
      <c r="AS88" s="303">
        <v>0</v>
      </c>
      <c r="AT88" s="309"/>
      <c r="AU88" s="299"/>
      <c r="AV88" s="146"/>
      <c r="AW88" s="309"/>
    </row>
    <row r="89" spans="1:49" x14ac:dyDescent="0.2">
      <c r="A89" s="76">
        <f t="shared" si="165"/>
        <v>82</v>
      </c>
      <c r="B89" s="670"/>
      <c r="C89" s="671" t="s">
        <v>6</v>
      </c>
      <c r="D89" s="152"/>
      <c r="E89" s="112">
        <f>'Rates in Detail'!Y75</f>
        <v>2.2799999999999999E-3</v>
      </c>
      <c r="F89" s="112">
        <f>SUM('Rates in Detail'!Z75:AB75)</f>
        <v>-9.7999999999999997E-4</v>
      </c>
      <c r="G89" s="147"/>
      <c r="H89" s="152"/>
      <c r="I89" s="362">
        <f>'Rev Req Proof Yr2'!H89</f>
        <v>9.7009999999999999E-2</v>
      </c>
      <c r="J89" s="711">
        <f t="shared" si="167"/>
        <v>9.9290000000000003E-2</v>
      </c>
      <c r="K89" s="152"/>
      <c r="L89" s="145"/>
      <c r="M89" s="146"/>
      <c r="N89" s="112"/>
      <c r="O89" s="112"/>
      <c r="P89" s="112"/>
      <c r="Q89" s="711"/>
      <c r="R89" s="152"/>
      <c r="S89" s="287" t="e">
        <f>'Rev Req Proof Yr1'!R89</f>
        <v>#REF!</v>
      </c>
      <c r="T89" s="288"/>
      <c r="U89" s="147"/>
      <c r="V89" s="148"/>
      <c r="W89" s="152"/>
      <c r="X89" s="302" t="e">
        <f t="shared" si="179"/>
        <v>#REF!</v>
      </c>
      <c r="Y89" s="298">
        <f t="shared" si="180"/>
        <v>0</v>
      </c>
      <c r="Z89" s="303">
        <f t="shared" si="181"/>
        <v>0</v>
      </c>
      <c r="AA89" s="309"/>
      <c r="AB89" s="302" t="e">
        <f t="shared" si="182"/>
        <v>#REF!</v>
      </c>
      <c r="AC89" s="298">
        <f t="shared" si="183"/>
        <v>0</v>
      </c>
      <c r="AD89" s="303">
        <f t="shared" si="184"/>
        <v>0</v>
      </c>
      <c r="AE89" s="309"/>
      <c r="AF89" s="302" t="e">
        <f t="shared" si="185"/>
        <v>#REF!</v>
      </c>
      <c r="AG89" s="298">
        <v>0</v>
      </c>
      <c r="AH89" s="303">
        <v>0</v>
      </c>
      <c r="AI89" s="309"/>
      <c r="AJ89" s="302" t="e">
        <f t="shared" si="186"/>
        <v>#REF!</v>
      </c>
      <c r="AK89" s="298">
        <f t="shared" si="187"/>
        <v>0</v>
      </c>
      <c r="AL89" s="303">
        <f t="shared" si="187"/>
        <v>0</v>
      </c>
      <c r="AM89" s="309"/>
      <c r="AN89" s="327"/>
      <c r="AO89" s="329" t="e">
        <f t="shared" si="166"/>
        <v>#REF!</v>
      </c>
      <c r="AP89" s="309"/>
      <c r="AQ89" s="302" t="e">
        <f t="shared" si="188"/>
        <v>#REF!</v>
      </c>
      <c r="AR89" s="298">
        <v>0</v>
      </c>
      <c r="AS89" s="303">
        <v>0</v>
      </c>
      <c r="AT89" s="309"/>
      <c r="AU89" s="299"/>
      <c r="AV89" s="146"/>
      <c r="AW89" s="309"/>
    </row>
    <row r="90" spans="1:49" x14ac:dyDescent="0.2">
      <c r="A90" s="76">
        <f t="shared" si="165"/>
        <v>83</v>
      </c>
      <c r="B90" s="670"/>
      <c r="C90" s="671" t="s">
        <v>7</v>
      </c>
      <c r="D90" s="152"/>
      <c r="E90" s="112">
        <f>'Rates in Detail'!Y76</f>
        <v>1.83E-3</v>
      </c>
      <c r="F90" s="112">
        <f>SUM('Rates in Detail'!Z76:AB76)</f>
        <v>-7.7999999999999999E-4</v>
      </c>
      <c r="G90" s="147"/>
      <c r="H90" s="152"/>
      <c r="I90" s="362">
        <f>'Rev Req Proof Yr2'!H90</f>
        <v>7.7619999999999995E-2</v>
      </c>
      <c r="J90" s="711">
        <f t="shared" si="167"/>
        <v>7.9449999999999993E-2</v>
      </c>
      <c r="K90" s="152"/>
      <c r="L90" s="145"/>
      <c r="M90" s="146"/>
      <c r="N90" s="112"/>
      <c r="O90" s="112"/>
      <c r="P90" s="112"/>
      <c r="Q90" s="711"/>
      <c r="R90" s="152"/>
      <c r="S90" s="287" t="e">
        <f>'Rev Req Proof Yr1'!R90</f>
        <v>#REF!</v>
      </c>
      <c r="T90" s="288"/>
      <c r="U90" s="147"/>
      <c r="V90" s="148"/>
      <c r="W90" s="152"/>
      <c r="X90" s="302" t="e">
        <f t="shared" si="179"/>
        <v>#REF!</v>
      </c>
      <c r="Y90" s="298">
        <f t="shared" si="180"/>
        <v>0</v>
      </c>
      <c r="Z90" s="303">
        <f t="shared" si="181"/>
        <v>0</v>
      </c>
      <c r="AA90" s="309"/>
      <c r="AB90" s="302" t="e">
        <f t="shared" si="182"/>
        <v>#REF!</v>
      </c>
      <c r="AC90" s="298">
        <f t="shared" si="183"/>
        <v>0</v>
      </c>
      <c r="AD90" s="303">
        <f t="shared" si="184"/>
        <v>0</v>
      </c>
      <c r="AE90" s="309"/>
      <c r="AF90" s="302" t="e">
        <f t="shared" si="185"/>
        <v>#REF!</v>
      </c>
      <c r="AG90" s="298">
        <v>0</v>
      </c>
      <c r="AH90" s="303">
        <v>0</v>
      </c>
      <c r="AI90" s="309"/>
      <c r="AJ90" s="302" t="e">
        <f t="shared" si="186"/>
        <v>#REF!</v>
      </c>
      <c r="AK90" s="298">
        <f t="shared" si="187"/>
        <v>0</v>
      </c>
      <c r="AL90" s="303">
        <f t="shared" si="187"/>
        <v>0</v>
      </c>
      <c r="AM90" s="309"/>
      <c r="AN90" s="327"/>
      <c r="AO90" s="329" t="e">
        <f t="shared" si="166"/>
        <v>#REF!</v>
      </c>
      <c r="AP90" s="309"/>
      <c r="AQ90" s="302" t="e">
        <f t="shared" si="188"/>
        <v>#REF!</v>
      </c>
      <c r="AR90" s="298">
        <v>0</v>
      </c>
      <c r="AS90" s="303">
        <v>0</v>
      </c>
      <c r="AT90" s="309"/>
      <c r="AU90" s="299"/>
      <c r="AV90" s="146"/>
      <c r="AW90" s="309"/>
    </row>
    <row r="91" spans="1:49" x14ac:dyDescent="0.2">
      <c r="A91" s="76">
        <f t="shared" si="165"/>
        <v>84</v>
      </c>
      <c r="B91" s="670"/>
      <c r="C91" s="671" t="s">
        <v>8</v>
      </c>
      <c r="D91" s="152"/>
      <c r="E91" s="112">
        <f>'Rates in Detail'!Y77</f>
        <v>1.2199999999999999E-3</v>
      </c>
      <c r="F91" s="112">
        <f>SUM('Rates in Detail'!Z77:AB77)</f>
        <v>-5.1999999999999995E-4</v>
      </c>
      <c r="G91" s="147"/>
      <c r="H91" s="152"/>
      <c r="I91" s="362">
        <f>'Rev Req Proof Yr2'!H91</f>
        <v>5.1749999999999997E-2</v>
      </c>
      <c r="J91" s="711">
        <f t="shared" si="167"/>
        <v>5.2969999999999996E-2</v>
      </c>
      <c r="K91" s="152"/>
      <c r="L91" s="145"/>
      <c r="M91" s="146"/>
      <c r="N91" s="112"/>
      <c r="O91" s="112"/>
      <c r="P91" s="112"/>
      <c r="Q91" s="711"/>
      <c r="R91" s="152"/>
      <c r="S91" s="287" t="e">
        <f>'Rev Req Proof Yr1'!R91</f>
        <v>#REF!</v>
      </c>
      <c r="T91" s="288"/>
      <c r="U91" s="147"/>
      <c r="V91" s="148"/>
      <c r="W91" s="152"/>
      <c r="X91" s="302" t="e">
        <f t="shared" si="179"/>
        <v>#REF!</v>
      </c>
      <c r="Y91" s="298">
        <f t="shared" si="180"/>
        <v>0</v>
      </c>
      <c r="Z91" s="303">
        <f t="shared" si="181"/>
        <v>0</v>
      </c>
      <c r="AA91" s="309"/>
      <c r="AB91" s="302" t="e">
        <f t="shared" si="182"/>
        <v>#REF!</v>
      </c>
      <c r="AC91" s="298">
        <f t="shared" si="183"/>
        <v>0</v>
      </c>
      <c r="AD91" s="303">
        <f t="shared" si="184"/>
        <v>0</v>
      </c>
      <c r="AE91" s="309"/>
      <c r="AF91" s="302" t="e">
        <f t="shared" si="185"/>
        <v>#REF!</v>
      </c>
      <c r="AG91" s="298">
        <v>0</v>
      </c>
      <c r="AH91" s="303">
        <v>0</v>
      </c>
      <c r="AI91" s="309"/>
      <c r="AJ91" s="302" t="e">
        <f t="shared" si="186"/>
        <v>#REF!</v>
      </c>
      <c r="AK91" s="298">
        <f t="shared" si="187"/>
        <v>0</v>
      </c>
      <c r="AL91" s="303">
        <f t="shared" si="187"/>
        <v>0</v>
      </c>
      <c r="AM91" s="309"/>
      <c r="AN91" s="327"/>
      <c r="AO91" s="329" t="e">
        <f t="shared" si="166"/>
        <v>#REF!</v>
      </c>
      <c r="AP91" s="309"/>
      <c r="AQ91" s="302" t="e">
        <f t="shared" si="188"/>
        <v>#REF!</v>
      </c>
      <c r="AR91" s="298">
        <v>0</v>
      </c>
      <c r="AS91" s="303">
        <v>0</v>
      </c>
      <c r="AT91" s="309"/>
      <c r="AU91" s="299"/>
      <c r="AV91" s="144"/>
      <c r="AW91" s="309"/>
    </row>
    <row r="92" spans="1:49" x14ac:dyDescent="0.2">
      <c r="A92" s="76">
        <f t="shared" si="165"/>
        <v>85</v>
      </c>
      <c r="B92" s="670"/>
      <c r="C92" s="671" t="s">
        <v>9</v>
      </c>
      <c r="D92" s="152"/>
      <c r="E92" s="112">
        <f>'Rates in Detail'!Y78</f>
        <v>4.6000000000000001E-4</v>
      </c>
      <c r="F92" s="112">
        <f>SUM('Rates in Detail'!Z78:AB78)</f>
        <v>-2.0000000000000001E-4</v>
      </c>
      <c r="G92" s="147"/>
      <c r="H92" s="152"/>
      <c r="I92" s="362">
        <f>'Rev Req Proof Yr2'!H92</f>
        <v>1.9400000000000001E-2</v>
      </c>
      <c r="J92" s="711">
        <f t="shared" si="167"/>
        <v>1.9859999999999999E-2</v>
      </c>
      <c r="K92" s="152"/>
      <c r="L92" s="145"/>
      <c r="M92" s="146"/>
      <c r="N92" s="112"/>
      <c r="O92" s="112"/>
      <c r="P92" s="112"/>
      <c r="Q92" s="711"/>
      <c r="R92" s="152"/>
      <c r="S92" s="287" t="e">
        <f>'Rev Req Proof Yr1'!R92</f>
        <v>#REF!</v>
      </c>
      <c r="T92" s="288"/>
      <c r="U92" s="147"/>
      <c r="V92" s="148"/>
      <c r="W92" s="152"/>
      <c r="X92" s="302" t="e">
        <f t="shared" si="179"/>
        <v>#REF!</v>
      </c>
      <c r="Y92" s="298">
        <f t="shared" si="180"/>
        <v>0</v>
      </c>
      <c r="Z92" s="303">
        <f t="shared" si="181"/>
        <v>0</v>
      </c>
      <c r="AA92" s="309"/>
      <c r="AB92" s="302" t="e">
        <f t="shared" si="182"/>
        <v>#REF!</v>
      </c>
      <c r="AC92" s="298">
        <f t="shared" si="183"/>
        <v>0</v>
      </c>
      <c r="AD92" s="303">
        <f t="shared" si="184"/>
        <v>0</v>
      </c>
      <c r="AE92" s="309"/>
      <c r="AF92" s="302" t="e">
        <f t="shared" si="185"/>
        <v>#REF!</v>
      </c>
      <c r="AG92" s="298">
        <v>0</v>
      </c>
      <c r="AH92" s="303">
        <v>0</v>
      </c>
      <c r="AI92" s="309"/>
      <c r="AJ92" s="302" t="e">
        <f t="shared" si="186"/>
        <v>#REF!</v>
      </c>
      <c r="AK92" s="298">
        <f t="shared" si="187"/>
        <v>0</v>
      </c>
      <c r="AL92" s="303">
        <f t="shared" si="187"/>
        <v>0</v>
      </c>
      <c r="AM92" s="309"/>
      <c r="AN92" s="327"/>
      <c r="AO92" s="329" t="e">
        <f t="shared" si="166"/>
        <v>#REF!</v>
      </c>
      <c r="AP92" s="309"/>
      <c r="AQ92" s="302" t="e">
        <f t="shared" si="188"/>
        <v>#REF!</v>
      </c>
      <c r="AR92" s="298">
        <v>0</v>
      </c>
      <c r="AS92" s="303">
        <v>0</v>
      </c>
      <c r="AT92" s="309"/>
      <c r="AU92" s="299"/>
      <c r="AV92" s="144"/>
      <c r="AW92" s="309"/>
    </row>
    <row r="93" spans="1:49" x14ac:dyDescent="0.2">
      <c r="A93" s="76">
        <f t="shared" si="165"/>
        <v>86</v>
      </c>
      <c r="B93" s="668"/>
      <c r="C93" s="686" t="s">
        <v>62</v>
      </c>
      <c r="D93" s="153"/>
      <c r="E93" s="113"/>
      <c r="F93" s="113"/>
      <c r="G93" s="143"/>
      <c r="H93" s="153"/>
      <c r="I93" s="357"/>
      <c r="J93" s="710"/>
      <c r="K93" s="152"/>
      <c r="L93" s="145"/>
      <c r="M93" s="146"/>
      <c r="N93" s="112"/>
      <c r="O93" s="112"/>
      <c r="P93" s="112"/>
      <c r="Q93" s="711"/>
      <c r="R93" s="152"/>
      <c r="S93" s="287"/>
      <c r="T93" s="147"/>
      <c r="U93" s="147"/>
      <c r="V93" s="148"/>
      <c r="W93" s="152"/>
      <c r="X93" s="304" t="e">
        <f>SUM(X87:X92)</f>
        <v>#REF!</v>
      </c>
      <c r="Y93" s="305" t="e">
        <f>SUM(Y87:Y92)</f>
        <v>#REF!</v>
      </c>
      <c r="Z93" s="306">
        <f>SUM(Z87:Z92)</f>
        <v>0</v>
      </c>
      <c r="AA93" s="309"/>
      <c r="AB93" s="304" t="e">
        <f>SUM(AB87:AB92)</f>
        <v>#REF!</v>
      </c>
      <c r="AC93" s="305" t="e">
        <f>SUM(AC87:AC92)</f>
        <v>#REF!</v>
      </c>
      <c r="AD93" s="306">
        <f>SUM(AD87:AD92)</f>
        <v>0</v>
      </c>
      <c r="AE93" s="309"/>
      <c r="AF93" s="304" t="e">
        <f>SUM(AF87:AF92)</f>
        <v>#REF!</v>
      </c>
      <c r="AG93" s="305">
        <f>SUM(AG87:AG92)</f>
        <v>0</v>
      </c>
      <c r="AH93" s="306">
        <f>SUM(AH87:AH92)</f>
        <v>0</v>
      </c>
      <c r="AI93" s="309"/>
      <c r="AJ93" s="304" t="e">
        <f>SUM(AJ87:AJ92)</f>
        <v>#REF!</v>
      </c>
      <c r="AK93" s="305" t="e">
        <f>SUM(AK87:AK92)</f>
        <v>#REF!</v>
      </c>
      <c r="AL93" s="306">
        <f>SUM(AL87:AL92)</f>
        <v>0</v>
      </c>
      <c r="AM93" s="309"/>
      <c r="AN93" s="327" t="e">
        <f>SUM(AJ93:AL93)/SUM(X93:Z93)</f>
        <v>#REF!</v>
      </c>
      <c r="AO93" s="328" t="e">
        <f t="shared" si="166"/>
        <v>#REF!</v>
      </c>
      <c r="AP93" s="309"/>
      <c r="AQ93" s="304" t="e">
        <f>SUM(AQ87:AQ92)</f>
        <v>#REF!</v>
      </c>
      <c r="AR93" s="305">
        <f>SUM(AR87:AR92)</f>
        <v>0</v>
      </c>
      <c r="AS93" s="306">
        <f>SUM(AS87:AS92)</f>
        <v>0</v>
      </c>
      <c r="AT93" s="309"/>
      <c r="AU93" s="299"/>
      <c r="AV93" s="144"/>
      <c r="AW93" s="309"/>
    </row>
    <row r="94" spans="1:49" x14ac:dyDescent="0.2">
      <c r="A94" s="76">
        <f t="shared" si="165"/>
        <v>87</v>
      </c>
      <c r="B94" s="668" t="e">
        <f>#REF!</f>
        <v>#REF!</v>
      </c>
      <c r="C94" s="668" t="s">
        <v>248</v>
      </c>
      <c r="D94" s="152"/>
      <c r="E94" s="381">
        <f>'Rates in Detail'!Y79</f>
        <v>0</v>
      </c>
      <c r="F94" s="381">
        <f>SUM('Rates in Detail'!Z79:AB79)</f>
        <v>-4.0000000000000003E-5</v>
      </c>
      <c r="G94" s="154"/>
      <c r="H94" s="152"/>
      <c r="I94" s="382">
        <f>'Rev Req Proof Yr2'!H94</f>
        <v>4.9100000000000003E-3</v>
      </c>
      <c r="J94" s="712">
        <f t="shared" si="167"/>
        <v>4.9100000000000003E-3</v>
      </c>
      <c r="K94" s="152"/>
      <c r="L94" s="145" t="e">
        <f>'Rev Req Proof Yr1'!K94</f>
        <v>#REF!</v>
      </c>
      <c r="M94" s="146" t="e">
        <f>'Rev Req Proof Yr1'!L94</f>
        <v>#REF!</v>
      </c>
      <c r="N94" s="112">
        <f>'Rev Req Proof Yr1'!M94</f>
        <v>0.15748000000000001</v>
      </c>
      <c r="O94" s="112">
        <f>'Rev Req Proof Yr1'!N94</f>
        <v>0</v>
      </c>
      <c r="P94" s="112">
        <f>'Rev Req Proof Yr1'!O94</f>
        <v>0</v>
      </c>
      <c r="Q94" s="711">
        <f>'Rev Req Proof Yr1'!P94</f>
        <v>0</v>
      </c>
      <c r="R94" s="152"/>
      <c r="S94" s="287" t="e">
        <f>'Rev Req Proof Yr1'!R94</f>
        <v>#REF!</v>
      </c>
      <c r="T94" s="288"/>
      <c r="U94" s="289" t="e">
        <f>'Rev Req Proof Yr1'!T94</f>
        <v>#REF!</v>
      </c>
      <c r="V94" s="290" t="e">
        <f>'Rev Req Proof Yr1'!U94</f>
        <v>#REF!</v>
      </c>
      <c r="W94" s="152"/>
      <c r="X94" s="295" t="e">
        <f t="shared" ref="X94:X96" si="189">(I94*S94)</f>
        <v>#REF!</v>
      </c>
      <c r="Y94" s="296" t="e">
        <f t="shared" ref="Y94:Y96" si="190">(L94*U94*12)</f>
        <v>#REF!</v>
      </c>
      <c r="Z94" s="297">
        <f t="shared" ref="Z94:Z96" si="191">(T94*(N94+P94))*12</f>
        <v>0</v>
      </c>
      <c r="AA94" s="310"/>
      <c r="AB94" s="295" t="e">
        <f t="shared" ref="AB94:AB96" si="192">(J94*S94)</f>
        <v>#REF!</v>
      </c>
      <c r="AC94" s="296" t="e">
        <f t="shared" ref="AC94:AC96" si="193">(M94*U94*12)</f>
        <v>#REF!</v>
      </c>
      <c r="AD94" s="297">
        <f t="shared" ref="AD94:AD96" si="194">(T94*(O94+Q94))*12</f>
        <v>0</v>
      </c>
      <c r="AE94" s="310"/>
      <c r="AF94" s="295" t="e">
        <f t="shared" ref="AF94:AF96" si="195">(F94*S94)</f>
        <v>#REF!</v>
      </c>
      <c r="AG94" s="296">
        <v>0</v>
      </c>
      <c r="AH94" s="297">
        <v>0</v>
      </c>
      <c r="AI94" s="310"/>
      <c r="AJ94" s="295" t="e">
        <f t="shared" ref="AJ94:AJ96" si="196">AB94-X94+AF94</f>
        <v>#REF!</v>
      </c>
      <c r="AK94" s="296" t="e">
        <f t="shared" ref="AK94:AL96" si="197">AC94-Y94-AG94</f>
        <v>#REF!</v>
      </c>
      <c r="AL94" s="297">
        <f t="shared" si="197"/>
        <v>0</v>
      </c>
      <c r="AM94" s="309"/>
      <c r="AN94" s="327"/>
      <c r="AO94" s="328"/>
      <c r="AP94" s="309"/>
      <c r="AQ94" s="295" t="e">
        <f t="shared" ref="AQ94:AQ96" si="198">(G94*S94)</f>
        <v>#REF!</v>
      </c>
      <c r="AR94" s="296">
        <v>0</v>
      </c>
      <c r="AS94" s="297">
        <v>0</v>
      </c>
      <c r="AT94" s="309"/>
      <c r="AU94" s="144"/>
      <c r="AV94" s="144"/>
      <c r="AW94" s="309"/>
    </row>
    <row r="95" spans="1:49" x14ac:dyDescent="0.2">
      <c r="A95" s="76">
        <f t="shared" si="165"/>
        <v>88</v>
      </c>
      <c r="B95" s="668" t="e">
        <f>#REF!</f>
        <v>#REF!</v>
      </c>
      <c r="C95" s="669" t="s">
        <v>248</v>
      </c>
      <c r="D95" s="152"/>
      <c r="E95" s="381">
        <f>'Rates in Detail'!Y80</f>
        <v>0</v>
      </c>
      <c r="F95" s="381">
        <f>SUM('Rates in Detail'!Z80:AB80)</f>
        <v>-4.0000000000000003E-5</v>
      </c>
      <c r="G95" s="154"/>
      <c r="H95" s="152"/>
      <c r="I95" s="385">
        <f>'Rev Req Proof Yr2'!H95</f>
        <v>4.9100000000000003E-3</v>
      </c>
      <c r="J95" s="713">
        <f t="shared" si="167"/>
        <v>4.9100000000000003E-3</v>
      </c>
      <c r="K95" s="152"/>
      <c r="L95" s="145" t="e">
        <f>'Rev Req Proof Yr1'!K95</f>
        <v>#REF!</v>
      </c>
      <c r="M95" s="146" t="e">
        <f>'Rev Req Proof Yr1'!L95</f>
        <v>#REF!</v>
      </c>
      <c r="N95" s="112">
        <f>'Rev Req Proof Yr1'!M95</f>
        <v>0</v>
      </c>
      <c r="O95" s="112">
        <f>'Rev Req Proof Yr1'!N95</f>
        <v>0</v>
      </c>
      <c r="P95" s="112">
        <f>'Rev Req Proof Yr1'!O95</f>
        <v>0</v>
      </c>
      <c r="Q95" s="711">
        <f>'Rev Req Proof Yr1'!P95</f>
        <v>0</v>
      </c>
      <c r="R95" s="152"/>
      <c r="S95" s="287" t="e">
        <f>'Rev Req Proof Yr1'!R95</f>
        <v>#REF!</v>
      </c>
      <c r="T95" s="288"/>
      <c r="U95" s="289" t="e">
        <f>'Rev Req Proof Yr1'!T95</f>
        <v>#REF!</v>
      </c>
      <c r="V95" s="290" t="e">
        <f>'Rev Req Proof Yr1'!U95</f>
        <v>#REF!</v>
      </c>
      <c r="W95" s="152"/>
      <c r="X95" s="311" t="e">
        <f t="shared" si="189"/>
        <v>#REF!</v>
      </c>
      <c r="Y95" s="310" t="e">
        <f t="shared" si="190"/>
        <v>#REF!</v>
      </c>
      <c r="Z95" s="312">
        <f t="shared" si="191"/>
        <v>0</v>
      </c>
      <c r="AA95" s="309"/>
      <c r="AB95" s="311" t="e">
        <f t="shared" si="192"/>
        <v>#REF!</v>
      </c>
      <c r="AC95" s="310" t="e">
        <f t="shared" si="193"/>
        <v>#REF!</v>
      </c>
      <c r="AD95" s="312">
        <f t="shared" si="194"/>
        <v>0</v>
      </c>
      <c r="AE95" s="309"/>
      <c r="AF95" s="311" t="e">
        <f t="shared" si="195"/>
        <v>#REF!</v>
      </c>
      <c r="AG95" s="310">
        <v>0</v>
      </c>
      <c r="AH95" s="312">
        <v>0</v>
      </c>
      <c r="AI95" s="309"/>
      <c r="AJ95" s="311" t="e">
        <f t="shared" si="196"/>
        <v>#REF!</v>
      </c>
      <c r="AK95" s="310" t="e">
        <f t="shared" si="197"/>
        <v>#REF!</v>
      </c>
      <c r="AL95" s="312">
        <f t="shared" si="197"/>
        <v>0</v>
      </c>
      <c r="AM95" s="309"/>
      <c r="AN95" s="309"/>
      <c r="AO95" s="309"/>
      <c r="AP95" s="309"/>
      <c r="AQ95" s="311" t="e">
        <f t="shared" si="198"/>
        <v>#REF!</v>
      </c>
      <c r="AR95" s="310">
        <v>0</v>
      </c>
      <c r="AS95" s="312">
        <v>0</v>
      </c>
      <c r="AT95" s="309"/>
      <c r="AU95" s="144"/>
      <c r="AV95" s="144"/>
      <c r="AW95" s="309"/>
    </row>
    <row r="96" spans="1:49" ht="13.5" thickBot="1" x14ac:dyDescent="0.25">
      <c r="A96" s="76">
        <f t="shared" si="165"/>
        <v>89</v>
      </c>
      <c r="B96" s="716" t="e">
        <f>#REF!</f>
        <v>#REF!</v>
      </c>
      <c r="C96" s="717" t="s">
        <v>248</v>
      </c>
      <c r="D96" s="156"/>
      <c r="E96" s="773">
        <f>'Rates in Detail'!Y81</f>
        <v>0</v>
      </c>
      <c r="F96" s="773">
        <f>SUM('Rates in Detail'!Z81:AB81)</f>
        <v>0</v>
      </c>
      <c r="G96" s="156"/>
      <c r="H96" s="719"/>
      <c r="I96" s="714">
        <f>'Rev Req Proof Yr2'!H96</f>
        <v>0</v>
      </c>
      <c r="J96" s="715">
        <f t="shared" si="167"/>
        <v>0</v>
      </c>
      <c r="K96" s="152"/>
      <c r="L96" s="722" t="e">
        <f>'Rev Req Proof Yr1'!K96</f>
        <v>#REF!</v>
      </c>
      <c r="M96" s="723" t="e">
        <f>'Rev Req Proof Yr1'!L96</f>
        <v>#REF!</v>
      </c>
      <c r="N96" s="732">
        <f>'Rev Req Proof Yr1'!M96</f>
        <v>0</v>
      </c>
      <c r="O96" s="732">
        <f>'Rev Req Proof Yr1'!N96</f>
        <v>0</v>
      </c>
      <c r="P96" s="732">
        <f>'Rev Req Proof Yr1'!O96</f>
        <v>0</v>
      </c>
      <c r="Q96" s="715">
        <f>'Rev Req Proof Yr1'!P96</f>
        <v>0</v>
      </c>
      <c r="R96" s="152"/>
      <c r="S96" s="748" t="e">
        <f>'Rev Req Proof Yr1'!R96</f>
        <v>#REF!</v>
      </c>
      <c r="T96" s="742"/>
      <c r="U96" s="738" t="e">
        <f>'Rev Req Proof Yr1'!T96</f>
        <v>#REF!</v>
      </c>
      <c r="V96" s="739" t="e">
        <f>'Rev Req Proof Yr1'!U96</f>
        <v>#REF!</v>
      </c>
      <c r="W96" s="152"/>
      <c r="X96" s="313" t="e">
        <f t="shared" si="189"/>
        <v>#REF!</v>
      </c>
      <c r="Y96" s="314" t="e">
        <f t="shared" si="190"/>
        <v>#REF!</v>
      </c>
      <c r="Z96" s="315">
        <f t="shared" si="191"/>
        <v>0</v>
      </c>
      <c r="AA96" s="309"/>
      <c r="AB96" s="313" t="e">
        <f t="shared" si="192"/>
        <v>#REF!</v>
      </c>
      <c r="AC96" s="314" t="e">
        <f t="shared" si="193"/>
        <v>#REF!</v>
      </c>
      <c r="AD96" s="315">
        <f t="shared" si="194"/>
        <v>0</v>
      </c>
      <c r="AE96" s="309"/>
      <c r="AF96" s="313" t="e">
        <f t="shared" si="195"/>
        <v>#REF!</v>
      </c>
      <c r="AG96" s="314">
        <v>0</v>
      </c>
      <c r="AH96" s="315">
        <v>0</v>
      </c>
      <c r="AI96" s="309"/>
      <c r="AJ96" s="313" t="e">
        <f t="shared" si="196"/>
        <v>#REF!</v>
      </c>
      <c r="AK96" s="314" t="e">
        <f t="shared" si="197"/>
        <v>#REF!</v>
      </c>
      <c r="AL96" s="315">
        <f t="shared" si="197"/>
        <v>0</v>
      </c>
      <c r="AM96" s="309"/>
      <c r="AN96" s="309"/>
      <c r="AO96" s="309"/>
      <c r="AP96" s="309"/>
      <c r="AQ96" s="313" t="e">
        <f t="shared" si="198"/>
        <v>#REF!</v>
      </c>
      <c r="AR96" s="314">
        <v>0</v>
      </c>
      <c r="AS96" s="315">
        <v>0</v>
      </c>
      <c r="AT96" s="309"/>
      <c r="AU96" s="152"/>
      <c r="AV96" s="152"/>
      <c r="AW96" s="309"/>
    </row>
    <row r="97" spans="1:49" x14ac:dyDescent="0.2">
      <c r="A97" s="76">
        <f t="shared" si="165"/>
        <v>90</v>
      </c>
    </row>
    <row r="98" spans="1:49" x14ac:dyDescent="0.2">
      <c r="A98" s="76">
        <f t="shared" si="165"/>
        <v>91</v>
      </c>
      <c r="B98" s="158" t="s">
        <v>45</v>
      </c>
      <c r="AT98" s="45"/>
      <c r="AU98" s="45"/>
    </row>
    <row r="99" spans="1:49" x14ac:dyDescent="0.2">
      <c r="A99" s="76">
        <f t="shared" si="165"/>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35"/>
      <c r="AJ99" s="735"/>
      <c r="AK99" s="735"/>
      <c r="AL99" s="735"/>
      <c r="AM99" s="702"/>
      <c r="AN99" s="702"/>
      <c r="AO99" s="702"/>
      <c r="AP99" s="702"/>
      <c r="AQ99" s="735"/>
      <c r="AR99" s="735"/>
      <c r="AS99" s="736"/>
      <c r="AT99" s="774"/>
      <c r="AU99" s="45"/>
      <c r="AW99" s="45"/>
    </row>
    <row r="100" spans="1:49" x14ac:dyDescent="0.2">
      <c r="A100" s="76">
        <f t="shared" si="165"/>
        <v>93</v>
      </c>
      <c r="B100" s="159"/>
      <c r="S100" s="316"/>
      <c r="T100" s="316"/>
      <c r="U100" s="316"/>
      <c r="AT100" s="45"/>
      <c r="AU100" s="45"/>
    </row>
    <row r="101" spans="1:49" x14ac:dyDescent="0.2">
      <c r="A101" s="76">
        <f t="shared" si="165"/>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37"/>
      <c r="AT101" s="45"/>
      <c r="AU101" s="45"/>
      <c r="AW101" s="45"/>
    </row>
    <row r="102" spans="1:49" x14ac:dyDescent="0.2">
      <c r="A102" s="76">
        <f t="shared" si="165"/>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02"/>
      <c r="AQ102" s="702"/>
      <c r="AR102" s="702"/>
      <c r="AS102" s="737"/>
      <c r="AT102" s="45"/>
      <c r="AU102" s="45"/>
      <c r="AW102" s="45"/>
    </row>
    <row r="103" spans="1:49" x14ac:dyDescent="0.2">
      <c r="A103" s="76"/>
      <c r="B103" s="159"/>
      <c r="AT103" s="45"/>
      <c r="AU103" s="45"/>
    </row>
    <row r="104" spans="1:49" x14ac:dyDescent="0.2">
      <c r="A104" s="76"/>
      <c r="B104" s="159"/>
    </row>
    <row r="105" spans="1:49" x14ac:dyDescent="0.2">
      <c r="A105" s="76"/>
      <c r="B105" s="159"/>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1:AL85"/>
  <sheetViews>
    <sheetView zoomScale="80" zoomScaleNormal="80" workbookViewId="0">
      <pane xSplit="4" ySplit="12" topLeftCell="E34" activePane="bottomRight" state="frozen"/>
      <selection activeCell="F1" sqref="A1:XFD1048576"/>
      <selection pane="topRight" activeCell="F1" sqref="A1:XFD1048576"/>
      <selection pane="bottomLeft" activeCell="F1" sqref="A1:XFD1048576"/>
      <selection pane="bottomRight" activeCell="Y87" sqref="Y87"/>
    </sheetView>
  </sheetViews>
  <sheetFormatPr defaultColWidth="9.33203125" defaultRowHeight="15" outlineLevelCol="1" x14ac:dyDescent="0.25"/>
  <cols>
    <col min="1" max="1" width="6.83203125" style="122" customWidth="1"/>
    <col min="2" max="3" width="19" style="164" customWidth="1"/>
    <col min="4" max="4" width="10.33203125" style="164" customWidth="1"/>
    <col min="5" max="5" width="11.33203125" style="164" bestFit="1" customWidth="1"/>
    <col min="6" max="6" width="14" style="164" bestFit="1" customWidth="1"/>
    <col min="7" max="7" width="10.33203125" style="164" bestFit="1" customWidth="1"/>
    <col min="8" max="8" width="10.83203125" style="164" customWidth="1"/>
    <col min="9" max="9" width="11.5" style="164" customWidth="1"/>
    <col min="10" max="10" width="14.83203125" style="164" customWidth="1"/>
    <col min="11" max="11" width="2.83203125" style="164" customWidth="1"/>
    <col min="12" max="12" width="14.83203125" style="164" customWidth="1"/>
    <col min="13" max="13" width="2.83203125" style="164" customWidth="1"/>
    <col min="14" max="14" width="15.83203125" style="164" customWidth="1"/>
    <col min="15" max="16" width="16.83203125" style="164" customWidth="1"/>
    <col min="17" max="17" width="16.83203125" style="164" customWidth="1" outlineLevel="1"/>
    <col min="18" max="18" width="16.83203125" style="164" customWidth="1"/>
    <col min="19" max="21" width="18.83203125" style="164" customWidth="1"/>
    <col min="22" max="22" width="18.33203125" style="164" customWidth="1"/>
    <col min="23" max="23" width="15.83203125" style="164" customWidth="1"/>
    <col min="24" max="24" width="3.5" style="164" customWidth="1"/>
    <col min="25" max="25" width="17" style="122" customWidth="1" outlineLevel="1"/>
    <col min="26" max="28" width="16.1640625" style="122" customWidth="1" outlineLevel="1"/>
    <col min="29" max="30" width="14.83203125" style="164" customWidth="1" outlineLevel="1"/>
    <col min="31" max="31" width="4" style="164" customWidth="1"/>
    <col min="32" max="33" width="15.83203125" style="164" customWidth="1"/>
    <col min="34" max="34" width="18.1640625" style="164" customWidth="1"/>
    <col min="35" max="37" width="15.83203125" style="164" customWidth="1"/>
    <col min="38" max="38" width="5.33203125" style="164" customWidth="1"/>
    <col min="39" max="16384" width="9.33203125" style="122"/>
  </cols>
  <sheetData>
    <row r="1" spans="1:38" ht="11.1" customHeight="1" x14ac:dyDescent="0.25">
      <c r="A1" s="163" t="s">
        <v>0</v>
      </c>
      <c r="N1" s="165"/>
    </row>
    <row r="2" spans="1:38" ht="12.75" customHeight="1" x14ac:dyDescent="0.25">
      <c r="A2" s="163" t="s">
        <v>1</v>
      </c>
      <c r="F2" s="166"/>
      <c r="H2" s="782"/>
      <c r="L2" s="166"/>
      <c r="N2" s="167"/>
      <c r="Q2" s="168"/>
      <c r="R2" s="1379"/>
      <c r="U2" s="166"/>
      <c r="V2" s="1379"/>
      <c r="W2" s="1379"/>
      <c r="Y2" s="1082"/>
      <c r="Z2" s="1083"/>
      <c r="AA2" s="1083"/>
      <c r="AB2" s="1083"/>
      <c r="AC2" s="1084"/>
      <c r="AD2" s="1379"/>
    </row>
    <row r="3" spans="1:38" ht="15" customHeight="1" thickBot="1" x14ac:dyDescent="0.3">
      <c r="A3" s="163" t="s">
        <v>241</v>
      </c>
      <c r="F3" s="169"/>
      <c r="H3" s="166"/>
      <c r="I3" s="166"/>
      <c r="L3" s="166"/>
      <c r="N3" s="165"/>
      <c r="Q3" s="1062"/>
      <c r="R3" s="216"/>
      <c r="S3" s="216"/>
      <c r="T3" s="216"/>
      <c r="U3" s="1062"/>
      <c r="V3" s="122"/>
      <c r="W3" s="216"/>
      <c r="Y3" s="1082"/>
      <c r="Z3" s="1083"/>
      <c r="AA3" s="1083"/>
      <c r="AB3" s="1083"/>
      <c r="AC3" s="1084"/>
    </row>
    <row r="4" spans="1:38" ht="15.75" customHeight="1" thickBot="1" x14ac:dyDescent="0.3">
      <c r="A4" s="163" t="s">
        <v>501</v>
      </c>
      <c r="E4" s="166"/>
      <c r="F4" s="166"/>
      <c r="H4" s="166"/>
      <c r="I4" s="166"/>
      <c r="K4" s="166"/>
      <c r="L4" s="1092">
        <v>5462.2520000000004</v>
      </c>
      <c r="M4" s="166"/>
      <c r="N4" s="166"/>
      <c r="O4" s="122"/>
      <c r="P4" s="1590"/>
      <c r="Q4" s="1591"/>
      <c r="R4" s="122"/>
      <c r="S4" s="1590"/>
      <c r="T4" s="1590"/>
      <c r="U4" s="1590"/>
      <c r="V4" s="216"/>
      <c r="W4" s="216"/>
      <c r="X4" s="216"/>
      <c r="Y4" s="216"/>
      <c r="Z4" s="1590"/>
      <c r="AA4" s="1590"/>
      <c r="AB4" s="1590"/>
      <c r="AC4" s="216"/>
      <c r="AD4" s="166"/>
      <c r="AE4" s="166"/>
      <c r="AF4" s="166"/>
      <c r="AG4" s="166"/>
    </row>
    <row r="5" spans="1:38" ht="13.5" customHeight="1" thickBot="1" x14ac:dyDescent="0.3">
      <c r="F5" s="170"/>
      <c r="L5" s="241"/>
      <c r="O5" s="1636" t="s">
        <v>100</v>
      </c>
      <c r="P5" s="1637"/>
      <c r="Q5" s="1637"/>
      <c r="R5" s="1637"/>
      <c r="S5" s="1637"/>
      <c r="T5" s="1637"/>
      <c r="U5" s="1637"/>
      <c r="V5" s="1637"/>
      <c r="W5" s="1638"/>
      <c r="Y5" s="1645" t="s">
        <v>327</v>
      </c>
      <c r="Z5" s="1646"/>
      <c r="AA5" s="1646"/>
      <c r="AB5" s="1646"/>
      <c r="AC5" s="1646"/>
      <c r="AD5" s="1647"/>
    </row>
    <row r="6" spans="1:38" ht="15.75" thickBot="1" x14ac:dyDescent="0.3">
      <c r="L6" s="171"/>
      <c r="N6" s="172"/>
      <c r="O6" s="1642"/>
      <c r="P6" s="1643"/>
      <c r="Q6" s="1644"/>
      <c r="R6" s="173"/>
      <c r="S6" s="174"/>
      <c r="T6" s="174"/>
      <c r="U6" s="174"/>
      <c r="V6" s="760"/>
      <c r="W6" s="647"/>
      <c r="Y6" s="172"/>
      <c r="Z6" s="884"/>
      <c r="AA6" s="884"/>
      <c r="AB6" s="884"/>
      <c r="AC6" s="172"/>
      <c r="AD6" s="916"/>
      <c r="AF6" s="1636" t="s">
        <v>102</v>
      </c>
      <c r="AG6" s="1637"/>
      <c r="AH6" s="1637"/>
      <c r="AI6" s="1637"/>
      <c r="AJ6" s="1637"/>
      <c r="AK6" s="1638"/>
    </row>
    <row r="7" spans="1:38" ht="15.75" thickBot="1" x14ac:dyDescent="0.3">
      <c r="A7" s="123">
        <v>1</v>
      </c>
      <c r="E7" s="1639" t="s">
        <v>283</v>
      </c>
      <c r="F7" s="1640"/>
      <c r="G7" s="1640"/>
      <c r="H7" s="1640"/>
      <c r="I7" s="1640"/>
      <c r="J7" s="1641"/>
      <c r="K7" s="175"/>
      <c r="L7" s="877" t="s">
        <v>330</v>
      </c>
      <c r="M7" s="175"/>
      <c r="N7" s="176" t="s">
        <v>17</v>
      </c>
      <c r="O7" s="176" t="s">
        <v>20</v>
      </c>
      <c r="P7" s="177" t="s">
        <v>20</v>
      </c>
      <c r="Q7" s="177" t="s">
        <v>20</v>
      </c>
      <c r="R7" s="178" t="s">
        <v>330</v>
      </c>
      <c r="S7" s="177" t="s">
        <v>20</v>
      </c>
      <c r="T7" s="177" t="s">
        <v>20</v>
      </c>
      <c r="U7" s="177" t="s">
        <v>20</v>
      </c>
      <c r="V7" s="944" t="s">
        <v>330</v>
      </c>
      <c r="W7" s="915" t="s">
        <v>330</v>
      </c>
      <c r="X7" s="179"/>
      <c r="Y7" s="176" t="s">
        <v>329</v>
      </c>
      <c r="Z7" s="177" t="s">
        <v>20</v>
      </c>
      <c r="AA7" s="177" t="s">
        <v>20</v>
      </c>
      <c r="AB7" s="177" t="s">
        <v>20</v>
      </c>
      <c r="AC7" s="1307" t="s">
        <v>329</v>
      </c>
      <c r="AD7" s="917" t="s">
        <v>329</v>
      </c>
      <c r="AE7" s="179"/>
      <c r="AF7" s="180" t="s">
        <v>17</v>
      </c>
      <c r="AG7" s="181" t="s">
        <v>20</v>
      </c>
      <c r="AH7" s="181" t="s">
        <v>17</v>
      </c>
      <c r="AI7" s="181" t="s">
        <v>20</v>
      </c>
      <c r="AJ7" s="181" t="s">
        <v>17</v>
      </c>
      <c r="AK7" s="182" t="s">
        <v>20</v>
      </c>
    </row>
    <row r="8" spans="1:38" x14ac:dyDescent="0.25">
      <c r="A8" s="123">
        <v>2</v>
      </c>
      <c r="E8" s="176"/>
      <c r="F8" s="183"/>
      <c r="G8" s="177" t="s">
        <v>99</v>
      </c>
      <c r="H8" s="177" t="s">
        <v>99</v>
      </c>
      <c r="I8" s="177" t="s">
        <v>99</v>
      </c>
      <c r="J8" s="182">
        <v>44136</v>
      </c>
      <c r="K8" s="184"/>
      <c r="L8" s="185" t="s">
        <v>244</v>
      </c>
      <c r="M8" s="184"/>
      <c r="N8" s="406" t="s">
        <v>18</v>
      </c>
      <c r="O8" s="943" t="s">
        <v>330</v>
      </c>
      <c r="P8" s="883" t="s">
        <v>330</v>
      </c>
      <c r="Q8" s="883" t="s">
        <v>330</v>
      </c>
      <c r="R8" s="186" t="s">
        <v>167</v>
      </c>
      <c r="S8" s="883" t="s">
        <v>330</v>
      </c>
      <c r="T8" s="883" t="s">
        <v>330</v>
      </c>
      <c r="U8" s="883" t="s">
        <v>330</v>
      </c>
      <c r="V8" s="755" t="s">
        <v>21</v>
      </c>
      <c r="W8" s="648" t="s">
        <v>628</v>
      </c>
      <c r="X8" s="187"/>
      <c r="Y8" s="404" t="s">
        <v>244</v>
      </c>
      <c r="Z8" s="405" t="s">
        <v>329</v>
      </c>
      <c r="AA8" s="883" t="s">
        <v>329</v>
      </c>
      <c r="AB8" s="883" t="s">
        <v>329</v>
      </c>
      <c r="AC8" s="943" t="s">
        <v>400</v>
      </c>
      <c r="AD8" s="918" t="s">
        <v>628</v>
      </c>
      <c r="AE8" s="187"/>
      <c r="AF8" s="188" t="s">
        <v>99</v>
      </c>
      <c r="AG8" s="883" t="s">
        <v>330</v>
      </c>
      <c r="AH8" s="187" t="s">
        <v>99</v>
      </c>
      <c r="AI8" s="883" t="s">
        <v>330</v>
      </c>
      <c r="AJ8" s="187" t="s">
        <v>99</v>
      </c>
      <c r="AK8" s="876" t="s">
        <v>330</v>
      </c>
      <c r="AL8" s="189"/>
    </row>
    <row r="9" spans="1:38" x14ac:dyDescent="0.25">
      <c r="A9" s="123">
        <v>3</v>
      </c>
      <c r="E9" s="176" t="s">
        <v>99</v>
      </c>
      <c r="F9" s="177" t="s">
        <v>99</v>
      </c>
      <c r="G9" s="177" t="s">
        <v>118</v>
      </c>
      <c r="H9" s="177" t="s">
        <v>119</v>
      </c>
      <c r="I9" s="177" t="s">
        <v>30</v>
      </c>
      <c r="J9" s="190" t="s">
        <v>15</v>
      </c>
      <c r="K9" s="191"/>
      <c r="L9" s="192" t="s">
        <v>158</v>
      </c>
      <c r="M9" s="191"/>
      <c r="N9" s="406" t="s">
        <v>86</v>
      </c>
      <c r="O9" s="406" t="s">
        <v>158</v>
      </c>
      <c r="P9" s="859" t="s">
        <v>321</v>
      </c>
      <c r="Q9" s="1020" t="s">
        <v>288</v>
      </c>
      <c r="R9" s="186" t="s">
        <v>118</v>
      </c>
      <c r="S9" s="859" t="s">
        <v>311</v>
      </c>
      <c r="T9" s="859" t="s">
        <v>322</v>
      </c>
      <c r="U9" s="859" t="s">
        <v>555</v>
      </c>
      <c r="V9" s="755" t="s">
        <v>294</v>
      </c>
      <c r="W9" s="648" t="s">
        <v>21</v>
      </c>
      <c r="X9" s="193"/>
      <c r="Y9" s="406" t="s">
        <v>158</v>
      </c>
      <c r="Z9" s="859" t="s">
        <v>328</v>
      </c>
      <c r="AA9" s="859" t="s">
        <v>311</v>
      </c>
      <c r="AB9" s="859" t="s">
        <v>322</v>
      </c>
      <c r="AC9" s="1308" t="s">
        <v>72</v>
      </c>
      <c r="AD9" s="918" t="s">
        <v>21</v>
      </c>
      <c r="AE9" s="193"/>
      <c r="AF9" s="194" t="s">
        <v>66</v>
      </c>
      <c r="AG9" s="728" t="s">
        <v>66</v>
      </c>
      <c r="AH9" s="193" t="s">
        <v>289</v>
      </c>
      <c r="AI9" s="728" t="s">
        <v>289</v>
      </c>
      <c r="AJ9" s="193" t="s">
        <v>90</v>
      </c>
      <c r="AK9" s="729" t="s">
        <v>90</v>
      </c>
      <c r="AL9" s="195"/>
    </row>
    <row r="10" spans="1:38" s="124" customFormat="1" ht="15.75" thickBot="1" x14ac:dyDescent="0.3">
      <c r="A10" s="123">
        <v>4</v>
      </c>
      <c r="B10" s="196"/>
      <c r="C10" s="196"/>
      <c r="D10" s="196"/>
      <c r="E10" s="663" t="s">
        <v>86</v>
      </c>
      <c r="F10" s="664" t="s">
        <v>19</v>
      </c>
      <c r="G10" s="664" t="s">
        <v>284</v>
      </c>
      <c r="H10" s="664" t="s">
        <v>120</v>
      </c>
      <c r="I10" s="664" t="s">
        <v>33</v>
      </c>
      <c r="J10" s="665" t="s">
        <v>16</v>
      </c>
      <c r="K10" s="191"/>
      <c r="L10" s="197" t="s">
        <v>79</v>
      </c>
      <c r="M10" s="191"/>
      <c r="N10" s="407" t="s">
        <v>87</v>
      </c>
      <c r="O10" s="407" t="s">
        <v>86</v>
      </c>
      <c r="P10" s="408" t="s">
        <v>86</v>
      </c>
      <c r="Q10" s="1093" t="s">
        <v>86</v>
      </c>
      <c r="R10" s="198" t="s">
        <v>16</v>
      </c>
      <c r="S10" s="408" t="s">
        <v>169</v>
      </c>
      <c r="T10" s="408" t="s">
        <v>169</v>
      </c>
      <c r="U10" s="1412" t="s">
        <v>169</v>
      </c>
      <c r="V10" s="756" t="s">
        <v>16</v>
      </c>
      <c r="W10" s="649" t="s">
        <v>16</v>
      </c>
      <c r="X10" s="193"/>
      <c r="Y10" s="875" t="s">
        <v>79</v>
      </c>
      <c r="Z10" s="409" t="s">
        <v>169</v>
      </c>
      <c r="AA10" s="408" t="s">
        <v>169</v>
      </c>
      <c r="AB10" s="408" t="s">
        <v>169</v>
      </c>
      <c r="AC10" s="1309" t="s">
        <v>79</v>
      </c>
      <c r="AD10" s="919" t="s">
        <v>16</v>
      </c>
      <c r="AE10" s="193"/>
      <c r="AF10" s="643" t="s">
        <v>56</v>
      </c>
      <c r="AG10" s="730" t="s">
        <v>56</v>
      </c>
      <c r="AH10" s="644" t="s">
        <v>56</v>
      </c>
      <c r="AI10" s="730" t="s">
        <v>56</v>
      </c>
      <c r="AJ10" s="644" t="s">
        <v>56</v>
      </c>
      <c r="AK10" s="731" t="s">
        <v>56</v>
      </c>
      <c r="AL10" s="195"/>
    </row>
    <row r="11" spans="1:38" s="124" customFormat="1" x14ac:dyDescent="0.25">
      <c r="A11" s="123">
        <v>5</v>
      </c>
      <c r="B11" s="164"/>
      <c r="C11" s="164"/>
      <c r="D11" s="164"/>
      <c r="E11" s="199"/>
      <c r="F11" s="200"/>
      <c r="G11" s="200"/>
      <c r="H11" s="200"/>
      <c r="I11" s="200"/>
      <c r="J11" s="201"/>
      <c r="K11" s="200"/>
      <c r="L11" s="1108" t="s">
        <v>371</v>
      </c>
      <c r="M11" s="200"/>
      <c r="N11" s="202"/>
      <c r="O11" s="202"/>
      <c r="P11" s="706" t="s">
        <v>86</v>
      </c>
      <c r="Q11" s="706" t="s">
        <v>86</v>
      </c>
      <c r="R11" s="776" t="s">
        <v>297</v>
      </c>
      <c r="S11" s="203" t="s">
        <v>169</v>
      </c>
      <c r="T11" s="203" t="s">
        <v>169</v>
      </c>
      <c r="U11" s="203" t="s">
        <v>169</v>
      </c>
      <c r="V11" s="757" t="s">
        <v>296</v>
      </c>
      <c r="W11" s="650" t="s">
        <v>163</v>
      </c>
      <c r="X11" s="200"/>
      <c r="Y11" s="199"/>
      <c r="Z11" s="203" t="s">
        <v>169</v>
      </c>
      <c r="AA11" s="203" t="s">
        <v>169</v>
      </c>
      <c r="AB11" s="203" t="s">
        <v>169</v>
      </c>
      <c r="AC11" s="199"/>
      <c r="AD11" s="920"/>
      <c r="AE11" s="200"/>
      <c r="AF11" s="202"/>
      <c r="AK11" s="201"/>
      <c r="AL11" s="195"/>
    </row>
    <row r="12" spans="1:38" s="200" customFormat="1" x14ac:dyDescent="0.25">
      <c r="A12" s="123">
        <v>6</v>
      </c>
      <c r="B12" s="662" t="s">
        <v>2</v>
      </c>
      <c r="C12" s="662"/>
      <c r="D12" s="662" t="s">
        <v>3</v>
      </c>
      <c r="E12" s="204" t="s">
        <v>35</v>
      </c>
      <c r="F12" s="205" t="s">
        <v>36</v>
      </c>
      <c r="G12" s="205" t="s">
        <v>13</v>
      </c>
      <c r="H12" s="205" t="s">
        <v>37</v>
      </c>
      <c r="I12" s="205" t="s">
        <v>38</v>
      </c>
      <c r="J12" s="206" t="s">
        <v>39</v>
      </c>
      <c r="L12" s="205" t="s">
        <v>40</v>
      </c>
      <c r="N12" s="204" t="s">
        <v>41</v>
      </c>
      <c r="O12" s="204" t="s">
        <v>42</v>
      </c>
      <c r="P12" s="205" t="s">
        <v>109</v>
      </c>
      <c r="Q12" s="205" t="s">
        <v>111</v>
      </c>
      <c r="R12" s="207" t="s">
        <v>112</v>
      </c>
      <c r="S12" s="205" t="s">
        <v>113</v>
      </c>
      <c r="T12" s="205" t="s">
        <v>114</v>
      </c>
      <c r="U12" s="205" t="s">
        <v>71</v>
      </c>
      <c r="V12" s="758" t="s">
        <v>74</v>
      </c>
      <c r="W12" s="651" t="s">
        <v>75</v>
      </c>
      <c r="Y12" s="204" t="s">
        <v>76</v>
      </c>
      <c r="Z12" s="205" t="s">
        <v>165</v>
      </c>
      <c r="AA12" s="205" t="s">
        <v>208</v>
      </c>
      <c r="AB12" s="205" t="s">
        <v>203</v>
      </c>
      <c r="AC12" s="199" t="s">
        <v>209</v>
      </c>
      <c r="AD12" s="921" t="s">
        <v>210</v>
      </c>
      <c r="AF12" s="204" t="s">
        <v>211</v>
      </c>
      <c r="AG12" s="205" t="s">
        <v>226</v>
      </c>
      <c r="AH12" s="205" t="s">
        <v>341</v>
      </c>
      <c r="AI12" s="205" t="s">
        <v>227</v>
      </c>
      <c r="AJ12" s="205" t="s">
        <v>228</v>
      </c>
      <c r="AK12" s="206" t="s">
        <v>465</v>
      </c>
    </row>
    <row r="13" spans="1:38" x14ac:dyDescent="0.25">
      <c r="A13" s="123">
        <v>7</v>
      </c>
      <c r="B13" s="1345" t="s">
        <v>246</v>
      </c>
      <c r="C13" s="1345" t="s">
        <v>350</v>
      </c>
      <c r="D13" s="1345" t="s">
        <v>248</v>
      </c>
      <c r="E13" s="208">
        <v>0.67652999999999996</v>
      </c>
      <c r="F13" s="209">
        <v>0.26333000000000001</v>
      </c>
      <c r="G13" s="210"/>
      <c r="H13" s="209">
        <v>0.10141</v>
      </c>
      <c r="I13" s="209">
        <v>0.11125999999999998</v>
      </c>
      <c r="J13" s="211">
        <v>1.1525299999999998</v>
      </c>
      <c r="K13" s="212"/>
      <c r="L13" s="1344">
        <v>0.11114</v>
      </c>
      <c r="M13" s="212"/>
      <c r="N13" s="213">
        <v>0.67652999999999974</v>
      </c>
      <c r="O13" s="587">
        <v>0.78766999999999976</v>
      </c>
      <c r="P13" s="1063">
        <v>-9.1000000000000004E-3</v>
      </c>
      <c r="Q13" s="861"/>
      <c r="R13" s="749">
        <v>0.77856999999999976</v>
      </c>
      <c r="S13" s="1504">
        <v>-1.627E-2</v>
      </c>
      <c r="T13" s="1063">
        <v>-8.6499999999999997E-3</v>
      </c>
      <c r="U13" s="1063">
        <v>3.0500000000000002E-3</v>
      </c>
      <c r="V13" s="759">
        <v>-2.1869999999999997E-2</v>
      </c>
      <c r="W13" s="761">
        <v>1.2326999999999999</v>
      </c>
      <c r="X13" s="1139"/>
      <c r="Y13" s="878">
        <v>6.1650000000000003E-2</v>
      </c>
      <c r="Z13" s="860">
        <v>-8.8000000000000003E-4</v>
      </c>
      <c r="AA13" s="864">
        <v>-1.627E-2</v>
      </c>
      <c r="AB13" s="860">
        <v>-8.6700000000000006E-3</v>
      </c>
      <c r="AC13" s="759">
        <v>6.1650000000000003E-2</v>
      </c>
      <c r="AD13" s="922">
        <v>1.2904</v>
      </c>
      <c r="AE13" s="216"/>
      <c r="AF13" s="214">
        <v>5.5</v>
      </c>
      <c r="AG13" s="215">
        <v>5.5</v>
      </c>
      <c r="AH13" s="218"/>
      <c r="AI13" s="216"/>
      <c r="AJ13" s="218"/>
      <c r="AK13" s="217"/>
      <c r="AL13" s="216"/>
    </row>
    <row r="14" spans="1:38" x14ac:dyDescent="0.25">
      <c r="A14" s="123">
        <v>8</v>
      </c>
      <c r="B14" s="1345" t="s">
        <v>247</v>
      </c>
      <c r="C14" s="1345" t="s">
        <v>351</v>
      </c>
      <c r="D14" s="1345" t="s">
        <v>248</v>
      </c>
      <c r="E14" s="208">
        <v>0.73148999999999997</v>
      </c>
      <c r="F14" s="210">
        <v>0.26333000000000001</v>
      </c>
      <c r="G14" s="210"/>
      <c r="H14" s="210">
        <v>0.10141</v>
      </c>
      <c r="I14" s="209">
        <v>9.3060000000000004E-2</v>
      </c>
      <c r="J14" s="211">
        <v>1.18929</v>
      </c>
      <c r="K14" s="216"/>
      <c r="L14" s="1344">
        <v>9.2410000000000006E-2</v>
      </c>
      <c r="M14" s="216"/>
      <c r="N14" s="213">
        <v>0.73148999999999986</v>
      </c>
      <c r="O14" s="587">
        <v>0.82389999999999985</v>
      </c>
      <c r="P14" s="1063">
        <v>-7.5599999999999999E-3</v>
      </c>
      <c r="Q14" s="861"/>
      <c r="R14" s="749">
        <v>0.81633999999999984</v>
      </c>
      <c r="S14" s="1504">
        <v>-1.354E-2</v>
      </c>
      <c r="T14" s="1063">
        <v>-7.1999999999999998E-3</v>
      </c>
      <c r="U14" s="1063">
        <v>2.5400000000000002E-3</v>
      </c>
      <c r="V14" s="759">
        <v>-1.8200000000000001E-2</v>
      </c>
      <c r="W14" s="761">
        <v>1.2559399999999998</v>
      </c>
      <c r="X14" s="1139"/>
      <c r="Y14" s="885">
        <v>5.126E-2</v>
      </c>
      <c r="Z14" s="860">
        <v>-7.2999999999999996E-4</v>
      </c>
      <c r="AA14" s="860">
        <v>-1.354E-2</v>
      </c>
      <c r="AB14" s="860">
        <v>-7.1999999999999998E-3</v>
      </c>
      <c r="AC14" s="759">
        <v>5.126E-2</v>
      </c>
      <c r="AD14" s="922">
        <v>1.30393</v>
      </c>
      <c r="AE14" s="216"/>
      <c r="AF14" s="214">
        <v>7</v>
      </c>
      <c r="AG14" s="215">
        <v>7</v>
      </c>
      <c r="AH14" s="218"/>
      <c r="AI14" s="216"/>
      <c r="AJ14" s="218"/>
      <c r="AK14" s="217"/>
      <c r="AL14" s="216"/>
    </row>
    <row r="15" spans="1:38" x14ac:dyDescent="0.25">
      <c r="A15" s="123">
        <v>9</v>
      </c>
      <c r="B15" s="1345" t="s">
        <v>12</v>
      </c>
      <c r="C15" s="1345" t="s">
        <v>352</v>
      </c>
      <c r="D15" s="1345" t="s">
        <v>248</v>
      </c>
      <c r="E15" s="208">
        <v>0.45815999999999979</v>
      </c>
      <c r="F15" s="210">
        <v>0.26333000000000001</v>
      </c>
      <c r="G15" s="210"/>
      <c r="H15" s="210">
        <v>0.10141</v>
      </c>
      <c r="I15" s="209">
        <v>6.6579999999999986E-2</v>
      </c>
      <c r="J15" s="211">
        <v>0.88947999999999972</v>
      </c>
      <c r="K15" s="216"/>
      <c r="L15" s="1344">
        <v>7.034E-2</v>
      </c>
      <c r="M15" s="216"/>
      <c r="N15" s="213">
        <v>0.45815999999999979</v>
      </c>
      <c r="O15" s="587">
        <v>0.52849999999999975</v>
      </c>
      <c r="P15" s="1063">
        <v>-5.7600000000000004E-3</v>
      </c>
      <c r="Q15" s="861"/>
      <c r="R15" s="749">
        <v>0.52273999999999976</v>
      </c>
      <c r="S15" s="1504">
        <v>-1.03E-2</v>
      </c>
      <c r="T15" s="1063">
        <v>-5.47E-3</v>
      </c>
      <c r="U15" s="1063">
        <v>1.9300000000000001E-3</v>
      </c>
      <c r="V15" s="759">
        <v>-1.384E-2</v>
      </c>
      <c r="W15" s="761">
        <v>0.94021999999999983</v>
      </c>
      <c r="X15" s="1139"/>
      <c r="Y15" s="878">
        <v>3.9019999999999999E-2</v>
      </c>
      <c r="Z15" s="860">
        <v>-5.5999999999999995E-4</v>
      </c>
      <c r="AA15" s="864">
        <v>-1.03E-2</v>
      </c>
      <c r="AB15" s="860">
        <v>-5.4900000000000001E-3</v>
      </c>
      <c r="AC15" s="759">
        <v>3.9019999999999999E-2</v>
      </c>
      <c r="AD15" s="922">
        <v>0.97672999999999977</v>
      </c>
      <c r="AE15" s="216"/>
      <c r="AF15" s="214">
        <v>8</v>
      </c>
      <c r="AG15" s="215">
        <v>8</v>
      </c>
      <c r="AH15" s="218"/>
      <c r="AI15" s="216"/>
      <c r="AJ15" s="218"/>
      <c r="AK15" s="217"/>
      <c r="AL15" s="216"/>
    </row>
    <row r="16" spans="1:38" x14ac:dyDescent="0.25">
      <c r="A16" s="123">
        <v>10</v>
      </c>
      <c r="B16" s="1345" t="s">
        <v>10</v>
      </c>
      <c r="C16" s="1345" t="s">
        <v>353</v>
      </c>
      <c r="D16" s="1345" t="s">
        <v>248</v>
      </c>
      <c r="E16" s="208">
        <v>0.44368000000000019</v>
      </c>
      <c r="F16" s="210">
        <v>0.26333000000000001</v>
      </c>
      <c r="G16" s="210"/>
      <c r="H16" s="210">
        <v>0.10141</v>
      </c>
      <c r="I16" s="209">
        <v>5.8480000000000004E-2</v>
      </c>
      <c r="J16" s="211">
        <v>0.86690000000000011</v>
      </c>
      <c r="K16" s="216"/>
      <c r="L16" s="1344">
        <v>6.3159999999999994E-2</v>
      </c>
      <c r="M16" s="216"/>
      <c r="N16" s="213">
        <v>0.44368000000000019</v>
      </c>
      <c r="O16" s="213">
        <v>0.50684000000000018</v>
      </c>
      <c r="P16" s="210">
        <v>-5.1700000000000001E-3</v>
      </c>
      <c r="Q16" s="863"/>
      <c r="R16" s="749">
        <v>0.50167000000000017</v>
      </c>
      <c r="S16" s="1505">
        <v>-9.2399999999999999E-3</v>
      </c>
      <c r="T16" s="210">
        <v>-4.9100000000000003E-3</v>
      </c>
      <c r="U16" s="210">
        <v>1.73E-3</v>
      </c>
      <c r="V16" s="762">
        <v>-1.2419999999999999E-2</v>
      </c>
      <c r="W16" s="761">
        <v>0.91247000000000023</v>
      </c>
      <c r="X16" s="1139"/>
      <c r="Y16" s="885">
        <v>3.5029999999999999E-2</v>
      </c>
      <c r="Z16" s="862">
        <v>-5.0000000000000001E-4</v>
      </c>
      <c r="AA16" s="860">
        <v>-9.2399999999999999E-3</v>
      </c>
      <c r="AB16" s="862">
        <v>-4.9300000000000004E-3</v>
      </c>
      <c r="AC16" s="762">
        <v>3.5029999999999999E-2</v>
      </c>
      <c r="AD16" s="922">
        <v>0.94525000000000026</v>
      </c>
      <c r="AE16" s="216"/>
      <c r="AF16" s="214">
        <v>22</v>
      </c>
      <c r="AG16" s="215">
        <v>22</v>
      </c>
      <c r="AH16" s="218"/>
      <c r="AI16" s="216"/>
      <c r="AJ16" s="218"/>
      <c r="AK16" s="217"/>
      <c r="AL16" s="216"/>
    </row>
    <row r="17" spans="1:38" x14ac:dyDescent="0.25">
      <c r="A17" s="123">
        <v>11</v>
      </c>
      <c r="B17" s="1345" t="s">
        <v>11</v>
      </c>
      <c r="C17" s="1345" t="s">
        <v>354</v>
      </c>
      <c r="D17" s="1345" t="s">
        <v>248</v>
      </c>
      <c r="E17" s="208">
        <v>0.46249000000000001</v>
      </c>
      <c r="F17" s="210">
        <v>0.26333000000000001</v>
      </c>
      <c r="G17" s="210"/>
      <c r="H17" s="210">
        <v>0.10141</v>
      </c>
      <c r="I17" s="209">
        <v>-8.9999999999999802E-5</v>
      </c>
      <c r="J17" s="211">
        <v>0.82713999999999999</v>
      </c>
      <c r="K17" s="216"/>
      <c r="L17" s="1344">
        <v>5.7209999999999997E-2</v>
      </c>
      <c r="M17" s="216"/>
      <c r="N17" s="213">
        <v>0.4624899999999999</v>
      </c>
      <c r="O17" s="213">
        <v>0.51969999999999994</v>
      </c>
      <c r="P17" s="210">
        <v>-4.6899999999999997E-3</v>
      </c>
      <c r="Q17" s="863"/>
      <c r="R17" s="749">
        <v>0.51500999999999997</v>
      </c>
      <c r="S17" s="1505">
        <v>0</v>
      </c>
      <c r="T17" s="210">
        <v>-4.45E-3</v>
      </c>
      <c r="U17" s="210">
        <v>1.57E-3</v>
      </c>
      <c r="V17" s="762">
        <v>-2.8799999999999997E-3</v>
      </c>
      <c r="W17" s="761">
        <v>0.87678</v>
      </c>
      <c r="X17" s="1139"/>
      <c r="Y17" s="885">
        <v>3.1730000000000001E-2</v>
      </c>
      <c r="Z17" s="862">
        <v>-4.4999999999999999E-4</v>
      </c>
      <c r="AA17" s="860">
        <v>0</v>
      </c>
      <c r="AB17" s="862">
        <v>-4.4600000000000004E-3</v>
      </c>
      <c r="AC17" s="762">
        <v>3.1730000000000001E-2</v>
      </c>
      <c r="AD17" s="922">
        <v>0.90647999999999995</v>
      </c>
      <c r="AE17" s="216"/>
      <c r="AF17" s="214">
        <v>22</v>
      </c>
      <c r="AG17" s="215">
        <v>22</v>
      </c>
      <c r="AH17" s="218"/>
      <c r="AI17" s="216"/>
      <c r="AJ17" s="218"/>
      <c r="AK17" s="217"/>
      <c r="AL17" s="216"/>
    </row>
    <row r="18" spans="1:38" x14ac:dyDescent="0.25">
      <c r="A18" s="123">
        <v>12</v>
      </c>
      <c r="B18" s="1346" t="s">
        <v>365</v>
      </c>
      <c r="C18" s="1346" t="s">
        <v>365</v>
      </c>
      <c r="D18" s="1346" t="s">
        <v>248</v>
      </c>
      <c r="E18" s="208">
        <v>0.24087999999999973</v>
      </c>
      <c r="F18" s="210">
        <v>0.26333000000000001</v>
      </c>
      <c r="G18" s="210"/>
      <c r="H18" s="210">
        <v>0.10141</v>
      </c>
      <c r="I18" s="209">
        <v>3.8710000000000001E-2</v>
      </c>
      <c r="J18" s="211">
        <v>0.64432999999999974</v>
      </c>
      <c r="K18" s="216"/>
      <c r="L18" s="210">
        <v>5.006E-2</v>
      </c>
      <c r="M18" s="216"/>
      <c r="N18" s="213">
        <v>0.24087999999999973</v>
      </c>
      <c r="O18" s="213">
        <v>0.29093999999999975</v>
      </c>
      <c r="P18" s="210">
        <v>-4.1000000000000003E-3</v>
      </c>
      <c r="Q18" s="863"/>
      <c r="R18" s="749">
        <v>0.28683999999999976</v>
      </c>
      <c r="S18" s="1505">
        <v>-7.3299999999999997E-3</v>
      </c>
      <c r="T18" s="210">
        <v>-3.8899999999999998E-3</v>
      </c>
      <c r="U18" s="210">
        <v>1.3699999999999999E-3</v>
      </c>
      <c r="V18" s="762">
        <v>-9.8499999999999994E-3</v>
      </c>
      <c r="W18" s="761">
        <v>0.68043999999999971</v>
      </c>
      <c r="X18" s="1139"/>
      <c r="Y18" s="885">
        <v>2.777E-2</v>
      </c>
      <c r="Z18" s="862">
        <v>-4.0000000000000002E-4</v>
      </c>
      <c r="AA18" s="860">
        <v>-7.3299999999999997E-3</v>
      </c>
      <c r="AB18" s="862">
        <v>-3.8999999999999998E-3</v>
      </c>
      <c r="AC18" s="762">
        <v>2.777E-2</v>
      </c>
      <c r="AD18" s="922">
        <v>0.70642999999999967</v>
      </c>
      <c r="AE18" s="216"/>
      <c r="AF18" s="214">
        <v>9</v>
      </c>
      <c r="AG18" s="215">
        <v>9</v>
      </c>
      <c r="AH18" s="218"/>
      <c r="AI18" s="216"/>
      <c r="AJ18" s="218"/>
      <c r="AK18" s="217"/>
      <c r="AL18" s="216"/>
    </row>
    <row r="19" spans="1:38" x14ac:dyDescent="0.25">
      <c r="A19" s="123">
        <v>13</v>
      </c>
      <c r="B19" s="76" t="s">
        <v>249</v>
      </c>
      <c r="C19" s="76" t="s">
        <v>266</v>
      </c>
      <c r="D19" s="1332" t="s">
        <v>4</v>
      </c>
      <c r="E19" s="219">
        <v>0.34474000000000016</v>
      </c>
      <c r="F19" s="216">
        <v>0.26333000000000001</v>
      </c>
      <c r="G19" s="216"/>
      <c r="H19" s="216"/>
      <c r="I19" s="218">
        <v>4.3429999999999996E-2</v>
      </c>
      <c r="J19" s="217">
        <v>0.65150000000000008</v>
      </c>
      <c r="K19" s="216"/>
      <c r="L19" s="216">
        <v>5.0160000000000003E-2</v>
      </c>
      <c r="M19" s="216"/>
      <c r="N19" s="220">
        <v>0.34474000000000005</v>
      </c>
      <c r="O19" s="220">
        <v>0.39490000000000003</v>
      </c>
      <c r="P19" s="216">
        <v>-4.1099999999999999E-3</v>
      </c>
      <c r="Q19" s="865"/>
      <c r="R19" s="750">
        <v>0.39079000000000003</v>
      </c>
      <c r="S19" s="1506">
        <v>-7.3400000000000002E-3</v>
      </c>
      <c r="T19" s="216">
        <v>-3.8999999999999998E-3</v>
      </c>
      <c r="U19" s="216">
        <v>1.3799999999999999E-3</v>
      </c>
      <c r="V19" s="763">
        <v>-9.8600000000000007E-3</v>
      </c>
      <c r="W19" s="764">
        <v>0.68769000000000013</v>
      </c>
      <c r="X19" s="1139"/>
      <c r="Y19" s="886">
        <v>2.7820000000000001E-2</v>
      </c>
      <c r="Z19" s="864">
        <v>-4.0000000000000002E-4</v>
      </c>
      <c r="AA19" s="1402">
        <v>-7.3400000000000002E-3</v>
      </c>
      <c r="AB19" s="864">
        <v>-3.9100000000000003E-3</v>
      </c>
      <c r="AC19" s="763">
        <v>2.7820000000000001E-2</v>
      </c>
      <c r="AD19" s="1310">
        <v>0.71372000000000013</v>
      </c>
      <c r="AE19" s="216"/>
      <c r="AF19" s="214">
        <v>250</v>
      </c>
      <c r="AG19" s="215">
        <v>250</v>
      </c>
      <c r="AH19" s="218"/>
      <c r="AI19" s="216"/>
      <c r="AJ19" s="218"/>
      <c r="AK19" s="217"/>
      <c r="AL19" s="216"/>
    </row>
    <row r="20" spans="1:38" x14ac:dyDescent="0.25">
      <c r="A20" s="123">
        <v>14</v>
      </c>
      <c r="B20" s="151"/>
      <c r="C20" s="151"/>
      <c r="D20" s="1333" t="s">
        <v>5</v>
      </c>
      <c r="E20" s="208">
        <v>0.30376999999999998</v>
      </c>
      <c r="F20" s="210">
        <v>0.26333000000000001</v>
      </c>
      <c r="G20" s="210"/>
      <c r="H20" s="210"/>
      <c r="I20" s="209">
        <v>3.7170000000000002E-2</v>
      </c>
      <c r="J20" s="211">
        <v>0.60426999999999997</v>
      </c>
      <c r="K20" s="216"/>
      <c r="L20" s="210">
        <v>4.4200000000000003E-2</v>
      </c>
      <c r="M20" s="216"/>
      <c r="N20" s="213">
        <v>0.30376999999999998</v>
      </c>
      <c r="O20" s="213">
        <v>0.34797</v>
      </c>
      <c r="P20" s="210">
        <v>-3.62E-3</v>
      </c>
      <c r="Q20" s="863"/>
      <c r="R20" s="749">
        <v>0.34434999999999999</v>
      </c>
      <c r="S20" s="1505">
        <v>-6.4700000000000001E-3</v>
      </c>
      <c r="T20" s="210">
        <v>-3.4399999999999999E-3</v>
      </c>
      <c r="U20" s="210">
        <v>1.2099999999999999E-3</v>
      </c>
      <c r="V20" s="762">
        <v>-8.7000000000000011E-3</v>
      </c>
      <c r="W20" s="761">
        <v>0.63614999999999999</v>
      </c>
      <c r="X20" s="1139"/>
      <c r="Y20" s="887">
        <v>2.4510000000000001E-2</v>
      </c>
      <c r="Z20" s="862">
        <v>-3.5E-4</v>
      </c>
      <c r="AA20" s="862">
        <v>-6.4700000000000001E-3</v>
      </c>
      <c r="AB20" s="862">
        <v>-3.4499999999999999E-3</v>
      </c>
      <c r="AC20" s="762">
        <v>2.4510000000000001E-2</v>
      </c>
      <c r="AD20" s="922">
        <v>0.65908999999999995</v>
      </c>
      <c r="AE20" s="216"/>
      <c r="AF20" s="214"/>
      <c r="AG20" s="215"/>
      <c r="AH20" s="218"/>
      <c r="AI20" s="216"/>
      <c r="AJ20" s="218"/>
      <c r="AK20" s="217"/>
      <c r="AL20" s="216"/>
    </row>
    <row r="21" spans="1:38" x14ac:dyDescent="0.25">
      <c r="A21" s="123">
        <v>15</v>
      </c>
      <c r="B21" s="76" t="s">
        <v>253</v>
      </c>
      <c r="C21" s="76" t="s">
        <v>267</v>
      </c>
      <c r="D21" s="1332" t="s">
        <v>4</v>
      </c>
      <c r="E21" s="219">
        <v>0.34416000000000024</v>
      </c>
      <c r="F21" s="216">
        <v>0.26333000000000001</v>
      </c>
      <c r="G21" s="216"/>
      <c r="H21" s="216"/>
      <c r="I21" s="218">
        <v>-1.7200000000000002E-3</v>
      </c>
      <c r="J21" s="217">
        <v>0.60577000000000025</v>
      </c>
      <c r="K21" s="216"/>
      <c r="L21" s="216">
        <v>2.3040000000000001E-2</v>
      </c>
      <c r="M21" s="216"/>
      <c r="N21" s="220">
        <v>0.34416000000000024</v>
      </c>
      <c r="O21" s="220">
        <v>0.36720000000000025</v>
      </c>
      <c r="P21" s="216">
        <v>-3.9100000000000003E-3</v>
      </c>
      <c r="Q21" s="865"/>
      <c r="R21" s="750">
        <v>0.36329000000000022</v>
      </c>
      <c r="S21" s="1506">
        <v>0</v>
      </c>
      <c r="T21" s="216">
        <v>-3.5200000000000001E-3</v>
      </c>
      <c r="U21" s="216">
        <v>1.24E-3</v>
      </c>
      <c r="V21" s="763">
        <v>-2.2799999999999999E-3</v>
      </c>
      <c r="W21" s="764">
        <v>0.62262000000000017</v>
      </c>
      <c r="X21" s="1139"/>
      <c r="Y21" s="886">
        <v>8.7299999999999999E-3</v>
      </c>
      <c r="Z21" s="864">
        <v>-3.5E-4</v>
      </c>
      <c r="AA21" s="1402">
        <v>0</v>
      </c>
      <c r="AB21" s="864">
        <v>-3.3999999999999998E-3</v>
      </c>
      <c r="AC21" s="763">
        <v>8.7299999999999999E-3</v>
      </c>
      <c r="AD21" s="1310">
        <v>0.62988000000000011</v>
      </c>
      <c r="AE21" s="216"/>
      <c r="AF21" s="214">
        <v>250</v>
      </c>
      <c r="AG21" s="215">
        <v>250</v>
      </c>
      <c r="AH21" s="218"/>
      <c r="AI21" s="216"/>
      <c r="AJ21" s="218"/>
      <c r="AK21" s="217"/>
      <c r="AL21" s="216"/>
    </row>
    <row r="22" spans="1:38" x14ac:dyDescent="0.25">
      <c r="A22" s="123">
        <v>16</v>
      </c>
      <c r="B22" s="151"/>
      <c r="C22" s="151"/>
      <c r="D22" s="1333" t="s">
        <v>5</v>
      </c>
      <c r="E22" s="208">
        <v>0.30325000000000002</v>
      </c>
      <c r="F22" s="210">
        <v>0.26333000000000001</v>
      </c>
      <c r="G22" s="210"/>
      <c r="H22" s="210"/>
      <c r="I22" s="209">
        <v>-2.6199999999999999E-3</v>
      </c>
      <c r="J22" s="211">
        <v>0.56396000000000013</v>
      </c>
      <c r="K22" s="216"/>
      <c r="L22" s="210">
        <v>2.0299999999999999E-2</v>
      </c>
      <c r="M22" s="216"/>
      <c r="N22" s="213">
        <v>0.30325000000000013</v>
      </c>
      <c r="O22" s="213">
        <v>0.32355000000000012</v>
      </c>
      <c r="P22" s="210">
        <v>-3.4399999999999999E-3</v>
      </c>
      <c r="Q22" s="863"/>
      <c r="R22" s="749">
        <v>0.32011000000000012</v>
      </c>
      <c r="S22" s="1505">
        <v>0</v>
      </c>
      <c r="T22" s="210">
        <v>-3.0999999999999999E-3</v>
      </c>
      <c r="U22" s="210">
        <v>1.09E-3</v>
      </c>
      <c r="V22" s="762">
        <v>-2.0099999999999996E-3</v>
      </c>
      <c r="W22" s="761">
        <v>0.57881000000000005</v>
      </c>
      <c r="X22" s="1139"/>
      <c r="Y22" s="887">
        <v>7.6899999999999998E-3</v>
      </c>
      <c r="Z22" s="862">
        <v>-2.9999999999999997E-4</v>
      </c>
      <c r="AA22" s="862">
        <v>0</v>
      </c>
      <c r="AB22" s="862">
        <v>-2.99E-3</v>
      </c>
      <c r="AC22" s="762">
        <v>7.6899999999999998E-3</v>
      </c>
      <c r="AD22" s="922">
        <v>0.58521999999999996</v>
      </c>
      <c r="AE22" s="216"/>
      <c r="AF22" s="214"/>
      <c r="AG22" s="215"/>
      <c r="AH22" s="218"/>
      <c r="AI22" s="216"/>
      <c r="AJ22" s="218"/>
      <c r="AK22" s="217"/>
      <c r="AL22" s="216"/>
    </row>
    <row r="23" spans="1:38" x14ac:dyDescent="0.25">
      <c r="A23" s="123">
        <v>17</v>
      </c>
      <c r="B23" s="76" t="s">
        <v>251</v>
      </c>
      <c r="C23" s="76" t="s">
        <v>269</v>
      </c>
      <c r="D23" s="1332" t="s">
        <v>4</v>
      </c>
      <c r="E23" s="219">
        <v>0.34372999999999987</v>
      </c>
      <c r="F23" s="216">
        <v>0.26333000000000001</v>
      </c>
      <c r="G23" s="216"/>
      <c r="H23" s="216"/>
      <c r="I23" s="218">
        <v>5.3189999999999994E-2</v>
      </c>
      <c r="J23" s="217">
        <v>0.66024999999999989</v>
      </c>
      <c r="K23" s="216"/>
      <c r="L23" s="216">
        <v>3.6089999999999997E-2</v>
      </c>
      <c r="M23" s="216"/>
      <c r="N23" s="220">
        <v>0.34372999999999987</v>
      </c>
      <c r="O23" s="220">
        <v>0.37981999999999988</v>
      </c>
      <c r="P23" s="216">
        <v>-3.2200000000000002E-3</v>
      </c>
      <c r="Q23" s="865"/>
      <c r="R23" s="750">
        <v>0.37659999999999988</v>
      </c>
      <c r="S23" s="1506">
        <v>-6.8599999999999998E-3</v>
      </c>
      <c r="T23" s="216">
        <v>-3.0300000000000001E-3</v>
      </c>
      <c r="U23" s="216">
        <v>1.3799999999999999E-3</v>
      </c>
      <c r="V23" s="763">
        <v>-8.5100000000000002E-3</v>
      </c>
      <c r="W23" s="764">
        <v>0.68460999999999994</v>
      </c>
      <c r="X23" s="1139"/>
      <c r="Y23" s="886">
        <v>2.162E-2</v>
      </c>
      <c r="Z23" s="864">
        <v>-3.1E-4</v>
      </c>
      <c r="AA23" s="1402">
        <v>-6.7799999999999996E-3</v>
      </c>
      <c r="AB23" s="864">
        <v>-3.0400000000000002E-3</v>
      </c>
      <c r="AC23" s="763">
        <v>2.162E-2</v>
      </c>
      <c r="AD23" s="1310">
        <v>0.70460999999999985</v>
      </c>
      <c r="AE23" s="216"/>
      <c r="AF23" s="214">
        <v>250</v>
      </c>
      <c r="AG23" s="215">
        <v>250</v>
      </c>
      <c r="AH23" s="218"/>
      <c r="AI23" s="216"/>
      <c r="AJ23" s="218"/>
      <c r="AK23" s="217"/>
      <c r="AL23" s="216"/>
    </row>
    <row r="24" spans="1:38" x14ac:dyDescent="0.25">
      <c r="A24" s="123">
        <v>18</v>
      </c>
      <c r="B24" s="151"/>
      <c r="C24" s="151"/>
      <c r="D24" s="1333" t="s">
        <v>5</v>
      </c>
      <c r="E24" s="208">
        <v>0.30284999999999984</v>
      </c>
      <c r="F24" s="210">
        <v>0.26333000000000001</v>
      </c>
      <c r="G24" s="210"/>
      <c r="H24" s="210"/>
      <c r="I24" s="209">
        <v>4.6990000000000004E-2</v>
      </c>
      <c r="J24" s="211">
        <v>0.61316999999999988</v>
      </c>
      <c r="K24" s="216"/>
      <c r="L24" s="210">
        <v>3.1800000000000002E-2</v>
      </c>
      <c r="M24" s="216"/>
      <c r="N24" s="213">
        <v>0.30284999999999984</v>
      </c>
      <c r="O24" s="213">
        <v>0.33464999999999984</v>
      </c>
      <c r="P24" s="210">
        <v>-2.8400000000000001E-3</v>
      </c>
      <c r="Q24" s="863"/>
      <c r="R24" s="749">
        <v>0.33180999999999983</v>
      </c>
      <c r="S24" s="1505">
        <v>-6.0499999999999998E-3</v>
      </c>
      <c r="T24" s="210">
        <v>-2.6700000000000001E-3</v>
      </c>
      <c r="U24" s="210">
        <v>1.2099999999999999E-3</v>
      </c>
      <c r="V24" s="762">
        <v>-7.5100000000000002E-3</v>
      </c>
      <c r="W24" s="761">
        <v>0.63461999999999985</v>
      </c>
      <c r="X24" s="1139"/>
      <c r="Y24" s="878">
        <v>1.9050000000000001E-2</v>
      </c>
      <c r="Z24" s="862">
        <v>-2.7E-4</v>
      </c>
      <c r="AA24" s="864">
        <v>-5.9699999999999996E-3</v>
      </c>
      <c r="AB24" s="862">
        <v>-2.6800000000000001E-3</v>
      </c>
      <c r="AC24" s="762">
        <v>1.9050000000000001E-2</v>
      </c>
      <c r="AD24" s="922">
        <v>0.65225999999999973</v>
      </c>
      <c r="AE24" s="216"/>
      <c r="AF24" s="214"/>
      <c r="AG24" s="215"/>
      <c r="AH24" s="218"/>
      <c r="AI24" s="216"/>
      <c r="AJ24" s="218"/>
      <c r="AK24" s="217"/>
      <c r="AL24" s="216"/>
    </row>
    <row r="25" spans="1:38" x14ac:dyDescent="0.25">
      <c r="A25" s="123">
        <v>19</v>
      </c>
      <c r="B25" s="76" t="s">
        <v>257</v>
      </c>
      <c r="C25" s="76" t="s">
        <v>270</v>
      </c>
      <c r="D25" s="1332" t="s">
        <v>4</v>
      </c>
      <c r="E25" s="219">
        <v>0.34372999999999987</v>
      </c>
      <c r="F25" s="216">
        <v>0.26333000000000001</v>
      </c>
      <c r="G25" s="216"/>
      <c r="H25" s="216"/>
      <c r="I25" s="218">
        <v>8.7499999999999991E-3</v>
      </c>
      <c r="J25" s="217">
        <v>0.61580999999999997</v>
      </c>
      <c r="K25" s="216"/>
      <c r="L25" s="216">
        <v>1.576E-2</v>
      </c>
      <c r="M25" s="216"/>
      <c r="N25" s="220">
        <v>0.34372999999999998</v>
      </c>
      <c r="O25" s="220">
        <v>0.35948999999999998</v>
      </c>
      <c r="P25" s="216">
        <v>-3.2200000000000002E-3</v>
      </c>
      <c r="Q25" s="865"/>
      <c r="R25" s="750">
        <v>0.35626999999999998</v>
      </c>
      <c r="S25" s="1506">
        <v>0</v>
      </c>
      <c r="T25" s="216">
        <v>-2.8700000000000002E-3</v>
      </c>
      <c r="U25" s="216">
        <v>1.2999999999999999E-3</v>
      </c>
      <c r="V25" s="763">
        <v>-1.5700000000000002E-3</v>
      </c>
      <c r="W25" s="764">
        <v>0.62677999999999989</v>
      </c>
      <c r="X25" s="1139"/>
      <c r="Y25" s="886">
        <v>7.1300000000000001E-3</v>
      </c>
      <c r="Z25" s="864">
        <v>-2.7999999999999998E-4</v>
      </c>
      <c r="AA25" s="1402">
        <v>0</v>
      </c>
      <c r="AB25" s="864">
        <v>-2.7699999999999999E-3</v>
      </c>
      <c r="AC25" s="763">
        <v>7.1300000000000001E-3</v>
      </c>
      <c r="AD25" s="1310">
        <v>0.63242999999999994</v>
      </c>
      <c r="AE25" s="216"/>
      <c r="AF25" s="214">
        <v>250</v>
      </c>
      <c r="AG25" s="215">
        <v>250</v>
      </c>
      <c r="AH25" s="218"/>
      <c r="AI25" s="216"/>
      <c r="AJ25" s="218"/>
      <c r="AK25" s="217"/>
      <c r="AL25" s="216"/>
    </row>
    <row r="26" spans="1:38" x14ac:dyDescent="0.25">
      <c r="A26" s="123">
        <v>20</v>
      </c>
      <c r="B26" s="151"/>
      <c r="C26" s="151"/>
      <c r="D26" s="1333" t="s">
        <v>5</v>
      </c>
      <c r="E26" s="208">
        <v>0.30284999999999984</v>
      </c>
      <c r="F26" s="210">
        <v>0.26333000000000001</v>
      </c>
      <c r="G26" s="210"/>
      <c r="H26" s="210"/>
      <c r="I26" s="209">
        <v>7.8399999999999997E-3</v>
      </c>
      <c r="J26" s="211">
        <v>0.57401999999999986</v>
      </c>
      <c r="K26" s="216"/>
      <c r="L26" s="210">
        <v>1.388E-2</v>
      </c>
      <c r="M26" s="216"/>
      <c r="N26" s="213">
        <v>0.30284999999999984</v>
      </c>
      <c r="O26" s="213">
        <v>0.31672999999999984</v>
      </c>
      <c r="P26" s="210">
        <v>-2.8400000000000001E-3</v>
      </c>
      <c r="Q26" s="863"/>
      <c r="R26" s="749">
        <v>0.31388999999999984</v>
      </c>
      <c r="S26" s="1505">
        <v>0</v>
      </c>
      <c r="T26" s="210">
        <v>-2.5300000000000001E-3</v>
      </c>
      <c r="U26" s="210">
        <v>1.15E-3</v>
      </c>
      <c r="V26" s="762">
        <v>-1.3800000000000002E-3</v>
      </c>
      <c r="W26" s="761">
        <v>0.58367999999999987</v>
      </c>
      <c r="X26" s="1139"/>
      <c r="Y26" s="887">
        <v>6.28E-3</v>
      </c>
      <c r="Z26" s="862">
        <v>-2.5000000000000001E-4</v>
      </c>
      <c r="AA26" s="862">
        <v>0</v>
      </c>
      <c r="AB26" s="862">
        <v>-2.4399999999999999E-3</v>
      </c>
      <c r="AC26" s="762">
        <v>6.28E-3</v>
      </c>
      <c r="AD26" s="922">
        <v>0.5886499999999999</v>
      </c>
      <c r="AE26" s="216"/>
      <c r="AF26" s="214"/>
      <c r="AG26" s="215"/>
      <c r="AH26" s="218"/>
      <c r="AI26" s="216"/>
      <c r="AJ26" s="218"/>
      <c r="AK26" s="217"/>
      <c r="AL26" s="216"/>
    </row>
    <row r="27" spans="1:38" x14ac:dyDescent="0.25">
      <c r="A27" s="123">
        <v>21</v>
      </c>
      <c r="B27" s="76" t="s">
        <v>260</v>
      </c>
      <c r="C27" s="76" t="s">
        <v>271</v>
      </c>
      <c r="D27" s="1332" t="s">
        <v>4</v>
      </c>
      <c r="E27" s="219">
        <v>0.34791</v>
      </c>
      <c r="F27" s="216">
        <v>0</v>
      </c>
      <c r="G27" s="216"/>
      <c r="H27" s="216"/>
      <c r="I27" s="218">
        <v>1.5499999999999999E-3</v>
      </c>
      <c r="J27" s="217">
        <v>0.34945999999999999</v>
      </c>
      <c r="K27" s="216"/>
      <c r="L27" s="216">
        <v>2.562E-2</v>
      </c>
      <c r="M27" s="216"/>
      <c r="N27" s="220">
        <v>0.34791</v>
      </c>
      <c r="O27" s="220">
        <v>0.37352999999999997</v>
      </c>
      <c r="P27" s="216">
        <v>-4.3499999999999997E-3</v>
      </c>
      <c r="Q27" s="865"/>
      <c r="R27" s="750">
        <v>0.36917999999999995</v>
      </c>
      <c r="S27" s="1506">
        <v>0</v>
      </c>
      <c r="T27" s="216">
        <v>-3.9100000000000003E-3</v>
      </c>
      <c r="U27" s="216">
        <v>1.3799999999999999E-3</v>
      </c>
      <c r="V27" s="763">
        <v>-2.5300000000000001E-3</v>
      </c>
      <c r="W27" s="764">
        <v>0.36819999999999997</v>
      </c>
      <c r="X27" s="1139"/>
      <c r="Y27" s="886">
        <v>9.7099999999999999E-3</v>
      </c>
      <c r="Z27" s="864">
        <v>-3.8000000000000002E-4</v>
      </c>
      <c r="AA27" s="1402">
        <v>0</v>
      </c>
      <c r="AB27" s="864">
        <v>-3.7799999999999999E-3</v>
      </c>
      <c r="AC27" s="763">
        <v>9.7099999999999999E-3</v>
      </c>
      <c r="AD27" s="1310">
        <v>0.37628</v>
      </c>
      <c r="AE27" s="216"/>
      <c r="AF27" s="214">
        <v>500</v>
      </c>
      <c r="AG27" s="215">
        <v>500</v>
      </c>
      <c r="AH27" s="218"/>
      <c r="AI27" s="216"/>
      <c r="AJ27" s="218"/>
      <c r="AK27" s="217"/>
      <c r="AL27" s="216"/>
    </row>
    <row r="28" spans="1:38" x14ac:dyDescent="0.25">
      <c r="A28" s="123">
        <v>22</v>
      </c>
      <c r="B28" s="151"/>
      <c r="C28" s="151"/>
      <c r="D28" s="1333" t="s">
        <v>5</v>
      </c>
      <c r="E28" s="208">
        <v>0.30653000000000008</v>
      </c>
      <c r="F28" s="210">
        <v>0</v>
      </c>
      <c r="G28" s="210"/>
      <c r="H28" s="210"/>
      <c r="I28" s="209">
        <v>1.3600000000000001E-3</v>
      </c>
      <c r="J28" s="211">
        <v>0.30789000000000011</v>
      </c>
      <c r="K28" s="216"/>
      <c r="L28" s="210">
        <v>2.257E-2</v>
      </c>
      <c r="M28" s="216"/>
      <c r="N28" s="213">
        <v>0.30653000000000008</v>
      </c>
      <c r="O28" s="213">
        <v>0.32910000000000006</v>
      </c>
      <c r="P28" s="210">
        <v>-3.8300000000000001E-3</v>
      </c>
      <c r="Q28" s="863"/>
      <c r="R28" s="749">
        <v>0.32527000000000006</v>
      </c>
      <c r="S28" s="1505">
        <v>0</v>
      </c>
      <c r="T28" s="210">
        <v>-3.4399999999999999E-3</v>
      </c>
      <c r="U28" s="210">
        <v>1.2099999999999999E-3</v>
      </c>
      <c r="V28" s="762">
        <v>-2.2300000000000002E-3</v>
      </c>
      <c r="W28" s="761">
        <v>0.32440000000000002</v>
      </c>
      <c r="X28" s="1139"/>
      <c r="Y28" s="887">
        <v>8.5500000000000003E-3</v>
      </c>
      <c r="Z28" s="862">
        <v>-3.4000000000000002E-4</v>
      </c>
      <c r="AA28" s="862">
        <v>0</v>
      </c>
      <c r="AB28" s="862">
        <v>-3.3300000000000001E-3</v>
      </c>
      <c r="AC28" s="762">
        <v>8.5500000000000003E-3</v>
      </c>
      <c r="AD28" s="922">
        <v>0.33151000000000003</v>
      </c>
      <c r="AE28" s="216"/>
      <c r="AF28" s="214"/>
      <c r="AG28" s="215"/>
      <c r="AH28" s="218"/>
      <c r="AI28" s="216"/>
      <c r="AJ28" s="218"/>
      <c r="AK28" s="217"/>
      <c r="AL28" s="216"/>
    </row>
    <row r="29" spans="1:38" x14ac:dyDescent="0.25">
      <c r="A29" s="123">
        <v>23</v>
      </c>
      <c r="B29" s="76" t="s">
        <v>254</v>
      </c>
      <c r="C29" s="76" t="s">
        <v>272</v>
      </c>
      <c r="D29" s="1332" t="s">
        <v>4</v>
      </c>
      <c r="E29" s="219">
        <v>0.34791</v>
      </c>
      <c r="F29" s="216">
        <v>0</v>
      </c>
      <c r="G29" s="216"/>
      <c r="H29" s="221"/>
      <c r="I29" s="218">
        <v>1.5499999999999999E-3</v>
      </c>
      <c r="J29" s="217">
        <v>0.34945999999999999</v>
      </c>
      <c r="K29" s="216"/>
      <c r="L29" s="216">
        <v>1.5949999999999999E-2</v>
      </c>
      <c r="M29" s="216"/>
      <c r="N29" s="220">
        <v>0.34791</v>
      </c>
      <c r="O29" s="220">
        <v>0.36386000000000002</v>
      </c>
      <c r="P29" s="216">
        <v>-3.2599999999999999E-3</v>
      </c>
      <c r="Q29" s="865"/>
      <c r="R29" s="750">
        <v>0.36060000000000003</v>
      </c>
      <c r="S29" s="1506">
        <v>0</v>
      </c>
      <c r="T29" s="216">
        <v>-2.8999999999999998E-3</v>
      </c>
      <c r="U29" s="216">
        <v>1.32E-3</v>
      </c>
      <c r="V29" s="763">
        <v>-1.5799999999999998E-3</v>
      </c>
      <c r="W29" s="764">
        <v>0.36057</v>
      </c>
      <c r="X29" s="1139"/>
      <c r="Y29" s="886">
        <v>7.2100000000000003E-3</v>
      </c>
      <c r="Z29" s="864">
        <v>-2.9E-4</v>
      </c>
      <c r="AA29" s="1402">
        <v>0</v>
      </c>
      <c r="AB29" s="864">
        <v>-2.81E-3</v>
      </c>
      <c r="AC29" s="763">
        <v>7.2100000000000003E-3</v>
      </c>
      <c r="AD29" s="1310">
        <v>0.36626000000000003</v>
      </c>
      <c r="AE29" s="216"/>
      <c r="AF29" s="214">
        <v>500</v>
      </c>
      <c r="AG29" s="215">
        <v>500</v>
      </c>
      <c r="AH29" s="218"/>
      <c r="AI29" s="216"/>
      <c r="AJ29" s="218"/>
      <c r="AK29" s="217"/>
      <c r="AL29" s="216"/>
    </row>
    <row r="30" spans="1:38" x14ac:dyDescent="0.25">
      <c r="A30" s="123">
        <v>24</v>
      </c>
      <c r="B30" s="151"/>
      <c r="C30" s="151"/>
      <c r="D30" s="1333" t="s">
        <v>5</v>
      </c>
      <c r="E30" s="208">
        <v>0.30653000000000008</v>
      </c>
      <c r="F30" s="210">
        <v>0</v>
      </c>
      <c r="G30" s="210"/>
      <c r="H30" s="210"/>
      <c r="I30" s="209">
        <v>1.3600000000000001E-3</v>
      </c>
      <c r="J30" s="211">
        <v>0.30789000000000011</v>
      </c>
      <c r="K30" s="216"/>
      <c r="L30" s="210">
        <v>1.405E-2</v>
      </c>
      <c r="M30" s="216"/>
      <c r="N30" s="213">
        <v>0.30653000000000008</v>
      </c>
      <c r="O30" s="213">
        <v>0.32058000000000009</v>
      </c>
      <c r="P30" s="210">
        <v>-2.8700000000000002E-3</v>
      </c>
      <c r="Q30" s="863"/>
      <c r="R30" s="749">
        <v>0.3177100000000001</v>
      </c>
      <c r="S30" s="1505">
        <v>0</v>
      </c>
      <c r="T30" s="210">
        <v>-2.5600000000000002E-3</v>
      </c>
      <c r="U30" s="210">
        <v>1.16E-3</v>
      </c>
      <c r="V30" s="762">
        <v>-1.4000000000000002E-3</v>
      </c>
      <c r="W30" s="761">
        <v>0.31767000000000012</v>
      </c>
      <c r="X30" s="1139"/>
      <c r="Y30" s="878">
        <v>6.3499999999999997E-3</v>
      </c>
      <c r="Z30" s="862">
        <v>-2.5000000000000001E-4</v>
      </c>
      <c r="AA30" s="864">
        <v>0</v>
      </c>
      <c r="AB30" s="862">
        <v>-2.47E-3</v>
      </c>
      <c r="AC30" s="762">
        <v>6.3499999999999997E-3</v>
      </c>
      <c r="AD30" s="922">
        <v>0.32270000000000015</v>
      </c>
      <c r="AE30" s="216"/>
      <c r="AF30" s="724"/>
      <c r="AG30" s="122"/>
      <c r="AH30" s="218"/>
      <c r="AI30" s="216"/>
      <c r="AJ30" s="218"/>
      <c r="AK30" s="217"/>
      <c r="AL30" s="216"/>
    </row>
    <row r="31" spans="1:38" x14ac:dyDescent="0.25">
      <c r="A31" s="123">
        <v>25</v>
      </c>
      <c r="B31" s="123" t="s">
        <v>250</v>
      </c>
      <c r="C31" s="123" t="s">
        <v>273</v>
      </c>
      <c r="D31" s="1347" t="s">
        <v>4</v>
      </c>
      <c r="E31" s="219">
        <v>0.15245999999999996</v>
      </c>
      <c r="F31" s="216">
        <v>0.26333000000000001</v>
      </c>
      <c r="G31" s="216"/>
      <c r="H31" s="216"/>
      <c r="I31" s="218">
        <v>1.9560000000000001E-2</v>
      </c>
      <c r="J31" s="217">
        <v>0.43535000000000001</v>
      </c>
      <c r="K31" s="216"/>
      <c r="L31" s="216">
        <v>3.7769999999999998E-2</v>
      </c>
      <c r="M31" s="216"/>
      <c r="N31" s="220">
        <v>0.15246000000000001</v>
      </c>
      <c r="O31" s="220">
        <v>0.19023000000000001</v>
      </c>
      <c r="P31" s="216">
        <v>-3.0899999999999999E-3</v>
      </c>
      <c r="Q31" s="865"/>
      <c r="R31" s="750">
        <v>0.18714</v>
      </c>
      <c r="S31" s="1065">
        <v>-5.5300000000000002E-3</v>
      </c>
      <c r="T31" s="216">
        <v>-2.9399999999999999E-3</v>
      </c>
      <c r="U31" s="216">
        <v>1.0399999999999999E-3</v>
      </c>
      <c r="V31" s="763">
        <v>-7.43E-3</v>
      </c>
      <c r="W31" s="764">
        <v>0.46260000000000001</v>
      </c>
      <c r="X31" s="1139"/>
      <c r="Y31" s="886">
        <v>2.095E-2</v>
      </c>
      <c r="Z31" s="864">
        <v>-2.9999999999999997E-4</v>
      </c>
      <c r="AA31" s="1402">
        <v>-5.5300000000000002E-3</v>
      </c>
      <c r="AB31" s="864">
        <v>-2.9399999999999999E-3</v>
      </c>
      <c r="AC31" s="763">
        <v>2.095E-2</v>
      </c>
      <c r="AD31" s="1310">
        <v>0.48221000000000003</v>
      </c>
      <c r="AE31" s="216"/>
      <c r="AF31" s="214">
        <v>1300</v>
      </c>
      <c r="AG31" s="215">
        <v>1300</v>
      </c>
      <c r="AH31" s="218">
        <v>0.15748000000000001</v>
      </c>
      <c r="AI31" s="218">
        <v>0.15748000000000001</v>
      </c>
      <c r="AJ31" s="218">
        <v>0.20415</v>
      </c>
      <c r="AK31" s="727">
        <v>0.20415</v>
      </c>
      <c r="AL31" s="216"/>
    </row>
    <row r="32" spans="1:38" x14ac:dyDescent="0.25">
      <c r="A32" s="123">
        <v>26</v>
      </c>
      <c r="B32" s="1348"/>
      <c r="C32" s="1348"/>
      <c r="D32" s="1347" t="s">
        <v>5</v>
      </c>
      <c r="E32" s="219">
        <v>0.1364699999999997</v>
      </c>
      <c r="F32" s="216">
        <v>0.26333000000000001</v>
      </c>
      <c r="G32" s="216"/>
      <c r="H32" s="216"/>
      <c r="I32" s="218">
        <v>1.6539999999999999E-2</v>
      </c>
      <c r="J32" s="217">
        <v>0.41633999999999971</v>
      </c>
      <c r="K32" s="216"/>
      <c r="L32" s="216">
        <v>3.381E-2</v>
      </c>
      <c r="M32" s="216"/>
      <c r="N32" s="220">
        <v>0.1364699999999997</v>
      </c>
      <c r="O32" s="220">
        <v>0.17027999999999971</v>
      </c>
      <c r="P32" s="216">
        <v>-2.7699999999999999E-3</v>
      </c>
      <c r="Q32" s="865"/>
      <c r="R32" s="750">
        <v>0.16750999999999971</v>
      </c>
      <c r="S32" s="1065">
        <v>-4.9500000000000004E-3</v>
      </c>
      <c r="T32" s="216">
        <v>-2.63E-3</v>
      </c>
      <c r="U32" s="216">
        <v>9.3000000000000005E-4</v>
      </c>
      <c r="V32" s="763">
        <v>-6.6499999999999997E-3</v>
      </c>
      <c r="W32" s="764">
        <v>0.44072999999999973</v>
      </c>
      <c r="X32" s="1139"/>
      <c r="Y32" s="878">
        <v>1.8749999999999999E-2</v>
      </c>
      <c r="Z32" s="864">
        <v>-2.7E-4</v>
      </c>
      <c r="AA32" s="864">
        <v>-4.9500000000000004E-3</v>
      </c>
      <c r="AB32" s="864">
        <v>-2.64E-3</v>
      </c>
      <c r="AC32" s="763">
        <v>1.8749999999999999E-2</v>
      </c>
      <c r="AD32" s="1310">
        <v>0.45826999999999979</v>
      </c>
      <c r="AE32" s="216"/>
      <c r="AF32" s="214"/>
      <c r="AG32" s="215"/>
      <c r="AH32" s="218"/>
      <c r="AI32" s="216"/>
      <c r="AJ32" s="218"/>
      <c r="AK32" s="217"/>
      <c r="AL32" s="216"/>
    </row>
    <row r="33" spans="1:38" x14ac:dyDescent="0.25">
      <c r="A33" s="123">
        <v>27</v>
      </c>
      <c r="B33" s="123"/>
      <c r="C33" s="123"/>
      <c r="D33" s="1347" t="s">
        <v>6</v>
      </c>
      <c r="E33" s="219">
        <v>0.1046699999999999</v>
      </c>
      <c r="F33" s="216">
        <v>0.26333000000000001</v>
      </c>
      <c r="G33" s="216"/>
      <c r="H33" s="216"/>
      <c r="I33" s="218">
        <v>1.052E-2</v>
      </c>
      <c r="J33" s="217">
        <v>0.37851999999999986</v>
      </c>
      <c r="K33" s="216"/>
      <c r="L33" s="216">
        <v>2.5930000000000002E-2</v>
      </c>
      <c r="M33" s="216"/>
      <c r="N33" s="220">
        <v>0.10466999999999985</v>
      </c>
      <c r="O33" s="220">
        <v>0.13059999999999986</v>
      </c>
      <c r="P33" s="216">
        <v>-2.1199999999999999E-3</v>
      </c>
      <c r="Q33" s="865"/>
      <c r="R33" s="750">
        <v>0.12847999999999984</v>
      </c>
      <c r="S33" s="1065">
        <v>-3.8E-3</v>
      </c>
      <c r="T33" s="216">
        <v>-2.0200000000000001E-3</v>
      </c>
      <c r="U33" s="216">
        <v>7.1000000000000002E-4</v>
      </c>
      <c r="V33" s="763">
        <v>-5.1100000000000008E-3</v>
      </c>
      <c r="W33" s="764">
        <v>0.3972199999999998</v>
      </c>
      <c r="X33" s="1139"/>
      <c r="Y33" s="878">
        <v>1.438E-2</v>
      </c>
      <c r="Z33" s="864">
        <v>-2.1000000000000001E-4</v>
      </c>
      <c r="AA33" s="864">
        <v>-3.8E-3</v>
      </c>
      <c r="AB33" s="864">
        <v>-2.0200000000000001E-3</v>
      </c>
      <c r="AC33" s="763">
        <v>1.438E-2</v>
      </c>
      <c r="AD33" s="1310">
        <v>0.41067999999999988</v>
      </c>
      <c r="AE33" s="216"/>
      <c r="AF33" s="724"/>
      <c r="AG33" s="122"/>
      <c r="AH33" s="218"/>
      <c r="AI33" s="216"/>
      <c r="AJ33" s="218"/>
      <c r="AK33" s="217"/>
      <c r="AL33" s="216"/>
    </row>
    <row r="34" spans="1:38" x14ac:dyDescent="0.25">
      <c r="A34" s="123">
        <v>28</v>
      </c>
      <c r="B34" s="123"/>
      <c r="C34" s="123"/>
      <c r="D34" s="1347" t="s">
        <v>7</v>
      </c>
      <c r="E34" s="219">
        <v>8.3729999999999999E-2</v>
      </c>
      <c r="F34" s="216">
        <v>0.26333000000000001</v>
      </c>
      <c r="G34" s="216"/>
      <c r="H34" s="216"/>
      <c r="I34" s="218">
        <v>6.550000000000002E-3</v>
      </c>
      <c r="J34" s="217">
        <v>0.35361000000000004</v>
      </c>
      <c r="K34" s="216"/>
      <c r="L34" s="216">
        <v>2.0740000000000001E-2</v>
      </c>
      <c r="M34" s="216"/>
      <c r="N34" s="220">
        <v>8.3730000000000027E-2</v>
      </c>
      <c r="O34" s="220">
        <v>0.10447000000000004</v>
      </c>
      <c r="P34" s="216">
        <v>-1.6999999999999999E-3</v>
      </c>
      <c r="Q34" s="865"/>
      <c r="R34" s="750">
        <v>0.10277000000000004</v>
      </c>
      <c r="S34" s="1065">
        <v>-3.0400000000000002E-3</v>
      </c>
      <c r="T34" s="216">
        <v>-1.6100000000000001E-3</v>
      </c>
      <c r="U34" s="216">
        <v>5.6999999999999998E-4</v>
      </c>
      <c r="V34" s="763">
        <v>-4.0800000000000003E-3</v>
      </c>
      <c r="W34" s="764">
        <v>0.36857000000000006</v>
      </c>
      <c r="X34" s="1139"/>
      <c r="Y34" s="878">
        <v>1.1509999999999999E-2</v>
      </c>
      <c r="Z34" s="864">
        <v>-1.6000000000000001E-4</v>
      </c>
      <c r="AA34" s="864">
        <v>-3.0400000000000002E-3</v>
      </c>
      <c r="AB34" s="864">
        <v>-1.6199999999999999E-3</v>
      </c>
      <c r="AC34" s="763">
        <v>1.1509999999999999E-2</v>
      </c>
      <c r="AD34" s="1310">
        <v>0.37934000000000001</v>
      </c>
      <c r="AE34" s="216"/>
      <c r="AF34" s="214"/>
      <c r="AG34" s="215"/>
      <c r="AH34" s="218"/>
      <c r="AI34" s="216"/>
      <c r="AJ34" s="218"/>
      <c r="AK34" s="217"/>
      <c r="AL34" s="216"/>
    </row>
    <row r="35" spans="1:38" x14ac:dyDescent="0.25">
      <c r="A35" s="123">
        <v>29</v>
      </c>
      <c r="B35" s="123"/>
      <c r="C35" s="123"/>
      <c r="D35" s="1347" t="s">
        <v>8</v>
      </c>
      <c r="E35" s="219">
        <v>5.5809999999999992E-2</v>
      </c>
      <c r="F35" s="216">
        <v>0.26333000000000001</v>
      </c>
      <c r="G35" s="216"/>
      <c r="H35" s="216"/>
      <c r="I35" s="218">
        <v>1.239999999999998E-3</v>
      </c>
      <c r="J35" s="217">
        <v>0.32038</v>
      </c>
      <c r="K35" s="216"/>
      <c r="L35" s="216">
        <v>1.383E-2</v>
      </c>
      <c r="M35" s="216"/>
      <c r="N35" s="220">
        <v>5.5809999999999992E-2</v>
      </c>
      <c r="O35" s="220">
        <v>6.9639999999999994E-2</v>
      </c>
      <c r="P35" s="216">
        <v>-1.1299999999999999E-3</v>
      </c>
      <c r="Q35" s="865"/>
      <c r="R35" s="750">
        <v>6.8509999999999988E-2</v>
      </c>
      <c r="S35" s="1065">
        <v>-2.0200000000000001E-3</v>
      </c>
      <c r="T35" s="216">
        <v>-1.08E-3</v>
      </c>
      <c r="U35" s="216">
        <v>3.8000000000000002E-4</v>
      </c>
      <c r="V35" s="763">
        <v>-2.7200000000000002E-3</v>
      </c>
      <c r="W35" s="764">
        <v>0.33035999999999999</v>
      </c>
      <c r="X35" s="1139"/>
      <c r="Y35" s="878">
        <v>7.6699999999999997E-3</v>
      </c>
      <c r="Z35" s="864">
        <v>-1.1E-4</v>
      </c>
      <c r="AA35" s="864">
        <v>-2.0200000000000001E-3</v>
      </c>
      <c r="AB35" s="864">
        <v>-1.08E-3</v>
      </c>
      <c r="AC35" s="763">
        <v>7.6699999999999997E-3</v>
      </c>
      <c r="AD35" s="1310">
        <v>0.33754000000000006</v>
      </c>
      <c r="AE35" s="216"/>
      <c r="AF35" s="214"/>
      <c r="AG35" s="215"/>
      <c r="AH35" s="218"/>
      <c r="AI35" s="216"/>
      <c r="AJ35" s="218"/>
      <c r="AK35" s="217"/>
      <c r="AL35" s="216"/>
    </row>
    <row r="36" spans="1:38" x14ac:dyDescent="0.25">
      <c r="A36" s="123">
        <v>30</v>
      </c>
      <c r="B36" s="1346"/>
      <c r="C36" s="1346"/>
      <c r="D36" s="1349" t="s">
        <v>9</v>
      </c>
      <c r="E36" s="208">
        <v>2.0920000000000029E-2</v>
      </c>
      <c r="F36" s="210">
        <v>0.26333000000000001</v>
      </c>
      <c r="G36" s="210"/>
      <c r="H36" s="210"/>
      <c r="I36" s="209">
        <v>-5.3500000000000006E-3</v>
      </c>
      <c r="J36" s="211">
        <v>0.27890000000000004</v>
      </c>
      <c r="K36" s="216"/>
      <c r="L36" s="210">
        <v>5.1799999999999997E-3</v>
      </c>
      <c r="M36" s="216"/>
      <c r="N36" s="213">
        <v>2.0920000000000029E-2</v>
      </c>
      <c r="O36" s="213">
        <v>2.6100000000000029E-2</v>
      </c>
      <c r="P36" s="210">
        <v>-4.2000000000000002E-4</v>
      </c>
      <c r="Q36" s="863"/>
      <c r="R36" s="749">
        <v>2.5680000000000029E-2</v>
      </c>
      <c r="S36" s="1064">
        <v>-7.6000000000000004E-4</v>
      </c>
      <c r="T36" s="210">
        <v>-4.0000000000000002E-4</v>
      </c>
      <c r="U36" s="210">
        <v>1.3999999999999999E-4</v>
      </c>
      <c r="V36" s="762">
        <v>-1.0200000000000001E-3</v>
      </c>
      <c r="W36" s="761">
        <v>0.28264</v>
      </c>
      <c r="X36" s="1139"/>
      <c r="Y36" s="887">
        <v>2.8800000000000002E-3</v>
      </c>
      <c r="Z36" s="862">
        <v>-4.0000000000000003E-5</v>
      </c>
      <c r="AA36" s="862">
        <v>-7.6000000000000004E-4</v>
      </c>
      <c r="AB36" s="862">
        <v>-4.0000000000000002E-4</v>
      </c>
      <c r="AC36" s="762">
        <v>2.8800000000000002E-3</v>
      </c>
      <c r="AD36" s="922">
        <v>0.28534000000000004</v>
      </c>
      <c r="AE36" s="216"/>
      <c r="AF36" s="724"/>
      <c r="AG36" s="122"/>
      <c r="AH36" s="218"/>
      <c r="AI36" s="216"/>
      <c r="AJ36" s="218"/>
      <c r="AK36" s="217"/>
      <c r="AL36" s="216"/>
    </row>
    <row r="37" spans="1:38" x14ac:dyDescent="0.25">
      <c r="A37" s="123">
        <v>31</v>
      </c>
      <c r="B37" s="123" t="s">
        <v>259</v>
      </c>
      <c r="C37" s="123" t="s">
        <v>274</v>
      </c>
      <c r="D37" s="1347" t="s">
        <v>4</v>
      </c>
      <c r="E37" s="219">
        <v>0.14721000000000001</v>
      </c>
      <c r="F37" s="216">
        <v>0.26333000000000001</v>
      </c>
      <c r="G37" s="216"/>
      <c r="H37" s="216"/>
      <c r="I37" s="218">
        <v>-4.6100000000000012E-3</v>
      </c>
      <c r="J37" s="217">
        <v>0.40593000000000001</v>
      </c>
      <c r="K37" s="216"/>
      <c r="L37" s="216">
        <v>1.6219999999999998E-2</v>
      </c>
      <c r="M37" s="216"/>
      <c r="N37" s="220">
        <v>0.14721000000000001</v>
      </c>
      <c r="O37" s="220">
        <v>0.16343000000000002</v>
      </c>
      <c r="P37" s="216">
        <v>-2.7499999999999998E-3</v>
      </c>
      <c r="Q37" s="865"/>
      <c r="R37" s="750">
        <v>0.16068000000000002</v>
      </c>
      <c r="S37" s="1065">
        <v>0</v>
      </c>
      <c r="T37" s="216">
        <v>-2.47E-3</v>
      </c>
      <c r="U37" s="216">
        <v>8.7000000000000001E-4</v>
      </c>
      <c r="V37" s="763">
        <v>-1.5999999999999999E-3</v>
      </c>
      <c r="W37" s="764">
        <v>0.41780000000000006</v>
      </c>
      <c r="X37" s="1139"/>
      <c r="Y37" s="886">
        <v>6.1399999999999996E-3</v>
      </c>
      <c r="Z37" s="864">
        <v>-2.4000000000000001E-4</v>
      </c>
      <c r="AA37" s="1402">
        <v>0</v>
      </c>
      <c r="AB37" s="864">
        <v>-2.3900000000000002E-3</v>
      </c>
      <c r="AC37" s="763">
        <v>6.1399999999999996E-3</v>
      </c>
      <c r="AD37" s="1310">
        <v>0.42291000000000006</v>
      </c>
      <c r="AE37" s="216"/>
      <c r="AF37" s="214">
        <v>1300</v>
      </c>
      <c r="AG37" s="215">
        <v>1300</v>
      </c>
      <c r="AH37" s="218">
        <v>0.15748000000000001</v>
      </c>
      <c r="AI37" s="218">
        <v>0.15748000000000001</v>
      </c>
      <c r="AJ37" s="218">
        <v>0.20415</v>
      </c>
      <c r="AK37" s="727">
        <v>0.20415</v>
      </c>
      <c r="AL37" s="216"/>
    </row>
    <row r="38" spans="1:38" x14ac:dyDescent="0.25">
      <c r="A38" s="123">
        <v>32</v>
      </c>
      <c r="B38" s="1348"/>
      <c r="C38" s="1348"/>
      <c r="D38" s="1347" t="s">
        <v>5</v>
      </c>
      <c r="E38" s="219">
        <v>0.13177</v>
      </c>
      <c r="F38" s="216">
        <v>0.26333000000000001</v>
      </c>
      <c r="G38" s="216"/>
      <c r="H38" s="216"/>
      <c r="I38" s="218">
        <v>-5.1100000000000008E-3</v>
      </c>
      <c r="J38" s="217">
        <v>0.38999</v>
      </c>
      <c r="K38" s="216"/>
      <c r="L38" s="216">
        <v>1.452E-2</v>
      </c>
      <c r="M38" s="216"/>
      <c r="N38" s="220">
        <v>0.13177</v>
      </c>
      <c r="O38" s="220">
        <v>0.14629</v>
      </c>
      <c r="P38" s="216">
        <v>-2.4599999999999999E-3</v>
      </c>
      <c r="Q38" s="865"/>
      <c r="R38" s="750">
        <v>0.14383000000000001</v>
      </c>
      <c r="S38" s="1065">
        <v>0</v>
      </c>
      <c r="T38" s="216">
        <v>-2.2200000000000002E-3</v>
      </c>
      <c r="U38" s="216">
        <v>7.7999999999999999E-4</v>
      </c>
      <c r="V38" s="763">
        <v>-1.4400000000000003E-3</v>
      </c>
      <c r="W38" s="764">
        <v>0.40061000000000002</v>
      </c>
      <c r="X38" s="1139"/>
      <c r="Y38" s="878">
        <v>5.4999999999999997E-3</v>
      </c>
      <c r="Z38" s="864">
        <v>-2.2000000000000001E-4</v>
      </c>
      <c r="AA38" s="864">
        <v>0</v>
      </c>
      <c r="AB38" s="864">
        <v>-2.14E-3</v>
      </c>
      <c r="AC38" s="763">
        <v>5.4999999999999997E-3</v>
      </c>
      <c r="AD38" s="1310">
        <v>0.40518999999999999</v>
      </c>
      <c r="AE38" s="216"/>
      <c r="AF38" s="214"/>
      <c r="AG38" s="215"/>
      <c r="AH38" s="218"/>
      <c r="AI38" s="216"/>
      <c r="AJ38" s="218"/>
      <c r="AK38" s="217"/>
      <c r="AL38" s="216"/>
    </row>
    <row r="39" spans="1:38" x14ac:dyDescent="0.25">
      <c r="A39" s="123">
        <v>33</v>
      </c>
      <c r="B39" s="123"/>
      <c r="C39" s="123"/>
      <c r="D39" s="1347" t="s">
        <v>6</v>
      </c>
      <c r="E39" s="219">
        <v>0.10104999999999985</v>
      </c>
      <c r="F39" s="216">
        <v>0.26333000000000001</v>
      </c>
      <c r="G39" s="216"/>
      <c r="H39" s="216"/>
      <c r="I39" s="218">
        <v>-6.0700000000000007E-3</v>
      </c>
      <c r="J39" s="217">
        <v>0.35830999999999985</v>
      </c>
      <c r="K39" s="216"/>
      <c r="L39" s="216">
        <v>1.1129999999999999E-2</v>
      </c>
      <c r="M39" s="216"/>
      <c r="N39" s="220">
        <v>0.10104999999999985</v>
      </c>
      <c r="O39" s="220">
        <v>0.11217999999999985</v>
      </c>
      <c r="P39" s="216">
        <v>-1.89E-3</v>
      </c>
      <c r="Q39" s="865"/>
      <c r="R39" s="750">
        <v>0.11028999999999985</v>
      </c>
      <c r="S39" s="1065">
        <v>0</v>
      </c>
      <c r="T39" s="216">
        <v>-1.6999999999999999E-3</v>
      </c>
      <c r="U39" s="216">
        <v>5.9999999999999995E-4</v>
      </c>
      <c r="V39" s="763">
        <v>-1.0999999999999998E-3</v>
      </c>
      <c r="W39" s="764">
        <v>0.36644999999999983</v>
      </c>
      <c r="X39" s="1139"/>
      <c r="Y39" s="878">
        <v>4.2199999999999998E-3</v>
      </c>
      <c r="Z39" s="864">
        <v>-1.7000000000000001E-4</v>
      </c>
      <c r="AA39" s="864">
        <v>0</v>
      </c>
      <c r="AB39" s="864">
        <v>-1.64E-3</v>
      </c>
      <c r="AC39" s="763">
        <v>4.2199999999999998E-3</v>
      </c>
      <c r="AD39" s="1310">
        <v>0.36995999999999984</v>
      </c>
      <c r="AE39" s="216"/>
      <c r="AF39" s="214"/>
      <c r="AG39" s="215"/>
      <c r="AH39" s="218"/>
      <c r="AI39" s="216"/>
      <c r="AJ39" s="218"/>
      <c r="AK39" s="217"/>
      <c r="AL39" s="216"/>
    </row>
    <row r="40" spans="1:38" x14ac:dyDescent="0.25">
      <c r="A40" s="123">
        <v>34</v>
      </c>
      <c r="B40" s="123"/>
      <c r="C40" s="123"/>
      <c r="D40" s="1347" t="s">
        <v>7</v>
      </c>
      <c r="E40" s="219">
        <v>8.0839999999999995E-2</v>
      </c>
      <c r="F40" s="216">
        <v>0.26333000000000001</v>
      </c>
      <c r="G40" s="216"/>
      <c r="H40" s="216"/>
      <c r="I40" s="218">
        <v>-6.7300000000000007E-3</v>
      </c>
      <c r="J40" s="217">
        <v>0.33743999999999996</v>
      </c>
      <c r="K40" s="216"/>
      <c r="L40" s="216">
        <v>8.9099999999999995E-3</v>
      </c>
      <c r="M40" s="216"/>
      <c r="N40" s="220">
        <v>8.0839999999999954E-2</v>
      </c>
      <c r="O40" s="220">
        <v>8.9749999999999955E-2</v>
      </c>
      <c r="P40" s="216">
        <v>-1.5100000000000001E-3</v>
      </c>
      <c r="Q40" s="865"/>
      <c r="R40" s="750">
        <v>8.8239999999999957E-2</v>
      </c>
      <c r="S40" s="1065">
        <v>0</v>
      </c>
      <c r="T40" s="216">
        <v>-1.3600000000000001E-3</v>
      </c>
      <c r="U40" s="216">
        <v>4.8000000000000001E-4</v>
      </c>
      <c r="V40" s="763">
        <v>-8.8000000000000014E-4</v>
      </c>
      <c r="W40" s="764">
        <v>0.34395999999999993</v>
      </c>
      <c r="X40" s="1139"/>
      <c r="Y40" s="878">
        <v>3.3700000000000002E-3</v>
      </c>
      <c r="Z40" s="864">
        <v>-1.2999999999999999E-4</v>
      </c>
      <c r="AA40" s="864">
        <v>0</v>
      </c>
      <c r="AB40" s="864">
        <v>-1.31E-3</v>
      </c>
      <c r="AC40" s="763">
        <v>3.3700000000000002E-3</v>
      </c>
      <c r="AD40" s="1310">
        <v>0.34676999999999997</v>
      </c>
      <c r="AE40" s="216"/>
      <c r="AF40" s="214"/>
      <c r="AG40" s="215"/>
      <c r="AH40" s="218"/>
      <c r="AI40" s="216"/>
      <c r="AJ40" s="218"/>
      <c r="AK40" s="217"/>
      <c r="AL40" s="216"/>
    </row>
    <row r="41" spans="1:38" x14ac:dyDescent="0.25">
      <c r="A41" s="123">
        <v>35</v>
      </c>
      <c r="B41" s="123"/>
      <c r="C41" s="123"/>
      <c r="D41" s="1347" t="s">
        <v>8</v>
      </c>
      <c r="E41" s="219">
        <v>5.391E-2</v>
      </c>
      <c r="F41" s="216">
        <v>0.26333000000000001</v>
      </c>
      <c r="G41" s="216"/>
      <c r="H41" s="216"/>
      <c r="I41" s="218">
        <v>-7.5900000000000004E-3</v>
      </c>
      <c r="J41" s="217">
        <v>0.30965000000000004</v>
      </c>
      <c r="K41" s="216"/>
      <c r="L41" s="216">
        <v>5.94E-3</v>
      </c>
      <c r="M41" s="216"/>
      <c r="N41" s="220">
        <v>5.3910000000000027E-2</v>
      </c>
      <c r="O41" s="220">
        <v>5.9850000000000028E-2</v>
      </c>
      <c r="P41" s="216">
        <v>-1.01E-3</v>
      </c>
      <c r="Q41" s="865"/>
      <c r="R41" s="750">
        <v>5.8840000000000031E-2</v>
      </c>
      <c r="S41" s="1065">
        <v>0</v>
      </c>
      <c r="T41" s="216">
        <v>-9.1E-4</v>
      </c>
      <c r="U41" s="216">
        <v>3.2000000000000003E-4</v>
      </c>
      <c r="V41" s="763">
        <v>-5.9000000000000003E-4</v>
      </c>
      <c r="W41" s="764">
        <v>0.31399000000000005</v>
      </c>
      <c r="X41" s="1139"/>
      <c r="Y41" s="878">
        <v>2.2499999999999998E-3</v>
      </c>
      <c r="Z41" s="864">
        <v>-9.0000000000000006E-5</v>
      </c>
      <c r="AA41" s="864">
        <v>0</v>
      </c>
      <c r="AB41" s="864">
        <v>-8.8000000000000003E-4</v>
      </c>
      <c r="AC41" s="763">
        <v>2.2499999999999998E-3</v>
      </c>
      <c r="AD41" s="1310">
        <v>0.31586000000000009</v>
      </c>
      <c r="AE41" s="216"/>
      <c r="AF41" s="214"/>
      <c r="AG41" s="215"/>
      <c r="AH41" s="218"/>
      <c r="AI41" s="216"/>
      <c r="AJ41" s="218"/>
      <c r="AK41" s="217"/>
      <c r="AL41" s="216"/>
    </row>
    <row r="42" spans="1:38" x14ac:dyDescent="0.25">
      <c r="A42" s="123">
        <v>36</v>
      </c>
      <c r="B42" s="1346"/>
      <c r="C42" s="1346"/>
      <c r="D42" s="1349" t="s">
        <v>9</v>
      </c>
      <c r="E42" s="208">
        <v>2.0199999999999999E-2</v>
      </c>
      <c r="F42" s="210">
        <v>0.26333000000000001</v>
      </c>
      <c r="G42" s="210"/>
      <c r="H42" s="210"/>
      <c r="I42" s="209">
        <v>-8.6700000000000006E-3</v>
      </c>
      <c r="J42" s="211">
        <v>0.27485999999999999</v>
      </c>
      <c r="K42" s="216"/>
      <c r="L42" s="210">
        <v>2.2300000000000002E-3</v>
      </c>
      <c r="M42" s="216"/>
      <c r="N42" s="213">
        <v>2.0199999999999985E-2</v>
      </c>
      <c r="O42" s="213">
        <v>2.2429999999999985E-2</v>
      </c>
      <c r="P42" s="210">
        <v>-3.8000000000000002E-4</v>
      </c>
      <c r="Q42" s="863"/>
      <c r="R42" s="749">
        <v>2.2049999999999986E-2</v>
      </c>
      <c r="S42" s="1064">
        <v>0</v>
      </c>
      <c r="T42" s="210">
        <v>-3.4000000000000002E-4</v>
      </c>
      <c r="U42" s="210">
        <v>1.2E-4</v>
      </c>
      <c r="V42" s="762">
        <v>-2.2000000000000003E-4</v>
      </c>
      <c r="W42" s="761">
        <v>0.27648999999999996</v>
      </c>
      <c r="X42" s="1139"/>
      <c r="Y42" s="887">
        <v>8.4000000000000003E-4</v>
      </c>
      <c r="Z42" s="862">
        <v>-3.0000000000000001E-5</v>
      </c>
      <c r="AA42" s="862">
        <v>0</v>
      </c>
      <c r="AB42" s="862">
        <v>-3.3E-4</v>
      </c>
      <c r="AC42" s="762">
        <v>8.4000000000000003E-4</v>
      </c>
      <c r="AD42" s="922">
        <v>0.27718999999999994</v>
      </c>
      <c r="AE42" s="216"/>
      <c r="AF42" s="214"/>
      <c r="AG42" s="215"/>
      <c r="AH42" s="218"/>
      <c r="AI42" s="216"/>
      <c r="AJ42" s="218"/>
      <c r="AK42" s="217"/>
      <c r="AL42" s="216"/>
    </row>
    <row r="43" spans="1:38" x14ac:dyDescent="0.25">
      <c r="A43" s="123">
        <v>37</v>
      </c>
      <c r="B43" s="123" t="s">
        <v>255</v>
      </c>
      <c r="C43" s="123" t="s">
        <v>275</v>
      </c>
      <c r="D43" s="1347" t="s">
        <v>4</v>
      </c>
      <c r="E43" s="219">
        <v>0.13791999999999999</v>
      </c>
      <c r="F43" s="216">
        <v>0</v>
      </c>
      <c r="G43" s="216"/>
      <c r="H43" s="216"/>
      <c r="I43" s="218">
        <v>5.9999999999999995E-4</v>
      </c>
      <c r="J43" s="217">
        <v>0.13851999999999998</v>
      </c>
      <c r="K43" s="216"/>
      <c r="L43" s="216">
        <v>1.295E-2</v>
      </c>
      <c r="M43" s="216"/>
      <c r="N43" s="220">
        <v>0.13791999999999999</v>
      </c>
      <c r="O43" s="220">
        <v>0.15086999999999998</v>
      </c>
      <c r="P43" s="216">
        <v>-1.75E-3</v>
      </c>
      <c r="Q43" s="865"/>
      <c r="R43" s="750">
        <v>0.14911999999999997</v>
      </c>
      <c r="S43" s="1065">
        <v>0</v>
      </c>
      <c r="T43" s="216">
        <v>-1.5900000000000001E-3</v>
      </c>
      <c r="U43" s="216">
        <v>5.5999999999999995E-4</v>
      </c>
      <c r="V43" s="763">
        <v>-1.0300000000000001E-3</v>
      </c>
      <c r="W43" s="764">
        <v>0.14868999999999996</v>
      </c>
      <c r="X43" s="1139"/>
      <c r="Y43" s="886">
        <v>5.94E-3</v>
      </c>
      <c r="Z43" s="864">
        <v>-1.6000000000000001E-4</v>
      </c>
      <c r="AA43" s="1402">
        <v>0</v>
      </c>
      <c r="AB43" s="864">
        <v>-1.56E-3</v>
      </c>
      <c r="AC43" s="763">
        <v>5.94E-3</v>
      </c>
      <c r="AD43" s="1310">
        <v>0.15393999999999997</v>
      </c>
      <c r="AE43" s="216"/>
      <c r="AF43" s="214">
        <v>1550</v>
      </c>
      <c r="AG43" s="215">
        <v>1550</v>
      </c>
      <c r="AH43" s="218">
        <v>0.15748000000000001</v>
      </c>
      <c r="AI43" s="218">
        <v>0.15748000000000001</v>
      </c>
      <c r="AJ43" s="218"/>
      <c r="AK43" s="217"/>
      <c r="AL43" s="216"/>
    </row>
    <row r="44" spans="1:38" x14ac:dyDescent="0.25">
      <c r="A44" s="123">
        <v>38</v>
      </c>
      <c r="B44" s="123"/>
      <c r="C44" s="123"/>
      <c r="D44" s="1347" t="s">
        <v>5</v>
      </c>
      <c r="E44" s="219">
        <v>0.12346999999999998</v>
      </c>
      <c r="F44" s="216">
        <v>0</v>
      </c>
      <c r="G44" s="216"/>
      <c r="H44" s="216"/>
      <c r="I44" s="218">
        <v>5.2999999999999998E-4</v>
      </c>
      <c r="J44" s="217">
        <v>0.12399999999999999</v>
      </c>
      <c r="K44" s="216"/>
      <c r="L44" s="216">
        <v>1.159E-2</v>
      </c>
      <c r="M44" s="216"/>
      <c r="N44" s="220">
        <v>0.12346999999999998</v>
      </c>
      <c r="O44" s="220">
        <v>0.13505999999999999</v>
      </c>
      <c r="P44" s="216">
        <v>-1.57E-3</v>
      </c>
      <c r="Q44" s="865"/>
      <c r="R44" s="750">
        <v>0.13349</v>
      </c>
      <c r="S44" s="1065">
        <v>0</v>
      </c>
      <c r="T44" s="216">
        <v>-1.4300000000000001E-3</v>
      </c>
      <c r="U44" s="216">
        <v>5.0000000000000001E-4</v>
      </c>
      <c r="V44" s="763">
        <v>-9.3000000000000005E-4</v>
      </c>
      <c r="W44" s="764">
        <v>0.13309000000000001</v>
      </c>
      <c r="X44" s="1139"/>
      <c r="Y44" s="878">
        <v>5.3099999999999996E-3</v>
      </c>
      <c r="Z44" s="864">
        <v>-1.3999999999999999E-4</v>
      </c>
      <c r="AA44" s="864">
        <v>0</v>
      </c>
      <c r="AB44" s="864">
        <v>-1.39E-3</v>
      </c>
      <c r="AC44" s="763">
        <v>5.3099999999999996E-3</v>
      </c>
      <c r="AD44" s="1310">
        <v>0.13780000000000001</v>
      </c>
      <c r="AE44" s="216"/>
      <c r="AF44" s="214"/>
      <c r="AG44" s="215"/>
      <c r="AH44" s="218"/>
      <c r="AI44" s="216"/>
      <c r="AJ44" s="218"/>
      <c r="AK44" s="217"/>
      <c r="AL44" s="216"/>
    </row>
    <row r="45" spans="1:38" x14ac:dyDescent="0.25">
      <c r="A45" s="123">
        <v>39</v>
      </c>
      <c r="B45" s="123"/>
      <c r="C45" s="123"/>
      <c r="D45" s="1347" t="s">
        <v>6</v>
      </c>
      <c r="E45" s="219">
        <v>9.4670000000000004E-2</v>
      </c>
      <c r="F45" s="216">
        <v>0</v>
      </c>
      <c r="G45" s="216"/>
      <c r="H45" s="216"/>
      <c r="I45" s="218">
        <v>4.1000000000000005E-4</v>
      </c>
      <c r="J45" s="217">
        <v>9.5079999999999998E-2</v>
      </c>
      <c r="K45" s="216"/>
      <c r="L45" s="216">
        <v>8.8900000000000003E-3</v>
      </c>
      <c r="M45" s="216"/>
      <c r="N45" s="220">
        <v>9.4670000000000004E-2</v>
      </c>
      <c r="O45" s="220">
        <v>0.10356</v>
      </c>
      <c r="P45" s="216">
        <v>-1.1999999999999999E-3</v>
      </c>
      <c r="Q45" s="865"/>
      <c r="R45" s="750">
        <v>0.10235999999999999</v>
      </c>
      <c r="S45" s="1065">
        <v>0</v>
      </c>
      <c r="T45" s="216">
        <v>-1.09E-3</v>
      </c>
      <c r="U45" s="216">
        <v>3.8999999999999999E-4</v>
      </c>
      <c r="V45" s="763">
        <v>-7.000000000000001E-4</v>
      </c>
      <c r="W45" s="764">
        <v>0.10206999999999998</v>
      </c>
      <c r="X45" s="1139"/>
      <c r="Y45" s="878">
        <v>4.0699999999999998E-3</v>
      </c>
      <c r="Z45" s="864">
        <v>-1.1E-4</v>
      </c>
      <c r="AA45" s="864">
        <v>0</v>
      </c>
      <c r="AB45" s="864">
        <v>-1.07E-3</v>
      </c>
      <c r="AC45" s="763">
        <v>4.0699999999999998E-3</v>
      </c>
      <c r="AD45" s="1310">
        <v>0.10565999999999998</v>
      </c>
      <c r="AE45" s="216"/>
      <c r="AF45" s="214"/>
      <c r="AG45" s="215"/>
      <c r="AH45" s="218"/>
      <c r="AI45" s="216"/>
      <c r="AJ45" s="218"/>
      <c r="AK45" s="217"/>
      <c r="AL45" s="216"/>
    </row>
    <row r="46" spans="1:38" x14ac:dyDescent="0.25">
      <c r="A46" s="123">
        <v>40</v>
      </c>
      <c r="B46" s="123"/>
      <c r="C46" s="123"/>
      <c r="D46" s="1347" t="s">
        <v>7</v>
      </c>
      <c r="E46" s="219">
        <v>7.5750000000000012E-2</v>
      </c>
      <c r="F46" s="216">
        <v>0</v>
      </c>
      <c r="G46" s="216"/>
      <c r="H46" s="216"/>
      <c r="I46" s="218">
        <v>3.1999999999999997E-4</v>
      </c>
      <c r="J46" s="217">
        <v>7.6070000000000013E-2</v>
      </c>
      <c r="K46" s="216"/>
      <c r="L46" s="216">
        <v>7.11E-3</v>
      </c>
      <c r="M46" s="216"/>
      <c r="N46" s="220">
        <v>7.5750000000000012E-2</v>
      </c>
      <c r="O46" s="220">
        <v>8.2860000000000017E-2</v>
      </c>
      <c r="P46" s="216">
        <v>-9.6000000000000002E-4</v>
      </c>
      <c r="Q46" s="865"/>
      <c r="R46" s="750">
        <v>8.1900000000000014E-2</v>
      </c>
      <c r="S46" s="1065">
        <v>0</v>
      </c>
      <c r="T46" s="216">
        <v>-8.8000000000000003E-4</v>
      </c>
      <c r="U46" s="216">
        <v>3.1E-4</v>
      </c>
      <c r="V46" s="763">
        <v>-5.6999999999999998E-4</v>
      </c>
      <c r="W46" s="764">
        <v>8.1650000000000014E-2</v>
      </c>
      <c r="X46" s="1139"/>
      <c r="Y46" s="878">
        <v>3.2599999999999999E-3</v>
      </c>
      <c r="Z46" s="864">
        <v>-9.0000000000000006E-5</v>
      </c>
      <c r="AA46" s="864">
        <v>0</v>
      </c>
      <c r="AB46" s="864">
        <v>-8.4999999999999995E-4</v>
      </c>
      <c r="AC46" s="763">
        <v>3.2599999999999999E-3</v>
      </c>
      <c r="AD46" s="1310">
        <v>8.4540000000000018E-2</v>
      </c>
      <c r="AE46" s="216"/>
      <c r="AF46" s="214"/>
      <c r="AG46" s="215"/>
      <c r="AH46" s="218"/>
      <c r="AI46" s="216"/>
      <c r="AJ46" s="218"/>
      <c r="AK46" s="217"/>
      <c r="AL46" s="216"/>
    </row>
    <row r="47" spans="1:38" x14ac:dyDescent="0.25">
      <c r="A47" s="123">
        <v>41</v>
      </c>
      <c r="B47" s="123"/>
      <c r="C47" s="123"/>
      <c r="D47" s="1347" t="s">
        <v>8</v>
      </c>
      <c r="E47" s="219">
        <v>5.0500000000000003E-2</v>
      </c>
      <c r="F47" s="216">
        <v>0</v>
      </c>
      <c r="G47" s="216"/>
      <c r="H47" s="216"/>
      <c r="I47" s="218">
        <v>2.1000000000000001E-4</v>
      </c>
      <c r="J47" s="217">
        <v>5.0710000000000005E-2</v>
      </c>
      <c r="K47" s="216"/>
      <c r="L47" s="216">
        <v>4.7400000000000003E-3</v>
      </c>
      <c r="M47" s="216"/>
      <c r="N47" s="220">
        <v>5.0500000000000003E-2</v>
      </c>
      <c r="O47" s="220">
        <v>5.5240000000000004E-2</v>
      </c>
      <c r="P47" s="216">
        <v>-6.4000000000000005E-4</v>
      </c>
      <c r="Q47" s="865"/>
      <c r="R47" s="750">
        <v>5.4600000000000003E-2</v>
      </c>
      <c r="S47" s="1065">
        <v>0</v>
      </c>
      <c r="T47" s="216">
        <v>-5.8E-4</v>
      </c>
      <c r="U47" s="216">
        <v>2.1000000000000001E-4</v>
      </c>
      <c r="V47" s="763">
        <v>-3.6999999999999999E-4</v>
      </c>
      <c r="W47" s="764">
        <v>5.4440000000000002E-2</v>
      </c>
      <c r="X47" s="1139"/>
      <c r="Y47" s="878">
        <v>2.1700000000000001E-3</v>
      </c>
      <c r="Z47" s="864">
        <v>-6.0000000000000002E-5</v>
      </c>
      <c r="AA47" s="864">
        <v>0</v>
      </c>
      <c r="AB47" s="864">
        <v>-5.6999999999999998E-4</v>
      </c>
      <c r="AC47" s="763">
        <v>2.1700000000000001E-3</v>
      </c>
      <c r="AD47" s="1310">
        <v>5.6349999999999997E-2</v>
      </c>
      <c r="AE47" s="216"/>
      <c r="AF47" s="214"/>
      <c r="AG47" s="215"/>
      <c r="AH47" s="218"/>
      <c r="AI47" s="216"/>
      <c r="AJ47" s="218"/>
      <c r="AK47" s="217"/>
      <c r="AL47" s="216"/>
    </row>
    <row r="48" spans="1:38" x14ac:dyDescent="0.25">
      <c r="A48" s="123">
        <v>42</v>
      </c>
      <c r="B48" s="1346"/>
      <c r="C48" s="1346"/>
      <c r="D48" s="1349" t="s">
        <v>9</v>
      </c>
      <c r="E48" s="208">
        <v>1.8929999999999999E-2</v>
      </c>
      <c r="F48" s="210">
        <v>0</v>
      </c>
      <c r="G48" s="210"/>
      <c r="H48" s="210"/>
      <c r="I48" s="209">
        <v>7.9999999999999993E-5</v>
      </c>
      <c r="J48" s="211">
        <v>1.9009999999999999E-2</v>
      </c>
      <c r="K48" s="216"/>
      <c r="L48" s="210">
        <v>1.7799999999999999E-3</v>
      </c>
      <c r="M48" s="216"/>
      <c r="N48" s="213">
        <v>1.8929999999999999E-2</v>
      </c>
      <c r="O48" s="213">
        <v>2.0709999999999999E-2</v>
      </c>
      <c r="P48" s="210">
        <v>-2.4000000000000001E-4</v>
      </c>
      <c r="Q48" s="863"/>
      <c r="R48" s="749">
        <v>2.0469999999999999E-2</v>
      </c>
      <c r="S48" s="1064">
        <v>0</v>
      </c>
      <c r="T48" s="210">
        <v>-2.2000000000000001E-4</v>
      </c>
      <c r="U48" s="210">
        <v>8.0000000000000007E-5</v>
      </c>
      <c r="V48" s="762">
        <v>-1.3999999999999999E-4</v>
      </c>
      <c r="W48" s="761">
        <v>2.0409999999999998E-2</v>
      </c>
      <c r="X48" s="1139"/>
      <c r="Y48" s="887">
        <v>8.0999999999999996E-4</v>
      </c>
      <c r="Z48" s="862">
        <v>-2.0000000000000002E-5</v>
      </c>
      <c r="AA48" s="862">
        <v>0</v>
      </c>
      <c r="AB48" s="862">
        <v>-2.1000000000000001E-4</v>
      </c>
      <c r="AC48" s="762">
        <v>8.0999999999999996E-4</v>
      </c>
      <c r="AD48" s="922">
        <v>2.1129999999999999E-2</v>
      </c>
      <c r="AE48" s="216"/>
      <c r="AF48" s="214"/>
      <c r="AG48" s="215"/>
      <c r="AH48" s="218"/>
      <c r="AI48" s="216"/>
      <c r="AJ48" s="218"/>
      <c r="AK48" s="217"/>
      <c r="AL48" s="216"/>
    </row>
    <row r="49" spans="1:38" x14ac:dyDescent="0.25">
      <c r="A49" s="123">
        <v>43</v>
      </c>
      <c r="B49" s="123" t="s">
        <v>256</v>
      </c>
      <c r="C49" s="123" t="s">
        <v>276</v>
      </c>
      <c r="D49" s="1347" t="s">
        <v>4</v>
      </c>
      <c r="E49" s="219">
        <v>0.13941000000000001</v>
      </c>
      <c r="F49" s="216">
        <v>0</v>
      </c>
      <c r="G49" s="216"/>
      <c r="H49" s="216"/>
      <c r="I49" s="218">
        <v>5.8999999999999992E-4</v>
      </c>
      <c r="J49" s="217">
        <v>0.14000000000000001</v>
      </c>
      <c r="K49" s="216"/>
      <c r="L49" s="216">
        <v>1.044E-2</v>
      </c>
      <c r="M49" s="216"/>
      <c r="N49" s="220">
        <v>0.13941000000000001</v>
      </c>
      <c r="O49" s="220">
        <v>0.14985000000000001</v>
      </c>
      <c r="P49" s="216">
        <v>-1.7700000000000001E-3</v>
      </c>
      <c r="Q49" s="865"/>
      <c r="R49" s="750">
        <v>0.14808000000000002</v>
      </c>
      <c r="S49" s="1065">
        <v>0</v>
      </c>
      <c r="T49" s="216">
        <v>-1.5900000000000001E-3</v>
      </c>
      <c r="U49" s="216">
        <v>5.5999999999999995E-4</v>
      </c>
      <c r="V49" s="763">
        <v>-1.0300000000000001E-3</v>
      </c>
      <c r="W49" s="764">
        <v>0.14764000000000002</v>
      </c>
      <c r="X49" s="1139"/>
      <c r="Y49" s="886">
        <v>3.96E-3</v>
      </c>
      <c r="Z49" s="864">
        <v>-1.6000000000000001E-4</v>
      </c>
      <c r="AA49" s="1402">
        <v>0</v>
      </c>
      <c r="AB49" s="864">
        <v>-1.5399999999999999E-3</v>
      </c>
      <c r="AC49" s="763">
        <v>3.96E-3</v>
      </c>
      <c r="AD49" s="1310">
        <v>0.15093000000000004</v>
      </c>
      <c r="AE49" s="216"/>
      <c r="AF49" s="214">
        <v>1550</v>
      </c>
      <c r="AG49" s="215">
        <v>1550</v>
      </c>
      <c r="AH49" s="218">
        <v>0.15748000000000001</v>
      </c>
      <c r="AI49" s="218">
        <v>0.15748000000000001</v>
      </c>
      <c r="AJ49" s="218"/>
      <c r="AK49" s="217"/>
      <c r="AL49" s="216"/>
    </row>
    <row r="50" spans="1:38" x14ac:dyDescent="0.25">
      <c r="A50" s="123">
        <v>44</v>
      </c>
      <c r="B50" s="123"/>
      <c r="C50" s="123"/>
      <c r="D50" s="1347" t="s">
        <v>5</v>
      </c>
      <c r="E50" s="219">
        <v>0.12478999999999997</v>
      </c>
      <c r="F50" s="216">
        <v>0</v>
      </c>
      <c r="G50" s="216"/>
      <c r="H50" s="216"/>
      <c r="I50" s="218">
        <v>5.2000000000000006E-4</v>
      </c>
      <c r="J50" s="217">
        <v>0.12530999999999998</v>
      </c>
      <c r="K50" s="216"/>
      <c r="L50" s="216">
        <v>9.3500000000000007E-3</v>
      </c>
      <c r="M50" s="216"/>
      <c r="N50" s="220">
        <v>0.12478999999999997</v>
      </c>
      <c r="O50" s="220">
        <v>0.13413999999999998</v>
      </c>
      <c r="P50" s="216">
        <v>-1.5900000000000001E-3</v>
      </c>
      <c r="Q50" s="865"/>
      <c r="R50" s="750">
        <v>0.13254999999999997</v>
      </c>
      <c r="S50" s="1065">
        <v>0</v>
      </c>
      <c r="T50" s="216">
        <v>-1.4300000000000001E-3</v>
      </c>
      <c r="U50" s="216">
        <v>5.0000000000000001E-4</v>
      </c>
      <c r="V50" s="763">
        <v>-9.3000000000000005E-4</v>
      </c>
      <c r="W50" s="764">
        <v>0.13213999999999998</v>
      </c>
      <c r="X50" s="1139"/>
      <c r="Y50" s="878">
        <v>3.5400000000000002E-3</v>
      </c>
      <c r="Z50" s="864">
        <v>-1.3999999999999999E-4</v>
      </c>
      <c r="AA50" s="864">
        <v>0</v>
      </c>
      <c r="AB50" s="864">
        <v>-1.3799999999999999E-3</v>
      </c>
      <c r="AC50" s="763">
        <v>3.5400000000000002E-3</v>
      </c>
      <c r="AD50" s="1310">
        <v>0.13508999999999996</v>
      </c>
      <c r="AE50" s="216"/>
      <c r="AF50" s="214"/>
      <c r="AG50" s="215"/>
      <c r="AH50" s="218"/>
      <c r="AI50" s="216"/>
      <c r="AJ50" s="218"/>
      <c r="AK50" s="217"/>
      <c r="AL50" s="216"/>
    </row>
    <row r="51" spans="1:38" x14ac:dyDescent="0.25">
      <c r="A51" s="123">
        <v>45</v>
      </c>
      <c r="B51" s="123"/>
      <c r="C51" s="123"/>
      <c r="D51" s="1347" t="s">
        <v>6</v>
      </c>
      <c r="E51" s="219">
        <v>9.5690000000000011E-2</v>
      </c>
      <c r="F51" s="216">
        <v>0</v>
      </c>
      <c r="G51" s="216"/>
      <c r="H51" s="216"/>
      <c r="I51" s="218">
        <v>4.1000000000000005E-4</v>
      </c>
      <c r="J51" s="217">
        <v>9.6100000000000005E-2</v>
      </c>
      <c r="K51" s="216"/>
      <c r="L51" s="216">
        <v>7.1700000000000002E-3</v>
      </c>
      <c r="M51" s="216"/>
      <c r="N51" s="220">
        <v>9.5690000000000011E-2</v>
      </c>
      <c r="O51" s="220">
        <v>0.10286000000000001</v>
      </c>
      <c r="P51" s="216">
        <v>-1.2199999999999999E-3</v>
      </c>
      <c r="Q51" s="865"/>
      <c r="R51" s="750">
        <v>0.10164000000000001</v>
      </c>
      <c r="S51" s="1065">
        <v>0</v>
      </c>
      <c r="T51" s="216">
        <v>-1.09E-3</v>
      </c>
      <c r="U51" s="216">
        <v>3.8999999999999999E-4</v>
      </c>
      <c r="V51" s="763">
        <v>-7.000000000000001E-4</v>
      </c>
      <c r="W51" s="764">
        <v>0.10135</v>
      </c>
      <c r="X51" s="1139"/>
      <c r="Y51" s="878">
        <v>2.7200000000000002E-3</v>
      </c>
      <c r="Z51" s="864">
        <v>-1.1E-4</v>
      </c>
      <c r="AA51" s="864">
        <v>0</v>
      </c>
      <c r="AB51" s="864">
        <v>-1.06E-3</v>
      </c>
      <c r="AC51" s="763">
        <v>2.7200000000000002E-3</v>
      </c>
      <c r="AD51" s="1310">
        <v>0.10359999999999998</v>
      </c>
      <c r="AE51" s="216"/>
      <c r="AF51" s="214"/>
      <c r="AG51" s="215"/>
      <c r="AH51" s="218"/>
      <c r="AI51" s="216"/>
      <c r="AJ51" s="218"/>
      <c r="AK51" s="217"/>
      <c r="AL51" s="216"/>
    </row>
    <row r="52" spans="1:38" x14ac:dyDescent="0.25">
      <c r="A52" s="123">
        <v>46</v>
      </c>
      <c r="B52" s="123"/>
      <c r="C52" s="123"/>
      <c r="D52" s="1347" t="s">
        <v>7</v>
      </c>
      <c r="E52" s="219">
        <v>7.6560000000000017E-2</v>
      </c>
      <c r="F52" s="216">
        <v>0</v>
      </c>
      <c r="G52" s="216"/>
      <c r="H52" s="216"/>
      <c r="I52" s="218">
        <v>3.1999999999999997E-4</v>
      </c>
      <c r="J52" s="217">
        <v>7.6880000000000018E-2</v>
      </c>
      <c r="K52" s="216"/>
      <c r="L52" s="216">
        <v>5.7299999999999999E-3</v>
      </c>
      <c r="M52" s="216"/>
      <c r="N52" s="220">
        <v>7.6560000000000017E-2</v>
      </c>
      <c r="O52" s="220">
        <v>8.2290000000000016E-2</v>
      </c>
      <c r="P52" s="216">
        <v>-9.7000000000000005E-4</v>
      </c>
      <c r="Q52" s="865"/>
      <c r="R52" s="750">
        <v>8.1320000000000017E-2</v>
      </c>
      <c r="S52" s="1065">
        <v>0</v>
      </c>
      <c r="T52" s="216">
        <v>-8.7000000000000001E-4</v>
      </c>
      <c r="U52" s="216">
        <v>3.1E-4</v>
      </c>
      <c r="V52" s="763">
        <v>-5.5999999999999995E-4</v>
      </c>
      <c r="W52" s="764">
        <v>8.1080000000000013E-2</v>
      </c>
      <c r="X52" s="1139"/>
      <c r="Y52" s="878">
        <v>2.1700000000000001E-3</v>
      </c>
      <c r="Z52" s="864">
        <v>-9.0000000000000006E-5</v>
      </c>
      <c r="AA52" s="864">
        <v>0</v>
      </c>
      <c r="AB52" s="864">
        <v>-8.4999999999999995E-4</v>
      </c>
      <c r="AC52" s="763">
        <v>2.1700000000000001E-3</v>
      </c>
      <c r="AD52" s="1310">
        <v>8.2869999999999999E-2</v>
      </c>
      <c r="AE52" s="216"/>
      <c r="AF52" s="214"/>
      <c r="AG52" s="215"/>
      <c r="AH52" s="218"/>
      <c r="AI52" s="216"/>
      <c r="AJ52" s="218"/>
      <c r="AK52" s="217"/>
      <c r="AL52" s="216"/>
    </row>
    <row r="53" spans="1:38" x14ac:dyDescent="0.25">
      <c r="A53" s="123">
        <v>47</v>
      </c>
      <c r="B53" s="123"/>
      <c r="C53" s="123"/>
      <c r="D53" s="1347" t="s">
        <v>8</v>
      </c>
      <c r="E53" s="219">
        <v>5.1040000000000002E-2</v>
      </c>
      <c r="F53" s="216">
        <v>0</v>
      </c>
      <c r="G53" s="216"/>
      <c r="H53" s="216"/>
      <c r="I53" s="218">
        <v>2.1000000000000001E-4</v>
      </c>
      <c r="J53" s="217">
        <v>5.1250000000000004E-2</v>
      </c>
      <c r="K53" s="216"/>
      <c r="L53" s="216">
        <v>3.82E-3</v>
      </c>
      <c r="M53" s="216"/>
      <c r="N53" s="220">
        <v>5.1040000000000002E-2</v>
      </c>
      <c r="O53" s="220">
        <v>5.4859999999999999E-2</v>
      </c>
      <c r="P53" s="216">
        <v>-6.4999999999999997E-4</v>
      </c>
      <c r="Q53" s="865"/>
      <c r="R53" s="750">
        <v>5.4210000000000001E-2</v>
      </c>
      <c r="S53" s="1065">
        <v>0</v>
      </c>
      <c r="T53" s="216">
        <v>-5.8E-4</v>
      </c>
      <c r="U53" s="216">
        <v>2.1000000000000001E-4</v>
      </c>
      <c r="V53" s="763">
        <v>-3.6999999999999999E-4</v>
      </c>
      <c r="W53" s="764">
        <v>5.4050000000000001E-2</v>
      </c>
      <c r="X53" s="1139"/>
      <c r="Y53" s="878">
        <v>1.4499999999999999E-3</v>
      </c>
      <c r="Z53" s="864">
        <v>-6.0000000000000002E-5</v>
      </c>
      <c r="AA53" s="864">
        <v>0</v>
      </c>
      <c r="AB53" s="864">
        <v>-5.5999999999999995E-4</v>
      </c>
      <c r="AC53" s="763">
        <v>1.4499999999999999E-3</v>
      </c>
      <c r="AD53" s="1310">
        <v>5.5249999999999994E-2</v>
      </c>
      <c r="AE53" s="216"/>
      <c r="AF53" s="214"/>
      <c r="AG53" s="215"/>
      <c r="AH53" s="218"/>
      <c r="AI53" s="216"/>
      <c r="AJ53" s="218"/>
      <c r="AK53" s="217"/>
      <c r="AL53" s="216"/>
    </row>
    <row r="54" spans="1:38" x14ac:dyDescent="0.25">
      <c r="A54" s="123">
        <v>48</v>
      </c>
      <c r="B54" s="1346"/>
      <c r="C54" s="1346"/>
      <c r="D54" s="1349" t="s">
        <v>9</v>
      </c>
      <c r="E54" s="208">
        <v>1.9140000000000001E-2</v>
      </c>
      <c r="F54" s="210">
        <v>0</v>
      </c>
      <c r="G54" s="210"/>
      <c r="H54" s="210"/>
      <c r="I54" s="209">
        <v>7.9999999999999993E-5</v>
      </c>
      <c r="J54" s="211">
        <v>1.9220000000000001E-2</v>
      </c>
      <c r="K54" s="216"/>
      <c r="L54" s="210">
        <v>1.4300000000000001E-3</v>
      </c>
      <c r="M54" s="216"/>
      <c r="N54" s="213">
        <v>1.9140000000000001E-2</v>
      </c>
      <c r="O54" s="213">
        <v>2.0570000000000001E-2</v>
      </c>
      <c r="P54" s="210">
        <v>-2.4000000000000001E-4</v>
      </c>
      <c r="Q54" s="863"/>
      <c r="R54" s="749">
        <v>2.0330000000000001E-2</v>
      </c>
      <c r="S54" s="1064">
        <v>0</v>
      </c>
      <c r="T54" s="210">
        <v>-2.2000000000000001E-4</v>
      </c>
      <c r="U54" s="210">
        <v>8.0000000000000007E-5</v>
      </c>
      <c r="V54" s="762">
        <v>-1.3999999999999999E-4</v>
      </c>
      <c r="W54" s="761">
        <v>2.027E-2</v>
      </c>
      <c r="X54" s="1139"/>
      <c r="Y54" s="878">
        <v>5.4000000000000001E-4</v>
      </c>
      <c r="Z54" s="862">
        <v>-2.0000000000000002E-5</v>
      </c>
      <c r="AA54" s="864">
        <v>0</v>
      </c>
      <c r="AB54" s="862">
        <v>-2.1000000000000001E-4</v>
      </c>
      <c r="AC54" s="762">
        <v>5.4000000000000001E-4</v>
      </c>
      <c r="AD54" s="922">
        <v>2.0720000000000002E-2</v>
      </c>
      <c r="AE54" s="216"/>
      <c r="AF54" s="214"/>
      <c r="AG54" s="215"/>
      <c r="AH54" s="218"/>
      <c r="AI54" s="216"/>
      <c r="AJ54" s="218"/>
      <c r="AK54" s="217"/>
      <c r="AL54" s="216"/>
    </row>
    <row r="55" spans="1:38" x14ac:dyDescent="0.25">
      <c r="A55" s="123">
        <v>49</v>
      </c>
      <c r="B55" s="123" t="s">
        <v>252</v>
      </c>
      <c r="C55" s="123" t="s">
        <v>277</v>
      </c>
      <c r="D55" s="1347" t="s">
        <v>4</v>
      </c>
      <c r="E55" s="219">
        <v>0.13682000000000002</v>
      </c>
      <c r="F55" s="216">
        <v>0.26333000000000001</v>
      </c>
      <c r="G55" s="216"/>
      <c r="H55" s="216"/>
      <c r="I55" s="218">
        <v>2.334E-2</v>
      </c>
      <c r="J55" s="217">
        <v>0.42349000000000003</v>
      </c>
      <c r="K55" s="216"/>
      <c r="L55" s="216">
        <v>2.2440000000000002E-2</v>
      </c>
      <c r="M55" s="216"/>
      <c r="N55" s="220">
        <v>0.13682000000000002</v>
      </c>
      <c r="O55" s="220">
        <v>0.15926000000000001</v>
      </c>
      <c r="P55" s="216">
        <v>-1.8400000000000001E-3</v>
      </c>
      <c r="Q55" s="865"/>
      <c r="R55" s="750">
        <v>0.15742</v>
      </c>
      <c r="S55" s="1065">
        <v>-3.2799999999999999E-3</v>
      </c>
      <c r="T55" s="216">
        <v>-1.75E-3</v>
      </c>
      <c r="U55" s="216">
        <v>6.2E-4</v>
      </c>
      <c r="V55" s="763">
        <v>-4.4099999999999999E-3</v>
      </c>
      <c r="W55" s="764">
        <v>0.43967999999999996</v>
      </c>
      <c r="X55" s="1139"/>
      <c r="Y55" s="886">
        <v>1.2449999999999999E-2</v>
      </c>
      <c r="Z55" s="864">
        <v>-1.8000000000000001E-4</v>
      </c>
      <c r="AA55" s="1402">
        <v>-3.2799999999999999E-3</v>
      </c>
      <c r="AB55" s="864">
        <v>-1.75E-3</v>
      </c>
      <c r="AC55" s="763">
        <v>1.2449999999999999E-2</v>
      </c>
      <c r="AD55" s="1310">
        <v>0.45132999999999995</v>
      </c>
      <c r="AE55" s="216"/>
      <c r="AF55" s="214">
        <v>1300</v>
      </c>
      <c r="AG55" s="215">
        <v>1300</v>
      </c>
      <c r="AH55" s="218"/>
      <c r="AI55" s="216"/>
      <c r="AJ55" s="218"/>
      <c r="AK55" s="217"/>
      <c r="AL55" s="216"/>
    </row>
    <row r="56" spans="1:38" x14ac:dyDescent="0.25">
      <c r="A56" s="123">
        <v>50</v>
      </c>
      <c r="B56" s="123"/>
      <c r="C56" s="123"/>
      <c r="D56" s="1347" t="s">
        <v>5</v>
      </c>
      <c r="E56" s="219">
        <v>0.12246999999999988</v>
      </c>
      <c r="F56" s="216">
        <v>0.26333000000000001</v>
      </c>
      <c r="G56" s="216"/>
      <c r="H56" s="216"/>
      <c r="I56" s="218">
        <v>2.0999999999999998E-2</v>
      </c>
      <c r="J56" s="217">
        <v>0.40679999999999994</v>
      </c>
      <c r="K56" s="216"/>
      <c r="L56" s="216">
        <v>2.009E-2</v>
      </c>
      <c r="M56" s="216"/>
      <c r="N56" s="220">
        <v>0.12246999999999994</v>
      </c>
      <c r="O56" s="220">
        <v>0.14255999999999994</v>
      </c>
      <c r="P56" s="216">
        <v>-1.64E-3</v>
      </c>
      <c r="Q56" s="865"/>
      <c r="R56" s="750">
        <v>0.14091999999999993</v>
      </c>
      <c r="S56" s="1065">
        <v>-2.9399999999999999E-3</v>
      </c>
      <c r="T56" s="216">
        <v>-1.56E-3</v>
      </c>
      <c r="U56" s="216">
        <v>5.5000000000000003E-4</v>
      </c>
      <c r="V56" s="763">
        <v>-3.9499999999999995E-3</v>
      </c>
      <c r="W56" s="764">
        <v>0.42129999999999995</v>
      </c>
      <c r="X56" s="1139"/>
      <c r="Y56" s="878">
        <v>1.1140000000000001E-2</v>
      </c>
      <c r="Z56" s="864">
        <v>-1.6000000000000001E-4</v>
      </c>
      <c r="AA56" s="864">
        <v>-2.9399999999999999E-3</v>
      </c>
      <c r="AB56" s="864">
        <v>-1.57E-3</v>
      </c>
      <c r="AC56" s="763">
        <v>1.1140000000000001E-2</v>
      </c>
      <c r="AD56" s="1310">
        <v>0.43171999999999994</v>
      </c>
      <c r="AE56" s="216"/>
      <c r="AF56" s="724"/>
      <c r="AG56" s="122"/>
      <c r="AH56" s="218"/>
      <c r="AI56" s="216"/>
      <c r="AJ56" s="218"/>
      <c r="AK56" s="217"/>
      <c r="AL56" s="216"/>
    </row>
    <row r="57" spans="1:38" x14ac:dyDescent="0.25">
      <c r="A57" s="123">
        <v>51</v>
      </c>
      <c r="B57" s="123"/>
      <c r="C57" s="123"/>
      <c r="D57" s="1347" t="s">
        <v>6</v>
      </c>
      <c r="E57" s="219">
        <v>9.3909999999999993E-2</v>
      </c>
      <c r="F57" s="216">
        <v>0.26333000000000001</v>
      </c>
      <c r="G57" s="216"/>
      <c r="H57" s="216"/>
      <c r="I57" s="218">
        <v>1.6370000000000003E-2</v>
      </c>
      <c r="J57" s="217">
        <v>0.37361</v>
      </c>
      <c r="K57" s="216"/>
      <c r="L57" s="216">
        <v>1.54E-2</v>
      </c>
      <c r="M57" s="216"/>
      <c r="N57" s="220">
        <v>9.3909999999999993E-2</v>
      </c>
      <c r="O57" s="220">
        <v>0.10930999999999999</v>
      </c>
      <c r="P57" s="216">
        <v>-1.2600000000000001E-3</v>
      </c>
      <c r="Q57" s="865"/>
      <c r="R57" s="750">
        <v>0.10804999999999999</v>
      </c>
      <c r="S57" s="1065">
        <v>-2.2499999999999998E-3</v>
      </c>
      <c r="T57" s="216">
        <v>-1.1999999999999999E-3</v>
      </c>
      <c r="U57" s="216">
        <v>4.2000000000000002E-4</v>
      </c>
      <c r="V57" s="763">
        <v>-3.0299999999999997E-3</v>
      </c>
      <c r="W57" s="764">
        <v>0.38472000000000001</v>
      </c>
      <c r="X57" s="1139"/>
      <c r="Y57" s="878">
        <v>8.5400000000000007E-3</v>
      </c>
      <c r="Z57" s="864">
        <v>-1.2E-4</v>
      </c>
      <c r="AA57" s="864">
        <v>-2.2499999999999998E-3</v>
      </c>
      <c r="AB57" s="864">
        <v>-1.1999999999999999E-3</v>
      </c>
      <c r="AC57" s="763">
        <v>8.5400000000000007E-3</v>
      </c>
      <c r="AD57" s="1310">
        <v>0.39271999999999996</v>
      </c>
      <c r="AE57" s="216"/>
      <c r="AF57" s="214"/>
      <c r="AG57" s="215"/>
      <c r="AH57" s="218"/>
      <c r="AI57" s="216"/>
      <c r="AJ57" s="218"/>
      <c r="AK57" s="217"/>
      <c r="AL57" s="216"/>
    </row>
    <row r="58" spans="1:38" x14ac:dyDescent="0.25">
      <c r="A58" s="123">
        <v>52</v>
      </c>
      <c r="B58" s="123"/>
      <c r="C58" s="123"/>
      <c r="D58" s="1347" t="s">
        <v>7</v>
      </c>
      <c r="E58" s="219">
        <v>7.5130000000000044E-2</v>
      </c>
      <c r="F58" s="216">
        <v>0.26333000000000001</v>
      </c>
      <c r="G58" s="216"/>
      <c r="H58" s="216"/>
      <c r="I58" s="218">
        <v>1.3339999999999999E-2</v>
      </c>
      <c r="J58" s="217">
        <v>0.35180000000000006</v>
      </c>
      <c r="K58" s="216"/>
      <c r="L58" s="216">
        <v>1.2319999999999999E-2</v>
      </c>
      <c r="M58" s="216"/>
      <c r="N58" s="220">
        <v>7.5130000000000044E-2</v>
      </c>
      <c r="O58" s="220">
        <v>8.7450000000000042E-2</v>
      </c>
      <c r="P58" s="216">
        <v>-1.01E-3</v>
      </c>
      <c r="Q58" s="865"/>
      <c r="R58" s="750">
        <v>8.6440000000000045E-2</v>
      </c>
      <c r="S58" s="1065">
        <v>-1.8E-3</v>
      </c>
      <c r="T58" s="216">
        <v>-9.6000000000000002E-4</v>
      </c>
      <c r="U58" s="216">
        <v>3.4000000000000002E-4</v>
      </c>
      <c r="V58" s="763">
        <v>-2.4199999999999998E-3</v>
      </c>
      <c r="W58" s="764">
        <v>0.36069000000000007</v>
      </c>
      <c r="X58" s="1139"/>
      <c r="Y58" s="878">
        <v>6.8300000000000001E-3</v>
      </c>
      <c r="Z58" s="864">
        <v>-1E-4</v>
      </c>
      <c r="AA58" s="864">
        <v>-1.8E-3</v>
      </c>
      <c r="AB58" s="864">
        <v>-9.6000000000000002E-4</v>
      </c>
      <c r="AC58" s="763">
        <v>6.8300000000000001E-3</v>
      </c>
      <c r="AD58" s="1310">
        <v>0.36708000000000007</v>
      </c>
      <c r="AE58" s="216"/>
      <c r="AF58" s="214"/>
      <c r="AG58" s="215"/>
      <c r="AH58" s="218"/>
      <c r="AI58" s="216"/>
      <c r="AJ58" s="218"/>
      <c r="AK58" s="217"/>
      <c r="AL58" s="216"/>
    </row>
    <row r="59" spans="1:38" x14ac:dyDescent="0.25">
      <c r="A59" s="123">
        <v>53</v>
      </c>
      <c r="B59" s="123"/>
      <c r="C59" s="123"/>
      <c r="D59" s="1347" t="s">
        <v>8</v>
      </c>
      <c r="E59" s="219">
        <v>5.0089999999999968E-2</v>
      </c>
      <c r="F59" s="216">
        <v>0.26333000000000001</v>
      </c>
      <c r="G59" s="216"/>
      <c r="H59" s="216"/>
      <c r="I59" s="218">
        <v>9.2699999999999987E-3</v>
      </c>
      <c r="J59" s="217">
        <v>0.32268999999999998</v>
      </c>
      <c r="K59" s="216"/>
      <c r="L59" s="216">
        <v>8.2199999999999999E-3</v>
      </c>
      <c r="M59" s="216"/>
      <c r="N59" s="220">
        <v>5.0089999999999968E-2</v>
      </c>
      <c r="O59" s="220">
        <v>5.8309999999999966E-2</v>
      </c>
      <c r="P59" s="216">
        <v>-6.7000000000000002E-4</v>
      </c>
      <c r="Q59" s="865"/>
      <c r="R59" s="750">
        <v>5.7639999999999969E-2</v>
      </c>
      <c r="S59" s="1065">
        <v>-1.1999999999999999E-3</v>
      </c>
      <c r="T59" s="216">
        <v>-6.4000000000000005E-4</v>
      </c>
      <c r="U59" s="216">
        <v>2.3000000000000001E-4</v>
      </c>
      <c r="V59" s="763">
        <v>-1.6100000000000001E-3</v>
      </c>
      <c r="W59" s="764">
        <v>0.32862999999999998</v>
      </c>
      <c r="X59" s="1139"/>
      <c r="Y59" s="878">
        <v>4.5599999999999998E-3</v>
      </c>
      <c r="Z59" s="864">
        <v>-6.9999999999999994E-5</v>
      </c>
      <c r="AA59" s="864">
        <v>-1.1999999999999999E-3</v>
      </c>
      <c r="AB59" s="864">
        <v>-6.4000000000000005E-4</v>
      </c>
      <c r="AC59" s="763">
        <v>4.5599999999999998E-3</v>
      </c>
      <c r="AD59" s="1310">
        <v>0.33288999999999991</v>
      </c>
      <c r="AE59" s="216"/>
      <c r="AF59" s="214"/>
      <c r="AG59" s="215"/>
      <c r="AH59" s="218"/>
      <c r="AI59" s="216"/>
      <c r="AJ59" s="218"/>
      <c r="AK59" s="217"/>
      <c r="AL59" s="216"/>
    </row>
    <row r="60" spans="1:38" x14ac:dyDescent="0.25">
      <c r="A60" s="123">
        <v>54</v>
      </c>
      <c r="B60" s="1346"/>
      <c r="C60" s="1346"/>
      <c r="D60" s="1349" t="s">
        <v>9</v>
      </c>
      <c r="E60" s="208">
        <v>1.8790000000000001E-2</v>
      </c>
      <c r="F60" s="210">
        <v>0.26333000000000001</v>
      </c>
      <c r="G60" s="210"/>
      <c r="H60" s="210"/>
      <c r="I60" s="209">
        <v>4.1999999999999989E-3</v>
      </c>
      <c r="J60" s="211">
        <v>0.28632000000000002</v>
      </c>
      <c r="K60" s="216"/>
      <c r="L60" s="210">
        <v>3.0799999999999998E-3</v>
      </c>
      <c r="M60" s="216"/>
      <c r="N60" s="213">
        <v>1.8790000000000012E-2</v>
      </c>
      <c r="O60" s="213">
        <v>2.1870000000000011E-2</v>
      </c>
      <c r="P60" s="210">
        <v>-2.5000000000000001E-4</v>
      </c>
      <c r="Q60" s="863"/>
      <c r="R60" s="749">
        <v>2.1620000000000011E-2</v>
      </c>
      <c r="S60" s="1064">
        <v>-4.4999999999999999E-4</v>
      </c>
      <c r="T60" s="210">
        <v>-2.4000000000000001E-4</v>
      </c>
      <c r="U60" s="210">
        <v>8.0000000000000007E-5</v>
      </c>
      <c r="V60" s="762">
        <v>-6.0999999999999997E-4</v>
      </c>
      <c r="W60" s="761">
        <v>0.28854000000000002</v>
      </c>
      <c r="X60" s="1139"/>
      <c r="Y60" s="887">
        <v>1.7099999999999999E-3</v>
      </c>
      <c r="Z60" s="862">
        <v>-2.0000000000000002E-5</v>
      </c>
      <c r="AA60" s="862">
        <v>-4.4999999999999999E-4</v>
      </c>
      <c r="AB60" s="862">
        <v>-2.4000000000000001E-4</v>
      </c>
      <c r="AC60" s="762">
        <v>1.7099999999999999E-3</v>
      </c>
      <c r="AD60" s="922">
        <v>0.29015000000000002</v>
      </c>
      <c r="AE60" s="216"/>
      <c r="AF60" s="214"/>
      <c r="AG60" s="215"/>
      <c r="AH60" s="218"/>
      <c r="AI60" s="216"/>
      <c r="AJ60" s="218"/>
      <c r="AK60" s="217"/>
      <c r="AL60" s="216"/>
    </row>
    <row r="61" spans="1:38" x14ac:dyDescent="0.25">
      <c r="A61" s="123">
        <v>55</v>
      </c>
      <c r="B61" s="123" t="s">
        <v>258</v>
      </c>
      <c r="C61" s="123" t="s">
        <v>278</v>
      </c>
      <c r="D61" s="1347" t="s">
        <v>4</v>
      </c>
      <c r="E61" s="219">
        <v>0.14583999999999989</v>
      </c>
      <c r="F61" s="216">
        <v>0.26333000000000001</v>
      </c>
      <c r="G61" s="216"/>
      <c r="H61" s="216"/>
      <c r="I61" s="218">
        <v>6.9699999999999996E-3</v>
      </c>
      <c r="J61" s="217">
        <v>0.4161399999999999</v>
      </c>
      <c r="K61" s="216"/>
      <c r="L61" s="216">
        <v>1.495E-2</v>
      </c>
      <c r="M61" s="216"/>
      <c r="N61" s="220">
        <v>0.14583999999999989</v>
      </c>
      <c r="O61" s="220">
        <v>0.16078999999999988</v>
      </c>
      <c r="P61" s="216">
        <v>-2.5400000000000002E-3</v>
      </c>
      <c r="Q61" s="865"/>
      <c r="R61" s="750">
        <v>0.15824999999999989</v>
      </c>
      <c r="S61" s="1065">
        <v>0</v>
      </c>
      <c r="T61" s="216">
        <v>-2.2799999999999999E-3</v>
      </c>
      <c r="U61" s="216">
        <v>8.0000000000000004E-4</v>
      </c>
      <c r="V61" s="763">
        <v>-1.48E-3</v>
      </c>
      <c r="W61" s="764">
        <v>0.42706999999999984</v>
      </c>
      <c r="X61" s="1139"/>
      <c r="Y61" s="886">
        <v>5.6600000000000001E-3</v>
      </c>
      <c r="Z61" s="864">
        <v>-2.2000000000000001E-4</v>
      </c>
      <c r="AA61" s="1402">
        <v>0</v>
      </c>
      <c r="AB61" s="864">
        <v>-2.2100000000000002E-3</v>
      </c>
      <c r="AC61" s="763">
        <v>5.6600000000000001E-3</v>
      </c>
      <c r="AD61" s="1310">
        <v>0.43177999999999983</v>
      </c>
      <c r="AE61" s="216"/>
      <c r="AF61" s="214">
        <v>1300</v>
      </c>
      <c r="AG61" s="215">
        <v>1300</v>
      </c>
      <c r="AH61" s="218"/>
      <c r="AI61" s="216"/>
      <c r="AJ61" s="218"/>
      <c r="AK61" s="217"/>
      <c r="AL61" s="216"/>
    </row>
    <row r="62" spans="1:38" x14ac:dyDescent="0.25">
      <c r="A62" s="123">
        <v>56</v>
      </c>
      <c r="B62" s="123"/>
      <c r="C62" s="123"/>
      <c r="D62" s="1347" t="s">
        <v>5</v>
      </c>
      <c r="E62" s="219">
        <v>0.13054999999999992</v>
      </c>
      <c r="F62" s="216">
        <v>0.26333000000000001</v>
      </c>
      <c r="G62" s="216"/>
      <c r="H62" s="216"/>
      <c r="I62" s="218">
        <v>6.3499999999999997E-3</v>
      </c>
      <c r="J62" s="217">
        <v>0.40022999999999992</v>
      </c>
      <c r="K62" s="216"/>
      <c r="L62" s="216">
        <v>1.338E-2</v>
      </c>
      <c r="M62" s="216"/>
      <c r="N62" s="220">
        <v>0.13054999999999992</v>
      </c>
      <c r="O62" s="220">
        <v>0.14392999999999992</v>
      </c>
      <c r="P62" s="216">
        <v>-2.2699999999999999E-3</v>
      </c>
      <c r="Q62" s="865"/>
      <c r="R62" s="750">
        <v>0.14165999999999992</v>
      </c>
      <c r="S62" s="1065">
        <v>0</v>
      </c>
      <c r="T62" s="216">
        <v>-2.0400000000000001E-3</v>
      </c>
      <c r="U62" s="216">
        <v>7.2000000000000005E-4</v>
      </c>
      <c r="V62" s="763">
        <v>-1.32E-3</v>
      </c>
      <c r="W62" s="764">
        <v>0.41001999999999994</v>
      </c>
      <c r="X62" s="1139"/>
      <c r="Y62" s="878">
        <v>5.0699999999999999E-3</v>
      </c>
      <c r="Z62" s="864">
        <v>-2.0000000000000001E-4</v>
      </c>
      <c r="AA62" s="864">
        <v>0</v>
      </c>
      <c r="AB62" s="864">
        <v>-1.97E-3</v>
      </c>
      <c r="AC62" s="763">
        <v>5.0699999999999999E-3</v>
      </c>
      <c r="AD62" s="1310">
        <v>0.41423999999999994</v>
      </c>
      <c r="AE62" s="216"/>
      <c r="AF62" s="214"/>
      <c r="AG62" s="215"/>
      <c r="AH62" s="218"/>
      <c r="AI62" s="216"/>
      <c r="AJ62" s="218"/>
      <c r="AK62" s="217"/>
      <c r="AL62" s="216"/>
    </row>
    <row r="63" spans="1:38" x14ac:dyDescent="0.25">
      <c r="A63" s="123">
        <v>57</v>
      </c>
      <c r="B63" s="123"/>
      <c r="C63" s="123"/>
      <c r="D63" s="1347" t="s">
        <v>6</v>
      </c>
      <c r="E63" s="219">
        <v>0.10011</v>
      </c>
      <c r="F63" s="216">
        <v>0.26333000000000001</v>
      </c>
      <c r="G63" s="216"/>
      <c r="H63" s="216"/>
      <c r="I63" s="218">
        <v>5.1399999999999996E-3</v>
      </c>
      <c r="J63" s="217">
        <v>0.36857999999999996</v>
      </c>
      <c r="K63" s="216"/>
      <c r="L63" s="216">
        <v>1.026E-2</v>
      </c>
      <c r="M63" s="216"/>
      <c r="N63" s="220">
        <v>0.10010999999999995</v>
      </c>
      <c r="O63" s="220">
        <v>0.11036999999999995</v>
      </c>
      <c r="P63" s="216">
        <v>-1.74E-3</v>
      </c>
      <c r="Q63" s="865"/>
      <c r="R63" s="750">
        <v>0.10862999999999995</v>
      </c>
      <c r="S63" s="1065">
        <v>0</v>
      </c>
      <c r="T63" s="216">
        <v>-1.56E-3</v>
      </c>
      <c r="U63" s="216">
        <v>5.5000000000000003E-4</v>
      </c>
      <c r="V63" s="763">
        <v>-1.01E-3</v>
      </c>
      <c r="W63" s="764">
        <v>0.37608999999999992</v>
      </c>
      <c r="X63" s="1139"/>
      <c r="Y63" s="878">
        <v>3.8899999999999998E-3</v>
      </c>
      <c r="Z63" s="864">
        <v>-1.4999999999999999E-4</v>
      </c>
      <c r="AA63" s="864">
        <v>0</v>
      </c>
      <c r="AB63" s="864">
        <v>-1.5100000000000001E-3</v>
      </c>
      <c r="AC63" s="763">
        <v>3.8899999999999998E-3</v>
      </c>
      <c r="AD63" s="1310">
        <v>0.37932999999999995</v>
      </c>
      <c r="AE63" s="216"/>
      <c r="AF63" s="214"/>
      <c r="AG63" s="215"/>
      <c r="AH63" s="218"/>
      <c r="AI63" s="216"/>
      <c r="AJ63" s="218"/>
      <c r="AK63" s="217"/>
      <c r="AL63" s="216"/>
    </row>
    <row r="64" spans="1:38" x14ac:dyDescent="0.25">
      <c r="A64" s="123">
        <v>58</v>
      </c>
      <c r="B64" s="123"/>
      <c r="C64" s="123"/>
      <c r="D64" s="1347" t="s">
        <v>7</v>
      </c>
      <c r="E64" s="219">
        <v>8.0089999999999995E-2</v>
      </c>
      <c r="F64" s="216">
        <v>0.26333000000000001</v>
      </c>
      <c r="G64" s="216"/>
      <c r="H64" s="216"/>
      <c r="I64" s="218">
        <v>4.3499999999999997E-3</v>
      </c>
      <c r="J64" s="217">
        <v>0.34777000000000002</v>
      </c>
      <c r="K64" s="216"/>
      <c r="L64" s="216">
        <v>8.2100000000000003E-3</v>
      </c>
      <c r="M64" s="216"/>
      <c r="N64" s="220">
        <v>8.0090000000000022E-2</v>
      </c>
      <c r="O64" s="220">
        <v>8.8300000000000017E-2</v>
      </c>
      <c r="P64" s="216">
        <v>-1.39E-3</v>
      </c>
      <c r="Q64" s="865"/>
      <c r="R64" s="750">
        <v>8.6910000000000015E-2</v>
      </c>
      <c r="S64" s="1065">
        <v>0</v>
      </c>
      <c r="T64" s="216">
        <v>-1.25E-3</v>
      </c>
      <c r="U64" s="216">
        <v>4.4000000000000002E-4</v>
      </c>
      <c r="V64" s="763">
        <v>-8.0999999999999996E-4</v>
      </c>
      <c r="W64" s="764">
        <v>0.35378000000000004</v>
      </c>
      <c r="X64" s="1139"/>
      <c r="Y64" s="878">
        <v>3.1099999999999999E-3</v>
      </c>
      <c r="Z64" s="864">
        <v>-1.2E-4</v>
      </c>
      <c r="AA64" s="864">
        <v>0</v>
      </c>
      <c r="AB64" s="864">
        <v>-1.2099999999999999E-3</v>
      </c>
      <c r="AC64" s="763">
        <v>3.1099999999999999E-3</v>
      </c>
      <c r="AD64" s="1310">
        <v>0.35637000000000002</v>
      </c>
      <c r="AE64" s="216"/>
      <c r="AF64" s="214"/>
      <c r="AG64" s="215"/>
      <c r="AH64" s="218"/>
      <c r="AI64" s="216"/>
      <c r="AJ64" s="218"/>
      <c r="AK64" s="217"/>
      <c r="AL64" s="216"/>
    </row>
    <row r="65" spans="1:38" x14ac:dyDescent="0.25">
      <c r="A65" s="123">
        <v>59</v>
      </c>
      <c r="B65" s="123"/>
      <c r="C65" s="123"/>
      <c r="D65" s="1347" t="s">
        <v>8</v>
      </c>
      <c r="E65" s="219">
        <v>5.339E-2</v>
      </c>
      <c r="F65" s="216">
        <v>0.26333000000000001</v>
      </c>
      <c r="G65" s="216"/>
      <c r="H65" s="216"/>
      <c r="I65" s="218">
        <v>3.2999999999999995E-3</v>
      </c>
      <c r="J65" s="217">
        <v>0.32002000000000003</v>
      </c>
      <c r="K65" s="216"/>
      <c r="L65" s="216">
        <v>5.47E-3</v>
      </c>
      <c r="M65" s="216"/>
      <c r="N65" s="220">
        <v>5.3390000000000021E-2</v>
      </c>
      <c r="O65" s="220">
        <v>5.8860000000000023E-2</v>
      </c>
      <c r="P65" s="216">
        <v>-9.3000000000000005E-4</v>
      </c>
      <c r="Q65" s="865"/>
      <c r="R65" s="750">
        <v>5.7930000000000023E-2</v>
      </c>
      <c r="S65" s="1065">
        <v>0</v>
      </c>
      <c r="T65" s="216">
        <v>-8.3000000000000001E-4</v>
      </c>
      <c r="U65" s="216">
        <v>2.9E-4</v>
      </c>
      <c r="V65" s="763">
        <v>-5.4000000000000001E-4</v>
      </c>
      <c r="W65" s="764">
        <v>0.32402000000000009</v>
      </c>
      <c r="X65" s="1139"/>
      <c r="Y65" s="878">
        <v>2.0699999999999998E-3</v>
      </c>
      <c r="Z65" s="864">
        <v>-8.0000000000000007E-5</v>
      </c>
      <c r="AA65" s="864">
        <v>0</v>
      </c>
      <c r="AB65" s="864">
        <v>-8.0999999999999996E-4</v>
      </c>
      <c r="AC65" s="763">
        <v>2.0699999999999998E-3</v>
      </c>
      <c r="AD65" s="1310">
        <v>0.32574000000000009</v>
      </c>
      <c r="AE65" s="216"/>
      <c r="AF65" s="214"/>
      <c r="AG65" s="215"/>
      <c r="AH65" s="218"/>
      <c r="AI65" s="216"/>
      <c r="AJ65" s="218"/>
      <c r="AK65" s="217"/>
      <c r="AL65" s="216"/>
    </row>
    <row r="66" spans="1:38" x14ac:dyDescent="0.25">
      <c r="A66" s="123">
        <v>60</v>
      </c>
      <c r="B66" s="1346"/>
      <c r="C66" s="1346"/>
      <c r="D66" s="1349" t="s">
        <v>9</v>
      </c>
      <c r="E66" s="208">
        <v>2.002E-2</v>
      </c>
      <c r="F66" s="210">
        <v>0.26333000000000001</v>
      </c>
      <c r="G66" s="210"/>
      <c r="H66" s="210"/>
      <c r="I66" s="209">
        <v>1.9499999999999995E-3</v>
      </c>
      <c r="J66" s="211">
        <v>0.2853</v>
      </c>
      <c r="K66" s="216"/>
      <c r="L66" s="210">
        <v>2.0500000000000002E-3</v>
      </c>
      <c r="M66" s="216"/>
      <c r="N66" s="213">
        <v>2.0019999999999989E-2</v>
      </c>
      <c r="O66" s="213">
        <v>2.2069999999999989E-2</v>
      </c>
      <c r="P66" s="210">
        <v>-3.5E-4</v>
      </c>
      <c r="Q66" s="863"/>
      <c r="R66" s="749">
        <v>2.1719999999999989E-2</v>
      </c>
      <c r="S66" s="1064">
        <v>0</v>
      </c>
      <c r="T66" s="210">
        <v>-3.1E-4</v>
      </c>
      <c r="U66" s="210">
        <v>1.1E-4</v>
      </c>
      <c r="V66" s="762">
        <v>-1.9999999999999998E-4</v>
      </c>
      <c r="W66" s="761">
        <v>0.2868</v>
      </c>
      <c r="X66" s="1139"/>
      <c r="Y66" s="878">
        <v>7.7999999999999999E-4</v>
      </c>
      <c r="Z66" s="862">
        <v>-3.0000000000000001E-5</v>
      </c>
      <c r="AA66" s="864">
        <v>0</v>
      </c>
      <c r="AB66" s="862">
        <v>-2.9999999999999997E-4</v>
      </c>
      <c r="AC66" s="762">
        <v>7.7999999999999999E-4</v>
      </c>
      <c r="AD66" s="922">
        <v>0.28744999999999998</v>
      </c>
      <c r="AE66" s="216"/>
      <c r="AF66" s="724"/>
      <c r="AG66" s="122"/>
      <c r="AH66" s="218"/>
      <c r="AI66" s="216"/>
      <c r="AJ66" s="218"/>
      <c r="AK66" s="217"/>
      <c r="AL66" s="216"/>
    </row>
    <row r="67" spans="1:38" x14ac:dyDescent="0.25">
      <c r="A67" s="123">
        <v>61</v>
      </c>
      <c r="B67" s="123" t="s">
        <v>261</v>
      </c>
      <c r="C67" s="123" t="s">
        <v>280</v>
      </c>
      <c r="D67" s="1347" t="s">
        <v>4</v>
      </c>
      <c r="E67" s="219">
        <v>0.13402999999999998</v>
      </c>
      <c r="F67" s="216">
        <v>0</v>
      </c>
      <c r="G67" s="216"/>
      <c r="H67" s="216"/>
      <c r="I67" s="218">
        <v>5.6999999999999998E-4</v>
      </c>
      <c r="J67" s="217">
        <v>0.13459999999999997</v>
      </c>
      <c r="K67" s="216"/>
      <c r="L67" s="216">
        <v>6.1399999999999996E-3</v>
      </c>
      <c r="M67" s="216"/>
      <c r="N67" s="220">
        <v>0.13402999999999998</v>
      </c>
      <c r="O67" s="220">
        <v>0.14016999999999999</v>
      </c>
      <c r="P67" s="216">
        <v>-1.2600000000000001E-3</v>
      </c>
      <c r="Q67" s="865"/>
      <c r="R67" s="750">
        <v>0.13890999999999998</v>
      </c>
      <c r="S67" s="1065">
        <v>0</v>
      </c>
      <c r="T67" s="216">
        <v>-1.1199999999999999E-3</v>
      </c>
      <c r="U67" s="216">
        <v>5.1000000000000004E-4</v>
      </c>
      <c r="V67" s="763">
        <v>-6.0999999999999987E-4</v>
      </c>
      <c r="W67" s="764">
        <v>0.13886999999999997</v>
      </c>
      <c r="X67" s="1139"/>
      <c r="Y67" s="886">
        <v>2.7799999999999999E-3</v>
      </c>
      <c r="Z67" s="864">
        <v>-1.1E-4</v>
      </c>
      <c r="AA67" s="1402">
        <v>0</v>
      </c>
      <c r="AB67" s="864">
        <v>-1.08E-3</v>
      </c>
      <c r="AC67" s="763">
        <v>2.7799999999999999E-3</v>
      </c>
      <c r="AD67" s="1310">
        <v>0.14106999999999997</v>
      </c>
      <c r="AE67" s="216"/>
      <c r="AF67" s="214">
        <v>1550</v>
      </c>
      <c r="AG67" s="215">
        <v>1550</v>
      </c>
      <c r="AH67" s="218"/>
      <c r="AI67" s="216"/>
      <c r="AJ67" s="218"/>
      <c r="AK67" s="217"/>
      <c r="AL67" s="216"/>
    </row>
    <row r="68" spans="1:38" x14ac:dyDescent="0.25">
      <c r="A68" s="123">
        <v>62</v>
      </c>
      <c r="B68" s="123"/>
      <c r="C68" s="123"/>
      <c r="D68" s="1347" t="s">
        <v>5</v>
      </c>
      <c r="E68" s="219">
        <v>0.11997999999999999</v>
      </c>
      <c r="F68" s="216">
        <v>0</v>
      </c>
      <c r="G68" s="216"/>
      <c r="H68" s="216"/>
      <c r="I68" s="218">
        <v>5.1000000000000004E-4</v>
      </c>
      <c r="J68" s="217">
        <v>0.12048999999999999</v>
      </c>
      <c r="K68" s="216"/>
      <c r="L68" s="216">
        <v>5.4999999999999997E-3</v>
      </c>
      <c r="M68" s="216"/>
      <c r="N68" s="220">
        <v>0.11997999999999999</v>
      </c>
      <c r="O68" s="220">
        <v>0.12547999999999998</v>
      </c>
      <c r="P68" s="216">
        <v>-1.1199999999999999E-3</v>
      </c>
      <c r="Q68" s="865"/>
      <c r="R68" s="750">
        <v>0.12435999999999998</v>
      </c>
      <c r="S68" s="1065">
        <v>0</v>
      </c>
      <c r="T68" s="216">
        <v>-1E-3</v>
      </c>
      <c r="U68" s="216">
        <v>4.4999999999999999E-4</v>
      </c>
      <c r="V68" s="763">
        <v>-5.5000000000000003E-4</v>
      </c>
      <c r="W68" s="764">
        <v>0.12431999999999999</v>
      </c>
      <c r="X68" s="1139"/>
      <c r="Y68" s="878">
        <v>2.49E-3</v>
      </c>
      <c r="Z68" s="864">
        <v>-1E-4</v>
      </c>
      <c r="AA68" s="864">
        <v>0</v>
      </c>
      <c r="AB68" s="864">
        <v>-9.7000000000000005E-4</v>
      </c>
      <c r="AC68" s="763">
        <v>2.49E-3</v>
      </c>
      <c r="AD68" s="1310">
        <v>0.12628999999999999</v>
      </c>
      <c r="AE68" s="216"/>
      <c r="AF68" s="214"/>
      <c r="AG68" s="215"/>
      <c r="AH68" s="218"/>
      <c r="AI68" s="216"/>
      <c r="AJ68" s="218"/>
      <c r="AK68" s="217"/>
      <c r="AL68" s="216"/>
    </row>
    <row r="69" spans="1:38" x14ac:dyDescent="0.25">
      <c r="A69" s="123">
        <v>63</v>
      </c>
      <c r="B69" s="123"/>
      <c r="C69" s="123"/>
      <c r="D69" s="1347" t="s">
        <v>6</v>
      </c>
      <c r="E69" s="219">
        <v>9.1999999999999998E-2</v>
      </c>
      <c r="F69" s="216">
        <v>0</v>
      </c>
      <c r="G69" s="216"/>
      <c r="H69" s="216"/>
      <c r="I69" s="218">
        <v>3.7999999999999997E-4</v>
      </c>
      <c r="J69" s="217">
        <v>9.2380000000000004E-2</v>
      </c>
      <c r="K69" s="216"/>
      <c r="L69" s="216">
        <v>4.2199999999999998E-3</v>
      </c>
      <c r="M69" s="216"/>
      <c r="N69" s="220">
        <v>9.1999999999999998E-2</v>
      </c>
      <c r="O69" s="220">
        <v>9.622E-2</v>
      </c>
      <c r="P69" s="216">
        <v>-8.5999999999999998E-4</v>
      </c>
      <c r="Q69" s="865"/>
      <c r="R69" s="750">
        <v>9.536E-2</v>
      </c>
      <c r="S69" s="1065">
        <v>0</v>
      </c>
      <c r="T69" s="216">
        <v>-7.6999999999999996E-4</v>
      </c>
      <c r="U69" s="216">
        <v>3.5E-4</v>
      </c>
      <c r="V69" s="763">
        <v>-4.1999999999999996E-4</v>
      </c>
      <c r="W69" s="764">
        <v>9.5320000000000002E-2</v>
      </c>
      <c r="X69" s="1139"/>
      <c r="Y69" s="878">
        <v>1.91E-3</v>
      </c>
      <c r="Z69" s="864">
        <v>-8.0000000000000007E-5</v>
      </c>
      <c r="AA69" s="864">
        <v>0</v>
      </c>
      <c r="AB69" s="864">
        <v>-7.3999999999999999E-4</v>
      </c>
      <c r="AC69" s="763">
        <v>1.91E-3</v>
      </c>
      <c r="AD69" s="1310">
        <v>9.6829999999999999E-2</v>
      </c>
      <c r="AE69" s="216"/>
      <c r="AF69" s="214"/>
      <c r="AG69" s="215"/>
      <c r="AH69" s="218"/>
      <c r="AI69" s="216"/>
      <c r="AJ69" s="218"/>
      <c r="AK69" s="217"/>
      <c r="AL69" s="216"/>
    </row>
    <row r="70" spans="1:38" x14ac:dyDescent="0.25">
      <c r="A70" s="123">
        <v>64</v>
      </c>
      <c r="B70" s="123"/>
      <c r="C70" s="123"/>
      <c r="D70" s="1347" t="s">
        <v>7</v>
      </c>
      <c r="E70" s="219">
        <v>7.3609999999999995E-2</v>
      </c>
      <c r="F70" s="216">
        <v>0</v>
      </c>
      <c r="G70" s="216"/>
      <c r="H70" s="216"/>
      <c r="I70" s="218">
        <v>3.0999999999999995E-4</v>
      </c>
      <c r="J70" s="217">
        <v>7.392E-2</v>
      </c>
      <c r="K70" s="216"/>
      <c r="L70" s="216">
        <v>3.3700000000000002E-3</v>
      </c>
      <c r="M70" s="216"/>
      <c r="N70" s="220">
        <v>7.3609999999999995E-2</v>
      </c>
      <c r="O70" s="220">
        <v>7.6979999999999993E-2</v>
      </c>
      <c r="P70" s="216">
        <v>-6.8999999999999997E-4</v>
      </c>
      <c r="Q70" s="865"/>
      <c r="R70" s="750">
        <v>7.6289999999999997E-2</v>
      </c>
      <c r="S70" s="1065">
        <v>0</v>
      </c>
      <c r="T70" s="216">
        <v>-6.0999999999999997E-4</v>
      </c>
      <c r="U70" s="216">
        <v>2.7999999999999998E-4</v>
      </c>
      <c r="V70" s="763">
        <v>-3.3E-4</v>
      </c>
      <c r="W70" s="764">
        <v>7.6270000000000004E-2</v>
      </c>
      <c r="X70" s="1139"/>
      <c r="Y70" s="878">
        <v>1.5299999999999999E-3</v>
      </c>
      <c r="Z70" s="864">
        <v>-6.0000000000000002E-5</v>
      </c>
      <c r="AA70" s="864">
        <v>0</v>
      </c>
      <c r="AB70" s="864">
        <v>-5.9000000000000003E-4</v>
      </c>
      <c r="AC70" s="763">
        <v>1.5299999999999999E-3</v>
      </c>
      <c r="AD70" s="1310">
        <v>7.7480000000000007E-2</v>
      </c>
      <c r="AE70" s="216"/>
      <c r="AF70" s="214"/>
      <c r="AG70" s="215"/>
      <c r="AH70" s="218"/>
      <c r="AI70" s="216"/>
      <c r="AJ70" s="218"/>
      <c r="AK70" s="217"/>
      <c r="AL70" s="216"/>
    </row>
    <row r="71" spans="1:38" x14ac:dyDescent="0.25">
      <c r="A71" s="123">
        <v>65</v>
      </c>
      <c r="B71" s="123"/>
      <c r="C71" s="123"/>
      <c r="D71" s="1347" t="s">
        <v>8</v>
      </c>
      <c r="E71" s="219">
        <v>4.9079999999999999E-2</v>
      </c>
      <c r="F71" s="216">
        <v>0</v>
      </c>
      <c r="G71" s="216"/>
      <c r="H71" s="216"/>
      <c r="I71" s="218">
        <v>2.0999999999999998E-4</v>
      </c>
      <c r="J71" s="217">
        <v>4.929E-2</v>
      </c>
      <c r="K71" s="216"/>
      <c r="L71" s="216">
        <v>2.2499999999999998E-3</v>
      </c>
      <c r="M71" s="216"/>
      <c r="N71" s="220">
        <v>4.9079999999999999E-2</v>
      </c>
      <c r="O71" s="220">
        <v>5.1330000000000001E-2</v>
      </c>
      <c r="P71" s="216">
        <v>-4.6000000000000001E-4</v>
      </c>
      <c r="Q71" s="865"/>
      <c r="R71" s="750">
        <v>5.0869999999999999E-2</v>
      </c>
      <c r="S71" s="1065">
        <v>0</v>
      </c>
      <c r="T71" s="216">
        <v>-4.0999999999999999E-4</v>
      </c>
      <c r="U71" s="216">
        <v>1.9000000000000001E-4</v>
      </c>
      <c r="V71" s="763">
        <v>-2.1999999999999998E-4</v>
      </c>
      <c r="W71" s="764">
        <v>5.0860000000000002E-2</v>
      </c>
      <c r="X71" s="1139"/>
      <c r="Y71" s="878">
        <v>1.0200000000000001E-3</v>
      </c>
      <c r="Z71" s="864">
        <v>-4.0000000000000003E-5</v>
      </c>
      <c r="AA71" s="864">
        <v>0</v>
      </c>
      <c r="AB71" s="864">
        <v>-4.0000000000000002E-4</v>
      </c>
      <c r="AC71" s="763">
        <v>1.0200000000000001E-3</v>
      </c>
      <c r="AD71" s="1310">
        <v>5.1659999999999998E-2</v>
      </c>
      <c r="AE71" s="216"/>
      <c r="AF71" s="214"/>
      <c r="AG71" s="215"/>
      <c r="AH71" s="218"/>
      <c r="AI71" s="216"/>
      <c r="AJ71" s="218"/>
      <c r="AK71" s="217"/>
      <c r="AL71" s="216"/>
    </row>
    <row r="72" spans="1:38" x14ac:dyDescent="0.25">
      <c r="A72" s="123">
        <v>66</v>
      </c>
      <c r="B72" s="1346"/>
      <c r="C72" s="1346"/>
      <c r="D72" s="1349" t="s">
        <v>9</v>
      </c>
      <c r="E72" s="208">
        <v>1.839E-2</v>
      </c>
      <c r="F72" s="210">
        <v>0</v>
      </c>
      <c r="G72" s="210"/>
      <c r="H72" s="210"/>
      <c r="I72" s="209">
        <v>6.9999999999999994E-5</v>
      </c>
      <c r="J72" s="211">
        <v>1.8460000000000001E-2</v>
      </c>
      <c r="K72" s="216"/>
      <c r="L72" s="210">
        <v>8.4000000000000003E-4</v>
      </c>
      <c r="M72" s="216"/>
      <c r="N72" s="213">
        <v>1.839E-2</v>
      </c>
      <c r="O72" s="213">
        <v>1.9230000000000001E-2</v>
      </c>
      <c r="P72" s="210">
        <v>-1.7000000000000001E-4</v>
      </c>
      <c r="Q72" s="863"/>
      <c r="R72" s="749">
        <v>1.9060000000000001E-2</v>
      </c>
      <c r="S72" s="1064">
        <v>0</v>
      </c>
      <c r="T72" s="210">
        <v>-1.4999999999999999E-4</v>
      </c>
      <c r="U72" s="210">
        <v>6.9999999999999994E-5</v>
      </c>
      <c r="V72" s="762">
        <v>-7.9999999999999993E-5</v>
      </c>
      <c r="W72" s="761">
        <v>1.9050000000000001E-2</v>
      </c>
      <c r="X72" s="1139"/>
      <c r="Y72" s="887">
        <v>3.8000000000000002E-4</v>
      </c>
      <c r="Z72" s="862">
        <v>-2.0000000000000002E-5</v>
      </c>
      <c r="AA72" s="862">
        <v>0</v>
      </c>
      <c r="AB72" s="862">
        <v>-1.4999999999999999E-4</v>
      </c>
      <c r="AC72" s="762">
        <v>3.8000000000000002E-4</v>
      </c>
      <c r="AD72" s="922">
        <v>1.934E-2</v>
      </c>
      <c r="AE72" s="216"/>
      <c r="AF72" s="724"/>
      <c r="AG72" s="122"/>
      <c r="AH72" s="218"/>
      <c r="AI72" s="216"/>
      <c r="AJ72" s="218"/>
      <c r="AK72" s="217"/>
      <c r="AL72" s="216"/>
    </row>
    <row r="73" spans="1:38" x14ac:dyDescent="0.25">
      <c r="A73" s="123">
        <v>67</v>
      </c>
      <c r="B73" s="123" t="s">
        <v>262</v>
      </c>
      <c r="C73" s="123" t="s">
        <v>281</v>
      </c>
      <c r="D73" s="1347" t="s">
        <v>4</v>
      </c>
      <c r="E73" s="222">
        <v>0.13402999999999998</v>
      </c>
      <c r="F73" s="223">
        <v>0</v>
      </c>
      <c r="G73" s="216"/>
      <c r="H73" s="223"/>
      <c r="I73" s="224">
        <v>5.6999999999999998E-4</v>
      </c>
      <c r="J73" s="225">
        <v>0.13459999999999997</v>
      </c>
      <c r="K73" s="223"/>
      <c r="L73" s="223">
        <v>8.7899999999999992E-3</v>
      </c>
      <c r="M73" s="223"/>
      <c r="N73" s="226">
        <v>0.13402999999999998</v>
      </c>
      <c r="O73" s="226">
        <v>0.14281999999999997</v>
      </c>
      <c r="P73" s="223">
        <v>-1.49E-3</v>
      </c>
      <c r="Q73" s="867"/>
      <c r="R73" s="751">
        <v>0.14132999999999998</v>
      </c>
      <c r="S73" s="1066">
        <v>0</v>
      </c>
      <c r="T73" s="223">
        <v>-1.34E-3</v>
      </c>
      <c r="U73" s="223">
        <v>4.6999999999999999E-4</v>
      </c>
      <c r="V73" s="765">
        <v>-8.7000000000000011E-4</v>
      </c>
      <c r="W73" s="766">
        <v>0.14102999999999996</v>
      </c>
      <c r="X73" s="1139"/>
      <c r="Y73" s="888">
        <v>3.3300000000000001E-3</v>
      </c>
      <c r="Z73" s="866">
        <v>-1.2999999999999999E-4</v>
      </c>
      <c r="AA73" s="1403">
        <v>0</v>
      </c>
      <c r="AB73" s="866">
        <v>-1.2999999999999999E-3</v>
      </c>
      <c r="AC73" s="765">
        <v>3.3300000000000001E-3</v>
      </c>
      <c r="AD73" s="1311">
        <v>0.14379999999999998</v>
      </c>
      <c r="AE73" s="223"/>
      <c r="AF73" s="214">
        <v>1550</v>
      </c>
      <c r="AG73" s="215">
        <v>1550</v>
      </c>
      <c r="AH73" s="218"/>
      <c r="AI73" s="216"/>
      <c r="AJ73" s="218"/>
      <c r="AK73" s="217"/>
      <c r="AL73" s="216"/>
    </row>
    <row r="74" spans="1:38" x14ac:dyDescent="0.25">
      <c r="A74" s="123">
        <v>68</v>
      </c>
      <c r="B74" s="123"/>
      <c r="C74" s="123"/>
      <c r="D74" s="1347" t="s">
        <v>5</v>
      </c>
      <c r="E74" s="222">
        <v>0.11997999999999999</v>
      </c>
      <c r="F74" s="223">
        <v>0</v>
      </c>
      <c r="G74" s="216"/>
      <c r="H74" s="223"/>
      <c r="I74" s="224">
        <v>5.1000000000000004E-4</v>
      </c>
      <c r="J74" s="225">
        <v>0.12048999999999999</v>
      </c>
      <c r="K74" s="223"/>
      <c r="L74" s="223">
        <v>7.8600000000000007E-3</v>
      </c>
      <c r="M74" s="223"/>
      <c r="N74" s="226">
        <v>0.11997999999999999</v>
      </c>
      <c r="O74" s="226">
        <v>0.12783999999999998</v>
      </c>
      <c r="P74" s="223">
        <v>-1.33E-3</v>
      </c>
      <c r="Q74" s="867"/>
      <c r="R74" s="751">
        <v>0.12650999999999998</v>
      </c>
      <c r="S74" s="1066">
        <v>0</v>
      </c>
      <c r="T74" s="223">
        <v>-1.1999999999999999E-3</v>
      </c>
      <c r="U74" s="223">
        <v>4.2000000000000002E-4</v>
      </c>
      <c r="V74" s="765">
        <v>-7.7999999999999988E-4</v>
      </c>
      <c r="W74" s="766">
        <v>0.12623999999999999</v>
      </c>
      <c r="X74" s="1139"/>
      <c r="Y74" s="879">
        <v>2.98E-3</v>
      </c>
      <c r="Z74" s="866">
        <v>-1.2E-4</v>
      </c>
      <c r="AA74" s="866">
        <v>0</v>
      </c>
      <c r="AB74" s="866">
        <v>-1.16E-3</v>
      </c>
      <c r="AC74" s="765">
        <v>2.98E-3</v>
      </c>
      <c r="AD74" s="1311">
        <v>0.12872</v>
      </c>
      <c r="AE74" s="223"/>
      <c r="AF74" s="724"/>
      <c r="AG74" s="122"/>
      <c r="AH74" s="218"/>
      <c r="AI74" s="216"/>
      <c r="AJ74" s="218"/>
      <c r="AK74" s="217"/>
      <c r="AL74" s="216"/>
    </row>
    <row r="75" spans="1:38" x14ac:dyDescent="0.25">
      <c r="A75" s="123">
        <v>69</v>
      </c>
      <c r="B75" s="123"/>
      <c r="C75" s="123"/>
      <c r="D75" s="1347" t="s">
        <v>6</v>
      </c>
      <c r="E75" s="222">
        <v>9.1999999999999998E-2</v>
      </c>
      <c r="F75" s="223">
        <v>0</v>
      </c>
      <c r="G75" s="216"/>
      <c r="H75" s="223"/>
      <c r="I75" s="224">
        <v>3.7999999999999997E-4</v>
      </c>
      <c r="J75" s="225">
        <v>9.2380000000000004E-2</v>
      </c>
      <c r="K75" s="223"/>
      <c r="L75" s="223">
        <v>6.0299999999999998E-3</v>
      </c>
      <c r="M75" s="223"/>
      <c r="N75" s="226">
        <v>9.1999999999999998E-2</v>
      </c>
      <c r="O75" s="226">
        <v>9.8029999999999992E-2</v>
      </c>
      <c r="P75" s="223">
        <v>-1.0200000000000001E-3</v>
      </c>
      <c r="Q75" s="867"/>
      <c r="R75" s="751">
        <v>9.7009999999999985E-2</v>
      </c>
      <c r="S75" s="1066">
        <v>0</v>
      </c>
      <c r="T75" s="223">
        <v>-9.2000000000000003E-4</v>
      </c>
      <c r="U75" s="223">
        <v>3.2000000000000003E-4</v>
      </c>
      <c r="V75" s="765">
        <v>-6.0000000000000006E-4</v>
      </c>
      <c r="W75" s="766">
        <v>9.6789999999999987E-2</v>
      </c>
      <c r="X75" s="1139"/>
      <c r="Y75" s="879">
        <v>2.2799999999999999E-3</v>
      </c>
      <c r="Z75" s="866">
        <v>-9.0000000000000006E-5</v>
      </c>
      <c r="AA75" s="866">
        <v>0</v>
      </c>
      <c r="AB75" s="866">
        <v>-8.8999999999999995E-4</v>
      </c>
      <c r="AC75" s="765">
        <v>2.2799999999999999E-3</v>
      </c>
      <c r="AD75" s="1311">
        <v>9.8689999999999986E-2</v>
      </c>
      <c r="AE75" s="223"/>
      <c r="AF75" s="214"/>
      <c r="AG75" s="215"/>
      <c r="AH75" s="218"/>
      <c r="AI75" s="216"/>
      <c r="AJ75" s="218"/>
      <c r="AK75" s="217"/>
      <c r="AL75" s="216"/>
    </row>
    <row r="76" spans="1:38" x14ac:dyDescent="0.25">
      <c r="A76" s="123">
        <v>70</v>
      </c>
      <c r="B76" s="123"/>
      <c r="C76" s="123"/>
      <c r="D76" s="1347" t="s">
        <v>7</v>
      </c>
      <c r="E76" s="222">
        <v>7.3609999999999995E-2</v>
      </c>
      <c r="F76" s="223">
        <v>0</v>
      </c>
      <c r="G76" s="216"/>
      <c r="H76" s="223"/>
      <c r="I76" s="224">
        <v>3.0999999999999995E-4</v>
      </c>
      <c r="J76" s="225">
        <v>7.392E-2</v>
      </c>
      <c r="K76" s="223"/>
      <c r="L76" s="223">
        <v>4.8300000000000001E-3</v>
      </c>
      <c r="M76" s="223"/>
      <c r="N76" s="226">
        <v>7.3609999999999995E-2</v>
      </c>
      <c r="O76" s="226">
        <v>7.8439999999999996E-2</v>
      </c>
      <c r="P76" s="223">
        <v>-8.1999999999999998E-4</v>
      </c>
      <c r="Q76" s="867"/>
      <c r="R76" s="751">
        <v>7.7619999999999995E-2</v>
      </c>
      <c r="S76" s="1066">
        <v>0</v>
      </c>
      <c r="T76" s="223">
        <v>-7.3999999999999999E-4</v>
      </c>
      <c r="U76" s="223">
        <v>2.5999999999999998E-4</v>
      </c>
      <c r="V76" s="765">
        <v>-4.8000000000000001E-4</v>
      </c>
      <c r="W76" s="766">
        <v>7.7450000000000005E-2</v>
      </c>
      <c r="X76" s="1139"/>
      <c r="Y76" s="879">
        <v>1.83E-3</v>
      </c>
      <c r="Z76" s="866">
        <v>-6.9999999999999994E-5</v>
      </c>
      <c r="AA76" s="866">
        <v>0</v>
      </c>
      <c r="AB76" s="866">
        <v>-7.1000000000000002E-4</v>
      </c>
      <c r="AC76" s="765">
        <v>1.83E-3</v>
      </c>
      <c r="AD76" s="1311">
        <v>7.8980000000000009E-2</v>
      </c>
      <c r="AE76" s="223"/>
      <c r="AF76" s="214"/>
      <c r="AG76" s="215"/>
      <c r="AH76" s="218"/>
      <c r="AI76" s="216"/>
      <c r="AJ76" s="218"/>
      <c r="AK76" s="217"/>
      <c r="AL76" s="216"/>
    </row>
    <row r="77" spans="1:38" x14ac:dyDescent="0.25">
      <c r="A77" s="123">
        <v>71</v>
      </c>
      <c r="B77" s="123"/>
      <c r="C77" s="123"/>
      <c r="D77" s="1347" t="s">
        <v>8</v>
      </c>
      <c r="E77" s="222">
        <v>4.9079999999999999E-2</v>
      </c>
      <c r="F77" s="223">
        <v>0</v>
      </c>
      <c r="G77" s="216"/>
      <c r="H77" s="223"/>
      <c r="I77" s="224">
        <v>2.0999999999999998E-4</v>
      </c>
      <c r="J77" s="225">
        <v>4.929E-2</v>
      </c>
      <c r="K77" s="223"/>
      <c r="L77" s="223">
        <v>3.2200000000000002E-3</v>
      </c>
      <c r="M77" s="223"/>
      <c r="N77" s="226">
        <v>4.9079999999999999E-2</v>
      </c>
      <c r="O77" s="226">
        <v>5.2299999999999999E-2</v>
      </c>
      <c r="P77" s="223">
        <v>-5.5000000000000003E-4</v>
      </c>
      <c r="Q77" s="867"/>
      <c r="R77" s="751">
        <v>5.1749999999999997E-2</v>
      </c>
      <c r="S77" s="1066">
        <v>0</v>
      </c>
      <c r="T77" s="223">
        <v>-4.8999999999999998E-4</v>
      </c>
      <c r="U77" s="223">
        <v>1.7000000000000001E-4</v>
      </c>
      <c r="V77" s="765">
        <v>-3.1999999999999997E-4</v>
      </c>
      <c r="W77" s="766">
        <v>5.1639999999999998E-2</v>
      </c>
      <c r="X77" s="1139"/>
      <c r="Y77" s="879">
        <v>1.2199999999999999E-3</v>
      </c>
      <c r="Z77" s="866">
        <v>-5.0000000000000002E-5</v>
      </c>
      <c r="AA77" s="866">
        <v>0</v>
      </c>
      <c r="AB77" s="866">
        <v>-4.6999999999999999E-4</v>
      </c>
      <c r="AC77" s="765">
        <v>1.2199999999999999E-3</v>
      </c>
      <c r="AD77" s="1311">
        <v>5.2659999999999998E-2</v>
      </c>
      <c r="AE77" s="223"/>
      <c r="AF77" s="214"/>
      <c r="AG77" s="215"/>
      <c r="AH77" s="218"/>
      <c r="AI77" s="216"/>
      <c r="AJ77" s="218"/>
      <c r="AK77" s="217"/>
      <c r="AL77" s="216"/>
    </row>
    <row r="78" spans="1:38" x14ac:dyDescent="0.25">
      <c r="A78" s="123">
        <v>72</v>
      </c>
      <c r="B78" s="1346"/>
      <c r="C78" s="1346"/>
      <c r="D78" s="1349" t="s">
        <v>9</v>
      </c>
      <c r="E78" s="227">
        <v>1.839E-2</v>
      </c>
      <c r="F78" s="228">
        <v>0</v>
      </c>
      <c r="G78" s="210"/>
      <c r="H78" s="228"/>
      <c r="I78" s="229">
        <v>6.9999999999999994E-5</v>
      </c>
      <c r="J78" s="230">
        <v>1.8460000000000001E-2</v>
      </c>
      <c r="K78" s="223"/>
      <c r="L78" s="228">
        <v>1.2099999999999999E-3</v>
      </c>
      <c r="M78" s="223"/>
      <c r="N78" s="231">
        <v>1.839E-2</v>
      </c>
      <c r="O78" s="231">
        <v>1.9599999999999999E-2</v>
      </c>
      <c r="P78" s="228">
        <v>-2.0000000000000001E-4</v>
      </c>
      <c r="Q78" s="869"/>
      <c r="R78" s="752">
        <v>1.9400000000000001E-2</v>
      </c>
      <c r="S78" s="1067">
        <v>0</v>
      </c>
      <c r="T78" s="228">
        <v>-1.8000000000000001E-4</v>
      </c>
      <c r="U78" s="228">
        <v>6.0000000000000002E-5</v>
      </c>
      <c r="V78" s="767">
        <v>-1.2000000000000002E-4</v>
      </c>
      <c r="W78" s="768">
        <v>1.9350000000000003E-2</v>
      </c>
      <c r="X78" s="1139"/>
      <c r="Y78" s="879">
        <v>4.6000000000000001E-4</v>
      </c>
      <c r="Z78" s="868">
        <v>-2.0000000000000002E-5</v>
      </c>
      <c r="AA78" s="866">
        <v>0</v>
      </c>
      <c r="AB78" s="868">
        <v>-1.8000000000000001E-4</v>
      </c>
      <c r="AC78" s="767">
        <v>4.6000000000000001E-4</v>
      </c>
      <c r="AD78" s="1312">
        <v>1.9730000000000001E-2</v>
      </c>
      <c r="AE78" s="223"/>
      <c r="AF78" s="214"/>
      <c r="AG78" s="215"/>
      <c r="AH78" s="218"/>
      <c r="AI78" s="216"/>
      <c r="AJ78" s="218"/>
      <c r="AK78" s="217"/>
      <c r="AL78" s="216"/>
    </row>
    <row r="79" spans="1:38" x14ac:dyDescent="0.25">
      <c r="A79" s="123">
        <v>73</v>
      </c>
      <c r="B79" s="1346" t="s">
        <v>263</v>
      </c>
      <c r="C79" s="1346" t="s">
        <v>44</v>
      </c>
      <c r="D79" s="1346" t="s">
        <v>248</v>
      </c>
      <c r="E79" s="232">
        <v>4.9099999999999994E-3</v>
      </c>
      <c r="F79" s="233">
        <v>0</v>
      </c>
      <c r="G79" s="233"/>
      <c r="H79" s="233"/>
      <c r="I79" s="234">
        <v>1.0000000000000001E-5</v>
      </c>
      <c r="J79" s="235">
        <v>4.919999999999999E-3</v>
      </c>
      <c r="K79" s="223"/>
      <c r="L79" s="233">
        <v>0</v>
      </c>
      <c r="M79" s="223"/>
      <c r="N79" s="236">
        <v>4.9099999999999994E-3</v>
      </c>
      <c r="O79" s="236">
        <v>4.9099999999999994E-3</v>
      </c>
      <c r="P79" s="233">
        <v>0</v>
      </c>
      <c r="Q79" s="871"/>
      <c r="R79" s="753">
        <v>4.9099999999999994E-3</v>
      </c>
      <c r="S79" s="1068">
        <v>0</v>
      </c>
      <c r="T79" s="233">
        <v>-4.0000000000000003E-5</v>
      </c>
      <c r="U79" s="233">
        <v>2.0000000000000002E-5</v>
      </c>
      <c r="V79" s="769">
        <v>-2.0000000000000002E-5</v>
      </c>
      <c r="W79" s="770">
        <v>4.899999999999999E-3</v>
      </c>
      <c r="X79" s="1139"/>
      <c r="Y79" s="889">
        <v>0</v>
      </c>
      <c r="Z79" s="870">
        <v>0</v>
      </c>
      <c r="AA79" s="870">
        <v>0</v>
      </c>
      <c r="AB79" s="870">
        <v>-4.0000000000000003E-5</v>
      </c>
      <c r="AC79" s="769">
        <v>0</v>
      </c>
      <c r="AD79" s="1313">
        <v>4.8799999999999989E-3</v>
      </c>
      <c r="AE79" s="223"/>
      <c r="AF79" s="214">
        <v>38000</v>
      </c>
      <c r="AG79" s="215">
        <v>38000</v>
      </c>
      <c r="AH79" s="218">
        <v>0.15748000000000001</v>
      </c>
      <c r="AI79" s="216"/>
      <c r="AJ79" s="218"/>
      <c r="AK79" s="217"/>
      <c r="AL79" s="216"/>
    </row>
    <row r="80" spans="1:38" x14ac:dyDescent="0.25">
      <c r="A80" s="123">
        <v>74</v>
      </c>
      <c r="B80" s="1345" t="s">
        <v>265</v>
      </c>
      <c r="C80" s="1345" t="s">
        <v>264</v>
      </c>
      <c r="D80" s="1345" t="s">
        <v>248</v>
      </c>
      <c r="E80" s="227">
        <v>4.9099999999999994E-3</v>
      </c>
      <c r="F80" s="228">
        <v>0</v>
      </c>
      <c r="G80" s="228"/>
      <c r="H80" s="228"/>
      <c r="I80" s="229">
        <v>1.0000000000000001E-5</v>
      </c>
      <c r="J80" s="230">
        <v>4.919999999999999E-3</v>
      </c>
      <c r="K80" s="223"/>
      <c r="L80" s="1535">
        <v>0</v>
      </c>
      <c r="M80" s="223"/>
      <c r="N80" s="231">
        <v>4.9099999999999994E-3</v>
      </c>
      <c r="O80" s="231">
        <v>4.9099999999999994E-3</v>
      </c>
      <c r="P80" s="228">
        <v>0</v>
      </c>
      <c r="Q80" s="868"/>
      <c r="R80" s="753">
        <v>4.9099999999999994E-3</v>
      </c>
      <c r="S80" s="1067">
        <v>0</v>
      </c>
      <c r="T80" s="228">
        <v>-4.0000000000000003E-5</v>
      </c>
      <c r="U80" s="228">
        <v>2.0000000000000002E-5</v>
      </c>
      <c r="V80" s="769">
        <v>-2.0000000000000002E-5</v>
      </c>
      <c r="W80" s="770">
        <v>4.899999999999999E-3</v>
      </c>
      <c r="X80" s="1139"/>
      <c r="Y80" s="889">
        <v>0</v>
      </c>
      <c r="Z80" s="868">
        <v>0</v>
      </c>
      <c r="AA80" s="870">
        <v>0</v>
      </c>
      <c r="AB80" s="868">
        <v>-4.0000000000000003E-5</v>
      </c>
      <c r="AC80" s="769">
        <v>0</v>
      </c>
      <c r="AD80" s="1313">
        <v>4.8799999999999989E-3</v>
      </c>
      <c r="AE80" s="223"/>
      <c r="AF80" s="214">
        <v>38000</v>
      </c>
      <c r="AG80" s="215">
        <v>38000</v>
      </c>
      <c r="AH80" s="218"/>
      <c r="AI80" s="216"/>
      <c r="AJ80" s="218"/>
      <c r="AK80" s="217"/>
      <c r="AL80" s="216"/>
    </row>
    <row r="81" spans="1:38" ht="15.75" thickBot="1" x14ac:dyDescent="0.3">
      <c r="A81" s="123">
        <v>75</v>
      </c>
      <c r="B81" s="1345" t="s">
        <v>282</v>
      </c>
      <c r="C81" s="1345" t="s">
        <v>304</v>
      </c>
      <c r="D81" s="1345" t="s">
        <v>248</v>
      </c>
      <c r="E81" s="1026"/>
      <c r="F81" s="238">
        <v>0</v>
      </c>
      <c r="G81" s="666"/>
      <c r="H81" s="238"/>
      <c r="I81" s="645">
        <v>0</v>
      </c>
      <c r="J81" s="676">
        <v>0</v>
      </c>
      <c r="K81" s="223"/>
      <c r="L81" s="1536">
        <v>0</v>
      </c>
      <c r="M81" s="223"/>
      <c r="N81" s="237">
        <v>0</v>
      </c>
      <c r="O81" s="1070">
        <v>0</v>
      </c>
      <c r="P81" s="238">
        <v>0</v>
      </c>
      <c r="Q81" s="872"/>
      <c r="R81" s="754">
        <v>0</v>
      </c>
      <c r="S81" s="1069">
        <v>0</v>
      </c>
      <c r="T81" s="238">
        <v>0</v>
      </c>
      <c r="U81" s="238">
        <v>0</v>
      </c>
      <c r="V81" s="771">
        <v>0</v>
      </c>
      <c r="W81" s="772">
        <v>0</v>
      </c>
      <c r="X81" s="1139"/>
      <c r="Y81" s="880">
        <v>0</v>
      </c>
      <c r="Z81" s="873">
        <v>0</v>
      </c>
      <c r="AA81" s="873">
        <v>0</v>
      </c>
      <c r="AB81" s="873">
        <v>0</v>
      </c>
      <c r="AC81" s="771">
        <v>0</v>
      </c>
      <c r="AD81" s="923">
        <v>0</v>
      </c>
      <c r="AE81" s="223"/>
      <c r="AF81" s="725">
        <v>0</v>
      </c>
      <c r="AG81" s="726">
        <v>0</v>
      </c>
      <c r="AH81" s="645"/>
      <c r="AI81" s="238"/>
      <c r="AJ81" s="645"/>
      <c r="AK81" s="646"/>
      <c r="AL81" s="223"/>
    </row>
    <row r="82" spans="1:38" x14ac:dyDescent="0.25">
      <c r="A82" s="123">
        <v>76</v>
      </c>
    </row>
    <row r="83" spans="1:38" x14ac:dyDescent="0.25">
      <c r="A83" s="123">
        <v>77</v>
      </c>
      <c r="B83" s="240" t="s">
        <v>162</v>
      </c>
      <c r="C83" s="240"/>
    </row>
    <row r="84" spans="1:38" x14ac:dyDescent="0.25">
      <c r="A84" s="123"/>
      <c r="B84" s="239"/>
      <c r="C84" s="239"/>
    </row>
    <row r="85" spans="1:38" x14ac:dyDescent="0.25">
      <c r="B85" s="239"/>
      <c r="C85" s="239"/>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5">
    <mergeCell ref="O5:W5"/>
    <mergeCell ref="AF6:AK6"/>
    <mergeCell ref="E7:J7"/>
    <mergeCell ref="O6:Q6"/>
    <mergeCell ref="Y5:AD5"/>
  </mergeCells>
  <printOptions horizontalCentered="1"/>
  <pageMargins left="0.5" right="0.5" top="0.5" bottom="0.5" header="0.25" footer="0.25"/>
  <pageSetup scale="51" orientation="landscape" r:id="rId3"/>
  <headerFooter alignWithMargins="0">
    <oddHeader>&amp;RUG-200994 et al . / NWN WUTC Advice 21-09A
WP1 /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52" ma:contentTypeDescription="" ma:contentTypeScope="" ma:versionID="661ebdd58a449a96898bb3f3afaf28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2021-10-29T07:00:00+00:00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2.xml><?xml version="1.0" encoding="utf-8"?>
<ds:datastoreItem xmlns:ds="http://schemas.openxmlformats.org/officeDocument/2006/customXml" ds:itemID="{D7AEB633-2063-460D-AA71-13C52A3B09B2}"/>
</file>

<file path=customXml/itemProps3.xml><?xml version="1.0" encoding="utf-8"?>
<ds:datastoreItem xmlns:ds="http://schemas.openxmlformats.org/officeDocument/2006/customXml" ds:itemID="{48894FB1-5DAF-4D23-A5D1-721DDD182922}">
  <ds:schemaRefs>
    <ds:schemaRef ds:uri="http://schemas.microsoft.com/office/2006/documentManagement/types"/>
    <ds:schemaRef ds:uri="http://www.w3.org/XML/1998/namespace"/>
    <ds:schemaRef ds:uri="http://schemas.microsoft.com/office/2006/metadata/properties"/>
    <ds:schemaRef ds:uri="http://purl.org/dc/dcmitype/"/>
    <ds:schemaRef ds:uri="http://schemas.openxmlformats.org/package/2006/metadata/core-properties"/>
    <ds:schemaRef ds:uri="http://purl.org/dc/elements/1.1/"/>
    <ds:schemaRef ds:uri="http://purl.org/dc/terms/"/>
    <ds:schemaRef ds:uri="http://schemas.microsoft.com/office/infopath/2007/PartnerControls"/>
  </ds:schemaRefs>
</ds:datastoreItem>
</file>

<file path=customXml/itemProps4.xml><?xml version="1.0" encoding="utf-8"?>
<ds:datastoreItem xmlns:ds="http://schemas.openxmlformats.org/officeDocument/2006/customXml" ds:itemID="{063CBFC5-1A0D-4833-A5C9-C15BE27D06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Rate Spread SETTLEMENT</vt:lpstr>
      <vt:lpstr>Allocation = ¢ per Therm</vt:lpstr>
      <vt:lpstr>Allocation = % of Margin</vt:lpstr>
      <vt:lpstr>Allocation = % of Revenue</vt:lpstr>
      <vt:lpstr>Rev Req Proof Yr1</vt:lpstr>
      <vt:lpstr>Rev Req Proof Yr2</vt:lpstr>
      <vt:lpstr>Temps Proof</vt:lpstr>
      <vt:lpstr>Combined Items Proof Yr2</vt:lpstr>
      <vt:lpstr>Rates in Detail</vt:lpstr>
      <vt:lpstr>Rates in summary</vt:lpstr>
      <vt:lpstr>Avg Bill by RS</vt:lpstr>
      <vt:lpstr>Rate Impacts - Rev Req ONLY</vt:lpstr>
      <vt:lpstr>Rate Impacts - COMBINED</vt:lpstr>
      <vt:lpstr>Proposed Rates - COMBINED</vt:lpstr>
      <vt:lpstr>Exh A Pg 1</vt:lpstr>
      <vt:lpstr>Exh A Pg 2</vt:lpstr>
      <vt:lpstr>Exh. RJW-3 RR</vt:lpstr>
      <vt:lpstr>Exh. RJW-3 Combined</vt:lpstr>
      <vt:lpstr>Exh. RJW-3 Mitigation Only</vt:lpstr>
      <vt:lpstr>Exh. RJW-4 RR</vt:lpstr>
      <vt:lpstr>Exh. RJW-4 Combined</vt:lpstr>
      <vt:lpstr>'Exh A Pg 1'!Print_Area</vt:lpstr>
      <vt:lpstr>'Exh. RJW-3 Combined'!Print_Area</vt:lpstr>
      <vt:lpstr>'Exh. RJW-3 Mitigation Only'!Print_Area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Lee-Pella, Erica N.</cp:lastModifiedBy>
  <cp:lastPrinted>2021-10-25T21:42:50Z</cp:lastPrinted>
  <dcterms:created xsi:type="dcterms:W3CDTF">2005-11-10T23:09:08Z</dcterms:created>
  <dcterms:modified xsi:type="dcterms:W3CDTF">2021-10-29T16:51:53Z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