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ustom.xml" ContentType="application/vnd.openxmlformats-officedocument.custom-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threadedComments/threadedComment1.xml" ContentType="application/vnd.ms-excel.threadedcomments+xml"/>
  <Override PartName="/xl/persons/person.xml" ContentType="application/vnd.ms-excel.person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ower Costs\Regulatory\GRC\2024 GRC Docket UE-240004 UG 240005\2026 Power Cost Update\October 1 filing\REDACTED\"/>
    </mc:Choice>
  </mc:AlternateContent>
  <bookViews>
    <workbookView xWindow="-120" yWindow="-120" windowWidth="29040" windowHeight="15720"/>
  </bookViews>
  <sheets>
    <sheet name="REDACTED" sheetId="5" r:id="rId1"/>
    <sheet name="Summary (R)" sheetId="1" r:id="rId2"/>
    <sheet name="2024 PPA (R)" sheetId="6" r:id="rId3"/>
    <sheet name="Att. #1" sheetId="4" r:id="rId4"/>
    <sheet name="Att. #2" sheetId="2" r:id="rId5"/>
    <sheet name="Price tables" sheetId="3" r:id="rId6"/>
  </sheets>
  <definedNames>
    <definedName name="_xlnm._FilterDatabase" localSheetId="1" hidden="1">'Summary (R)'!$BN$30:$DU$31</definedName>
    <definedName name="solver_typ" localSheetId="3" hidden="1">2</definedName>
    <definedName name="solver_typ" localSheetId="4" hidden="1">2</definedName>
    <definedName name="solver_typ" localSheetId="1" hidden="1">2</definedName>
    <definedName name="solver_ver" localSheetId="3" hidden="1">17</definedName>
    <definedName name="solver_ver" localSheetId="4" hidden="1">17</definedName>
    <definedName name="solver_ver" localSheetId="1" hidden="1">17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3" l="1"/>
  <c r="D14" i="3"/>
  <c r="E14" i="3" s="1"/>
  <c r="F14" i="3" s="1"/>
  <c r="G14" i="3" s="1"/>
  <c r="H14" i="3" s="1"/>
  <c r="I14" i="3" s="1"/>
  <c r="J14" i="3" s="1"/>
  <c r="K14" i="3" s="1"/>
  <c r="L14" i="3" s="1"/>
  <c r="D15" i="3"/>
  <c r="E15" i="3"/>
  <c r="F15" i="3"/>
  <c r="G15" i="3"/>
  <c r="H15" i="3" s="1"/>
  <c r="I15" i="3" s="1"/>
  <c r="J15" i="3" s="1"/>
  <c r="K15" i="3" s="1"/>
  <c r="L15" i="3" s="1"/>
  <c r="D16" i="3"/>
  <c r="E16" i="3"/>
  <c r="F16" i="3"/>
  <c r="G16" i="3" s="1"/>
  <c r="H16" i="3" s="1"/>
  <c r="I16" i="3" s="1"/>
  <c r="J16" i="3" s="1"/>
  <c r="K16" i="3" s="1"/>
  <c r="L16" i="3" s="1"/>
  <c r="D17" i="3"/>
  <c r="E17" i="3"/>
  <c r="F17" i="3" s="1"/>
  <c r="G17" i="3" s="1"/>
  <c r="H17" i="3" s="1"/>
  <c r="I17" i="3" s="1"/>
  <c r="J17" i="3" s="1"/>
  <c r="K17" i="3" s="1"/>
  <c r="L17" i="3" s="1"/>
  <c r="A2" i="2"/>
  <c r="D9" i="2"/>
  <c r="D12" i="2" s="1"/>
  <c r="E9" i="2"/>
  <c r="E12" i="2" s="1"/>
  <c r="E19" i="2" s="1"/>
  <c r="E20" i="2" s="1"/>
  <c r="G9" i="2"/>
  <c r="J9" i="2"/>
  <c r="J14" i="2" s="1"/>
  <c r="K9" i="2"/>
  <c r="K12" i="2" s="1"/>
  <c r="E10" i="2"/>
  <c r="F9" i="2" s="1"/>
  <c r="G10" i="2"/>
  <c r="H9" i="2" s="1"/>
  <c r="H10" i="2"/>
  <c r="I9" i="2" s="1"/>
  <c r="I10" i="2"/>
  <c r="J10" i="2"/>
  <c r="K10" i="2"/>
  <c r="L9" i="2" s="1"/>
  <c r="L10" i="2"/>
  <c r="K11" i="2"/>
  <c r="K14" i="2" s="1"/>
  <c r="C12" i="2"/>
  <c r="G12" i="2"/>
  <c r="G19" i="2" s="1"/>
  <c r="G20" i="2" s="1"/>
  <c r="G22" i="2" s="1"/>
  <c r="C14" i="2"/>
  <c r="E14" i="2"/>
  <c r="G14" i="2"/>
  <c r="C19" i="2"/>
  <c r="C20" i="2" s="1"/>
  <c r="C22" i="2" s="1"/>
  <c r="A2" i="4"/>
  <c r="K9" i="4"/>
  <c r="L9" i="4"/>
  <c r="C10" i="4"/>
  <c r="C11" i="4" s="1"/>
  <c r="C47" i="4" s="1"/>
  <c r="C49" i="4" s="1"/>
  <c r="D10" i="4"/>
  <c r="D11" i="4" s="1"/>
  <c r="D47" i="4" s="1"/>
  <c r="D49" i="4" s="1"/>
  <c r="E10" i="4"/>
  <c r="F10" i="4"/>
  <c r="G10" i="4"/>
  <c r="H10" i="4"/>
  <c r="I10" i="4"/>
  <c r="I11" i="4" s="1"/>
  <c r="J10" i="4"/>
  <c r="J11" i="4" s="1"/>
  <c r="E11" i="4"/>
  <c r="F11" i="4"/>
  <c r="G11" i="4"/>
  <c r="H11" i="4"/>
  <c r="K14" i="4"/>
  <c r="L14" i="4"/>
  <c r="C16" i="4"/>
  <c r="C38" i="4" s="1"/>
  <c r="D16" i="4"/>
  <c r="D38" i="4" s="1"/>
  <c r="D53" i="4" s="1"/>
  <c r="E16" i="4"/>
  <c r="F16" i="4"/>
  <c r="G16" i="4"/>
  <c r="H16" i="4"/>
  <c r="I16" i="4"/>
  <c r="J16" i="4"/>
  <c r="K16" i="4"/>
  <c r="L16" i="4"/>
  <c r="C19" i="4"/>
  <c r="D19" i="4"/>
  <c r="E19" i="4"/>
  <c r="F19" i="4"/>
  <c r="G19" i="4"/>
  <c r="J19" i="4"/>
  <c r="C20" i="4"/>
  <c r="D20" i="4"/>
  <c r="E20" i="4"/>
  <c r="F20" i="4"/>
  <c r="G20" i="4"/>
  <c r="G32" i="4" s="1"/>
  <c r="G37" i="4" s="1"/>
  <c r="G52" i="4" s="1"/>
  <c r="J20" i="4"/>
  <c r="C21" i="4"/>
  <c r="D21" i="4"/>
  <c r="E21" i="4"/>
  <c r="E33" i="4" s="1"/>
  <c r="E38" i="4" s="1"/>
  <c r="E53" i="4" s="1"/>
  <c r="F21" i="4"/>
  <c r="F33" i="4" s="1"/>
  <c r="F38" i="4" s="1"/>
  <c r="F53" i="4" s="1"/>
  <c r="G21" i="4"/>
  <c r="J21" i="4"/>
  <c r="C22" i="4"/>
  <c r="C34" i="4" s="1"/>
  <c r="C39" i="4" s="1"/>
  <c r="D22" i="4"/>
  <c r="D34" i="4" s="1"/>
  <c r="D39" i="4" s="1"/>
  <c r="D54" i="4" s="1"/>
  <c r="E22" i="4"/>
  <c r="F22" i="4"/>
  <c r="G22" i="4"/>
  <c r="J22" i="4"/>
  <c r="C23" i="4"/>
  <c r="D23" i="4"/>
  <c r="E23" i="4"/>
  <c r="F23" i="4"/>
  <c r="G23" i="4"/>
  <c r="J23" i="4"/>
  <c r="J34" i="4" s="1"/>
  <c r="J39" i="4" s="1"/>
  <c r="J54" i="4" s="1"/>
  <c r="C24" i="4"/>
  <c r="D24" i="4"/>
  <c r="E24" i="4"/>
  <c r="F24" i="4"/>
  <c r="G24" i="4"/>
  <c r="G34" i="4" s="1"/>
  <c r="G39" i="4" s="1"/>
  <c r="G54" i="4" s="1"/>
  <c r="J24" i="4"/>
  <c r="C25" i="4"/>
  <c r="D25" i="4"/>
  <c r="E25" i="4"/>
  <c r="F25" i="4"/>
  <c r="G25" i="4"/>
  <c r="J25" i="4"/>
  <c r="C26" i="4"/>
  <c r="D26" i="4"/>
  <c r="E26" i="4"/>
  <c r="F26" i="4"/>
  <c r="G26" i="4"/>
  <c r="J26" i="4"/>
  <c r="C27" i="4"/>
  <c r="D27" i="4"/>
  <c r="E27" i="4"/>
  <c r="F27" i="4"/>
  <c r="G27" i="4"/>
  <c r="J27" i="4"/>
  <c r="J33" i="4" s="1"/>
  <c r="J38" i="4" s="1"/>
  <c r="J53" i="4" s="1"/>
  <c r="C28" i="4"/>
  <c r="D28" i="4"/>
  <c r="E28" i="4"/>
  <c r="F28" i="4"/>
  <c r="G28" i="4"/>
  <c r="J28" i="4"/>
  <c r="C29" i="4"/>
  <c r="D29" i="4"/>
  <c r="E29" i="4"/>
  <c r="F29" i="4"/>
  <c r="G29" i="4"/>
  <c r="J29" i="4"/>
  <c r="C30" i="4"/>
  <c r="C32" i="4" s="1"/>
  <c r="C37" i="4" s="1"/>
  <c r="D30" i="4"/>
  <c r="D32" i="4" s="1"/>
  <c r="D37" i="4" s="1"/>
  <c r="D52" i="4" s="1"/>
  <c r="E30" i="4"/>
  <c r="F30" i="4"/>
  <c r="G30" i="4"/>
  <c r="J30" i="4"/>
  <c r="E32" i="4"/>
  <c r="F32" i="4"/>
  <c r="J32" i="4"/>
  <c r="J37" i="4" s="1"/>
  <c r="C33" i="4"/>
  <c r="D33" i="4"/>
  <c r="G33" i="4"/>
  <c r="G38" i="4" s="1"/>
  <c r="G53" i="4" s="1"/>
  <c r="E34" i="4"/>
  <c r="E39" i="4" s="1"/>
  <c r="E54" i="4" s="1"/>
  <c r="F34" i="4"/>
  <c r="F39" i="4" s="1"/>
  <c r="F54" i="4" s="1"/>
  <c r="E37" i="4"/>
  <c r="F37" i="4"/>
  <c r="K41" i="4"/>
  <c r="L41" i="4" s="1"/>
  <c r="H42" i="4"/>
  <c r="H43" i="4" s="1"/>
  <c r="H47" i="4" s="1"/>
  <c r="H49" i="4" s="1"/>
  <c r="I42" i="4"/>
  <c r="J42" i="4" s="1"/>
  <c r="C43" i="4"/>
  <c r="D43" i="4"/>
  <c r="E43" i="4"/>
  <c r="F43" i="4"/>
  <c r="F47" i="4" s="1"/>
  <c r="F49" i="4" s="1"/>
  <c r="G43" i="4"/>
  <c r="G47" i="4" s="1"/>
  <c r="G49" i="4" s="1"/>
  <c r="E47" i="4"/>
  <c r="E49" i="4" s="1"/>
  <c r="C64" i="4"/>
  <c r="C77" i="4" s="1"/>
  <c r="C65" i="4"/>
  <c r="C66" i="4"/>
  <c r="C67" i="4"/>
  <c r="C68" i="4"/>
  <c r="C69" i="4"/>
  <c r="C70" i="4"/>
  <c r="C71" i="4"/>
  <c r="C72" i="4"/>
  <c r="D72" i="4"/>
  <c r="C73" i="4"/>
  <c r="D73" i="4"/>
  <c r="C74" i="4"/>
  <c r="C75" i="4"/>
  <c r="D75" i="4"/>
  <c r="E77" i="4"/>
  <c r="D78" i="4"/>
  <c r="E78" i="4"/>
  <c r="E52" i="4" l="1"/>
  <c r="E58" i="4"/>
  <c r="E57" i="4"/>
  <c r="E59" i="4"/>
  <c r="E22" i="2"/>
  <c r="L12" i="2"/>
  <c r="L19" i="2" s="1"/>
  <c r="L20" i="2" s="1"/>
  <c r="J52" i="4"/>
  <c r="G57" i="4"/>
  <c r="G58" i="4"/>
  <c r="G59" i="4"/>
  <c r="D57" i="4"/>
  <c r="D58" i="4"/>
  <c r="D59" i="4"/>
  <c r="I14" i="2"/>
  <c r="I12" i="2"/>
  <c r="J43" i="4"/>
  <c r="J47" i="4" s="1"/>
  <c r="J49" i="4" s="1"/>
  <c r="K42" i="4"/>
  <c r="F52" i="4"/>
  <c r="F59" i="4"/>
  <c r="F57" i="4"/>
  <c r="F58" i="4"/>
  <c r="H12" i="2"/>
  <c r="H14" i="2"/>
  <c r="J22" i="2"/>
  <c r="L11" i="4"/>
  <c r="F14" i="2"/>
  <c r="F12" i="2"/>
  <c r="K30" i="2"/>
  <c r="K34" i="2"/>
  <c r="K38" i="2"/>
  <c r="K32" i="2"/>
  <c r="K27" i="2"/>
  <c r="K29" i="2"/>
  <c r="K33" i="2"/>
  <c r="K36" i="2"/>
  <c r="K37" i="2"/>
  <c r="K19" i="2"/>
  <c r="K20" i="2" s="1"/>
  <c r="K22" i="2" s="1"/>
  <c r="I43" i="4"/>
  <c r="I47" i="4" s="1"/>
  <c r="I49" i="4" s="1"/>
  <c r="L10" i="4"/>
  <c r="J12" i="2"/>
  <c r="J19" i="2" s="1"/>
  <c r="J20" i="2" s="1"/>
  <c r="L11" i="2"/>
  <c r="L14" i="2" s="1"/>
  <c r="D74" i="4"/>
  <c r="D77" i="4" s="1"/>
  <c r="K10" i="4"/>
  <c r="K11" i="4" s="1"/>
  <c r="D14" i="2"/>
  <c r="D19" i="2" s="1"/>
  <c r="D20" i="2" s="1"/>
  <c r="A1" i="6"/>
  <c r="A1" i="1"/>
  <c r="K46" i="2" l="1"/>
  <c r="K24" i="4" s="1"/>
  <c r="L32" i="2"/>
  <c r="L37" i="2"/>
  <c r="K51" i="2"/>
  <c r="K29" i="4" s="1"/>
  <c r="K47" i="2"/>
  <c r="K25" i="4" s="1"/>
  <c r="L33" i="2"/>
  <c r="L47" i="2" s="1"/>
  <c r="L25" i="4" s="1"/>
  <c r="L34" i="2"/>
  <c r="L48" i="2" s="1"/>
  <c r="L26" i="4" s="1"/>
  <c r="K48" i="2"/>
  <c r="K26" i="4" s="1"/>
  <c r="K41" i="2"/>
  <c r="K19" i="4" s="1"/>
  <c r="L27" i="2"/>
  <c r="K50" i="2"/>
  <c r="K28" i="4" s="1"/>
  <c r="L36" i="2"/>
  <c r="L50" i="2" s="1"/>
  <c r="L28" i="4" s="1"/>
  <c r="I19" i="2"/>
  <c r="I20" i="2" s="1"/>
  <c r="I22" i="2" s="1"/>
  <c r="K52" i="2"/>
  <c r="K30" i="4" s="1"/>
  <c r="L38" i="2"/>
  <c r="L52" i="2" s="1"/>
  <c r="L30" i="4" s="1"/>
  <c r="L29" i="2"/>
  <c r="L43" i="2" s="1"/>
  <c r="L21" i="4" s="1"/>
  <c r="K43" i="2"/>
  <c r="K21" i="4" s="1"/>
  <c r="F37" i="2"/>
  <c r="F19" i="2"/>
  <c r="F20" i="2" s="1"/>
  <c r="F22" i="2" s="1"/>
  <c r="D22" i="2"/>
  <c r="L22" i="2"/>
  <c r="L30" i="2"/>
  <c r="L44" i="2" s="1"/>
  <c r="L22" i="4" s="1"/>
  <c r="K44" i="2"/>
  <c r="K22" i="4" s="1"/>
  <c r="K28" i="2"/>
  <c r="H22" i="2"/>
  <c r="H44" i="2" s="1"/>
  <c r="H22" i="4" s="1"/>
  <c r="K35" i="2"/>
  <c r="H19" i="2"/>
  <c r="H20" i="2" s="1"/>
  <c r="H51" i="2"/>
  <c r="H29" i="4" s="1"/>
  <c r="H42" i="2"/>
  <c r="H20" i="4" s="1"/>
  <c r="L42" i="4"/>
  <c r="L43" i="4" s="1"/>
  <c r="L47" i="4" s="1"/>
  <c r="L49" i="4" s="1"/>
  <c r="K43" i="4"/>
  <c r="K47" i="4" s="1"/>
  <c r="K49" i="4" s="1"/>
  <c r="K31" i="2"/>
  <c r="J57" i="4"/>
  <c r="J58" i="4"/>
  <c r="J59" i="4"/>
  <c r="CM16" i="1"/>
  <c r="I48" i="2" l="1"/>
  <c r="I26" i="4" s="1"/>
  <c r="I47" i="2"/>
  <c r="I25" i="4" s="1"/>
  <c r="I51" i="2"/>
  <c r="I29" i="4" s="1"/>
  <c r="I50" i="2"/>
  <c r="I28" i="4" s="1"/>
  <c r="I49" i="2"/>
  <c r="I27" i="4" s="1"/>
  <c r="I43" i="2"/>
  <c r="I21" i="4" s="1"/>
  <c r="I33" i="4" s="1"/>
  <c r="I38" i="4" s="1"/>
  <c r="I53" i="4" s="1"/>
  <c r="I58" i="4" s="1"/>
  <c r="I52" i="2"/>
  <c r="I30" i="4" s="1"/>
  <c r="I41" i="2"/>
  <c r="I19" i="4" s="1"/>
  <c r="I32" i="4" s="1"/>
  <c r="I37" i="4" s="1"/>
  <c r="I52" i="4" s="1"/>
  <c r="I57" i="4" s="1"/>
  <c r="I42" i="2"/>
  <c r="I20" i="4" s="1"/>
  <c r="I44" i="2"/>
  <c r="I22" i="4" s="1"/>
  <c r="I45" i="2"/>
  <c r="I23" i="4" s="1"/>
  <c r="I46" i="2"/>
  <c r="I24" i="4" s="1"/>
  <c r="H34" i="4"/>
  <c r="H39" i="4" s="1"/>
  <c r="H54" i="4" s="1"/>
  <c r="H59" i="4" s="1"/>
  <c r="K49" i="2"/>
  <c r="K27" i="4" s="1"/>
  <c r="L35" i="2"/>
  <c r="L49" i="2" s="1"/>
  <c r="L27" i="4" s="1"/>
  <c r="L33" i="4" s="1"/>
  <c r="L38" i="4" s="1"/>
  <c r="L53" i="4" s="1"/>
  <c r="L58" i="4" s="1"/>
  <c r="K33" i="4"/>
  <c r="K38" i="4" s="1"/>
  <c r="K53" i="4" s="1"/>
  <c r="K58" i="4" s="1"/>
  <c r="H47" i="2"/>
  <c r="H25" i="4" s="1"/>
  <c r="J68" i="4"/>
  <c r="J70" i="4"/>
  <c r="J67" i="4"/>
  <c r="J71" i="4"/>
  <c r="J69" i="4"/>
  <c r="K34" i="4"/>
  <c r="K39" i="4" s="1"/>
  <c r="K54" i="4" s="1"/>
  <c r="K59" i="4" s="1"/>
  <c r="J64" i="4"/>
  <c r="J77" i="4" s="1"/>
  <c r="J78" i="4" s="1"/>
  <c r="J65" i="4"/>
  <c r="J75" i="4"/>
  <c r="K42" i="2"/>
  <c r="K20" i="4" s="1"/>
  <c r="K32" i="4" s="1"/>
  <c r="K37" i="4" s="1"/>
  <c r="K52" i="4" s="1"/>
  <c r="K57" i="4" s="1"/>
  <c r="L28" i="2"/>
  <c r="L42" i="2" s="1"/>
  <c r="L20" i="4" s="1"/>
  <c r="J73" i="4"/>
  <c r="J72" i="4"/>
  <c r="J74" i="4"/>
  <c r="J66" i="4"/>
  <c r="L51" i="2"/>
  <c r="L29" i="4" s="1"/>
  <c r="H49" i="2"/>
  <c r="H27" i="4" s="1"/>
  <c r="H52" i="2"/>
  <c r="H30" i="4" s="1"/>
  <c r="L31" i="2"/>
  <c r="L45" i="2" s="1"/>
  <c r="L23" i="4" s="1"/>
  <c r="L34" i="4" s="1"/>
  <c r="L39" i="4" s="1"/>
  <c r="L54" i="4" s="1"/>
  <c r="L59" i="4" s="1"/>
  <c r="K45" i="2"/>
  <c r="K23" i="4" s="1"/>
  <c r="H46" i="2"/>
  <c r="H24" i="4" s="1"/>
  <c r="H41" i="2"/>
  <c r="H19" i="4" s="1"/>
  <c r="L41" i="2"/>
  <c r="L19" i="4" s="1"/>
  <c r="L46" i="2"/>
  <c r="L24" i="4" s="1"/>
  <c r="H50" i="2"/>
  <c r="H28" i="4" s="1"/>
  <c r="H45" i="2"/>
  <c r="H23" i="4" s="1"/>
  <c r="H48" i="2"/>
  <c r="H26" i="4" s="1"/>
  <c r="H43" i="2"/>
  <c r="H21" i="4" s="1"/>
  <c r="CN16" i="1"/>
  <c r="K71" i="4" l="1"/>
  <c r="K70" i="4"/>
  <c r="K68" i="4"/>
  <c r="K67" i="4"/>
  <c r="K69" i="4"/>
  <c r="K74" i="4"/>
  <c r="K73" i="4"/>
  <c r="K72" i="4"/>
  <c r="K66" i="4"/>
  <c r="L74" i="4"/>
  <c r="L72" i="4"/>
  <c r="L73" i="4"/>
  <c r="L66" i="4"/>
  <c r="K64" i="4"/>
  <c r="K65" i="4"/>
  <c r="K75" i="4"/>
  <c r="L69" i="4"/>
  <c r="L68" i="4"/>
  <c r="L67" i="4"/>
  <c r="L70" i="4"/>
  <c r="L71" i="4"/>
  <c r="I72" i="4"/>
  <c r="I66" i="4"/>
  <c r="I74" i="4"/>
  <c r="I73" i="4"/>
  <c r="L32" i="4"/>
  <c r="L37" i="4" s="1"/>
  <c r="L52" i="4" s="1"/>
  <c r="L57" i="4" s="1"/>
  <c r="I65" i="4"/>
  <c r="I64" i="4"/>
  <c r="I75" i="4"/>
  <c r="H33" i="4"/>
  <c r="H38" i="4" s="1"/>
  <c r="H53" i="4" s="1"/>
  <c r="H58" i="4" s="1"/>
  <c r="I34" i="4"/>
  <c r="I39" i="4" s="1"/>
  <c r="I54" i="4" s="1"/>
  <c r="I59" i="4" s="1"/>
  <c r="H67" i="4"/>
  <c r="H71" i="4"/>
  <c r="H70" i="4"/>
  <c r="H68" i="4"/>
  <c r="H69" i="4"/>
  <c r="H32" i="4"/>
  <c r="H37" i="4" s="1"/>
  <c r="H52" i="4" s="1"/>
  <c r="H57" i="4" s="1"/>
  <c r="CO16" i="1"/>
  <c r="K77" i="4" l="1"/>
  <c r="K78" i="4" s="1"/>
  <c r="I67" i="4"/>
  <c r="I71" i="4"/>
  <c r="I70" i="4"/>
  <c r="I69" i="4"/>
  <c r="I68" i="4"/>
  <c r="I77" i="4"/>
  <c r="I78" i="4" s="1"/>
  <c r="H66" i="4"/>
  <c r="H74" i="4"/>
  <c r="H73" i="4"/>
  <c r="H72" i="4"/>
  <c r="H65" i="4"/>
  <c r="H75" i="4"/>
  <c r="H64" i="4"/>
  <c r="L65" i="4"/>
  <c r="L75" i="4"/>
  <c r="L64" i="4"/>
  <c r="CP16" i="1"/>
  <c r="H77" i="4" l="1"/>
  <c r="H78" i="4" s="1"/>
  <c r="L77" i="4"/>
  <c r="L78" i="4" s="1"/>
  <c r="CQ16" i="1"/>
  <c r="CR16" i="1" l="1"/>
  <c r="CS16" i="1" l="1"/>
  <c r="CT16" i="1" l="1"/>
  <c r="CU16" i="1" l="1"/>
  <c r="CV16" i="1" l="1"/>
  <c r="CW16" i="1" l="1"/>
  <c r="CX16" i="1" l="1"/>
  <c r="CY16" i="1" l="1"/>
  <c r="CZ16" i="1" l="1"/>
  <c r="DA16" i="1" l="1"/>
  <c r="DB16" i="1" l="1"/>
  <c r="DC16" i="1" l="1"/>
  <c r="DD16" i="1" l="1"/>
  <c r="DE16" i="1" l="1"/>
  <c r="DF16" i="1" l="1"/>
  <c r="DG16" i="1" l="1"/>
  <c r="DH16" i="1" l="1"/>
  <c r="DK16" i="1"/>
  <c r="DI16" i="1" l="1"/>
  <c r="DL16" i="1"/>
  <c r="DM16" i="1" l="1"/>
  <c r="DN16" i="1" l="1"/>
  <c r="DO16" i="1" l="1"/>
  <c r="DP16" i="1" l="1"/>
  <c r="DQ16" i="1" l="1"/>
  <c r="DR16" i="1" l="1"/>
  <c r="DS16" i="1" l="1"/>
  <c r="DT16" i="1" l="1"/>
  <c r="DU16" i="1" l="1"/>
  <c r="A3" i="6" l="1"/>
  <c r="DS9" i="1" l="1"/>
  <c r="DT9" i="1"/>
  <c r="DU9" i="1"/>
  <c r="CA11" i="1" l="1"/>
  <c r="CY11" i="1" s="1"/>
  <c r="DK11" i="1" s="1"/>
  <c r="CB11" i="1"/>
  <c r="CZ11" i="1" s="1"/>
  <c r="DL11" i="1" s="1"/>
  <c r="CC11" i="1"/>
  <c r="DA11" i="1" s="1"/>
  <c r="DM11" i="1" s="1"/>
  <c r="CD11" i="1"/>
  <c r="DB11" i="1" s="1"/>
  <c r="DN11" i="1" s="1"/>
  <c r="CE11" i="1"/>
  <c r="DC11" i="1" s="1"/>
  <c r="DO11" i="1" s="1"/>
  <c r="CF11" i="1"/>
  <c r="DD11" i="1" s="1"/>
  <c r="DP11" i="1" s="1"/>
  <c r="CG11" i="1"/>
  <c r="DE11" i="1" s="1"/>
  <c r="DQ11" i="1" s="1"/>
  <c r="CH11" i="1"/>
  <c r="DF11" i="1" s="1"/>
  <c r="DR11" i="1" s="1"/>
  <c r="CI11" i="1"/>
  <c r="DG11" i="1" s="1"/>
  <c r="DS11" i="1" s="1"/>
  <c r="CJ11" i="1"/>
  <c r="DH11" i="1" s="1"/>
  <c r="DT11" i="1" s="1"/>
  <c r="CK11" i="1"/>
  <c r="DI11" i="1" s="1"/>
  <c r="DU11" i="1" s="1"/>
  <c r="BZ11" i="1"/>
  <c r="CX11" i="1" s="1"/>
  <c r="DJ11" i="1" s="1"/>
  <c r="E25" i="1" l="1"/>
  <c r="D25" i="1"/>
  <c r="C25" i="1"/>
  <c r="B25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E9" i="1"/>
  <c r="DD9" i="1"/>
  <c r="DC9" i="1"/>
  <c r="DB9" i="1"/>
  <c r="DA9" i="1"/>
  <c r="CZ9" i="1"/>
  <c r="CY9" i="1"/>
  <c r="CX9" i="1"/>
  <c r="CW9" i="1"/>
  <c r="CV9" i="1"/>
  <c r="CU9" i="1"/>
  <c r="CT9" i="1"/>
  <c r="CS9" i="1"/>
  <c r="CR9" i="1"/>
  <c r="CQ9" i="1"/>
  <c r="CP9" i="1"/>
  <c r="CO9" i="1"/>
  <c r="CN9" i="1"/>
  <c r="CM9" i="1"/>
  <c r="CL9" i="1"/>
  <c r="CK9" i="1"/>
  <c r="CJ9" i="1"/>
  <c r="CI9" i="1"/>
  <c r="CH9" i="1"/>
  <c r="CG9" i="1"/>
  <c r="CF9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Q26" i="1" s="1"/>
  <c r="P9" i="1"/>
  <c r="P26" i="1" s="1"/>
  <c r="O9" i="1"/>
  <c r="O26" i="1" s="1"/>
  <c r="N9" i="1"/>
  <c r="N26" i="1" s="1"/>
  <c r="M9" i="1"/>
  <c r="M26" i="1" s="1"/>
  <c r="L9" i="1"/>
  <c r="L26" i="1" s="1"/>
  <c r="K9" i="1"/>
  <c r="K26" i="1" s="1"/>
  <c r="J9" i="1"/>
  <c r="J26" i="1" s="1"/>
  <c r="I9" i="1"/>
  <c r="I26" i="1" s="1"/>
  <c r="H9" i="1"/>
  <c r="H26" i="1" s="1"/>
  <c r="G9" i="1"/>
  <c r="G26" i="1" s="1"/>
  <c r="F9" i="1"/>
  <c r="F26" i="1" s="1"/>
  <c r="E9" i="1"/>
  <c r="E26" i="1" s="1"/>
  <c r="D9" i="1"/>
  <c r="D26" i="1" s="1"/>
  <c r="C9" i="1"/>
  <c r="C26" i="1" s="1"/>
  <c r="B9" i="1"/>
  <c r="B26" i="1" s="1"/>
  <c r="AL30" i="1"/>
  <c r="AK30" i="1"/>
  <c r="AJ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E14" i="1" l="1"/>
  <c r="E17" i="1" s="1"/>
  <c r="D14" i="1"/>
  <c r="D17" i="1" s="1"/>
  <c r="C14" i="1"/>
  <c r="C17" i="1" s="1"/>
  <c r="B14" i="1"/>
  <c r="D19" i="1" l="1"/>
  <c r="D21" i="1" s="1"/>
  <c r="E19" i="1"/>
  <c r="E22" i="1" s="1"/>
  <c r="B17" i="1"/>
  <c r="C19" i="1"/>
  <c r="C22" i="1" s="1"/>
  <c r="AA26" i="1" l="1"/>
  <c r="T26" i="1"/>
  <c r="Z26" i="1"/>
  <c r="AB26" i="1"/>
  <c r="S26" i="1"/>
  <c r="AC26" i="1"/>
  <c r="R26" i="1"/>
  <c r="AK26" i="1"/>
  <c r="AJ26" i="1"/>
  <c r="W26" i="1"/>
  <c r="U26" i="1"/>
  <c r="V26" i="1"/>
  <c r="D27" i="1"/>
  <c r="D28" i="1" s="1"/>
  <c r="Y26" i="1"/>
  <c r="X26" i="1"/>
  <c r="C21" i="1"/>
  <c r="D22" i="1"/>
  <c r="E21" i="1"/>
  <c r="AG26" i="1" l="1"/>
  <c r="AI26" i="1"/>
  <c r="AH26" i="1"/>
  <c r="AW26" i="1"/>
  <c r="AV26" i="1"/>
  <c r="E27" i="1"/>
  <c r="E28" i="1" s="1"/>
  <c r="C27" i="1"/>
  <c r="C28" i="1" s="1"/>
  <c r="AM26" i="1"/>
  <c r="AF26" i="1"/>
  <c r="AN26" i="1"/>
  <c r="AL26" i="1"/>
  <c r="AE26" i="1"/>
  <c r="AO26" i="1"/>
  <c r="AD26" i="1"/>
  <c r="B22" i="1"/>
  <c r="B21" i="1"/>
  <c r="AZ26" i="1" l="1"/>
  <c r="AR26" i="1"/>
  <c r="AY26" i="1"/>
  <c r="AX26" i="1"/>
  <c r="AS26" i="1"/>
  <c r="AU26" i="1"/>
  <c r="AT26" i="1"/>
  <c r="BA26" i="1"/>
  <c r="AQ26" i="1"/>
  <c r="AP26" i="1"/>
  <c r="BI26" i="1"/>
  <c r="BH26" i="1"/>
  <c r="B27" i="1"/>
  <c r="B28" i="1" s="1"/>
  <c r="BT26" i="1" l="1"/>
  <c r="BU26" i="1"/>
  <c r="BC26" i="1"/>
  <c r="BB26" i="1"/>
  <c r="BM26" i="1"/>
  <c r="BG26" i="1"/>
  <c r="BE26" i="1"/>
  <c r="BF26" i="1"/>
  <c r="BL26" i="1"/>
  <c r="BD26" i="1"/>
  <c r="BK26" i="1"/>
  <c r="BJ26" i="1"/>
  <c r="BW26" i="1" l="1"/>
  <c r="BV26" i="1"/>
  <c r="BX26" i="1"/>
  <c r="BP26" i="1"/>
  <c r="CA26" i="1"/>
  <c r="BY26" i="1"/>
  <c r="BN26" i="1"/>
  <c r="BO26" i="1"/>
  <c r="BS26" i="1"/>
  <c r="BQ26" i="1"/>
  <c r="BR26" i="1"/>
  <c r="CG26" i="1"/>
  <c r="CF26" i="1"/>
  <c r="F13" i="1" a="1"/>
  <c r="CS26" i="1" l="1"/>
  <c r="CR26" i="1"/>
  <c r="CC26" i="1"/>
  <c r="CE26" i="1"/>
  <c r="CD26" i="1"/>
  <c r="CK26" i="1"/>
  <c r="BZ26" i="1"/>
  <c r="CI26" i="1"/>
  <c r="CB26" i="1"/>
  <c r="CJ26" i="1"/>
  <c r="CH26" i="1"/>
  <c r="L25" i="1"/>
  <c r="K25" i="1"/>
  <c r="N25" i="1"/>
  <c r="Q25" i="1"/>
  <c r="M25" i="1"/>
  <c r="I25" i="1"/>
  <c r="P25" i="1"/>
  <c r="H25" i="1"/>
  <c r="O25" i="1"/>
  <c r="G25" i="1"/>
  <c r="J25" i="1"/>
  <c r="F25" i="1"/>
  <c r="G13" i="1"/>
  <c r="G14" i="1" s="1"/>
  <c r="F13" i="1"/>
  <c r="F14" i="1" s="1"/>
  <c r="H13" i="1"/>
  <c r="H14" i="1" s="1"/>
  <c r="K13" i="1"/>
  <c r="K14" i="1" s="1"/>
  <c r="Q13" i="1"/>
  <c r="Q14" i="1" s="1"/>
  <c r="P13" i="1"/>
  <c r="P14" i="1" s="1"/>
  <c r="N13" i="1"/>
  <c r="N14" i="1" s="1"/>
  <c r="M13" i="1"/>
  <c r="M14" i="1" s="1"/>
  <c r="L13" i="1"/>
  <c r="L14" i="1" s="1"/>
  <c r="J13" i="1"/>
  <c r="J14" i="1" s="1"/>
  <c r="I13" i="1"/>
  <c r="I14" i="1" s="1"/>
  <c r="O13" i="1"/>
  <c r="O14" i="1" s="1"/>
  <c r="CT26" i="1" l="1"/>
  <c r="CN26" i="1"/>
  <c r="CV26" i="1"/>
  <c r="CU26" i="1"/>
  <c r="CM26" i="1"/>
  <c r="CW26" i="1"/>
  <c r="CL26" i="1"/>
  <c r="CP26" i="1"/>
  <c r="CO26" i="1"/>
  <c r="CQ26" i="1"/>
  <c r="DE26" i="1"/>
  <c r="DD26" i="1"/>
  <c r="R13" i="1" a="1"/>
  <c r="O17" i="1"/>
  <c r="M17" i="1"/>
  <c r="K17" i="1"/>
  <c r="I17" i="1"/>
  <c r="N17" i="1"/>
  <c r="H17" i="1"/>
  <c r="J17" i="1"/>
  <c r="P17" i="1"/>
  <c r="F17" i="1"/>
  <c r="L17" i="1"/>
  <c r="Q17" i="1"/>
  <c r="G17" i="1"/>
  <c r="DC26" i="1" l="1"/>
  <c r="DB26" i="1"/>
  <c r="DA26" i="1"/>
  <c r="CY26" i="1"/>
  <c r="CX26" i="1"/>
  <c r="DI26" i="1"/>
  <c r="DQ26" i="1"/>
  <c r="DP26" i="1"/>
  <c r="CZ26" i="1"/>
  <c r="DG26" i="1"/>
  <c r="DH26" i="1"/>
  <c r="DF26" i="1"/>
  <c r="AB25" i="1"/>
  <c r="AC25" i="1"/>
  <c r="Y25" i="1"/>
  <c r="U25" i="1"/>
  <c r="X25" i="1"/>
  <c r="T25" i="1"/>
  <c r="V25" i="1"/>
  <c r="AA25" i="1"/>
  <c r="S25" i="1"/>
  <c r="Z25" i="1"/>
  <c r="R25" i="1"/>
  <c r="W25" i="1"/>
  <c r="G19" i="1"/>
  <c r="G22" i="1" s="1"/>
  <c r="L19" i="1"/>
  <c r="L22" i="1" s="1"/>
  <c r="P19" i="1"/>
  <c r="P22" i="1" s="1"/>
  <c r="H19" i="1"/>
  <c r="H22" i="1" s="1"/>
  <c r="I19" i="1"/>
  <c r="I22" i="1" s="1"/>
  <c r="M19" i="1"/>
  <c r="M22" i="1" s="1"/>
  <c r="Q19" i="1"/>
  <c r="Q22" i="1" s="1"/>
  <c r="F19" i="1"/>
  <c r="F21" i="1" s="1"/>
  <c r="J19" i="1"/>
  <c r="J21" i="1" s="1"/>
  <c r="N19" i="1"/>
  <c r="N21" i="1" s="1"/>
  <c r="K19" i="1"/>
  <c r="K22" i="1" s="1"/>
  <c r="O19" i="1"/>
  <c r="O21" i="1" s="1"/>
  <c r="R13" i="1"/>
  <c r="R14" i="1" s="1"/>
  <c r="U13" i="1"/>
  <c r="U14" i="1" s="1"/>
  <c r="T13" i="1"/>
  <c r="T14" i="1" s="1"/>
  <c r="Z13" i="1"/>
  <c r="Z14" i="1" s="1"/>
  <c r="AA13" i="1"/>
  <c r="AA14" i="1" s="1"/>
  <c r="V13" i="1"/>
  <c r="V14" i="1" s="1"/>
  <c r="Y13" i="1"/>
  <c r="Y14" i="1" s="1"/>
  <c r="AB13" i="1"/>
  <c r="AB14" i="1" s="1"/>
  <c r="W13" i="1"/>
  <c r="W14" i="1" s="1"/>
  <c r="AC13" i="1"/>
  <c r="AC14" i="1" s="1"/>
  <c r="X13" i="1"/>
  <c r="X14" i="1" s="1"/>
  <c r="S13" i="1"/>
  <c r="S14" i="1" s="1"/>
  <c r="DU26" i="1" l="1"/>
  <c r="DT26" i="1"/>
  <c r="DS26" i="1"/>
  <c r="O27" i="1"/>
  <c r="O28" i="1" s="1"/>
  <c r="F27" i="1"/>
  <c r="F28" i="1" s="1"/>
  <c r="DL26" i="1"/>
  <c r="DR26" i="1"/>
  <c r="J27" i="1"/>
  <c r="J28" i="1" s="1"/>
  <c r="N27" i="1"/>
  <c r="N28" i="1" s="1"/>
  <c r="DJ26" i="1"/>
  <c r="DK26" i="1"/>
  <c r="DO26" i="1"/>
  <c r="DM26" i="1"/>
  <c r="DN26" i="1"/>
  <c r="P21" i="1"/>
  <c r="K21" i="1"/>
  <c r="H21" i="1"/>
  <c r="O22" i="1"/>
  <c r="N22" i="1"/>
  <c r="L21" i="1"/>
  <c r="V17" i="1"/>
  <c r="W17" i="1"/>
  <c r="AA17" i="1"/>
  <c r="R17" i="1"/>
  <c r="S17" i="1"/>
  <c r="AB17" i="1"/>
  <c r="Z17" i="1"/>
  <c r="M21" i="1"/>
  <c r="J22" i="1"/>
  <c r="F22" i="1"/>
  <c r="Q21" i="1"/>
  <c r="AC17" i="1"/>
  <c r="U17" i="1"/>
  <c r="X17" i="1"/>
  <c r="Y17" i="1"/>
  <c r="T17" i="1"/>
  <c r="I21" i="1"/>
  <c r="G21" i="1"/>
  <c r="I27" i="1" l="1"/>
  <c r="I28" i="1" s="1"/>
  <c r="P27" i="1"/>
  <c r="P28" i="1" s="1"/>
  <c r="H27" i="1"/>
  <c r="H28" i="1" s="1"/>
  <c r="M27" i="1"/>
  <c r="M28" i="1" s="1"/>
  <c r="G27" i="1"/>
  <c r="G28" i="1" s="1"/>
  <c r="Q27" i="1"/>
  <c r="Q28" i="1" s="1"/>
  <c r="L27" i="1"/>
  <c r="L28" i="1" s="1"/>
  <c r="K27" i="1"/>
  <c r="K28" i="1" s="1"/>
  <c r="AD13" i="1" a="1"/>
  <c r="AD13" i="1" s="1"/>
  <c r="AD14" i="1" s="1"/>
  <c r="AC19" i="1"/>
  <c r="AC22" i="1" s="1"/>
  <c r="AB19" i="1"/>
  <c r="AB22" i="1" s="1"/>
  <c r="Y19" i="1"/>
  <c r="Y21" i="1" s="1"/>
  <c r="R19" i="1"/>
  <c r="R21" i="1" s="1"/>
  <c r="W19" i="1"/>
  <c r="W21" i="1" s="1"/>
  <c r="U19" i="1"/>
  <c r="U21" i="1" s="1"/>
  <c r="Z19" i="1"/>
  <c r="Z21" i="1" s="1"/>
  <c r="S19" i="1"/>
  <c r="S22" i="1" s="1"/>
  <c r="T19" i="1"/>
  <c r="T21" i="1" s="1"/>
  <c r="X19" i="1"/>
  <c r="X21" i="1" s="1"/>
  <c r="AA19" i="1"/>
  <c r="AA21" i="1" s="1"/>
  <c r="V19" i="1"/>
  <c r="V21" i="1" s="1"/>
  <c r="X27" i="1" l="1"/>
  <c r="X28" i="1" s="1"/>
  <c r="R27" i="1"/>
  <c r="R28" i="1" s="1"/>
  <c r="W27" i="1"/>
  <c r="W28" i="1" s="1"/>
  <c r="T27" i="1"/>
  <c r="T28" i="1" s="1"/>
  <c r="V27" i="1"/>
  <c r="V28" i="1" s="1"/>
  <c r="AA27" i="1"/>
  <c r="AA28" i="1" s="1"/>
  <c r="Z27" i="1"/>
  <c r="Z28" i="1" s="1"/>
  <c r="U27" i="1"/>
  <c r="U28" i="1" s="1"/>
  <c r="Y27" i="1"/>
  <c r="Y28" i="1" s="1"/>
  <c r="AJ25" i="1"/>
  <c r="AO25" i="1"/>
  <c r="AK25" i="1"/>
  <c r="AG25" i="1"/>
  <c r="AN25" i="1"/>
  <c r="AF25" i="1"/>
  <c r="AL25" i="1"/>
  <c r="AD25" i="1"/>
  <c r="AI25" i="1"/>
  <c r="AH25" i="1"/>
  <c r="AM25" i="1"/>
  <c r="AE25" i="1"/>
  <c r="AB21" i="1"/>
  <c r="V22" i="1"/>
  <c r="X22" i="1"/>
  <c r="AE13" i="1"/>
  <c r="AE14" i="1" s="1"/>
  <c r="AE17" i="1" s="1"/>
  <c r="AN13" i="1"/>
  <c r="AN14" i="1" s="1"/>
  <c r="AN17" i="1" s="1"/>
  <c r="AL13" i="1"/>
  <c r="AL14" i="1" s="1"/>
  <c r="AL17" i="1" s="1"/>
  <c r="Z22" i="1"/>
  <c r="AJ13" i="1"/>
  <c r="AJ14" i="1" s="1"/>
  <c r="AJ17" i="1" s="1"/>
  <c r="AH13" i="1"/>
  <c r="AH14" i="1" s="1"/>
  <c r="AH17" i="1" s="1"/>
  <c r="AF13" i="1"/>
  <c r="AF14" i="1" s="1"/>
  <c r="AF17" i="1" s="1"/>
  <c r="AO13" i="1"/>
  <c r="AO14" i="1" s="1"/>
  <c r="AO17" i="1" s="1"/>
  <c r="AM13" i="1"/>
  <c r="AM14" i="1" s="1"/>
  <c r="AM17" i="1" s="1"/>
  <c r="AK13" i="1"/>
  <c r="AK14" i="1" s="1"/>
  <c r="AK17" i="1" s="1"/>
  <c r="AI13" i="1"/>
  <c r="AI14" i="1" s="1"/>
  <c r="AI17" i="1" s="1"/>
  <c r="AG13" i="1"/>
  <c r="AG14" i="1" s="1"/>
  <c r="AG17" i="1" s="1"/>
  <c r="W22" i="1"/>
  <c r="AA22" i="1"/>
  <c r="AC21" i="1"/>
  <c r="U22" i="1"/>
  <c r="R22" i="1"/>
  <c r="Y22" i="1"/>
  <c r="AD17" i="1"/>
  <c r="S21" i="1"/>
  <c r="T22" i="1"/>
  <c r="AC27" i="1" l="1"/>
  <c r="AC28" i="1" s="1"/>
  <c r="S27" i="1"/>
  <c r="S28" i="1" s="1"/>
  <c r="AB27" i="1"/>
  <c r="AB28" i="1" s="1"/>
  <c r="AK19" i="1"/>
  <c r="AK22" i="1" s="1"/>
  <c r="AO19" i="1"/>
  <c r="AO22" i="1" s="1"/>
  <c r="AH19" i="1"/>
  <c r="AH22" i="1" s="1"/>
  <c r="AN19" i="1"/>
  <c r="AN22" i="1" s="1"/>
  <c r="AD19" i="1"/>
  <c r="AD22" i="1" s="1"/>
  <c r="AI19" i="1"/>
  <c r="AI22" i="1" s="1"/>
  <c r="AM19" i="1"/>
  <c r="AM21" i="1" s="1"/>
  <c r="AF19" i="1"/>
  <c r="AF21" i="1" s="1"/>
  <c r="AJ19" i="1"/>
  <c r="AJ21" i="1" s="1"/>
  <c r="AL19" i="1"/>
  <c r="AL21" i="1" s="1"/>
  <c r="AE19" i="1"/>
  <c r="AE21" i="1" s="1"/>
  <c r="AG19" i="1"/>
  <c r="AG21" i="1" s="1"/>
  <c r="AE27" i="1" l="1"/>
  <c r="AE28" i="1" s="1"/>
  <c r="AL27" i="1"/>
  <c r="AL28" i="1" s="1"/>
  <c r="AM27" i="1"/>
  <c r="AM28" i="1" s="1"/>
  <c r="AG27" i="1"/>
  <c r="AG28" i="1" s="1"/>
  <c r="AJ27" i="1"/>
  <c r="AJ28" i="1" s="1"/>
  <c r="AF27" i="1"/>
  <c r="AF28" i="1" s="1"/>
  <c r="AK21" i="1"/>
  <c r="AH21" i="1"/>
  <c r="AF22" i="1"/>
  <c r="AD21" i="1"/>
  <c r="AN21" i="1"/>
  <c r="AE22" i="1"/>
  <c r="AI21" i="1"/>
  <c r="AO21" i="1"/>
  <c r="AJ22" i="1"/>
  <c r="AP13" i="1" a="1"/>
  <c r="BA13" i="1" s="1"/>
  <c r="BA14" i="1" s="1"/>
  <c r="AM22" i="1"/>
  <c r="AG22" i="1"/>
  <c r="AL22" i="1"/>
  <c r="AO27" i="1" l="1"/>
  <c r="AO28" i="1" s="1"/>
  <c r="AD27" i="1"/>
  <c r="AD28" i="1" s="1"/>
  <c r="AI27" i="1"/>
  <c r="AI28" i="1" s="1"/>
  <c r="AH27" i="1"/>
  <c r="AH28" i="1" s="1"/>
  <c r="AN27" i="1"/>
  <c r="AN28" i="1" s="1"/>
  <c r="AK27" i="1"/>
  <c r="AK28" i="1" s="1"/>
  <c r="AZ25" i="1"/>
  <c r="AR25" i="1"/>
  <c r="BA25" i="1"/>
  <c r="AW25" i="1"/>
  <c r="AS25" i="1"/>
  <c r="AV25" i="1"/>
  <c r="AT25" i="1"/>
  <c r="AY25" i="1"/>
  <c r="AQ25" i="1"/>
  <c r="AX25" i="1"/>
  <c r="AP25" i="1"/>
  <c r="AU25" i="1"/>
  <c r="AZ13" i="1"/>
  <c r="AZ14" i="1" s="1"/>
  <c r="AZ17" i="1" s="1"/>
  <c r="AR13" i="1"/>
  <c r="AR14" i="1" s="1"/>
  <c r="AR17" i="1" s="1"/>
  <c r="AT13" i="1"/>
  <c r="AT14" i="1" s="1"/>
  <c r="AT17" i="1" s="1"/>
  <c r="AQ13" i="1"/>
  <c r="AQ14" i="1" s="1"/>
  <c r="AQ17" i="1" s="1"/>
  <c r="AY13" i="1"/>
  <c r="AY14" i="1" s="1"/>
  <c r="AY17" i="1" s="1"/>
  <c r="AV13" i="1"/>
  <c r="AV14" i="1" s="1"/>
  <c r="AV17" i="1" s="1"/>
  <c r="AU13" i="1"/>
  <c r="AU14" i="1" s="1"/>
  <c r="AU17" i="1" s="1"/>
  <c r="AP13" i="1"/>
  <c r="AP14" i="1" s="1"/>
  <c r="AP17" i="1" s="1"/>
  <c r="AW13" i="1"/>
  <c r="AW14" i="1" s="1"/>
  <c r="AW17" i="1" s="1"/>
  <c r="AS13" i="1"/>
  <c r="AS14" i="1" s="1"/>
  <c r="AS17" i="1" s="1"/>
  <c r="AX13" i="1"/>
  <c r="AX14" i="1" s="1"/>
  <c r="AX17" i="1" s="1"/>
  <c r="BA17" i="1"/>
  <c r="BB13" i="1" l="1" a="1"/>
  <c r="AR19" i="1"/>
  <c r="AR22" i="1" s="1"/>
  <c r="BA19" i="1"/>
  <c r="BA21" i="1" s="1"/>
  <c r="AS19" i="1"/>
  <c r="AS21" i="1" s="1"/>
  <c r="AQ19" i="1"/>
  <c r="AQ21" i="1" s="1"/>
  <c r="AU19" i="1"/>
  <c r="AU21" i="1" s="1"/>
  <c r="AW19" i="1"/>
  <c r="AW21" i="1" s="1"/>
  <c r="AT19" i="1"/>
  <c r="AT21" i="1" s="1"/>
  <c r="AX19" i="1"/>
  <c r="AX21" i="1" s="1"/>
  <c r="AP19" i="1"/>
  <c r="AP21" i="1" s="1"/>
  <c r="AV19" i="1"/>
  <c r="AV21" i="1" s="1"/>
  <c r="AY19" i="1"/>
  <c r="AY21" i="1" s="1"/>
  <c r="AZ19" i="1"/>
  <c r="AZ21" i="1" s="1"/>
  <c r="AW27" i="1" l="1"/>
  <c r="AW28" i="1" s="1"/>
  <c r="AX27" i="1"/>
  <c r="AX28" i="1" s="1"/>
  <c r="AP27" i="1"/>
  <c r="AP28" i="1" s="1"/>
  <c r="BA27" i="1"/>
  <c r="BA28" i="1" s="1"/>
  <c r="AY27" i="1"/>
  <c r="AY28" i="1" s="1"/>
  <c r="AT27" i="1"/>
  <c r="AT28" i="1" s="1"/>
  <c r="AS27" i="1"/>
  <c r="AS28" i="1" s="1"/>
  <c r="AV27" i="1"/>
  <c r="AV28" i="1" s="1"/>
  <c r="AQ27" i="1"/>
  <c r="AQ28" i="1" s="1"/>
  <c r="AZ27" i="1"/>
  <c r="AZ28" i="1" s="1"/>
  <c r="AU27" i="1"/>
  <c r="AU28" i="1" s="1"/>
  <c r="BH25" i="1"/>
  <c r="BM25" i="1"/>
  <c r="BI25" i="1"/>
  <c r="BE25" i="1"/>
  <c r="BL25" i="1"/>
  <c r="BD25" i="1"/>
  <c r="BJ25" i="1"/>
  <c r="BB25" i="1"/>
  <c r="BG25" i="1"/>
  <c r="BF25" i="1"/>
  <c r="BK25" i="1"/>
  <c r="BC25" i="1"/>
  <c r="AW22" i="1"/>
  <c r="AX22" i="1"/>
  <c r="AP22" i="1"/>
  <c r="AR21" i="1"/>
  <c r="AT22" i="1"/>
  <c r="AU22" i="1"/>
  <c r="AS22" i="1"/>
  <c r="BA22" i="1"/>
  <c r="AQ22" i="1"/>
  <c r="AZ22" i="1"/>
  <c r="AY22" i="1"/>
  <c r="AV22" i="1"/>
  <c r="BB13" i="1"/>
  <c r="BB14" i="1" s="1"/>
  <c r="BM13" i="1"/>
  <c r="BM14" i="1" s="1"/>
  <c r="BH13" i="1"/>
  <c r="BH14" i="1" s="1"/>
  <c r="BC13" i="1"/>
  <c r="BC14" i="1" s="1"/>
  <c r="BI13" i="1"/>
  <c r="BI14" i="1" s="1"/>
  <c r="BD13" i="1"/>
  <c r="BD14" i="1" s="1"/>
  <c r="BJ13" i="1"/>
  <c r="BJ14" i="1" s="1"/>
  <c r="BE13" i="1"/>
  <c r="BE14" i="1" s="1"/>
  <c r="BK13" i="1"/>
  <c r="BK14" i="1" s="1"/>
  <c r="BF13" i="1"/>
  <c r="BF14" i="1" s="1"/>
  <c r="BL13" i="1"/>
  <c r="BL14" i="1" s="1"/>
  <c r="BG13" i="1"/>
  <c r="BG14" i="1" s="1"/>
  <c r="AR27" i="1" l="1"/>
  <c r="AR28" i="1" s="1"/>
  <c r="BK17" i="1"/>
  <c r="BI17" i="1"/>
  <c r="BB17" i="1"/>
  <c r="BF17" i="1"/>
  <c r="BD17" i="1"/>
  <c r="BM17" i="1"/>
  <c r="BG17" i="1"/>
  <c r="BE17" i="1"/>
  <c r="BC17" i="1"/>
  <c r="BL17" i="1"/>
  <c r="BJ17" i="1"/>
  <c r="BH17" i="1"/>
  <c r="BJ19" i="1" l="1"/>
  <c r="BJ22" i="1" s="1"/>
  <c r="BC19" i="1"/>
  <c r="BC22" i="1" s="1"/>
  <c r="BG19" i="1"/>
  <c r="BG22" i="1" s="1"/>
  <c r="BD19" i="1"/>
  <c r="BD21" i="1" s="1"/>
  <c r="BB19" i="1"/>
  <c r="BB21" i="1" s="1"/>
  <c r="BK19" i="1"/>
  <c r="BK22" i="1" s="1"/>
  <c r="BH19" i="1"/>
  <c r="BH21" i="1" s="1"/>
  <c r="BL19" i="1"/>
  <c r="BL21" i="1" s="1"/>
  <c r="BE19" i="1"/>
  <c r="BE21" i="1" s="1"/>
  <c r="BM19" i="1"/>
  <c r="BM21" i="1" s="1"/>
  <c r="BF19" i="1"/>
  <c r="BF21" i="1" s="1"/>
  <c r="BI19" i="1"/>
  <c r="BI21" i="1" s="1"/>
  <c r="BI27" i="1" l="1"/>
  <c r="BI28" i="1" s="1"/>
  <c r="BE27" i="1"/>
  <c r="BE28" i="1" s="1"/>
  <c r="BB27" i="1"/>
  <c r="BB28" i="1" s="1"/>
  <c r="BL27" i="1"/>
  <c r="BL28" i="1" s="1"/>
  <c r="BD27" i="1"/>
  <c r="BD28" i="1" s="1"/>
  <c r="BF27" i="1"/>
  <c r="BF28" i="1" s="1"/>
  <c r="BH27" i="1"/>
  <c r="BH28" i="1" s="1"/>
  <c r="BM27" i="1"/>
  <c r="BM28" i="1" s="1"/>
  <c r="BC21" i="1"/>
  <c r="BE22" i="1"/>
  <c r="BK21" i="1"/>
  <c r="BJ21" i="1"/>
  <c r="BG21" i="1"/>
  <c r="BF22" i="1"/>
  <c r="BI22" i="1"/>
  <c r="BH22" i="1"/>
  <c r="BB22" i="1"/>
  <c r="BM22" i="1"/>
  <c r="BL22" i="1"/>
  <c r="BD22" i="1"/>
  <c r="BN13" i="1" a="1"/>
  <c r="BJ27" i="1" l="1"/>
  <c r="BJ28" i="1" s="1"/>
  <c r="BK27" i="1"/>
  <c r="BK28" i="1" s="1"/>
  <c r="BG27" i="1"/>
  <c r="BG28" i="1" s="1"/>
  <c r="BC27" i="1"/>
  <c r="BC28" i="1" s="1"/>
  <c r="BT25" i="1"/>
  <c r="BY25" i="1"/>
  <c r="BU25" i="1"/>
  <c r="BQ25" i="1"/>
  <c r="BX25" i="1"/>
  <c r="BP25" i="1"/>
  <c r="BS25" i="1"/>
  <c r="BR25" i="1"/>
  <c r="BW25" i="1"/>
  <c r="BO25" i="1"/>
  <c r="BV25" i="1"/>
  <c r="BN25" i="1"/>
  <c r="BN13" i="1"/>
  <c r="BN14" i="1" s="1"/>
  <c r="BU13" i="1"/>
  <c r="BU14" i="1" s="1"/>
  <c r="BX13" i="1"/>
  <c r="BX14" i="1" s="1"/>
  <c r="BS13" i="1"/>
  <c r="BS14" i="1" s="1"/>
  <c r="BY13" i="1"/>
  <c r="BY14" i="1" s="1"/>
  <c r="BT13" i="1"/>
  <c r="BT14" i="1" s="1"/>
  <c r="BO13" i="1"/>
  <c r="BO14" i="1" s="1"/>
  <c r="BP13" i="1"/>
  <c r="BP14" i="1" s="1"/>
  <c r="BV13" i="1"/>
  <c r="BV14" i="1" s="1"/>
  <c r="BQ13" i="1"/>
  <c r="BQ14" i="1" s="1"/>
  <c r="BW13" i="1"/>
  <c r="BW14" i="1" s="1"/>
  <c r="BR13" i="1"/>
  <c r="BR14" i="1" s="1"/>
  <c r="BZ13" i="1" l="1" a="1"/>
  <c r="CJ13" i="1" s="1"/>
  <c r="CJ14" i="1" s="1"/>
  <c r="CJ17" i="1" s="1"/>
  <c r="BO17" i="1"/>
  <c r="BQ17" i="1"/>
  <c r="BT17" i="1"/>
  <c r="BU17" i="1"/>
  <c r="BR17" i="1"/>
  <c r="BP17" i="1"/>
  <c r="BS17" i="1"/>
  <c r="BW17" i="1"/>
  <c r="BX17" i="1"/>
  <c r="BV17" i="1"/>
  <c r="BY17" i="1"/>
  <c r="BN17" i="1"/>
  <c r="CF25" i="1" l="1"/>
  <c r="CK25" i="1"/>
  <c r="CG25" i="1"/>
  <c r="CC25" i="1"/>
  <c r="CJ25" i="1"/>
  <c r="CB25" i="1"/>
  <c r="CH25" i="1"/>
  <c r="BZ25" i="1"/>
  <c r="CE25" i="1"/>
  <c r="CD25" i="1"/>
  <c r="CI25" i="1"/>
  <c r="CA25" i="1"/>
  <c r="CH13" i="1"/>
  <c r="CH14" i="1" s="1"/>
  <c r="CH17" i="1" s="1"/>
  <c r="CK13" i="1"/>
  <c r="CK14" i="1" s="1"/>
  <c r="CK17" i="1" s="1"/>
  <c r="CB13" i="1"/>
  <c r="CB14" i="1" s="1"/>
  <c r="CB17" i="1" s="1"/>
  <c r="CE13" i="1"/>
  <c r="CE14" i="1" s="1"/>
  <c r="CE17" i="1" s="1"/>
  <c r="CA13" i="1"/>
  <c r="CA14" i="1" s="1"/>
  <c r="CA17" i="1" s="1"/>
  <c r="CC13" i="1"/>
  <c r="CC14" i="1" s="1"/>
  <c r="CC17" i="1" s="1"/>
  <c r="CD13" i="1"/>
  <c r="CD14" i="1" s="1"/>
  <c r="CD17" i="1" s="1"/>
  <c r="CG13" i="1"/>
  <c r="CG14" i="1" s="1"/>
  <c r="CG17" i="1" s="1"/>
  <c r="BZ13" i="1"/>
  <c r="BZ14" i="1" s="1"/>
  <c r="BZ17" i="1" s="1"/>
  <c r="CI13" i="1"/>
  <c r="CI14" i="1" s="1"/>
  <c r="CI17" i="1" s="1"/>
  <c r="CF13" i="1"/>
  <c r="CF14" i="1" s="1"/>
  <c r="CF17" i="1" s="1"/>
  <c r="BV19" i="1"/>
  <c r="BV22" i="1" s="1"/>
  <c r="BU19" i="1"/>
  <c r="BU22" i="1" s="1"/>
  <c r="BN19" i="1"/>
  <c r="BN21" i="1" s="1"/>
  <c r="BW19" i="1"/>
  <c r="BW22" i="1" s="1"/>
  <c r="BP19" i="1"/>
  <c r="BP21" i="1" s="1"/>
  <c r="BQ19" i="1"/>
  <c r="BQ21" i="1" s="1"/>
  <c r="BY19" i="1"/>
  <c r="BY21" i="1" s="1"/>
  <c r="BX19" i="1"/>
  <c r="BX21" i="1" s="1"/>
  <c r="BS19" i="1"/>
  <c r="BS21" i="1" s="1"/>
  <c r="BR19" i="1"/>
  <c r="BR21" i="1" s="1"/>
  <c r="BT19" i="1"/>
  <c r="BT21" i="1" s="1"/>
  <c r="BO19" i="1"/>
  <c r="BO21" i="1" s="1"/>
  <c r="BS27" i="1" l="1"/>
  <c r="BS28" i="1" s="1"/>
  <c r="BX27" i="1"/>
  <c r="BX28" i="1" s="1"/>
  <c r="BQ27" i="1"/>
  <c r="BQ28" i="1" s="1"/>
  <c r="BP27" i="1"/>
  <c r="BP28" i="1" s="1"/>
  <c r="BT27" i="1"/>
  <c r="BT28" i="1" s="1"/>
  <c r="BR27" i="1"/>
  <c r="BR28" i="1" s="1"/>
  <c r="BY27" i="1"/>
  <c r="BY28" i="1" s="1"/>
  <c r="BN27" i="1"/>
  <c r="BN28" i="1" s="1"/>
  <c r="BO27" i="1"/>
  <c r="BO28" i="1" s="1"/>
  <c r="BP22" i="1"/>
  <c r="BV21" i="1"/>
  <c r="BQ22" i="1"/>
  <c r="BN22" i="1"/>
  <c r="BU21" i="1"/>
  <c r="BW21" i="1"/>
  <c r="BS22" i="1"/>
  <c r="BR22" i="1"/>
  <c r="BX22" i="1"/>
  <c r="BY22" i="1"/>
  <c r="BZ19" i="1"/>
  <c r="BZ22" i="1" s="1"/>
  <c r="CB19" i="1"/>
  <c r="CB21" i="1" s="1"/>
  <c r="CB27" i="1" s="1"/>
  <c r="CH19" i="1"/>
  <c r="CH22" i="1" s="1"/>
  <c r="CE19" i="1"/>
  <c r="CE22" i="1" s="1"/>
  <c r="CD19" i="1"/>
  <c r="CD22" i="1" s="1"/>
  <c r="CG19" i="1"/>
  <c r="CG22" i="1" s="1"/>
  <c r="CI19" i="1"/>
  <c r="CI22" i="1" s="1"/>
  <c r="BO22" i="1"/>
  <c r="CK19" i="1"/>
  <c r="CK21" i="1" s="1"/>
  <c r="CC19" i="1"/>
  <c r="CC22" i="1" s="1"/>
  <c r="CF19" i="1"/>
  <c r="CF21" i="1" s="1"/>
  <c r="CA19" i="1"/>
  <c r="CA21" i="1" s="1"/>
  <c r="CA27" i="1" s="1"/>
  <c r="CJ19" i="1"/>
  <c r="CJ21" i="1" s="1"/>
  <c r="BT22" i="1"/>
  <c r="CD21" i="1" l="1"/>
  <c r="CD27" i="1" s="1"/>
  <c r="CD28" i="1" s="1"/>
  <c r="BU27" i="1"/>
  <c r="BU28" i="1" s="1"/>
  <c r="CB28" i="1"/>
  <c r="CJ27" i="1"/>
  <c r="CJ28" i="1" s="1"/>
  <c r="CK27" i="1"/>
  <c r="CK28" i="1" s="1"/>
  <c r="CA28" i="1"/>
  <c r="CF27" i="1"/>
  <c r="CF28" i="1" s="1"/>
  <c r="BW27" i="1"/>
  <c r="BW28" i="1" s="1"/>
  <c r="BV27" i="1"/>
  <c r="BV28" i="1" s="1"/>
  <c r="CE21" i="1"/>
  <c r="BZ21" i="1"/>
  <c r="CC21" i="1"/>
  <c r="CI21" i="1"/>
  <c r="CA22" i="1"/>
  <c r="CL13" i="1" a="1"/>
  <c r="CW13" i="1" s="1"/>
  <c r="CW14" i="1" s="1"/>
  <c r="CW17" i="1" s="1"/>
  <c r="CH21" i="1"/>
  <c r="CJ22" i="1"/>
  <c r="CF22" i="1"/>
  <c r="CB22" i="1"/>
  <c r="CG21" i="1"/>
  <c r="CK22" i="1"/>
  <c r="CI27" i="1" l="1"/>
  <c r="CI28" i="1" s="1"/>
  <c r="CE27" i="1"/>
  <c r="CE28" i="1" s="1"/>
  <c r="CG27" i="1"/>
  <c r="CG28" i="1" s="1"/>
  <c r="CH27" i="1"/>
  <c r="CH28" i="1" s="1"/>
  <c r="CC27" i="1"/>
  <c r="CC28" i="1" s="1"/>
  <c r="BZ27" i="1"/>
  <c r="BZ28" i="1" s="1"/>
  <c r="CW25" i="1"/>
  <c r="CS25" i="1"/>
  <c r="CO25" i="1"/>
  <c r="CV25" i="1"/>
  <c r="CR25" i="1"/>
  <c r="CN25" i="1"/>
  <c r="CP25" i="1"/>
  <c r="CU25" i="1"/>
  <c r="CM25" i="1"/>
  <c r="CT25" i="1"/>
  <c r="CL25" i="1"/>
  <c r="CQ25" i="1"/>
  <c r="CU13" i="1"/>
  <c r="CU14" i="1" s="1"/>
  <c r="CU17" i="1" s="1"/>
  <c r="CS13" i="1"/>
  <c r="CS14" i="1" s="1"/>
  <c r="CS17" i="1" s="1"/>
  <c r="CQ13" i="1"/>
  <c r="CQ14" i="1" s="1"/>
  <c r="CQ17" i="1" s="1"/>
  <c r="CO13" i="1"/>
  <c r="CO14" i="1" s="1"/>
  <c r="CO17" i="1" s="1"/>
  <c r="CM13" i="1"/>
  <c r="CM14" i="1" s="1"/>
  <c r="CM17" i="1" s="1"/>
  <c r="CV13" i="1"/>
  <c r="CV14" i="1" s="1"/>
  <c r="CV17" i="1" s="1"/>
  <c r="CT13" i="1"/>
  <c r="CT14" i="1" s="1"/>
  <c r="CT17" i="1" s="1"/>
  <c r="CR13" i="1"/>
  <c r="CR14" i="1" s="1"/>
  <c r="CR17" i="1" s="1"/>
  <c r="CL13" i="1"/>
  <c r="CL14" i="1" s="1"/>
  <c r="CL17" i="1" s="1"/>
  <c r="CP13" i="1"/>
  <c r="CP14" i="1" s="1"/>
  <c r="CP17" i="1" s="1"/>
  <c r="CN13" i="1"/>
  <c r="CN14" i="1" s="1"/>
  <c r="CN17" i="1" l="1"/>
  <c r="CM19" i="1"/>
  <c r="CM21" i="1" s="1"/>
  <c r="CQ19" i="1"/>
  <c r="CQ21" i="1" s="1"/>
  <c r="CU19" i="1"/>
  <c r="CU22" i="1" s="1"/>
  <c r="CL19" i="1"/>
  <c r="CL22" i="1" s="1"/>
  <c r="CT19" i="1"/>
  <c r="CT22" i="1" s="1"/>
  <c r="CV19" i="1"/>
  <c r="CV21" i="1" s="1"/>
  <c r="CO19" i="1"/>
  <c r="CO21" i="1" s="1"/>
  <c r="CS19" i="1"/>
  <c r="CS21" i="1" s="1"/>
  <c r="CW19" i="1"/>
  <c r="CP19" i="1"/>
  <c r="CP21" i="1" s="1"/>
  <c r="CR19" i="1"/>
  <c r="CR21" i="1" s="1"/>
  <c r="CT23" i="1" l="1"/>
  <c r="CU23" i="1"/>
  <c r="CL23" i="1"/>
  <c r="CM23" i="1"/>
  <c r="CW21" i="1"/>
  <c r="CW27" i="1" s="1"/>
  <c r="CW28" i="1" s="1"/>
  <c r="CW23" i="1"/>
  <c r="CP23" i="1"/>
  <c r="CO23" i="1"/>
  <c r="CR23" i="1"/>
  <c r="CS23" i="1"/>
  <c r="CV23" i="1"/>
  <c r="CQ23" i="1"/>
  <c r="CN19" i="1"/>
  <c r="CP27" i="1"/>
  <c r="CP28" i="1" s="1"/>
  <c r="CO27" i="1"/>
  <c r="CO28" i="1" s="1"/>
  <c r="CV27" i="1"/>
  <c r="CV28" i="1" s="1"/>
  <c r="CS27" i="1"/>
  <c r="CS28" i="1" s="1"/>
  <c r="CQ27" i="1"/>
  <c r="CQ28" i="1" s="1"/>
  <c r="CR27" i="1"/>
  <c r="CR28" i="1" s="1"/>
  <c r="CM27" i="1"/>
  <c r="CM28" i="1" s="1"/>
  <c r="CM22" i="1"/>
  <c r="CP22" i="1"/>
  <c r="CQ22" i="1"/>
  <c r="CT21" i="1"/>
  <c r="CR22" i="1"/>
  <c r="CX13" i="1" a="1"/>
  <c r="CL21" i="1"/>
  <c r="CW22" i="1"/>
  <c r="CS22" i="1"/>
  <c r="CO22" i="1"/>
  <c r="CU21" i="1"/>
  <c r="CV22" i="1"/>
  <c r="CN21" i="1" l="1"/>
  <c r="CN27" i="1" s="1"/>
  <c r="CN28" i="1" s="1"/>
  <c r="CN23" i="1"/>
  <c r="CN22" i="1"/>
  <c r="CU27" i="1"/>
  <c r="CU28" i="1" s="1"/>
  <c r="CL27" i="1"/>
  <c r="CL28" i="1" s="1"/>
  <c r="CT27" i="1"/>
  <c r="CT28" i="1" s="1"/>
  <c r="DI25" i="1"/>
  <c r="DE25" i="1"/>
  <c r="DA25" i="1"/>
  <c r="DH25" i="1"/>
  <c r="DD25" i="1"/>
  <c r="CZ25" i="1"/>
  <c r="DF25" i="1"/>
  <c r="CX25" i="1"/>
  <c r="DC25" i="1"/>
  <c r="DB25" i="1"/>
  <c r="DG25" i="1"/>
  <c r="CY25" i="1"/>
  <c r="DE13" i="1"/>
  <c r="DE14" i="1" s="1"/>
  <c r="DE17" i="1" s="1"/>
  <c r="DG13" i="1"/>
  <c r="DG14" i="1" s="1"/>
  <c r="DG17" i="1" s="1"/>
  <c r="DB13" i="1"/>
  <c r="DB14" i="1" s="1"/>
  <c r="DB17" i="1" s="1"/>
  <c r="CX13" i="1"/>
  <c r="CX14" i="1" s="1"/>
  <c r="CX17" i="1" s="1"/>
  <c r="DH13" i="1"/>
  <c r="DH14" i="1" s="1"/>
  <c r="DH17" i="1" s="1"/>
  <c r="DC13" i="1"/>
  <c r="DC14" i="1" s="1"/>
  <c r="DC17" i="1" s="1"/>
  <c r="DI13" i="1"/>
  <c r="DI14" i="1" s="1"/>
  <c r="DI17" i="1" s="1"/>
  <c r="DD13" i="1"/>
  <c r="DD14" i="1" s="1"/>
  <c r="DD17" i="1" s="1"/>
  <c r="CY13" i="1"/>
  <c r="CY14" i="1" s="1"/>
  <c r="CY17" i="1" s="1"/>
  <c r="DA13" i="1"/>
  <c r="DA14" i="1" s="1"/>
  <c r="DA17" i="1" s="1"/>
  <c r="CZ13" i="1"/>
  <c r="CZ14" i="1" s="1"/>
  <c r="CZ17" i="1" s="1"/>
  <c r="DF13" i="1"/>
  <c r="DF14" i="1" s="1"/>
  <c r="DF17" i="1" s="1"/>
  <c r="DJ13" i="1" l="1" a="1"/>
  <c r="DS25" i="1" l="1"/>
  <c r="DT25" i="1"/>
  <c r="DU25" i="1"/>
  <c r="DJ13" i="1"/>
  <c r="DJ14" i="1" s="1"/>
  <c r="DJ17" i="1" s="1"/>
  <c r="DP13" i="1"/>
  <c r="DP14" i="1" s="1"/>
  <c r="DP17" i="1" s="1"/>
  <c r="DM13" i="1"/>
  <c r="DM14" i="1" s="1"/>
  <c r="DM17" i="1" s="1"/>
  <c r="DT13" i="1"/>
  <c r="DT14" i="1" s="1"/>
  <c r="DT17" i="1" s="1"/>
  <c r="DR13" i="1"/>
  <c r="DR14" i="1" s="1"/>
  <c r="DR17" i="1" s="1"/>
  <c r="DQ13" i="1"/>
  <c r="DQ14" i="1" s="1"/>
  <c r="DQ17" i="1" s="1"/>
  <c r="DO13" i="1"/>
  <c r="DU13" i="1"/>
  <c r="DU14" i="1" s="1"/>
  <c r="DU17" i="1" s="1"/>
  <c r="DL13" i="1"/>
  <c r="DL14" i="1" s="1"/>
  <c r="DL17" i="1" s="1"/>
  <c r="DK13" i="1"/>
  <c r="DK14" i="1" s="1"/>
  <c r="DK17" i="1" s="1"/>
  <c r="DS13" i="1"/>
  <c r="DS14" i="1" s="1"/>
  <c r="DS17" i="1" s="1"/>
  <c r="DN13" i="1"/>
  <c r="DN14" i="1" s="1"/>
  <c r="DN17" i="1" s="1"/>
  <c r="DP25" i="1"/>
  <c r="DQ25" i="1"/>
  <c r="DM25" i="1"/>
  <c r="DL25" i="1"/>
  <c r="DN25" i="1"/>
  <c r="DK25" i="1"/>
  <c r="DR25" i="1"/>
  <c r="DJ25" i="1"/>
  <c r="DO25" i="1"/>
  <c r="DA19" i="1"/>
  <c r="DO14" i="1"/>
  <c r="DO17" i="1" s="1"/>
  <c r="DD19" i="1"/>
  <c r="CX19" i="1"/>
  <c r="DH19" i="1"/>
  <c r="DG19" i="1"/>
  <c r="DB19" i="1"/>
  <c r="CZ19" i="1"/>
  <c r="DF19" i="1"/>
  <c r="DE19" i="1"/>
  <c r="CY19" i="1"/>
  <c r="DC19" i="1"/>
  <c r="DI19" i="1"/>
  <c r="CX21" i="1" l="1"/>
  <c r="CX23" i="1"/>
  <c r="DD21" i="1"/>
  <c r="DD27" i="1" s="1"/>
  <c r="DD28" i="1" s="1"/>
  <c r="DD23" i="1"/>
  <c r="DA22" i="1"/>
  <c r="DA23" i="1"/>
  <c r="DI21" i="1"/>
  <c r="DI27" i="1" s="1"/>
  <c r="DI28" i="1" s="1"/>
  <c r="DI23" i="1"/>
  <c r="DC21" i="1"/>
  <c r="DC27" i="1" s="1"/>
  <c r="DC28" i="1" s="1"/>
  <c r="DC23" i="1"/>
  <c r="CY21" i="1"/>
  <c r="CY27" i="1" s="1"/>
  <c r="CY28" i="1" s="1"/>
  <c r="CY23" i="1"/>
  <c r="DE21" i="1"/>
  <c r="DE27" i="1" s="1"/>
  <c r="DE28" i="1" s="1"/>
  <c r="DE23" i="1"/>
  <c r="DF21" i="1"/>
  <c r="DF27" i="1" s="1"/>
  <c r="DF28" i="1" s="1"/>
  <c r="DF23" i="1"/>
  <c r="CZ21" i="1"/>
  <c r="CZ27" i="1" s="1"/>
  <c r="CZ28" i="1" s="1"/>
  <c r="CZ23" i="1"/>
  <c r="DB21" i="1"/>
  <c r="DB27" i="1" s="1"/>
  <c r="DB28" i="1" s="1"/>
  <c r="DB23" i="1"/>
  <c r="DG21" i="1"/>
  <c r="DG27" i="1" s="1"/>
  <c r="DG28" i="1" s="1"/>
  <c r="DG23" i="1"/>
  <c r="DH21" i="1"/>
  <c r="DH27" i="1" s="1"/>
  <c r="DH28" i="1" s="1"/>
  <c r="DH23" i="1"/>
  <c r="DS19" i="1"/>
  <c r="DS21" i="1" s="1"/>
  <c r="DS27" i="1" s="1"/>
  <c r="DS28" i="1" s="1"/>
  <c r="DT19" i="1"/>
  <c r="DT21" i="1" s="1"/>
  <c r="DT27" i="1" s="1"/>
  <c r="DT28" i="1" s="1"/>
  <c r="DU19" i="1"/>
  <c r="DU22" i="1" s="1"/>
  <c r="CX27" i="1"/>
  <c r="CX28" i="1" s="1"/>
  <c r="DI22" i="1"/>
  <c r="DF22" i="1"/>
  <c r="DA21" i="1"/>
  <c r="CX22" i="1"/>
  <c r="DD22" i="1"/>
  <c r="CZ22" i="1"/>
  <c r="DG22" i="1"/>
  <c r="DE22" i="1"/>
  <c r="DB22" i="1"/>
  <c r="DC22" i="1"/>
  <c r="CY22" i="1"/>
  <c r="DH22" i="1"/>
  <c r="DT23" i="1" l="1"/>
  <c r="DS23" i="1"/>
  <c r="DU23" i="1"/>
  <c r="DS22" i="1"/>
  <c r="DT22" i="1"/>
  <c r="DU21" i="1"/>
  <c r="DU27" i="1" s="1"/>
  <c r="DU28" i="1" s="1"/>
  <c r="DA27" i="1"/>
  <c r="DA28" i="1" s="1"/>
  <c r="DR19" i="1"/>
  <c r="DP19" i="1"/>
  <c r="DJ19" i="1"/>
  <c r="DQ19" i="1"/>
  <c r="DK19" i="1"/>
  <c r="DN19" i="1"/>
  <c r="DO19" i="1"/>
  <c r="DM19" i="1"/>
  <c r="DL19" i="1"/>
  <c r="DO21" i="1" l="1"/>
  <c r="DO23" i="1"/>
  <c r="DN21" i="1"/>
  <c r="DN23" i="1"/>
  <c r="DK21" i="1"/>
  <c r="DK27" i="1" s="1"/>
  <c r="DK28" i="1" s="1"/>
  <c r="DK23" i="1"/>
  <c r="DQ21" i="1"/>
  <c r="DQ27" i="1" s="1"/>
  <c r="DQ28" i="1" s="1"/>
  <c r="DQ23" i="1"/>
  <c r="DJ22" i="1"/>
  <c r="DJ23" i="1"/>
  <c r="DP21" i="1"/>
  <c r="DP27" i="1" s="1"/>
  <c r="DP28" i="1" s="1"/>
  <c r="DP23" i="1"/>
  <c r="DR21" i="1"/>
  <c r="DR27" i="1" s="1"/>
  <c r="DR28" i="1" s="1"/>
  <c r="DR23" i="1"/>
  <c r="DL21" i="1"/>
  <c r="DL27" i="1" s="1"/>
  <c r="DL28" i="1" s="1"/>
  <c r="DL23" i="1"/>
  <c r="DM21" i="1"/>
  <c r="DM23" i="1"/>
  <c r="DM27" i="1"/>
  <c r="DM28" i="1" s="1"/>
  <c r="DN27" i="1"/>
  <c r="DN28" i="1" s="1"/>
  <c r="DO27" i="1"/>
  <c r="DO28" i="1" s="1"/>
  <c r="DR22" i="1"/>
  <c r="DP22" i="1"/>
  <c r="DK22" i="1"/>
  <c r="DJ21" i="1"/>
  <c r="DO22" i="1"/>
  <c r="DL22" i="1"/>
  <c r="DN22" i="1"/>
  <c r="DQ22" i="1"/>
  <c r="DM22" i="1"/>
  <c r="DJ27" i="1" l="1"/>
  <c r="DJ28" i="1" s="1"/>
</calcChain>
</file>

<file path=xl/comments1.xml><?xml version="1.0" encoding="utf-8"?>
<comments xmlns="http://schemas.openxmlformats.org/spreadsheetml/2006/main">
  <authors>
    <author>tc={1061302A-1534-4DFC-A019-39152BF54D10}</author>
    <author>Puget Sound Energy</author>
    <author>Venkatesh, Rahul - Marketing</author>
  </authors>
  <commentList>
    <comment ref="A11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Median of 30-year average, see Hydro Inputs WP for details.</t>
        </r>
      </text>
    </comment>
    <comment ref="A13" authorId="1" shapeId="0">
      <text>
        <r>
          <rPr>
            <b/>
            <sz val="9"/>
            <color indexed="81"/>
            <rFont val="Tahoma"/>
            <family val="2"/>
          </rPr>
          <t xml:space="preserve">bdm: </t>
        </r>
        <r>
          <rPr>
            <sz val="9"/>
            <color indexed="81"/>
            <rFont val="Tahoma"/>
            <family val="2"/>
          </rPr>
          <t xml:space="preserve">Amount shown on Attachment 1. This value has to be multiplied by 94.5% (to adjust for treatment of the Colville slice) to arrive at actual % of Wells output. 
</t>
        </r>
      </text>
    </comment>
    <comment ref="AM30" authorId="2" shapeId="0">
      <text>
        <r>
          <rPr>
            <b/>
            <sz val="9"/>
            <color indexed="81"/>
            <rFont val="Tahoma"/>
            <family val="2"/>
          </rPr>
          <t>Venkatesh, Rahul - Marketing:</t>
        </r>
        <r>
          <rPr>
            <sz val="9"/>
            <color indexed="81"/>
            <rFont val="Tahoma"/>
            <family val="2"/>
          </rPr>
          <t xml:space="preserve">
Colville Extension Agreement</t>
        </r>
      </text>
    </comment>
  </commentList>
</comments>
</file>

<file path=xl/comments2.xml><?xml version="1.0" encoding="utf-8"?>
<comments xmlns="http://schemas.openxmlformats.org/spreadsheetml/2006/main">
  <authors>
    <author>Venkatesh, Rahul - Marketing</author>
  </authors>
  <commentList>
    <comment ref="C16" authorId="0" shapeId="0">
      <text>
        <r>
          <rPr>
            <b/>
            <sz val="9"/>
            <color indexed="81"/>
            <rFont val="Tahoma"/>
            <family val="2"/>
          </rPr>
          <t>Venkatesh, Rahul - Marketing:</t>
        </r>
        <r>
          <rPr>
            <sz val="9"/>
            <color indexed="81"/>
            <rFont val="Tahoma"/>
            <family val="2"/>
          </rPr>
          <t xml:space="preserve">
Provided from Douglas</t>
        </r>
      </text>
    </comment>
  </commentList>
</comments>
</file>

<file path=xl/sharedStrings.xml><?xml version="1.0" encoding="utf-8"?>
<sst xmlns="http://schemas.openxmlformats.org/spreadsheetml/2006/main" count="199" uniqueCount="141">
  <si>
    <t>PSE % 10-yr PPA</t>
  </si>
  <si>
    <t>PSE % Colville PPA</t>
  </si>
  <si>
    <t>nominal PSE % 10-yr PPA</t>
  </si>
  <si>
    <t>1.a.</t>
  </si>
  <si>
    <t>1.b.</t>
  </si>
  <si>
    <t>1.c.</t>
  </si>
  <si>
    <t>average actual load last 3 full years</t>
  </si>
  <si>
    <t>2.</t>
  </si>
  <si>
    <t>Douglas load growth</t>
  </si>
  <si>
    <t>1.d.</t>
  </si>
  <si>
    <t>1.</t>
  </si>
  <si>
    <t>Douglas actual load</t>
  </si>
  <si>
    <t>3.</t>
  </si>
  <si>
    <t>new large loads</t>
  </si>
  <si>
    <t>4.</t>
  </si>
  <si>
    <t>adjusted Douglas load forecast</t>
  </si>
  <si>
    <t>4.a.</t>
  </si>
  <si>
    <t>4.b.</t>
  </si>
  <si>
    <t>contract year</t>
  </si>
  <si>
    <t>actual load contract year minus 4</t>
  </si>
  <si>
    <t>actual load contract year minus 3</t>
  </si>
  <si>
    <t>actual load contract year minus 2</t>
  </si>
  <si>
    <t>forecast load contract year minus 1</t>
  </si>
  <si>
    <t>5.</t>
  </si>
  <si>
    <t>forecast base load for contract year</t>
  </si>
  <si>
    <t>total forecast load for contract year</t>
  </si>
  <si>
    <t>6.</t>
  </si>
  <si>
    <t>Feb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</si>
  <si>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</si>
  <si>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</si>
  <si>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</si>
  <si>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</si>
  <si>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</si>
  <si>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</si>
  <si>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</si>
  <si>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</si>
  <si>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</si>
  <si>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</si>
  <si>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Mar</t>
  </si>
  <si>
    <t>7.</t>
  </si>
  <si>
    <t>8.</t>
  </si>
  <si>
    <r>
      <t>average actual monthly load</t>
    </r>
    <r>
      <rPr>
        <b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>(for shaping)</t>
    </r>
  </si>
  <si>
    <t>shaped monthly load for contract year</t>
  </si>
  <si>
    <t>Wells PNCA forecast</t>
  </si>
  <si>
    <t>Wells critical period forecast</t>
  </si>
  <si>
    <t>less Colville Tribes allocation</t>
  </si>
  <si>
    <t>Net Wells Critical period forecast</t>
  </si>
  <si>
    <t>2.a.</t>
  </si>
  <si>
    <t>2.b.</t>
  </si>
  <si>
    <t>2.c.</t>
  </si>
  <si>
    <t>Douglas Rocky Reach share</t>
  </si>
  <si>
    <t>RRH critical period forecast</t>
  </si>
  <si>
    <t>Douglas RRH share</t>
  </si>
  <si>
    <t>Douglas RRH %</t>
  </si>
  <si>
    <t>3.a.</t>
  </si>
  <si>
    <t>Douglas load for contract year</t>
  </si>
  <si>
    <t>3.b.</t>
  </si>
  <si>
    <t>3.c.</t>
  </si>
  <si>
    <t>3.d.</t>
  </si>
  <si>
    <t>Douglas load net of RRH share</t>
  </si>
  <si>
    <t>4.c.</t>
  </si>
  <si>
    <t>winter period</t>
  </si>
  <si>
    <t>shoulder period</t>
  </si>
  <si>
    <t>spring/summer period</t>
  </si>
  <si>
    <t>Okanogan forecasted load</t>
  </si>
  <si>
    <t>Okanogan determined value</t>
  </si>
  <si>
    <t>Okanogan Wells load</t>
  </si>
  <si>
    <t>Okanogan Wells allocation</t>
  </si>
  <si>
    <t>8.a.</t>
  </si>
  <si>
    <t>8.b.</t>
  </si>
  <si>
    <t>8.c.</t>
  </si>
  <si>
    <t>8.d.</t>
  </si>
  <si>
    <t>max Okanogan allocation</t>
  </si>
  <si>
    <t>max for winter period</t>
  </si>
  <si>
    <t>max for shoulder period</t>
  </si>
  <si>
    <t>max for spring/summer period</t>
  </si>
  <si>
    <t>calculated Okanogan allocation</t>
  </si>
  <si>
    <t>fixed Okanogan allocation</t>
  </si>
  <si>
    <t>Okanogan allocation for contract year</t>
  </si>
  <si>
    <t>9.</t>
  </si>
  <si>
    <t>Douglas allocation</t>
  </si>
  <si>
    <t>9.a.</t>
  </si>
  <si>
    <t>9.b.</t>
  </si>
  <si>
    <t>9.c.</t>
  </si>
  <si>
    <t>Douglas winter allocation</t>
  </si>
  <si>
    <t>Douglas shoulder allocation</t>
  </si>
  <si>
    <t>Douglas spring/summer allocation</t>
  </si>
  <si>
    <t>10.</t>
  </si>
  <si>
    <t>Purchasers allocation</t>
  </si>
  <si>
    <t>10.a.</t>
  </si>
  <si>
    <t>10.b.</t>
  </si>
  <si>
    <t>10.c.</t>
  </si>
  <si>
    <t>Purchasers winter allocation</t>
  </si>
  <si>
    <t>Purchasers shoulder allocation</t>
  </si>
  <si>
    <t>Purchasers spring/summer allocation</t>
  </si>
  <si>
    <t>11.</t>
  </si>
  <si>
    <t>PSE allocation factor</t>
  </si>
  <si>
    <t>11.a.</t>
  </si>
  <si>
    <t>11.b.</t>
  </si>
  <si>
    <t>PSE monthly allocation</t>
  </si>
  <si>
    <t>12.a.</t>
  </si>
  <si>
    <t>PSE average annual allocation</t>
  </si>
  <si>
    <t>12.b.</t>
  </si>
  <si>
    <t>PSE allocation</t>
  </si>
  <si>
    <t>PSE monthly fixed charge</t>
  </si>
  <si>
    <t>100% monthly fixed charge</t>
  </si>
  <si>
    <t>Total monthly fixed charges from section 5(b)</t>
  </si>
  <si>
    <t>Variable energy charge from section 5(d)</t>
  </si>
  <si>
    <t>winter energy price</t>
  </si>
  <si>
    <t>spring energy price</t>
  </si>
  <si>
    <t>summer energy price</t>
  </si>
  <si>
    <t>shoulder energy price</t>
  </si>
  <si>
    <t>n/a</t>
  </si>
  <si>
    <t>winter months include January, February, and December</t>
  </si>
  <si>
    <t>spring months include April, May, and June</t>
  </si>
  <si>
    <t>summer months include July and August</t>
  </si>
  <si>
    <t>shoulder months include March, September, October, and November</t>
  </si>
  <si>
    <t>Total PSE Wells %</t>
  </si>
  <si>
    <r>
      <t>PSE Wells energy (</t>
    </r>
    <r>
      <rPr>
        <sz val="9"/>
        <color theme="1"/>
        <rFont val="Calibri"/>
        <family val="2"/>
        <scheme val="minor"/>
      </rPr>
      <t>MW</t>
    </r>
    <r>
      <rPr>
        <sz val="11"/>
        <color theme="1"/>
        <rFont val="Calibri"/>
        <family val="2"/>
        <scheme val="minor"/>
      </rPr>
      <t>h)</t>
    </r>
  </si>
  <si>
    <r>
      <t>100% Wells Project energy (</t>
    </r>
    <r>
      <rPr>
        <sz val="8"/>
        <color theme="1"/>
        <rFont val="Calibri"/>
        <family val="2"/>
        <scheme val="minor"/>
      </rPr>
      <t>MW</t>
    </r>
    <r>
      <rPr>
        <sz val="10"/>
        <color theme="1"/>
        <rFont val="Calibri"/>
        <family val="2"/>
        <scheme val="minor"/>
      </rPr>
      <t>h)</t>
    </r>
  </si>
  <si>
    <r>
      <t>PSE Wells energy from 10-yr PPA (</t>
    </r>
    <r>
      <rPr>
        <sz val="9"/>
        <color theme="1"/>
        <rFont val="Calibri"/>
        <family val="2"/>
        <scheme val="minor"/>
      </rPr>
      <t>MW</t>
    </r>
    <r>
      <rPr>
        <sz val="10"/>
        <color theme="1"/>
        <rFont val="Calibri"/>
        <family val="2"/>
        <scheme val="minor"/>
      </rPr>
      <t>h)</t>
    </r>
  </si>
  <si>
    <r>
      <t>PSE Wells energy from Colville slice (</t>
    </r>
    <r>
      <rPr>
        <sz val="9"/>
        <color theme="1"/>
        <rFont val="Calibri"/>
        <family val="2"/>
        <scheme val="minor"/>
      </rPr>
      <t>MW</t>
    </r>
    <r>
      <rPr>
        <sz val="10"/>
        <color theme="1"/>
        <rFont val="Calibri"/>
        <family val="2"/>
        <scheme val="minor"/>
      </rPr>
      <t>h)</t>
    </r>
  </si>
  <si>
    <t>Cost of Colville slice</t>
  </si>
  <si>
    <t>Fixed charge for 10-yr PPA</t>
  </si>
  <si>
    <t>Variable charge for 10-yr PPA</t>
  </si>
  <si>
    <t>Variable energy rate in 10-yr PPA</t>
  </si>
  <si>
    <t>Puget Sound Energy</t>
  </si>
  <si>
    <t>Mid C Wells Project Cost Forecast</t>
  </si>
  <si>
    <t>Summary Data</t>
  </si>
  <si>
    <t>Mid C Wells Project cost and % share forecast</t>
  </si>
  <si>
    <t>Total PSE cost for 10-yr PPA</t>
  </si>
  <si>
    <t>Long-term contract Attachment 2 calculations - Determination of Douglas load forecast</t>
  </si>
  <si>
    <t>Long-term contract Attachment 1 calculations - Determination of monthly allocations</t>
  </si>
  <si>
    <t>Long-term contract prices</t>
  </si>
  <si>
    <t>2024 PPA</t>
  </si>
  <si>
    <t>Mid C Wells 2024 PPA Summary</t>
  </si>
  <si>
    <t>Shaded information is Designated as Confidential per Protective Order in WUTC Dockets UE-240004 and UG-240005</t>
  </si>
  <si>
    <t>2024 PPA %</t>
  </si>
  <si>
    <r>
      <t>PSE Wells energy from 2024 PPA (</t>
    </r>
    <r>
      <rPr>
        <sz val="9"/>
        <color theme="1"/>
        <rFont val="Calibri"/>
        <family val="2"/>
        <scheme val="minor"/>
      </rPr>
      <t>MW</t>
    </r>
    <r>
      <rPr>
        <sz val="10"/>
        <color theme="1"/>
        <rFont val="Calibri"/>
        <family val="2"/>
        <scheme val="minor"/>
      </rPr>
      <t>h)</t>
    </r>
  </si>
  <si>
    <t>2026 Power Cost update workpapers</t>
  </si>
  <si>
    <t>REDACTED 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</si>
</sst>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164" formatCode="0.0%"/>
    <numFmt numFmtId="165" formatCode="0.0"/>
    <numFmt numFmtId="166" formatCode="_(&quot;$&quot;* #,##0_);_(&quot;$&quot;* \(#,##0\);_(&quot;$&quot;* &quot;-&quot;??_);_(@_)"/>
    <numFmt numFmtId="167" formatCode="0.0000%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0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0" tint="-0.34998626667073579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 tint="-0.34998626667073579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b/>
      <sz val="10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9"/>
      <color theme="0" tint="-0.34998626667073579"/>
      <name val="Calibri"/>
      <family val="2"/>
      <scheme val="minor"/>
    </font>
    <font>
      <b/>
      <u/>
      <sz val="11"/>
      <color theme="0" tint="-0.34998626667073579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b/>
      <sz val="10"/>
      <color theme="0" tint="-0.249977111117893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b/>
      <sz val="9"/>
      <color theme="0" tint="-0.249977111117893"/>
      <name val="Calibri"/>
      <family val="2"/>
      <scheme val="minor"/>
    </font>
    <font>
      <b/>
      <u/>
      <sz val="11"/>
      <color theme="0" tint="-0.249977111117893"/>
      <name val="Calibri"/>
      <family val="2"/>
      <scheme val="minor"/>
    </font>
    <font>
      <b/>
      <sz val="14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0" tint="-0.499984740745262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12"/>
      <color theme="0" tint="-0.499984740745262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9"/>
      <color theme="0" tint="-0.499984740745262"/>
      <name val="Calibri"/>
      <family val="2"/>
      <scheme val="minor"/>
    </font>
    <font>
      <b/>
      <u/>
      <sz val="11"/>
      <color theme="0" tint="-0.499984740745262"/>
      <name val="Calibri"/>
      <family val="2"/>
      <scheme val="minor"/>
    </font>
    <font>
      <b/>
      <sz val="11"/>
      <color indexed="8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00"/>
      </left>
      <right/>
      <top style="medium">
        <color rgb="FFFFFF00"/>
      </top>
      <bottom style="medium">
        <color rgb="FFFFFF00"/>
      </bottom>
      <diagonal/>
    </border>
    <border>
      <left/>
      <right/>
      <top style="medium">
        <color rgb="FFFFFF00"/>
      </top>
      <bottom style="medium">
        <color rgb="FFFFFF00"/>
      </bottom>
      <diagonal/>
    </border>
    <border>
      <left style="medium">
        <color rgb="FFFFFF00"/>
      </left>
      <right/>
      <top style="medium">
        <color rgb="FFFFFF00"/>
      </top>
      <bottom/>
      <diagonal/>
    </border>
    <border>
      <left/>
      <right/>
      <top style="medium">
        <color rgb="FFFFFF00"/>
      </top>
      <bottom/>
      <diagonal/>
    </border>
    <border>
      <left/>
      <right style="medium">
        <color rgb="FFFFFF00"/>
      </right>
      <top style="medium">
        <color rgb="FFFFFF00"/>
      </top>
      <bottom/>
      <diagonal/>
    </border>
    <border>
      <left style="medium">
        <color rgb="FFFFFF00"/>
      </left>
      <right/>
      <top/>
      <bottom style="medium">
        <color rgb="FFFFFF00"/>
      </bottom>
      <diagonal/>
    </border>
    <border>
      <left/>
      <right/>
      <top/>
      <bottom style="medium">
        <color rgb="FFFFFF00"/>
      </bottom>
      <diagonal/>
    </border>
    <border>
      <left/>
      <right style="medium">
        <color rgb="FFFFFF00"/>
      </right>
      <top/>
      <bottom style="medium">
        <color rgb="FFFFFF00"/>
      </bottom>
      <diagonal/>
    </border>
    <border>
      <left style="medium">
        <color rgb="FFFFFF00"/>
      </left>
      <right/>
      <top/>
      <bottom/>
      <diagonal/>
    </border>
    <border>
      <left/>
      <right style="medium">
        <color rgb="FFFFFF00"/>
      </right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8" fillId="0" borderId="0"/>
  </cellStyleXfs>
  <cellXfs count="170">
    <xf numFmtId="0" fontId="0" fillId="0" borderId="0" xfId="0"/>
    <xf numFmtId="0" fontId="0" fillId="0" borderId="0" xfId="0" applyAlignment="1">
      <alignment horizontal="right"/>
    </xf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3" fillId="0" borderId="0" xfId="0" quotePrefix="1" applyFont="1" applyAlignment="1">
      <alignment horizontal="center"/>
    </xf>
    <xf numFmtId="0" fontId="2" fillId="0" borderId="0" xfId="0" applyFont="1" applyAlignment="1">
      <alignment horizontal="right"/>
    </xf>
    <xf numFmtId="0" fontId="8" fillId="0" borderId="0" xfId="0" quotePrefix="1" applyFont="1" applyAlignment="1">
      <alignment horizontal="center"/>
    </xf>
    <xf numFmtId="0" fontId="9" fillId="0" borderId="0" xfId="0" applyFont="1"/>
    <xf numFmtId="164" fontId="7" fillId="0" borderId="0" xfId="0" applyNumberFormat="1" applyFont="1" applyAlignment="1">
      <alignment horizontal="left" indent="3"/>
    </xf>
    <xf numFmtId="165" fontId="5" fillId="0" borderId="0" xfId="0" applyNumberFormat="1" applyFont="1" applyAlignment="1">
      <alignment horizontal="right" indent="1"/>
    </xf>
    <xf numFmtId="10" fontId="6" fillId="0" borderId="0" xfId="0" applyNumberFormat="1" applyFont="1" applyAlignment="1">
      <alignment horizontal="left" indent="3"/>
    </xf>
    <xf numFmtId="0" fontId="0" fillId="2" borderId="0" xfId="0" applyFill="1" applyAlignment="1">
      <alignment horizontal="right"/>
    </xf>
    <xf numFmtId="0" fontId="0" fillId="4" borderId="0" xfId="0" applyFill="1" applyAlignment="1">
      <alignment horizontal="right"/>
    </xf>
    <xf numFmtId="0" fontId="0" fillId="5" borderId="0" xfId="0" applyFill="1" applyAlignment="1">
      <alignment horizontal="right"/>
    </xf>
    <xf numFmtId="0" fontId="0" fillId="3" borderId="0" xfId="0" applyFill="1" applyAlignment="1">
      <alignment horizontal="right"/>
    </xf>
    <xf numFmtId="10" fontId="7" fillId="0" borderId="0" xfId="0" applyNumberFormat="1" applyFont="1" applyAlignment="1">
      <alignment horizontal="left" indent="3"/>
    </xf>
    <xf numFmtId="164" fontId="6" fillId="0" borderId="0" xfId="0" applyNumberFormat="1" applyFont="1" applyAlignment="1">
      <alignment horizontal="right" indent="1"/>
    </xf>
    <xf numFmtId="10" fontId="7" fillId="0" borderId="0" xfId="0" applyNumberFormat="1" applyFont="1" applyAlignment="1">
      <alignment horizontal="right" indent="1"/>
    </xf>
    <xf numFmtId="0" fontId="0" fillId="0" borderId="0" xfId="0" quotePrefix="1" applyAlignment="1">
      <alignment horizontal="right"/>
    </xf>
    <xf numFmtId="10" fontId="5" fillId="0" borderId="0" xfId="2" applyNumberFormat="1" applyFont="1" applyBorder="1" applyAlignment="1">
      <alignment horizontal="right" indent="1"/>
    </xf>
    <xf numFmtId="6" fontId="0" fillId="0" borderId="0" xfId="0" applyNumberFormat="1"/>
    <xf numFmtId="0" fontId="4" fillId="2" borderId="0" xfId="0" applyFont="1" applyFill="1" applyAlignment="1">
      <alignment horizontal="right"/>
    </xf>
    <xf numFmtId="0" fontId="0" fillId="6" borderId="0" xfId="0" applyFill="1" applyAlignment="1">
      <alignment horizontal="right"/>
    </xf>
    <xf numFmtId="0" fontId="12" fillId="0" borderId="0" xfId="0" applyFont="1" applyAlignment="1">
      <alignment horizontal="left" indent="5"/>
    </xf>
    <xf numFmtId="166" fontId="2" fillId="0" borderId="0" xfId="1" applyNumberFormat="1" applyFont="1"/>
    <xf numFmtId="0" fontId="0" fillId="0" borderId="0" xfId="0" applyAlignment="1">
      <alignment horizontal="right" indent="1"/>
    </xf>
    <xf numFmtId="165" fontId="0" fillId="0" borderId="0" xfId="0" applyNumberFormat="1" applyAlignment="1">
      <alignment horizontal="right" indent="1"/>
    </xf>
    <xf numFmtId="0" fontId="14" fillId="0" borderId="0" xfId="0" applyFont="1" applyAlignment="1">
      <alignment horizontal="right"/>
    </xf>
    <xf numFmtId="0" fontId="14" fillId="0" borderId="0" xfId="0" applyFont="1"/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0" fontId="6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10" fontId="7" fillId="0" borderId="0" xfId="0" applyNumberFormat="1" applyFont="1" applyAlignment="1">
      <alignment horizontal="center"/>
    </xf>
    <xf numFmtId="0" fontId="23" fillId="0" borderId="0" xfId="0" applyFont="1"/>
    <xf numFmtId="0" fontId="24" fillId="0" borderId="0" xfId="0" applyFont="1"/>
    <xf numFmtId="0" fontId="17" fillId="0" borderId="0" xfId="0" applyFont="1" applyAlignment="1">
      <alignment vertical="center"/>
    </xf>
    <xf numFmtId="17" fontId="25" fillId="0" borderId="0" xfId="0" applyNumberFormat="1" applyFont="1" applyAlignment="1">
      <alignment horizontal="center" vertical="center"/>
    </xf>
    <xf numFmtId="3" fontId="26" fillId="0" borderId="0" xfId="0" applyNumberFormat="1" applyFont="1"/>
    <xf numFmtId="0" fontId="26" fillId="0" borderId="0" xfId="0" applyFont="1"/>
    <xf numFmtId="10" fontId="27" fillId="0" borderId="0" xfId="0" applyNumberFormat="1" applyFont="1" applyAlignment="1">
      <alignment horizontal="center"/>
    </xf>
    <xf numFmtId="10" fontId="26" fillId="0" borderId="0" xfId="0" applyNumberFormat="1" applyFont="1" applyAlignment="1">
      <alignment horizontal="center"/>
    </xf>
    <xf numFmtId="0" fontId="28" fillId="0" borderId="0" xfId="0" applyFont="1"/>
    <xf numFmtId="3" fontId="28" fillId="0" borderId="1" xfId="0" applyNumberFormat="1" applyFont="1" applyBorder="1"/>
    <xf numFmtId="0" fontId="29" fillId="0" borderId="0" xfId="0" applyFont="1" applyAlignment="1">
      <alignment horizontal="right"/>
    </xf>
    <xf numFmtId="5" fontId="30" fillId="7" borderId="2" xfId="1" applyNumberFormat="1" applyFont="1" applyFill="1" applyBorder="1" applyAlignment="1">
      <alignment horizontal="right"/>
    </xf>
    <xf numFmtId="5" fontId="30" fillId="7" borderId="3" xfId="1" applyNumberFormat="1" applyFont="1" applyFill="1" applyBorder="1" applyAlignment="1">
      <alignment horizontal="right"/>
    </xf>
    <xf numFmtId="5" fontId="30" fillId="0" borderId="0" xfId="1" applyNumberFormat="1" applyFont="1" applyAlignment="1">
      <alignment horizontal="right"/>
    </xf>
    <xf numFmtId="7" fontId="31" fillId="0" borderId="0" xfId="1" applyNumberFormat="1" applyFont="1" applyAlignment="1">
      <alignment horizontal="right"/>
    </xf>
    <xf numFmtId="5" fontId="32" fillId="0" borderId="0" xfId="1" applyNumberFormat="1" applyFont="1" applyAlignment="1">
      <alignment horizontal="right"/>
    </xf>
    <xf numFmtId="5" fontId="28" fillId="0" borderId="0" xfId="1" applyNumberFormat="1" applyFont="1" applyAlignment="1">
      <alignment horizontal="right"/>
    </xf>
    <xf numFmtId="5" fontId="28" fillId="0" borderId="0" xfId="0" applyNumberFormat="1" applyFont="1"/>
    <xf numFmtId="0" fontId="4" fillId="0" borderId="0" xfId="0" applyFont="1"/>
    <xf numFmtId="0" fontId="33" fillId="0" borderId="0" xfId="0" applyFont="1" applyAlignment="1">
      <alignment horizontal="center"/>
    </xf>
    <xf numFmtId="17" fontId="34" fillId="0" borderId="0" xfId="0" applyNumberFormat="1" applyFont="1" applyAlignment="1">
      <alignment horizontal="center" vertical="center"/>
    </xf>
    <xf numFmtId="3" fontId="6" fillId="0" borderId="0" xfId="0" applyNumberFormat="1" applyFont="1"/>
    <xf numFmtId="0" fontId="6" fillId="0" borderId="0" xfId="0" applyFont="1"/>
    <xf numFmtId="10" fontId="35" fillId="0" borderId="0" xfId="0" applyNumberFormat="1" applyFont="1" applyAlignment="1">
      <alignment horizontal="center"/>
    </xf>
    <xf numFmtId="3" fontId="4" fillId="0" borderId="1" xfId="0" applyNumberFormat="1" applyFont="1" applyBorder="1"/>
    <xf numFmtId="5" fontId="8" fillId="0" borderId="0" xfId="1" applyNumberFormat="1" applyFont="1" applyAlignment="1">
      <alignment horizontal="right"/>
    </xf>
    <xf numFmtId="7" fontId="36" fillId="0" borderId="0" xfId="1" applyNumberFormat="1" applyFont="1" applyAlignment="1">
      <alignment horizontal="right"/>
    </xf>
    <xf numFmtId="5" fontId="37" fillId="0" borderId="0" xfId="1" applyNumberFormat="1" applyFont="1" applyAlignment="1">
      <alignment horizontal="right"/>
    </xf>
    <xf numFmtId="5" fontId="4" fillId="0" borderId="0" xfId="1" applyNumberFormat="1" applyFont="1" applyAlignment="1">
      <alignment horizontal="right"/>
    </xf>
    <xf numFmtId="165" fontId="8" fillId="0" borderId="1" xfId="0" applyNumberFormat="1" applyFont="1" applyBorder="1" applyAlignment="1">
      <alignment horizontal="right" indent="1"/>
    </xf>
    <xf numFmtId="165" fontId="5" fillId="0" borderId="1" xfId="0" applyNumberFormat="1" applyFont="1" applyBorder="1" applyAlignment="1">
      <alignment horizontal="right" indent="1"/>
    </xf>
    <xf numFmtId="0" fontId="0" fillId="0" borderId="1" xfId="0" applyBorder="1" applyAlignment="1">
      <alignment horizontal="right" indent="1"/>
    </xf>
    <xf numFmtId="1" fontId="5" fillId="0" borderId="1" xfId="0" applyNumberFormat="1" applyFont="1" applyBorder="1" applyAlignment="1">
      <alignment horizontal="right" indent="1"/>
    </xf>
    <xf numFmtId="0" fontId="5" fillId="0" borderId="0" xfId="0" applyFont="1"/>
    <xf numFmtId="0" fontId="0" fillId="0" borderId="1" xfId="0" applyBorder="1" applyAlignment="1">
      <alignment horizontal="center"/>
    </xf>
    <xf numFmtId="165" fontId="5" fillId="0" borderId="0" xfId="0" applyNumberFormat="1" applyFont="1" applyAlignment="1">
      <alignment horizontal="center"/>
    </xf>
    <xf numFmtId="165" fontId="0" fillId="0" borderId="1" xfId="0" applyNumberFormat="1" applyBorder="1" applyAlignment="1">
      <alignment horizontal="center"/>
    </xf>
    <xf numFmtId="10" fontId="5" fillId="0" borderId="0" xfId="2" applyNumberFormat="1" applyFont="1" applyFill="1" applyBorder="1" applyAlignment="1">
      <alignment horizontal="center"/>
    </xf>
    <xf numFmtId="166" fontId="5" fillId="0" borderId="0" xfId="1" applyNumberFormat="1" applyFont="1" applyFill="1" applyAlignment="1">
      <alignment horizontal="center"/>
    </xf>
    <xf numFmtId="0" fontId="39" fillId="0" borderId="0" xfId="0" applyFont="1"/>
    <xf numFmtId="0" fontId="40" fillId="0" borderId="0" xfId="0" applyFont="1" applyAlignment="1">
      <alignment horizontal="center"/>
    </xf>
    <xf numFmtId="17" fontId="41" fillId="0" borderId="0" xfId="0" applyNumberFormat="1" applyFont="1" applyAlignment="1">
      <alignment horizontal="center" vertical="center"/>
    </xf>
    <xf numFmtId="3" fontId="42" fillId="0" borderId="0" xfId="0" applyNumberFormat="1" applyFont="1"/>
    <xf numFmtId="0" fontId="42" fillId="0" borderId="0" xfId="0" applyFont="1"/>
    <xf numFmtId="10" fontId="42" fillId="0" borderId="0" xfId="0" applyNumberFormat="1" applyFont="1" applyAlignment="1">
      <alignment horizontal="center"/>
    </xf>
    <xf numFmtId="10" fontId="43" fillId="0" borderId="0" xfId="0" applyNumberFormat="1" applyFont="1" applyAlignment="1">
      <alignment horizontal="center"/>
    </xf>
    <xf numFmtId="3" fontId="39" fillId="0" borderId="1" xfId="0" applyNumberFormat="1" applyFont="1" applyBorder="1"/>
    <xf numFmtId="5" fontId="44" fillId="0" borderId="0" xfId="1" applyNumberFormat="1" applyFont="1" applyAlignment="1">
      <alignment horizontal="right"/>
    </xf>
    <xf numFmtId="7" fontId="45" fillId="0" borderId="0" xfId="1" applyNumberFormat="1" applyFont="1" applyAlignment="1">
      <alignment horizontal="right"/>
    </xf>
    <xf numFmtId="5" fontId="46" fillId="0" borderId="0" xfId="1" applyNumberFormat="1" applyFont="1" applyAlignment="1">
      <alignment horizontal="right"/>
    </xf>
    <xf numFmtId="5" fontId="39" fillId="0" borderId="0" xfId="1" applyNumberFormat="1" applyFont="1" applyAlignment="1">
      <alignment horizontal="right"/>
    </xf>
    <xf numFmtId="0" fontId="47" fillId="0" borderId="0" xfId="0" applyFont="1" applyAlignment="1">
      <alignment horizontal="left"/>
    </xf>
    <xf numFmtId="0" fontId="18" fillId="0" borderId="0" xfId="0" applyFont="1"/>
    <xf numFmtId="0" fontId="48" fillId="0" borderId="0" xfId="0" applyFont="1"/>
    <xf numFmtId="0" fontId="8" fillId="0" borderId="0" xfId="0" applyFont="1" applyAlignment="1">
      <alignment horizontal="center"/>
    </xf>
    <xf numFmtId="166" fontId="4" fillId="0" borderId="0" xfId="1" applyNumberFormat="1" applyFont="1"/>
    <xf numFmtId="44" fontId="4" fillId="0" borderId="0" xfId="0" applyNumberFormat="1" applyFont="1"/>
    <xf numFmtId="0" fontId="30" fillId="0" borderId="0" xfId="0" applyFont="1" applyAlignment="1">
      <alignment horizontal="center"/>
    </xf>
    <xf numFmtId="165" fontId="30" fillId="0" borderId="1" xfId="0" applyNumberFormat="1" applyFont="1" applyBorder="1" applyAlignment="1">
      <alignment horizontal="right" indent="1"/>
    </xf>
    <xf numFmtId="165" fontId="28" fillId="0" borderId="0" xfId="0" applyNumberFormat="1" applyFont="1" applyAlignment="1">
      <alignment horizontal="right" indent="1"/>
    </xf>
    <xf numFmtId="164" fontId="26" fillId="0" borderId="0" xfId="0" applyNumberFormat="1" applyFont="1" applyAlignment="1">
      <alignment horizontal="left" indent="3"/>
    </xf>
    <xf numFmtId="0" fontId="30" fillId="0" borderId="1" xfId="0" applyFont="1" applyBorder="1" applyAlignment="1">
      <alignment horizontal="right" indent="1"/>
    </xf>
    <xf numFmtId="1" fontId="30" fillId="0" borderId="1" xfId="0" applyNumberFormat="1" applyFont="1" applyBorder="1" applyAlignment="1">
      <alignment horizontal="right" indent="1"/>
    </xf>
    <xf numFmtId="2" fontId="28" fillId="0" borderId="0" xfId="0" applyNumberFormat="1" applyFont="1" applyAlignment="1">
      <alignment horizontal="right" indent="1"/>
    </xf>
    <xf numFmtId="165" fontId="30" fillId="0" borderId="0" xfId="0" applyNumberFormat="1" applyFont="1" applyAlignment="1">
      <alignment horizontal="right" indent="1"/>
    </xf>
    <xf numFmtId="0" fontId="28" fillId="0" borderId="0" xfId="0" applyFont="1" applyAlignment="1">
      <alignment horizontal="center"/>
    </xf>
    <xf numFmtId="0" fontId="30" fillId="0" borderId="1" xfId="0" applyFont="1" applyBorder="1" applyAlignment="1">
      <alignment horizontal="center"/>
    </xf>
    <xf numFmtId="165" fontId="28" fillId="0" borderId="0" xfId="0" applyNumberFormat="1" applyFont="1" applyAlignment="1">
      <alignment horizontal="center"/>
    </xf>
    <xf numFmtId="165" fontId="30" fillId="0" borderId="1" xfId="0" applyNumberFormat="1" applyFont="1" applyBorder="1" applyAlignment="1">
      <alignment horizontal="center"/>
    </xf>
    <xf numFmtId="165" fontId="30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10" fontId="28" fillId="0" borderId="0" xfId="0" applyNumberFormat="1" applyFont="1" applyAlignment="1">
      <alignment horizontal="center"/>
    </xf>
    <xf numFmtId="10" fontId="28" fillId="0" borderId="0" xfId="2" applyNumberFormat="1" applyFont="1" applyFill="1" applyBorder="1" applyAlignment="1">
      <alignment horizontal="center"/>
    </xf>
    <xf numFmtId="166" fontId="28" fillId="0" borderId="0" xfId="1" applyNumberFormat="1" applyFont="1" applyFill="1" applyBorder="1" applyAlignment="1">
      <alignment horizontal="center"/>
    </xf>
    <xf numFmtId="166" fontId="28" fillId="0" borderId="0" xfId="1" applyNumberFormat="1" applyFont="1" applyFill="1" applyAlignment="1">
      <alignment horizontal="center"/>
    </xf>
    <xf numFmtId="0" fontId="18" fillId="0" borderId="0" xfId="0" applyFont="1" applyAlignment="1">
      <alignment vertical="center"/>
    </xf>
    <xf numFmtId="0" fontId="13" fillId="0" borderId="0" xfId="0" applyFont="1"/>
    <xf numFmtId="0" fontId="15" fillId="0" borderId="0" xfId="0" applyFont="1"/>
    <xf numFmtId="0" fontId="3" fillId="0" borderId="0" xfId="0" applyFont="1"/>
    <xf numFmtId="0" fontId="29" fillId="0" borderId="0" xfId="0" applyFont="1"/>
    <xf numFmtId="166" fontId="28" fillId="0" borderId="0" xfId="1" applyNumberFormat="1" applyFont="1"/>
    <xf numFmtId="44" fontId="28" fillId="0" borderId="0" xfId="1" applyFont="1"/>
    <xf numFmtId="44" fontId="28" fillId="0" borderId="0" xfId="0" applyNumberFormat="1" applyFont="1"/>
    <xf numFmtId="5" fontId="30" fillId="7" borderId="4" xfId="1" applyNumberFormat="1" applyFont="1" applyFill="1" applyBorder="1" applyAlignment="1">
      <alignment horizontal="right"/>
    </xf>
    <xf numFmtId="5" fontId="30" fillId="7" borderId="5" xfId="1" applyNumberFormat="1" applyFont="1" applyFill="1" applyBorder="1" applyAlignment="1">
      <alignment horizontal="right"/>
    </xf>
    <xf numFmtId="5" fontId="30" fillId="7" borderId="7" xfId="1" applyNumberFormat="1" applyFont="1" applyFill="1" applyBorder="1" applyAlignment="1">
      <alignment horizontal="right"/>
    </xf>
    <xf numFmtId="5" fontId="30" fillId="7" borderId="8" xfId="1" applyNumberFormat="1" applyFont="1" applyFill="1" applyBorder="1" applyAlignment="1">
      <alignment horizontal="right"/>
    </xf>
    <xf numFmtId="0" fontId="50" fillId="0" borderId="0" xfId="0" applyFont="1"/>
    <xf numFmtId="0" fontId="51" fillId="0" borderId="0" xfId="0" applyFont="1"/>
    <xf numFmtId="0" fontId="52" fillId="0" borderId="0" xfId="0" applyFont="1" applyAlignment="1">
      <alignment horizontal="center"/>
    </xf>
    <xf numFmtId="17" fontId="53" fillId="0" borderId="0" xfId="0" applyNumberFormat="1" applyFont="1" applyAlignment="1">
      <alignment horizontal="center" vertical="center"/>
    </xf>
    <xf numFmtId="3" fontId="13" fillId="0" borderId="0" xfId="0" applyNumberFormat="1" applyFont="1"/>
    <xf numFmtId="10" fontId="54" fillId="0" borderId="0" xfId="0" applyNumberFormat="1" applyFont="1" applyAlignment="1">
      <alignment horizontal="center"/>
    </xf>
    <xf numFmtId="10" fontId="13" fillId="0" borderId="0" xfId="0" applyNumberFormat="1" applyFont="1" applyAlignment="1">
      <alignment horizontal="center"/>
    </xf>
    <xf numFmtId="3" fontId="51" fillId="0" borderId="1" xfId="0" applyNumberFormat="1" applyFont="1" applyBorder="1"/>
    <xf numFmtId="5" fontId="55" fillId="0" borderId="0" xfId="1" applyNumberFormat="1" applyFont="1" applyAlignment="1">
      <alignment horizontal="right"/>
    </xf>
    <xf numFmtId="7" fontId="56" fillId="0" borderId="0" xfId="1" applyNumberFormat="1" applyFont="1" applyAlignment="1">
      <alignment horizontal="right"/>
    </xf>
    <xf numFmtId="5" fontId="57" fillId="0" borderId="0" xfId="1" applyNumberFormat="1" applyFont="1" applyAlignment="1">
      <alignment horizontal="right"/>
    </xf>
    <xf numFmtId="5" fontId="51" fillId="0" borderId="0" xfId="1" applyNumberFormat="1" applyFont="1" applyAlignment="1">
      <alignment horizontal="right"/>
    </xf>
    <xf numFmtId="0" fontId="55" fillId="0" borderId="0" xfId="0" applyFont="1" applyAlignment="1">
      <alignment horizontal="center"/>
    </xf>
    <xf numFmtId="166" fontId="51" fillId="0" borderId="0" xfId="1" applyNumberFormat="1" applyFont="1"/>
    <xf numFmtId="44" fontId="51" fillId="0" borderId="0" xfId="0" applyNumberFormat="1" applyFont="1"/>
    <xf numFmtId="167" fontId="28" fillId="0" borderId="0" xfId="0" applyNumberFormat="1" applyFont="1"/>
    <xf numFmtId="0" fontId="49" fillId="8" borderId="0" xfId="0" applyFont="1" applyFill="1" applyAlignment="1"/>
    <xf numFmtId="0" fontId="0" fillId="8" borderId="0" xfId="0" applyFill="1" applyAlignment="1"/>
    <xf numFmtId="0" fontId="58" fillId="0" borderId="0" xfId="0" applyFont="1"/>
    <xf numFmtId="0" fontId="13" fillId="0" borderId="0" xfId="0" applyFont="1" applyFill="1" applyAlignment="1">
      <alignment horizontal="right"/>
    </xf>
    <xf numFmtId="10" fontId="27" fillId="0" borderId="0" xfId="0" applyNumberFormat="1" applyFont="1" applyFill="1" applyAlignment="1">
      <alignment horizontal="center"/>
    </xf>
    <xf numFmtId="10" fontId="26" fillId="0" borderId="0" xfId="0" applyNumberFormat="1" applyFont="1" applyFill="1" applyAlignment="1">
      <alignment horizontal="center"/>
    </xf>
    <xf numFmtId="10" fontId="42" fillId="0" borderId="0" xfId="0" applyNumberFormat="1" applyFont="1" applyFill="1" applyAlignment="1">
      <alignment horizontal="center"/>
    </xf>
    <xf numFmtId="10" fontId="13" fillId="0" borderId="0" xfId="0" applyNumberFormat="1" applyFont="1" applyFill="1" applyAlignment="1">
      <alignment horizontal="center"/>
    </xf>
    <xf numFmtId="10" fontId="6" fillId="0" borderId="0" xfId="0" applyNumberFormat="1" applyFont="1" applyFill="1" applyAlignment="1">
      <alignment horizontal="center"/>
    </xf>
    <xf numFmtId="0" fontId="13" fillId="0" borderId="0" xfId="0" applyFont="1" applyFill="1"/>
    <xf numFmtId="0" fontId="14" fillId="0" borderId="0" xfId="0" applyFont="1" applyFill="1" applyAlignment="1">
      <alignment horizontal="right"/>
    </xf>
    <xf numFmtId="0" fontId="14" fillId="0" borderId="0" xfId="0" applyFont="1" applyFill="1"/>
    <xf numFmtId="0" fontId="0" fillId="0" borderId="0" xfId="0" applyFill="1"/>
    <xf numFmtId="5" fontId="55" fillId="9" borderId="5" xfId="1" applyNumberFormat="1" applyFont="1" applyFill="1" applyBorder="1" applyAlignment="1">
      <alignment horizontal="right"/>
    </xf>
    <xf numFmtId="5" fontId="8" fillId="9" borderId="5" xfId="1" applyNumberFormat="1" applyFont="1" applyFill="1" applyBorder="1" applyAlignment="1">
      <alignment horizontal="right"/>
    </xf>
    <xf numFmtId="5" fontId="8" fillId="9" borderId="6" xfId="1" applyNumberFormat="1" applyFont="1" applyFill="1" applyBorder="1" applyAlignment="1">
      <alignment horizontal="right"/>
    </xf>
    <xf numFmtId="5" fontId="55" fillId="9" borderId="8" xfId="1" applyNumberFormat="1" applyFont="1" applyFill="1" applyBorder="1" applyAlignment="1">
      <alignment horizontal="right"/>
    </xf>
    <xf numFmtId="5" fontId="8" fillId="9" borderId="8" xfId="1" applyNumberFormat="1" applyFont="1" applyFill="1" applyBorder="1" applyAlignment="1">
      <alignment horizontal="right"/>
    </xf>
    <xf numFmtId="5" fontId="8" fillId="9" borderId="9" xfId="1" applyNumberFormat="1" applyFont="1" applyFill="1" applyBorder="1" applyAlignment="1">
      <alignment horizontal="right"/>
    </xf>
    <xf numFmtId="0" fontId="0" fillId="9" borderId="4" xfId="0" applyFill="1" applyBorder="1"/>
    <xf numFmtId="0" fontId="0" fillId="9" borderId="5" xfId="0" applyFill="1" applyBorder="1"/>
    <xf numFmtId="0" fontId="0" fillId="9" borderId="6" xfId="0" applyFill="1" applyBorder="1"/>
    <xf numFmtId="0" fontId="0" fillId="9" borderId="10" xfId="0" applyFill="1" applyBorder="1"/>
    <xf numFmtId="0" fontId="0" fillId="9" borderId="0" xfId="0" applyFill="1"/>
    <xf numFmtId="0" fontId="0" fillId="9" borderId="11" xfId="0" applyFill="1" applyBorder="1"/>
    <xf numFmtId="0" fontId="0" fillId="9" borderId="7" xfId="0" applyFill="1" applyBorder="1"/>
    <xf numFmtId="0" fontId="0" fillId="9" borderId="8" xfId="0" applyFill="1" applyBorder="1"/>
    <xf numFmtId="0" fontId="0" fillId="9" borderId="9" xfId="0" applyFill="1" applyBorder="1"/>
  </cellXfs>
  <cellStyles count="4">
    <cellStyle name="Currency" xfId="1" builtinId="4"/>
    <cellStyle name="Normal" xfId="0" builtinId="0"/>
    <cellStyle name="Normal 10 2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448733</xdr:colOff>
      <xdr:row>4</xdr:row>
      <xdr:rowOff>186266</xdr:rowOff>
    </xdr:from>
    <xdr:to>
      <xdr:col>50</xdr:col>
      <xdr:colOff>191629</xdr:colOff>
      <xdr:row>6</xdr:row>
      <xdr:rowOff>12699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257800" y="414866"/>
          <a:ext cx="4518096" cy="292100"/>
        </a:xfrm>
        <a:prstGeom prst="rect">
          <a:avLst/>
        </a:prstGeom>
        <a:solidFill>
          <a:schemeClr val="bg1">
            <a:lumMod val="85000"/>
          </a:schemeClr>
        </a:solidFill>
        <a:ln w="25400" cmpd="sng">
          <a:solidFill>
            <a:srgbClr val="FFFF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0"/>
            <a:t>Shaded information</a:t>
          </a:r>
          <a:r>
            <a:rPr lang="en-US" sz="1100" b="0" baseline="0"/>
            <a:t> is designated as confidential per WAC 480-07-160</a:t>
          </a:r>
          <a:endParaRPr lang="en-US" sz="1100" b="0"/>
        </a:p>
      </xdr:txBody>
    </xdr:sp>
    <xdr:clientData/>
  </xdr:twoCellAnchor>
  <xdr:twoCellAnchor>
    <xdr:from>
      <xdr:col>4</xdr:col>
      <xdr:colOff>21167</xdr:colOff>
      <xdr:row>3</xdr:row>
      <xdr:rowOff>127000</xdr:rowOff>
    </xdr:from>
    <xdr:to>
      <xdr:col>9</xdr:col>
      <xdr:colOff>314485</xdr:colOff>
      <xdr:row>4</xdr:row>
      <xdr:rowOff>89184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C62D24A-0245-4A87-994A-85961CC86A7C}"/>
            </a:ext>
          </a:extLst>
        </xdr:cNvPr>
        <xdr:cNvSpPr txBox="1"/>
      </xdr:nvSpPr>
      <xdr:spPr>
        <a:xfrm>
          <a:off x="4688417" y="127000"/>
          <a:ext cx="4156235" cy="205601"/>
        </a:xfrm>
        <a:prstGeom prst="rect">
          <a:avLst/>
        </a:prstGeom>
        <a:solidFill>
          <a:schemeClr val="bg1">
            <a:lumMod val="85000"/>
          </a:schemeClr>
        </a:solidFill>
        <a:ln w="25400" cmpd="sng">
          <a:solidFill>
            <a:srgbClr val="FFFF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100"/>
            </a:lnSpc>
          </a:pPr>
          <a:r>
            <a:rPr lang="en-US" sz="1100" b="0"/>
            <a:t>Shaded information</a:t>
          </a:r>
          <a:r>
            <a:rPr lang="en-US" sz="1100" b="0" baseline="0"/>
            <a:t> is designated as confidential per WAC 480-07-160</a:t>
          </a:r>
        </a:p>
        <a:p>
          <a:pPr algn="ctr">
            <a:lnSpc>
              <a:spcPts val="1200"/>
            </a:lnSpc>
          </a:pPr>
          <a:endParaRPr lang="en-US" sz="1100" b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448733</xdr:colOff>
      <xdr:row>1</xdr:row>
      <xdr:rowOff>186266</xdr:rowOff>
    </xdr:from>
    <xdr:to>
      <xdr:col>50</xdr:col>
      <xdr:colOff>191629</xdr:colOff>
      <xdr:row>3</xdr:row>
      <xdr:rowOff>12699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352675" y="424391"/>
          <a:ext cx="0" cy="293158"/>
        </a:xfrm>
        <a:prstGeom prst="rect">
          <a:avLst/>
        </a:prstGeom>
        <a:solidFill>
          <a:schemeClr val="bg1">
            <a:lumMod val="85000"/>
          </a:schemeClr>
        </a:solidFill>
        <a:ln w="25400" cmpd="sng">
          <a:solidFill>
            <a:srgbClr val="FFFF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0"/>
            <a:t>Shaded information</a:t>
          </a:r>
          <a:r>
            <a:rPr lang="en-US" sz="1100" b="0" baseline="0"/>
            <a:t> is designated as confidential per WAC 480-07-160</a:t>
          </a:r>
          <a:endParaRPr lang="en-US" sz="1100" b="0"/>
        </a:p>
      </xdr:txBody>
    </xdr:sp>
    <xdr:clientData/>
  </xdr:twoCellAnchor>
  <xdr:twoCellAnchor>
    <xdr:from>
      <xdr:col>67</xdr:col>
      <xdr:colOff>324556</xdr:colOff>
      <xdr:row>1</xdr:row>
      <xdr:rowOff>183444</xdr:rowOff>
    </xdr:from>
    <xdr:to>
      <xdr:col>72</xdr:col>
      <xdr:colOff>465667</xdr:colOff>
      <xdr:row>3</xdr:row>
      <xdr:rowOff>162276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4220281" y="421569"/>
          <a:ext cx="3998736" cy="445557"/>
        </a:xfrm>
        <a:prstGeom prst="rect">
          <a:avLst/>
        </a:prstGeom>
        <a:solidFill>
          <a:schemeClr val="bg1">
            <a:lumMod val="85000"/>
          </a:schemeClr>
        </a:solidFill>
        <a:ln w="25400" cmpd="sng">
          <a:solidFill>
            <a:srgbClr val="FFFF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 b="0"/>
            <a:t>Shaded information is designated as confidential per Protective Order in Dockets UE-220066 and UG-220067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rost, Daniela" id="{E67F545E-0CDC-4879-ADEC-8B101E4B1805}" userId="S::daniela.trost@pse.com::414f6e90-7341-4c2f-998a-2b9d8301cc3b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1" dT="2025-09-05T21:48:02.34" personId="{E67F545E-0CDC-4879-ADEC-8B101E4B1805}" id="{1061302A-1534-4DFC-A019-39152BF54D10}">
    <text>Median of 30-year average, see Hydro Inputs WP for details.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3"/>
  <sheetViews>
    <sheetView tabSelected="1" workbookViewId="0">
      <selection activeCell="F15" sqref="F15"/>
    </sheetView>
  </sheetViews>
  <sheetFormatPr defaultColWidth="9.1796875" defaultRowHeight="14.5" x14ac:dyDescent="0.35"/>
  <cols>
    <col min="1" max="1" width="9.1796875" style="143"/>
    <col min="2" max="2" width="13.453125" style="143" customWidth="1"/>
    <col min="3" max="13" width="9.1796875" style="143"/>
    <col min="14" max="14" width="23.1796875" style="143" customWidth="1"/>
    <col min="15" max="257" width="9.1796875" style="143"/>
    <col min="258" max="258" width="13.453125" style="143" customWidth="1"/>
    <col min="259" max="269" width="9.1796875" style="143"/>
    <col min="270" max="270" width="23.1796875" style="143" customWidth="1"/>
    <col min="271" max="513" width="9.1796875" style="143"/>
    <col min="514" max="514" width="13.453125" style="143" customWidth="1"/>
    <col min="515" max="525" width="9.1796875" style="143"/>
    <col min="526" max="526" width="23.1796875" style="143" customWidth="1"/>
    <col min="527" max="769" width="9.1796875" style="143"/>
    <col min="770" max="770" width="13.453125" style="143" customWidth="1"/>
    <col min="771" max="781" width="9.1796875" style="143"/>
    <col min="782" max="782" width="23.1796875" style="143" customWidth="1"/>
    <col min="783" max="1025" width="9.1796875" style="143"/>
    <col min="1026" max="1026" width="13.453125" style="143" customWidth="1"/>
    <col min="1027" max="1037" width="9.1796875" style="143"/>
    <col min="1038" max="1038" width="23.1796875" style="143" customWidth="1"/>
    <col min="1039" max="1281" width="9.1796875" style="143"/>
    <col min="1282" max="1282" width="13.453125" style="143" customWidth="1"/>
    <col min="1283" max="1293" width="9.1796875" style="143"/>
    <col min="1294" max="1294" width="23.1796875" style="143" customWidth="1"/>
    <col min="1295" max="1537" width="9.1796875" style="143"/>
    <col min="1538" max="1538" width="13.453125" style="143" customWidth="1"/>
    <col min="1539" max="1549" width="9.1796875" style="143"/>
    <col min="1550" max="1550" width="23.1796875" style="143" customWidth="1"/>
    <col min="1551" max="1793" width="9.1796875" style="143"/>
    <col min="1794" max="1794" width="13.453125" style="143" customWidth="1"/>
    <col min="1795" max="1805" width="9.1796875" style="143"/>
    <col min="1806" max="1806" width="23.1796875" style="143" customWidth="1"/>
    <col min="1807" max="2049" width="9.1796875" style="143"/>
    <col min="2050" max="2050" width="13.453125" style="143" customWidth="1"/>
    <col min="2051" max="2061" width="9.1796875" style="143"/>
    <col min="2062" max="2062" width="23.1796875" style="143" customWidth="1"/>
    <col min="2063" max="2305" width="9.1796875" style="143"/>
    <col min="2306" max="2306" width="13.453125" style="143" customWidth="1"/>
    <col min="2307" max="2317" width="9.1796875" style="143"/>
    <col min="2318" max="2318" width="23.1796875" style="143" customWidth="1"/>
    <col min="2319" max="2561" width="9.1796875" style="143"/>
    <col min="2562" max="2562" width="13.453125" style="143" customWidth="1"/>
    <col min="2563" max="2573" width="9.1796875" style="143"/>
    <col min="2574" max="2574" width="23.1796875" style="143" customWidth="1"/>
    <col min="2575" max="2817" width="9.1796875" style="143"/>
    <col min="2818" max="2818" width="13.453125" style="143" customWidth="1"/>
    <col min="2819" max="2829" width="9.1796875" style="143"/>
    <col min="2830" max="2830" width="23.1796875" style="143" customWidth="1"/>
    <col min="2831" max="3073" width="9.1796875" style="143"/>
    <col min="3074" max="3074" width="13.453125" style="143" customWidth="1"/>
    <col min="3075" max="3085" width="9.1796875" style="143"/>
    <col min="3086" max="3086" width="23.1796875" style="143" customWidth="1"/>
    <col min="3087" max="3329" width="9.1796875" style="143"/>
    <col min="3330" max="3330" width="13.453125" style="143" customWidth="1"/>
    <col min="3331" max="3341" width="9.1796875" style="143"/>
    <col min="3342" max="3342" width="23.1796875" style="143" customWidth="1"/>
    <col min="3343" max="3585" width="9.1796875" style="143"/>
    <col min="3586" max="3586" width="13.453125" style="143" customWidth="1"/>
    <col min="3587" max="3597" width="9.1796875" style="143"/>
    <col min="3598" max="3598" width="23.1796875" style="143" customWidth="1"/>
    <col min="3599" max="3841" width="9.1796875" style="143"/>
    <col min="3842" max="3842" width="13.453125" style="143" customWidth="1"/>
    <col min="3843" max="3853" width="9.1796875" style="143"/>
    <col min="3854" max="3854" width="23.1796875" style="143" customWidth="1"/>
    <col min="3855" max="4097" width="9.1796875" style="143"/>
    <col min="4098" max="4098" width="13.453125" style="143" customWidth="1"/>
    <col min="4099" max="4109" width="9.1796875" style="143"/>
    <col min="4110" max="4110" width="23.1796875" style="143" customWidth="1"/>
    <col min="4111" max="4353" width="9.1796875" style="143"/>
    <col min="4354" max="4354" width="13.453125" style="143" customWidth="1"/>
    <col min="4355" max="4365" width="9.1796875" style="143"/>
    <col min="4366" max="4366" width="23.1796875" style="143" customWidth="1"/>
    <col min="4367" max="4609" width="9.1796875" style="143"/>
    <col min="4610" max="4610" width="13.453125" style="143" customWidth="1"/>
    <col min="4611" max="4621" width="9.1796875" style="143"/>
    <col min="4622" max="4622" width="23.1796875" style="143" customWidth="1"/>
    <col min="4623" max="4865" width="9.1796875" style="143"/>
    <col min="4866" max="4866" width="13.453125" style="143" customWidth="1"/>
    <col min="4867" max="4877" width="9.1796875" style="143"/>
    <col min="4878" max="4878" width="23.1796875" style="143" customWidth="1"/>
    <col min="4879" max="5121" width="9.1796875" style="143"/>
    <col min="5122" max="5122" width="13.453125" style="143" customWidth="1"/>
    <col min="5123" max="5133" width="9.1796875" style="143"/>
    <col min="5134" max="5134" width="23.1796875" style="143" customWidth="1"/>
    <col min="5135" max="5377" width="9.1796875" style="143"/>
    <col min="5378" max="5378" width="13.453125" style="143" customWidth="1"/>
    <col min="5379" max="5389" width="9.1796875" style="143"/>
    <col min="5390" max="5390" width="23.1796875" style="143" customWidth="1"/>
    <col min="5391" max="5633" width="9.1796875" style="143"/>
    <col min="5634" max="5634" width="13.453125" style="143" customWidth="1"/>
    <col min="5635" max="5645" width="9.1796875" style="143"/>
    <col min="5646" max="5646" width="23.1796875" style="143" customWidth="1"/>
    <col min="5647" max="5889" width="9.1796875" style="143"/>
    <col min="5890" max="5890" width="13.453125" style="143" customWidth="1"/>
    <col min="5891" max="5901" width="9.1796875" style="143"/>
    <col min="5902" max="5902" width="23.1796875" style="143" customWidth="1"/>
    <col min="5903" max="6145" width="9.1796875" style="143"/>
    <col min="6146" max="6146" width="13.453125" style="143" customWidth="1"/>
    <col min="6147" max="6157" width="9.1796875" style="143"/>
    <col min="6158" max="6158" width="23.1796875" style="143" customWidth="1"/>
    <col min="6159" max="6401" width="9.1796875" style="143"/>
    <col min="6402" max="6402" width="13.453125" style="143" customWidth="1"/>
    <col min="6403" max="6413" width="9.1796875" style="143"/>
    <col min="6414" max="6414" width="23.1796875" style="143" customWidth="1"/>
    <col min="6415" max="6657" width="9.1796875" style="143"/>
    <col min="6658" max="6658" width="13.453125" style="143" customWidth="1"/>
    <col min="6659" max="6669" width="9.1796875" style="143"/>
    <col min="6670" max="6670" width="23.1796875" style="143" customWidth="1"/>
    <col min="6671" max="6913" width="9.1796875" style="143"/>
    <col min="6914" max="6914" width="13.453125" style="143" customWidth="1"/>
    <col min="6915" max="6925" width="9.1796875" style="143"/>
    <col min="6926" max="6926" width="23.1796875" style="143" customWidth="1"/>
    <col min="6927" max="7169" width="9.1796875" style="143"/>
    <col min="7170" max="7170" width="13.453125" style="143" customWidth="1"/>
    <col min="7171" max="7181" width="9.1796875" style="143"/>
    <col min="7182" max="7182" width="23.1796875" style="143" customWidth="1"/>
    <col min="7183" max="7425" width="9.1796875" style="143"/>
    <col min="7426" max="7426" width="13.453125" style="143" customWidth="1"/>
    <col min="7427" max="7437" width="9.1796875" style="143"/>
    <col min="7438" max="7438" width="23.1796875" style="143" customWidth="1"/>
    <col min="7439" max="7681" width="9.1796875" style="143"/>
    <col min="7682" max="7682" width="13.453125" style="143" customWidth="1"/>
    <col min="7683" max="7693" width="9.1796875" style="143"/>
    <col min="7694" max="7694" width="23.1796875" style="143" customWidth="1"/>
    <col min="7695" max="7937" width="9.1796875" style="143"/>
    <col min="7938" max="7938" width="13.453125" style="143" customWidth="1"/>
    <col min="7939" max="7949" width="9.1796875" style="143"/>
    <col min="7950" max="7950" width="23.1796875" style="143" customWidth="1"/>
    <col min="7951" max="8193" width="9.1796875" style="143"/>
    <col min="8194" max="8194" width="13.453125" style="143" customWidth="1"/>
    <col min="8195" max="8205" width="9.1796875" style="143"/>
    <col min="8206" max="8206" width="23.1796875" style="143" customWidth="1"/>
    <col min="8207" max="8449" width="9.1796875" style="143"/>
    <col min="8450" max="8450" width="13.453125" style="143" customWidth="1"/>
    <col min="8451" max="8461" width="9.1796875" style="143"/>
    <col min="8462" max="8462" width="23.1796875" style="143" customWidth="1"/>
    <col min="8463" max="8705" width="9.1796875" style="143"/>
    <col min="8706" max="8706" width="13.453125" style="143" customWidth="1"/>
    <col min="8707" max="8717" width="9.1796875" style="143"/>
    <col min="8718" max="8718" width="23.1796875" style="143" customWidth="1"/>
    <col min="8719" max="8961" width="9.1796875" style="143"/>
    <col min="8962" max="8962" width="13.453125" style="143" customWidth="1"/>
    <col min="8963" max="8973" width="9.1796875" style="143"/>
    <col min="8974" max="8974" width="23.1796875" style="143" customWidth="1"/>
    <col min="8975" max="9217" width="9.1796875" style="143"/>
    <col min="9218" max="9218" width="13.453125" style="143" customWidth="1"/>
    <col min="9219" max="9229" width="9.1796875" style="143"/>
    <col min="9230" max="9230" width="23.1796875" style="143" customWidth="1"/>
    <col min="9231" max="9473" width="9.1796875" style="143"/>
    <col min="9474" max="9474" width="13.453125" style="143" customWidth="1"/>
    <col min="9475" max="9485" width="9.1796875" style="143"/>
    <col min="9486" max="9486" width="23.1796875" style="143" customWidth="1"/>
    <col min="9487" max="9729" width="9.1796875" style="143"/>
    <col min="9730" max="9730" width="13.453125" style="143" customWidth="1"/>
    <col min="9731" max="9741" width="9.1796875" style="143"/>
    <col min="9742" max="9742" width="23.1796875" style="143" customWidth="1"/>
    <col min="9743" max="9985" width="9.1796875" style="143"/>
    <col min="9986" max="9986" width="13.453125" style="143" customWidth="1"/>
    <col min="9987" max="9997" width="9.1796875" style="143"/>
    <col min="9998" max="9998" width="23.1796875" style="143" customWidth="1"/>
    <col min="9999" max="10241" width="9.1796875" style="143"/>
    <col min="10242" max="10242" width="13.453125" style="143" customWidth="1"/>
    <col min="10243" max="10253" width="9.1796875" style="143"/>
    <col min="10254" max="10254" width="23.1796875" style="143" customWidth="1"/>
    <col min="10255" max="10497" width="9.1796875" style="143"/>
    <col min="10498" max="10498" width="13.453125" style="143" customWidth="1"/>
    <col min="10499" max="10509" width="9.1796875" style="143"/>
    <col min="10510" max="10510" width="23.1796875" style="143" customWidth="1"/>
    <col min="10511" max="10753" width="9.1796875" style="143"/>
    <col min="10754" max="10754" width="13.453125" style="143" customWidth="1"/>
    <col min="10755" max="10765" width="9.1796875" style="143"/>
    <col min="10766" max="10766" width="23.1796875" style="143" customWidth="1"/>
    <col min="10767" max="11009" width="9.1796875" style="143"/>
    <col min="11010" max="11010" width="13.453125" style="143" customWidth="1"/>
    <col min="11011" max="11021" width="9.1796875" style="143"/>
    <col min="11022" max="11022" width="23.1796875" style="143" customWidth="1"/>
    <col min="11023" max="11265" width="9.1796875" style="143"/>
    <col min="11266" max="11266" width="13.453125" style="143" customWidth="1"/>
    <col min="11267" max="11277" width="9.1796875" style="143"/>
    <col min="11278" max="11278" width="23.1796875" style="143" customWidth="1"/>
    <col min="11279" max="11521" width="9.1796875" style="143"/>
    <col min="11522" max="11522" width="13.453125" style="143" customWidth="1"/>
    <col min="11523" max="11533" width="9.1796875" style="143"/>
    <col min="11534" max="11534" width="23.1796875" style="143" customWidth="1"/>
    <col min="11535" max="11777" width="9.1796875" style="143"/>
    <col min="11778" max="11778" width="13.453125" style="143" customWidth="1"/>
    <col min="11779" max="11789" width="9.1796875" style="143"/>
    <col min="11790" max="11790" width="23.1796875" style="143" customWidth="1"/>
    <col min="11791" max="12033" width="9.1796875" style="143"/>
    <col min="12034" max="12034" width="13.453125" style="143" customWidth="1"/>
    <col min="12035" max="12045" width="9.1796875" style="143"/>
    <col min="12046" max="12046" width="23.1796875" style="143" customWidth="1"/>
    <col min="12047" max="12289" width="9.1796875" style="143"/>
    <col min="12290" max="12290" width="13.453125" style="143" customWidth="1"/>
    <col min="12291" max="12301" width="9.1796875" style="143"/>
    <col min="12302" max="12302" width="23.1796875" style="143" customWidth="1"/>
    <col min="12303" max="12545" width="9.1796875" style="143"/>
    <col min="12546" max="12546" width="13.453125" style="143" customWidth="1"/>
    <col min="12547" max="12557" width="9.1796875" style="143"/>
    <col min="12558" max="12558" width="23.1796875" style="143" customWidth="1"/>
    <col min="12559" max="12801" width="9.1796875" style="143"/>
    <col min="12802" max="12802" width="13.453125" style="143" customWidth="1"/>
    <col min="12803" max="12813" width="9.1796875" style="143"/>
    <col min="12814" max="12814" width="23.1796875" style="143" customWidth="1"/>
    <col min="12815" max="13057" width="9.1796875" style="143"/>
    <col min="13058" max="13058" width="13.453125" style="143" customWidth="1"/>
    <col min="13059" max="13069" width="9.1796875" style="143"/>
    <col min="13070" max="13070" width="23.1796875" style="143" customWidth="1"/>
    <col min="13071" max="13313" width="9.1796875" style="143"/>
    <col min="13314" max="13314" width="13.453125" style="143" customWidth="1"/>
    <col min="13315" max="13325" width="9.1796875" style="143"/>
    <col min="13326" max="13326" width="23.1796875" style="143" customWidth="1"/>
    <col min="13327" max="13569" width="9.1796875" style="143"/>
    <col min="13570" max="13570" width="13.453125" style="143" customWidth="1"/>
    <col min="13571" max="13581" width="9.1796875" style="143"/>
    <col min="13582" max="13582" width="23.1796875" style="143" customWidth="1"/>
    <col min="13583" max="13825" width="9.1796875" style="143"/>
    <col min="13826" max="13826" width="13.453125" style="143" customWidth="1"/>
    <col min="13827" max="13837" width="9.1796875" style="143"/>
    <col min="13838" max="13838" width="23.1796875" style="143" customWidth="1"/>
    <col min="13839" max="14081" width="9.1796875" style="143"/>
    <col min="14082" max="14082" width="13.453125" style="143" customWidth="1"/>
    <col min="14083" max="14093" width="9.1796875" style="143"/>
    <col min="14094" max="14094" width="23.1796875" style="143" customWidth="1"/>
    <col min="14095" max="14337" width="9.1796875" style="143"/>
    <col min="14338" max="14338" width="13.453125" style="143" customWidth="1"/>
    <col min="14339" max="14349" width="9.1796875" style="143"/>
    <col min="14350" max="14350" width="23.1796875" style="143" customWidth="1"/>
    <col min="14351" max="14593" width="9.1796875" style="143"/>
    <col min="14594" max="14594" width="13.453125" style="143" customWidth="1"/>
    <col min="14595" max="14605" width="9.1796875" style="143"/>
    <col min="14606" max="14606" width="23.1796875" style="143" customWidth="1"/>
    <col min="14607" max="14849" width="9.1796875" style="143"/>
    <col min="14850" max="14850" width="13.453125" style="143" customWidth="1"/>
    <col min="14851" max="14861" width="9.1796875" style="143"/>
    <col min="14862" max="14862" width="23.1796875" style="143" customWidth="1"/>
    <col min="14863" max="15105" width="9.1796875" style="143"/>
    <col min="15106" max="15106" width="13.453125" style="143" customWidth="1"/>
    <col min="15107" max="15117" width="9.1796875" style="143"/>
    <col min="15118" max="15118" width="23.1796875" style="143" customWidth="1"/>
    <col min="15119" max="15361" width="9.1796875" style="143"/>
    <col min="15362" max="15362" width="13.453125" style="143" customWidth="1"/>
    <col min="15363" max="15373" width="9.1796875" style="143"/>
    <col min="15374" max="15374" width="23.1796875" style="143" customWidth="1"/>
    <col min="15375" max="15617" width="9.1796875" style="143"/>
    <col min="15618" max="15618" width="13.453125" style="143" customWidth="1"/>
    <col min="15619" max="15629" width="9.1796875" style="143"/>
    <col min="15630" max="15630" width="23.1796875" style="143" customWidth="1"/>
    <col min="15631" max="15873" width="9.1796875" style="143"/>
    <col min="15874" max="15874" width="13.453125" style="143" customWidth="1"/>
    <col min="15875" max="15885" width="9.1796875" style="143"/>
    <col min="15886" max="15886" width="23.1796875" style="143" customWidth="1"/>
    <col min="15887" max="16129" width="9.1796875" style="143"/>
    <col min="16130" max="16130" width="13.453125" style="143" customWidth="1"/>
    <col min="16131" max="16141" width="9.1796875" style="143"/>
    <col min="16142" max="16142" width="23.1796875" style="143" customWidth="1"/>
    <col min="16143" max="16384" width="9.1796875" style="143"/>
  </cols>
  <sheetData>
    <row r="3" spans="1:1" ht="23.5" x14ac:dyDescent="0.55000000000000004">
      <c r="A3" s="142" t="s">
        <v>140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DU33"/>
  <sheetViews>
    <sheetView zoomScale="80" zoomScaleNormal="80" workbookViewId="0">
      <pane xSplit="1" ySplit="10" topLeftCell="BZ11" activePane="bottomRight" state="frozen"/>
      <selection sqref="A1:XFD1048576"/>
      <selection pane="topRight" sqref="A1:XFD1048576"/>
      <selection pane="bottomLeft" sqref="A1:XFD1048576"/>
      <selection pane="bottomRight" activeCell="BZ30" sqref="BZ30:DU31"/>
    </sheetView>
  </sheetViews>
  <sheetFormatPr defaultColWidth="9.1796875" defaultRowHeight="14.5" x14ac:dyDescent="0.35"/>
  <cols>
    <col min="1" max="1" width="61.453125" customWidth="1"/>
    <col min="2" max="53" width="11.54296875" style="47" hidden="1" customWidth="1"/>
    <col min="54" max="65" width="11.54296875" style="57" hidden="1" customWidth="1"/>
    <col min="66" max="77" width="11.54296875" style="78" hidden="1" customWidth="1"/>
    <col min="78" max="89" width="11.54296875" style="127" bestFit="1" customWidth="1"/>
    <col min="90" max="125" width="11.54296875" style="47" bestFit="1" customWidth="1"/>
  </cols>
  <sheetData>
    <row r="1" spans="1:125" x14ac:dyDescent="0.35">
      <c r="A1" s="117" t="str">
        <f>REDACTED!A3</f>
        <v>REDACTED VERSION</v>
      </c>
      <c r="BU1" s="126" t="s">
        <v>136</v>
      </c>
    </row>
    <row r="4" spans="1:125" ht="18.5" x14ac:dyDescent="0.45">
      <c r="A4" s="90" t="s">
        <v>126</v>
      </c>
    </row>
    <row r="5" spans="1:125" ht="15.5" x14ac:dyDescent="0.35">
      <c r="A5" s="91" t="s">
        <v>139</v>
      </c>
    </row>
    <row r="6" spans="1:125" ht="21" x14ac:dyDescent="0.5">
      <c r="A6" s="39" t="s">
        <v>129</v>
      </c>
    </row>
    <row r="7" spans="1:125" ht="15.5" x14ac:dyDescent="0.35">
      <c r="A7" s="40" t="s">
        <v>128</v>
      </c>
    </row>
    <row r="8" spans="1:125" ht="18.5" x14ac:dyDescent="0.45">
      <c r="A8" s="10"/>
    </row>
    <row r="9" spans="1:125" ht="18.5" x14ac:dyDescent="0.45">
      <c r="A9" s="10"/>
      <c r="B9" s="32">
        <f>YEAR(B10)</f>
        <v>2018</v>
      </c>
      <c r="C9" s="32">
        <f t="shared" ref="C9:BN9" si="0">YEAR(C10)</f>
        <v>2018</v>
      </c>
      <c r="D9" s="32">
        <f t="shared" si="0"/>
        <v>2018</v>
      </c>
      <c r="E9" s="32">
        <f t="shared" si="0"/>
        <v>2018</v>
      </c>
      <c r="F9" s="32">
        <f t="shared" si="0"/>
        <v>2019</v>
      </c>
      <c r="G9" s="32">
        <f t="shared" si="0"/>
        <v>2019</v>
      </c>
      <c r="H9" s="32">
        <f t="shared" si="0"/>
        <v>2019</v>
      </c>
      <c r="I9" s="32">
        <f t="shared" si="0"/>
        <v>2019</v>
      </c>
      <c r="J9" s="32">
        <f t="shared" si="0"/>
        <v>2019</v>
      </c>
      <c r="K9" s="32">
        <f t="shared" si="0"/>
        <v>2019</v>
      </c>
      <c r="L9" s="32">
        <f t="shared" si="0"/>
        <v>2019</v>
      </c>
      <c r="M9" s="32">
        <f t="shared" si="0"/>
        <v>2019</v>
      </c>
      <c r="N9" s="32">
        <f t="shared" si="0"/>
        <v>2019</v>
      </c>
      <c r="O9" s="32">
        <f t="shared" si="0"/>
        <v>2019</v>
      </c>
      <c r="P9" s="32">
        <f t="shared" si="0"/>
        <v>2019</v>
      </c>
      <c r="Q9" s="32">
        <f t="shared" si="0"/>
        <v>2019</v>
      </c>
      <c r="R9" s="32">
        <f t="shared" si="0"/>
        <v>2020</v>
      </c>
      <c r="S9" s="32">
        <f t="shared" si="0"/>
        <v>2020</v>
      </c>
      <c r="T9" s="32">
        <f t="shared" si="0"/>
        <v>2020</v>
      </c>
      <c r="U9" s="32">
        <f t="shared" si="0"/>
        <v>2020</v>
      </c>
      <c r="V9" s="32">
        <f t="shared" si="0"/>
        <v>2020</v>
      </c>
      <c r="W9" s="32">
        <f t="shared" si="0"/>
        <v>2020</v>
      </c>
      <c r="X9" s="32">
        <f t="shared" si="0"/>
        <v>2020</v>
      </c>
      <c r="Y9" s="32">
        <f t="shared" si="0"/>
        <v>2020</v>
      </c>
      <c r="Z9" s="32">
        <f t="shared" si="0"/>
        <v>2020</v>
      </c>
      <c r="AA9" s="32">
        <f t="shared" si="0"/>
        <v>2020</v>
      </c>
      <c r="AB9" s="32">
        <f t="shared" si="0"/>
        <v>2020</v>
      </c>
      <c r="AC9" s="32">
        <f t="shared" si="0"/>
        <v>2020</v>
      </c>
      <c r="AD9" s="32">
        <f t="shared" si="0"/>
        <v>2021</v>
      </c>
      <c r="AE9" s="32">
        <f t="shared" si="0"/>
        <v>2021</v>
      </c>
      <c r="AF9" s="32">
        <f t="shared" si="0"/>
        <v>2021</v>
      </c>
      <c r="AG9" s="32">
        <f t="shared" si="0"/>
        <v>2021</v>
      </c>
      <c r="AH9" s="32">
        <f t="shared" si="0"/>
        <v>2021</v>
      </c>
      <c r="AI9" s="32">
        <f t="shared" si="0"/>
        <v>2021</v>
      </c>
      <c r="AJ9" s="32">
        <f t="shared" si="0"/>
        <v>2021</v>
      </c>
      <c r="AK9" s="32">
        <f t="shared" si="0"/>
        <v>2021</v>
      </c>
      <c r="AL9" s="32">
        <f t="shared" si="0"/>
        <v>2021</v>
      </c>
      <c r="AM9" s="32">
        <f t="shared" si="0"/>
        <v>2021</v>
      </c>
      <c r="AN9" s="32">
        <f t="shared" si="0"/>
        <v>2021</v>
      </c>
      <c r="AO9" s="32">
        <f t="shared" si="0"/>
        <v>2021</v>
      </c>
      <c r="AP9" s="32">
        <f t="shared" si="0"/>
        <v>2022</v>
      </c>
      <c r="AQ9" s="32">
        <f t="shared" si="0"/>
        <v>2022</v>
      </c>
      <c r="AR9" s="32">
        <f t="shared" si="0"/>
        <v>2022</v>
      </c>
      <c r="AS9" s="32">
        <f t="shared" si="0"/>
        <v>2022</v>
      </c>
      <c r="AT9" s="32">
        <f t="shared" si="0"/>
        <v>2022</v>
      </c>
      <c r="AU9" s="32">
        <f t="shared" si="0"/>
        <v>2022</v>
      </c>
      <c r="AV9" s="32">
        <f t="shared" si="0"/>
        <v>2022</v>
      </c>
      <c r="AW9" s="32">
        <f t="shared" si="0"/>
        <v>2022</v>
      </c>
      <c r="AX9" s="32">
        <f t="shared" si="0"/>
        <v>2022</v>
      </c>
      <c r="AY9" s="32">
        <f t="shared" si="0"/>
        <v>2022</v>
      </c>
      <c r="AZ9" s="32">
        <f t="shared" si="0"/>
        <v>2022</v>
      </c>
      <c r="BA9" s="32">
        <f t="shared" si="0"/>
        <v>2022</v>
      </c>
      <c r="BB9" s="79">
        <f t="shared" si="0"/>
        <v>2023</v>
      </c>
      <c r="BC9" s="79">
        <f t="shared" si="0"/>
        <v>2023</v>
      </c>
      <c r="BD9" s="79">
        <f t="shared" si="0"/>
        <v>2023</v>
      </c>
      <c r="BE9" s="79">
        <f t="shared" si="0"/>
        <v>2023</v>
      </c>
      <c r="BF9" s="79">
        <f t="shared" si="0"/>
        <v>2023</v>
      </c>
      <c r="BG9" s="79">
        <f t="shared" si="0"/>
        <v>2023</v>
      </c>
      <c r="BH9" s="79">
        <f t="shared" si="0"/>
        <v>2023</v>
      </c>
      <c r="BI9" s="79">
        <f t="shared" si="0"/>
        <v>2023</v>
      </c>
      <c r="BJ9" s="79">
        <f t="shared" si="0"/>
        <v>2023</v>
      </c>
      <c r="BK9" s="79">
        <f t="shared" si="0"/>
        <v>2023</v>
      </c>
      <c r="BL9" s="79">
        <f t="shared" si="0"/>
        <v>2023</v>
      </c>
      <c r="BM9" s="79">
        <f t="shared" si="0"/>
        <v>2023</v>
      </c>
      <c r="BN9" s="32">
        <f t="shared" si="0"/>
        <v>2024</v>
      </c>
      <c r="BO9" s="32">
        <f t="shared" ref="BO9:DU9" si="1">YEAR(BO10)</f>
        <v>2024</v>
      </c>
      <c r="BP9" s="32">
        <f t="shared" si="1"/>
        <v>2024</v>
      </c>
      <c r="BQ9" s="32">
        <f t="shared" si="1"/>
        <v>2024</v>
      </c>
      <c r="BR9" s="32">
        <f t="shared" si="1"/>
        <v>2024</v>
      </c>
      <c r="BS9" s="32">
        <f t="shared" si="1"/>
        <v>2024</v>
      </c>
      <c r="BT9" s="32">
        <f t="shared" si="1"/>
        <v>2024</v>
      </c>
      <c r="BU9" s="32">
        <f t="shared" si="1"/>
        <v>2024</v>
      </c>
      <c r="BV9" s="32">
        <f t="shared" si="1"/>
        <v>2024</v>
      </c>
      <c r="BW9" s="32">
        <f t="shared" si="1"/>
        <v>2024</v>
      </c>
      <c r="BX9" s="32">
        <f t="shared" si="1"/>
        <v>2024</v>
      </c>
      <c r="BY9" s="32">
        <f t="shared" si="1"/>
        <v>2024</v>
      </c>
      <c r="BZ9" s="128">
        <f t="shared" si="1"/>
        <v>2025</v>
      </c>
      <c r="CA9" s="128">
        <f t="shared" si="1"/>
        <v>2025</v>
      </c>
      <c r="CB9" s="128">
        <f t="shared" si="1"/>
        <v>2025</v>
      </c>
      <c r="CC9" s="128">
        <f t="shared" si="1"/>
        <v>2025</v>
      </c>
      <c r="CD9" s="128">
        <f t="shared" si="1"/>
        <v>2025</v>
      </c>
      <c r="CE9" s="128">
        <f t="shared" si="1"/>
        <v>2025</v>
      </c>
      <c r="CF9" s="128">
        <f t="shared" si="1"/>
        <v>2025</v>
      </c>
      <c r="CG9" s="128">
        <f t="shared" si="1"/>
        <v>2025</v>
      </c>
      <c r="CH9" s="128">
        <f t="shared" si="1"/>
        <v>2025</v>
      </c>
      <c r="CI9" s="128">
        <f t="shared" si="1"/>
        <v>2025</v>
      </c>
      <c r="CJ9" s="128">
        <f t="shared" si="1"/>
        <v>2025</v>
      </c>
      <c r="CK9" s="128">
        <f t="shared" si="1"/>
        <v>2025</v>
      </c>
      <c r="CL9" s="58">
        <f t="shared" si="1"/>
        <v>2026</v>
      </c>
      <c r="CM9" s="58">
        <f t="shared" si="1"/>
        <v>2026</v>
      </c>
      <c r="CN9" s="58">
        <f t="shared" si="1"/>
        <v>2026</v>
      </c>
      <c r="CO9" s="58">
        <f t="shared" si="1"/>
        <v>2026</v>
      </c>
      <c r="CP9" s="58">
        <f t="shared" si="1"/>
        <v>2026</v>
      </c>
      <c r="CQ9" s="58">
        <f t="shared" si="1"/>
        <v>2026</v>
      </c>
      <c r="CR9" s="58">
        <f t="shared" si="1"/>
        <v>2026</v>
      </c>
      <c r="CS9" s="58">
        <f t="shared" si="1"/>
        <v>2026</v>
      </c>
      <c r="CT9" s="58">
        <f t="shared" si="1"/>
        <v>2026</v>
      </c>
      <c r="CU9" s="58">
        <f t="shared" si="1"/>
        <v>2026</v>
      </c>
      <c r="CV9" s="58">
        <f t="shared" si="1"/>
        <v>2026</v>
      </c>
      <c r="CW9" s="58">
        <f t="shared" si="1"/>
        <v>2026</v>
      </c>
      <c r="CX9" s="58">
        <f t="shared" si="1"/>
        <v>2027</v>
      </c>
      <c r="CY9" s="58">
        <f t="shared" si="1"/>
        <v>2027</v>
      </c>
      <c r="CZ9" s="58">
        <f t="shared" si="1"/>
        <v>2027</v>
      </c>
      <c r="DA9" s="58">
        <f t="shared" si="1"/>
        <v>2027</v>
      </c>
      <c r="DB9" s="58">
        <f t="shared" si="1"/>
        <v>2027</v>
      </c>
      <c r="DC9" s="58">
        <f t="shared" si="1"/>
        <v>2027</v>
      </c>
      <c r="DD9" s="58">
        <f t="shared" si="1"/>
        <v>2027</v>
      </c>
      <c r="DE9" s="58">
        <f t="shared" si="1"/>
        <v>2027</v>
      </c>
      <c r="DF9" s="58">
        <f t="shared" si="1"/>
        <v>2027</v>
      </c>
      <c r="DG9" s="58">
        <f t="shared" si="1"/>
        <v>2027</v>
      </c>
      <c r="DH9" s="58">
        <f t="shared" si="1"/>
        <v>2027</v>
      </c>
      <c r="DI9" s="58">
        <f t="shared" si="1"/>
        <v>2027</v>
      </c>
      <c r="DJ9" s="58">
        <f t="shared" si="1"/>
        <v>2028</v>
      </c>
      <c r="DK9" s="58">
        <f t="shared" si="1"/>
        <v>2028</v>
      </c>
      <c r="DL9" s="58">
        <f t="shared" si="1"/>
        <v>2028</v>
      </c>
      <c r="DM9" s="58">
        <f t="shared" si="1"/>
        <v>2028</v>
      </c>
      <c r="DN9" s="58">
        <f t="shared" si="1"/>
        <v>2028</v>
      </c>
      <c r="DO9" s="58">
        <f t="shared" si="1"/>
        <v>2028</v>
      </c>
      <c r="DP9" s="58">
        <f t="shared" si="1"/>
        <v>2028</v>
      </c>
      <c r="DQ9" s="58">
        <f t="shared" si="1"/>
        <v>2028</v>
      </c>
      <c r="DR9" s="58">
        <f t="shared" si="1"/>
        <v>2028</v>
      </c>
      <c r="DS9" s="58">
        <f t="shared" si="1"/>
        <v>2028</v>
      </c>
      <c r="DT9" s="58">
        <f t="shared" si="1"/>
        <v>2028</v>
      </c>
      <c r="DU9" s="58">
        <f t="shared" si="1"/>
        <v>2028</v>
      </c>
    </row>
    <row r="10" spans="1:125" s="114" customFormat="1" ht="21.65" customHeight="1" x14ac:dyDescent="0.35">
      <c r="A10" s="41"/>
      <c r="B10" s="42">
        <v>43344</v>
      </c>
      <c r="C10" s="42">
        <v>43374</v>
      </c>
      <c r="D10" s="42">
        <v>43405</v>
      </c>
      <c r="E10" s="42">
        <v>43435</v>
      </c>
      <c r="F10" s="42">
        <v>43466</v>
      </c>
      <c r="G10" s="42">
        <v>43497</v>
      </c>
      <c r="H10" s="42">
        <v>43525</v>
      </c>
      <c r="I10" s="42">
        <v>43556</v>
      </c>
      <c r="J10" s="42">
        <v>43586</v>
      </c>
      <c r="K10" s="42">
        <v>43617</v>
      </c>
      <c r="L10" s="42">
        <v>43647</v>
      </c>
      <c r="M10" s="42">
        <v>43678</v>
      </c>
      <c r="N10" s="42">
        <v>43709</v>
      </c>
      <c r="O10" s="42">
        <v>43739</v>
      </c>
      <c r="P10" s="42">
        <v>43770</v>
      </c>
      <c r="Q10" s="42">
        <v>43800</v>
      </c>
      <c r="R10" s="42">
        <v>43831</v>
      </c>
      <c r="S10" s="42">
        <v>43862</v>
      </c>
      <c r="T10" s="42">
        <v>43891</v>
      </c>
      <c r="U10" s="42">
        <v>43922</v>
      </c>
      <c r="V10" s="42">
        <v>43952</v>
      </c>
      <c r="W10" s="42">
        <v>43983</v>
      </c>
      <c r="X10" s="42">
        <v>44013</v>
      </c>
      <c r="Y10" s="42">
        <v>44044</v>
      </c>
      <c r="Z10" s="42">
        <v>44075</v>
      </c>
      <c r="AA10" s="42">
        <v>44105</v>
      </c>
      <c r="AB10" s="42">
        <v>44136</v>
      </c>
      <c r="AC10" s="42">
        <v>44166</v>
      </c>
      <c r="AD10" s="42">
        <v>44197</v>
      </c>
      <c r="AE10" s="42">
        <v>44228</v>
      </c>
      <c r="AF10" s="42">
        <v>44256</v>
      </c>
      <c r="AG10" s="42">
        <v>44287</v>
      </c>
      <c r="AH10" s="42">
        <v>44317</v>
      </c>
      <c r="AI10" s="42">
        <v>44348</v>
      </c>
      <c r="AJ10" s="42">
        <v>44378</v>
      </c>
      <c r="AK10" s="42">
        <v>44409</v>
      </c>
      <c r="AL10" s="42">
        <v>44440</v>
      </c>
      <c r="AM10" s="42">
        <v>44470</v>
      </c>
      <c r="AN10" s="42">
        <v>44501</v>
      </c>
      <c r="AO10" s="42">
        <v>44531</v>
      </c>
      <c r="AP10" s="42">
        <v>44562</v>
      </c>
      <c r="AQ10" s="42">
        <v>44593</v>
      </c>
      <c r="AR10" s="42">
        <v>44621</v>
      </c>
      <c r="AS10" s="42">
        <v>44652</v>
      </c>
      <c r="AT10" s="42">
        <v>44682</v>
      </c>
      <c r="AU10" s="42">
        <v>44713</v>
      </c>
      <c r="AV10" s="42">
        <v>44743</v>
      </c>
      <c r="AW10" s="42">
        <v>44774</v>
      </c>
      <c r="AX10" s="42">
        <v>44805</v>
      </c>
      <c r="AY10" s="42">
        <v>44835</v>
      </c>
      <c r="AZ10" s="42">
        <v>44866</v>
      </c>
      <c r="BA10" s="42">
        <v>44896</v>
      </c>
      <c r="BB10" s="80">
        <v>44927</v>
      </c>
      <c r="BC10" s="80">
        <v>44958</v>
      </c>
      <c r="BD10" s="80">
        <v>44986</v>
      </c>
      <c r="BE10" s="80">
        <v>45017</v>
      </c>
      <c r="BF10" s="80">
        <v>45047</v>
      </c>
      <c r="BG10" s="80">
        <v>45078</v>
      </c>
      <c r="BH10" s="80">
        <v>45108</v>
      </c>
      <c r="BI10" s="80">
        <v>45139</v>
      </c>
      <c r="BJ10" s="80">
        <v>45170</v>
      </c>
      <c r="BK10" s="80">
        <v>45200</v>
      </c>
      <c r="BL10" s="80">
        <v>45231</v>
      </c>
      <c r="BM10" s="80">
        <v>45261</v>
      </c>
      <c r="BN10" s="42">
        <v>45292</v>
      </c>
      <c r="BO10" s="42">
        <v>45323</v>
      </c>
      <c r="BP10" s="42">
        <v>45352</v>
      </c>
      <c r="BQ10" s="42">
        <v>45383</v>
      </c>
      <c r="BR10" s="42">
        <v>45413</v>
      </c>
      <c r="BS10" s="42">
        <v>45444</v>
      </c>
      <c r="BT10" s="42">
        <v>45474</v>
      </c>
      <c r="BU10" s="42">
        <v>45505</v>
      </c>
      <c r="BV10" s="42">
        <v>45536</v>
      </c>
      <c r="BW10" s="42">
        <v>45566</v>
      </c>
      <c r="BX10" s="42">
        <v>45597</v>
      </c>
      <c r="BY10" s="42">
        <v>45627</v>
      </c>
      <c r="BZ10" s="129">
        <v>45658</v>
      </c>
      <c r="CA10" s="129">
        <v>45689</v>
      </c>
      <c r="CB10" s="129">
        <v>45717</v>
      </c>
      <c r="CC10" s="129">
        <v>45748</v>
      </c>
      <c r="CD10" s="129">
        <v>45778</v>
      </c>
      <c r="CE10" s="129">
        <v>45809</v>
      </c>
      <c r="CF10" s="129">
        <v>45839</v>
      </c>
      <c r="CG10" s="129">
        <v>45870</v>
      </c>
      <c r="CH10" s="129">
        <v>45901</v>
      </c>
      <c r="CI10" s="129">
        <v>45931</v>
      </c>
      <c r="CJ10" s="129">
        <v>45962</v>
      </c>
      <c r="CK10" s="129">
        <v>45992</v>
      </c>
      <c r="CL10" s="59">
        <v>46023</v>
      </c>
      <c r="CM10" s="59">
        <v>46054</v>
      </c>
      <c r="CN10" s="59">
        <v>46082</v>
      </c>
      <c r="CO10" s="59">
        <v>46113</v>
      </c>
      <c r="CP10" s="59">
        <v>46143</v>
      </c>
      <c r="CQ10" s="59">
        <v>46174</v>
      </c>
      <c r="CR10" s="59">
        <v>46204</v>
      </c>
      <c r="CS10" s="59">
        <v>46235</v>
      </c>
      <c r="CT10" s="59">
        <v>46266</v>
      </c>
      <c r="CU10" s="59">
        <v>46296</v>
      </c>
      <c r="CV10" s="59">
        <v>46327</v>
      </c>
      <c r="CW10" s="59">
        <v>46357</v>
      </c>
      <c r="CX10" s="59">
        <v>46388</v>
      </c>
      <c r="CY10" s="59">
        <v>46419</v>
      </c>
      <c r="CZ10" s="59">
        <v>46447</v>
      </c>
      <c r="DA10" s="59">
        <v>46478</v>
      </c>
      <c r="DB10" s="59">
        <v>46508</v>
      </c>
      <c r="DC10" s="59">
        <v>46539</v>
      </c>
      <c r="DD10" s="59">
        <v>46569</v>
      </c>
      <c r="DE10" s="59">
        <v>46600</v>
      </c>
      <c r="DF10" s="59">
        <v>46631</v>
      </c>
      <c r="DG10" s="59">
        <v>46661</v>
      </c>
      <c r="DH10" s="59">
        <v>46692</v>
      </c>
      <c r="DI10" s="59">
        <v>46722</v>
      </c>
      <c r="DJ10" s="59">
        <v>46753</v>
      </c>
      <c r="DK10" s="59">
        <v>46784</v>
      </c>
      <c r="DL10" s="59">
        <v>46813</v>
      </c>
      <c r="DM10" s="59">
        <v>46844</v>
      </c>
      <c r="DN10" s="59">
        <v>46874</v>
      </c>
      <c r="DO10" s="59">
        <v>46905</v>
      </c>
      <c r="DP10" s="59">
        <v>46935</v>
      </c>
      <c r="DQ10" s="59">
        <v>46966</v>
      </c>
      <c r="DR10" s="59">
        <v>46997</v>
      </c>
      <c r="DS10" s="59">
        <v>47027</v>
      </c>
      <c r="DT10" s="59">
        <v>47058</v>
      </c>
      <c r="DU10" s="59">
        <v>47088</v>
      </c>
    </row>
    <row r="11" spans="1:125" s="31" customFormat="1" ht="15" customHeight="1" x14ac:dyDescent="0.3">
      <c r="A11" s="30" t="s">
        <v>119</v>
      </c>
      <c r="B11" s="43">
        <v>230642.99999999997</v>
      </c>
      <c r="C11" s="43">
        <v>253425</v>
      </c>
      <c r="D11" s="43">
        <v>317781</v>
      </c>
      <c r="E11" s="43">
        <v>373404.3</v>
      </c>
      <c r="F11" s="43">
        <v>388414.5</v>
      </c>
      <c r="G11" s="43">
        <v>322980</v>
      </c>
      <c r="H11" s="43">
        <v>342054</v>
      </c>
      <c r="I11" s="43">
        <v>371245.5</v>
      </c>
      <c r="J11" s="43">
        <v>462126.29999999993</v>
      </c>
      <c r="K11" s="43">
        <v>436527</v>
      </c>
      <c r="L11" s="43">
        <v>420099.6</v>
      </c>
      <c r="M11" s="43">
        <v>375791.7</v>
      </c>
      <c r="N11" s="43">
        <v>230642.99999999997</v>
      </c>
      <c r="O11" s="43">
        <v>253425</v>
      </c>
      <c r="P11" s="43">
        <v>317781</v>
      </c>
      <c r="Q11" s="43">
        <v>373404.3</v>
      </c>
      <c r="R11" s="43">
        <v>388414.5</v>
      </c>
      <c r="S11" s="43">
        <v>334515</v>
      </c>
      <c r="T11" s="43">
        <v>342054</v>
      </c>
      <c r="U11" s="43">
        <v>371245.5</v>
      </c>
      <c r="V11" s="43">
        <v>462126.29999999993</v>
      </c>
      <c r="W11" s="43">
        <v>436527</v>
      </c>
      <c r="X11" s="43">
        <v>420099.6</v>
      </c>
      <c r="Y11" s="43">
        <v>375791.7</v>
      </c>
      <c r="Z11" s="43">
        <v>230642.99999999997</v>
      </c>
      <c r="AA11" s="43">
        <v>253425</v>
      </c>
      <c r="AB11" s="43">
        <v>317781</v>
      </c>
      <c r="AC11" s="43">
        <v>373404.3</v>
      </c>
      <c r="AD11" s="43">
        <v>388414.5</v>
      </c>
      <c r="AE11" s="43">
        <v>322980</v>
      </c>
      <c r="AF11" s="43">
        <v>342054</v>
      </c>
      <c r="AG11" s="43">
        <v>371245.5</v>
      </c>
      <c r="AH11" s="43">
        <v>462126.29999999993</v>
      </c>
      <c r="AI11" s="43">
        <v>436527</v>
      </c>
      <c r="AJ11" s="43">
        <v>420099.6</v>
      </c>
      <c r="AK11" s="43">
        <v>375791.7</v>
      </c>
      <c r="AL11" s="43">
        <v>230642.99999999997</v>
      </c>
      <c r="AM11" s="43">
        <v>253425</v>
      </c>
      <c r="AN11" s="43">
        <v>317781</v>
      </c>
      <c r="AO11" s="43">
        <v>373404.3</v>
      </c>
      <c r="AP11" s="43">
        <v>426684</v>
      </c>
      <c r="AQ11" s="43">
        <v>351120</v>
      </c>
      <c r="AR11" s="43">
        <v>304668</v>
      </c>
      <c r="AS11" s="43">
        <v>340560</v>
      </c>
      <c r="AT11" s="43">
        <v>469092</v>
      </c>
      <c r="AU11" s="43">
        <v>475200</v>
      </c>
      <c r="AV11" s="43">
        <v>413664</v>
      </c>
      <c r="AW11" s="43">
        <v>354624</v>
      </c>
      <c r="AX11" s="43">
        <v>249840</v>
      </c>
      <c r="AY11" s="43">
        <v>252960</v>
      </c>
      <c r="AZ11" s="43">
        <v>319320</v>
      </c>
      <c r="BA11" s="43">
        <v>351912</v>
      </c>
      <c r="BB11" s="81">
        <v>426684</v>
      </c>
      <c r="BC11" s="81">
        <v>351120</v>
      </c>
      <c r="BD11" s="81">
        <v>304668</v>
      </c>
      <c r="BE11" s="81">
        <v>340560</v>
      </c>
      <c r="BF11" s="81">
        <v>469092</v>
      </c>
      <c r="BG11" s="81">
        <v>475200</v>
      </c>
      <c r="BH11" s="81">
        <v>413664</v>
      </c>
      <c r="BI11" s="81">
        <v>354624</v>
      </c>
      <c r="BJ11" s="81">
        <v>249840</v>
      </c>
      <c r="BK11" s="81">
        <v>252960</v>
      </c>
      <c r="BL11" s="81">
        <v>319320</v>
      </c>
      <c r="BM11" s="81">
        <v>351912</v>
      </c>
      <c r="BN11" s="43">
        <v>368866</v>
      </c>
      <c r="BO11" s="43">
        <v>325565</v>
      </c>
      <c r="BP11" s="43">
        <v>342394</v>
      </c>
      <c r="BQ11" s="43">
        <v>366620.5</v>
      </c>
      <c r="BR11" s="43">
        <v>442156.5</v>
      </c>
      <c r="BS11" s="43">
        <v>441737.5</v>
      </c>
      <c r="BT11" s="43">
        <v>405764.5</v>
      </c>
      <c r="BU11" s="43">
        <v>362527.5</v>
      </c>
      <c r="BV11" s="43">
        <v>257841</v>
      </c>
      <c r="BW11" s="43">
        <v>265075.5</v>
      </c>
      <c r="BX11" s="43">
        <v>316371.5</v>
      </c>
      <c r="BY11" s="43">
        <v>350145</v>
      </c>
      <c r="BZ11" s="130">
        <f>BN11</f>
        <v>368866</v>
      </c>
      <c r="CA11" s="130">
        <f t="shared" ref="CA11:DR11" si="2">BO11</f>
        <v>325565</v>
      </c>
      <c r="CB11" s="130">
        <f t="shared" si="2"/>
        <v>342394</v>
      </c>
      <c r="CC11" s="130">
        <f t="shared" si="2"/>
        <v>366620.5</v>
      </c>
      <c r="CD11" s="130">
        <f t="shared" si="2"/>
        <v>442156.5</v>
      </c>
      <c r="CE11" s="130">
        <f t="shared" si="2"/>
        <v>441737.5</v>
      </c>
      <c r="CF11" s="130">
        <f t="shared" si="2"/>
        <v>405764.5</v>
      </c>
      <c r="CG11" s="130">
        <f t="shared" si="2"/>
        <v>362527.5</v>
      </c>
      <c r="CH11" s="130">
        <f t="shared" si="2"/>
        <v>257841</v>
      </c>
      <c r="CI11" s="130">
        <f t="shared" si="2"/>
        <v>265075.5</v>
      </c>
      <c r="CJ11" s="130">
        <f t="shared" si="2"/>
        <v>316371.5</v>
      </c>
      <c r="CK11" s="130">
        <f t="shared" si="2"/>
        <v>350145</v>
      </c>
      <c r="CL11" s="60">
        <v>366400.43722664798</v>
      </c>
      <c r="CM11" s="60">
        <v>314438.16217170801</v>
      </c>
      <c r="CN11" s="60">
        <v>328500.6801617025</v>
      </c>
      <c r="CO11" s="60">
        <v>371081.51660178904</v>
      </c>
      <c r="CP11" s="60">
        <v>452184.35695366299</v>
      </c>
      <c r="CQ11" s="60">
        <v>445797.13447335351</v>
      </c>
      <c r="CR11" s="60">
        <v>414850.19213415298</v>
      </c>
      <c r="CS11" s="60">
        <v>359947.50041344448</v>
      </c>
      <c r="CT11" s="60">
        <v>245818.185347803</v>
      </c>
      <c r="CU11" s="60">
        <v>254319.437420948</v>
      </c>
      <c r="CV11" s="60">
        <v>314600.61078584695</v>
      </c>
      <c r="CW11" s="60">
        <v>345129.19188846601</v>
      </c>
      <c r="CX11" s="60">
        <f t="shared" si="2"/>
        <v>366400.43722664798</v>
      </c>
      <c r="CY11" s="60">
        <f t="shared" si="2"/>
        <v>314438.16217170801</v>
      </c>
      <c r="CZ11" s="60">
        <f t="shared" si="2"/>
        <v>328500.6801617025</v>
      </c>
      <c r="DA11" s="60">
        <f t="shared" si="2"/>
        <v>371081.51660178904</v>
      </c>
      <c r="DB11" s="60">
        <f t="shared" si="2"/>
        <v>452184.35695366299</v>
      </c>
      <c r="DC11" s="60">
        <f t="shared" si="2"/>
        <v>445797.13447335351</v>
      </c>
      <c r="DD11" s="60">
        <f t="shared" si="2"/>
        <v>414850.19213415298</v>
      </c>
      <c r="DE11" s="60">
        <f t="shared" si="2"/>
        <v>359947.50041344448</v>
      </c>
      <c r="DF11" s="60">
        <f t="shared" si="2"/>
        <v>245818.185347803</v>
      </c>
      <c r="DG11" s="60">
        <f t="shared" si="2"/>
        <v>254319.437420948</v>
      </c>
      <c r="DH11" s="60">
        <f t="shared" si="2"/>
        <v>314600.61078584695</v>
      </c>
      <c r="DI11" s="60">
        <f t="shared" si="2"/>
        <v>345129.19188846601</v>
      </c>
      <c r="DJ11" s="60">
        <f t="shared" si="2"/>
        <v>366400.43722664798</v>
      </c>
      <c r="DK11" s="60">
        <f t="shared" si="2"/>
        <v>314438.16217170801</v>
      </c>
      <c r="DL11" s="60">
        <f t="shared" si="2"/>
        <v>328500.6801617025</v>
      </c>
      <c r="DM11" s="60">
        <f t="shared" si="2"/>
        <v>371081.51660178904</v>
      </c>
      <c r="DN11" s="60">
        <f t="shared" si="2"/>
        <v>452184.35695366299</v>
      </c>
      <c r="DO11" s="60">
        <f t="shared" si="2"/>
        <v>445797.13447335351</v>
      </c>
      <c r="DP11" s="60">
        <f t="shared" si="2"/>
        <v>414850.19213415298</v>
      </c>
      <c r="DQ11" s="60">
        <f t="shared" si="2"/>
        <v>359947.50041344448</v>
      </c>
      <c r="DR11" s="60">
        <f t="shared" si="2"/>
        <v>245818.185347803</v>
      </c>
      <c r="DS11" s="60">
        <f t="shared" ref="DS11" si="3">DG11</f>
        <v>254319.437420948</v>
      </c>
      <c r="DT11" s="60">
        <f t="shared" ref="DT11" si="4">DH11</f>
        <v>314600.61078584695</v>
      </c>
      <c r="DU11" s="60">
        <f t="shared" ref="DU11" si="5">DI11</f>
        <v>345129.19188846601</v>
      </c>
    </row>
    <row r="12" spans="1:125" s="31" customFormat="1" ht="13" x14ac:dyDescent="0.3"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</row>
    <row r="13" spans="1:125" s="151" customFormat="1" ht="17.5" customHeight="1" x14ac:dyDescent="0.3">
      <c r="A13" s="145" t="s">
        <v>2</v>
      </c>
      <c r="B13" s="146">
        <v>0.24779999999999999</v>
      </c>
      <c r="C13" s="146">
        <v>0.24779999999999999</v>
      </c>
      <c r="D13" s="146">
        <v>0.24779999999999999</v>
      </c>
      <c r="E13" s="146">
        <v>0.1459</v>
      </c>
      <c r="F13" s="146">
        <f t="array" ref="F13:Q13">TRANSPOSE('Att. #1'!C64:C75)</f>
        <v>0.12177919999999999</v>
      </c>
      <c r="G13" s="146">
        <v>0.12177919999999999</v>
      </c>
      <c r="H13" s="146">
        <v>0.229188</v>
      </c>
      <c r="I13" s="146">
        <v>0.24503519999999998</v>
      </c>
      <c r="J13" s="146">
        <v>0.24503519999999998</v>
      </c>
      <c r="K13" s="146">
        <v>0.24503519999999998</v>
      </c>
      <c r="L13" s="146">
        <v>0.24503519999999998</v>
      </c>
      <c r="M13" s="146">
        <v>0.24503519999999998</v>
      </c>
      <c r="N13" s="146">
        <v>0.229188</v>
      </c>
      <c r="O13" s="146">
        <v>0.229188</v>
      </c>
      <c r="P13" s="146">
        <v>0.229188</v>
      </c>
      <c r="Q13" s="146">
        <v>0.12177919999999999</v>
      </c>
      <c r="R13" s="147">
        <f t="array" ref="R13:AC13">TRANSPOSE('Att. #1'!D64:D75)</f>
        <v>0.21540000000000001</v>
      </c>
      <c r="S13" s="147">
        <v>0.21540000000000001</v>
      </c>
      <c r="T13" s="147">
        <v>0.29110000000000003</v>
      </c>
      <c r="U13" s="147">
        <v>0.32700000000000001</v>
      </c>
      <c r="V13" s="147">
        <v>0.32700000000000001</v>
      </c>
      <c r="W13" s="147">
        <v>0.32700000000000001</v>
      </c>
      <c r="X13" s="147">
        <v>0.32700000000000001</v>
      </c>
      <c r="Y13" s="147">
        <v>0.32700000000000001</v>
      </c>
      <c r="Z13" s="147">
        <v>0.29110000000000003</v>
      </c>
      <c r="AA13" s="147">
        <v>0.29110000000000003</v>
      </c>
      <c r="AB13" s="147">
        <v>0.29110000000000003</v>
      </c>
      <c r="AC13" s="147">
        <v>0.21540000000000001</v>
      </c>
      <c r="AD13" s="147">
        <f t="array" ref="AD13:AO13">TRANSPOSE('Att. #1'!E64:E75)</f>
        <v>0.19750000000000001</v>
      </c>
      <c r="AE13" s="147">
        <v>0.19750000000000001</v>
      </c>
      <c r="AF13" s="147">
        <v>0.24610000000000001</v>
      </c>
      <c r="AG13" s="147">
        <v>0.29880000000000001</v>
      </c>
      <c r="AH13" s="147">
        <v>0.29880000000000001</v>
      </c>
      <c r="AI13" s="147">
        <v>0.29880000000000001</v>
      </c>
      <c r="AJ13" s="147">
        <v>0.29880000000000001</v>
      </c>
      <c r="AK13" s="147">
        <v>0.29880000000000001</v>
      </c>
      <c r="AL13" s="147">
        <v>0.24610000000000001</v>
      </c>
      <c r="AM13" s="147">
        <v>0.24610000000000001</v>
      </c>
      <c r="AN13" s="147">
        <v>0.24610000000000001</v>
      </c>
      <c r="AO13" s="147">
        <v>0.19750000000000001</v>
      </c>
      <c r="AP13" s="147">
        <f t="array" ref="AP13:BA13">TRANSPOSE('Att. #1'!F64:F75)</f>
        <v>0.22109999999999999</v>
      </c>
      <c r="AQ13" s="147">
        <v>0.22109999999999999</v>
      </c>
      <c r="AR13" s="147">
        <v>0.26219999999999999</v>
      </c>
      <c r="AS13" s="147">
        <v>0.30780000000000002</v>
      </c>
      <c r="AT13" s="147">
        <v>0.30780000000000002</v>
      </c>
      <c r="AU13" s="147">
        <v>0.30780000000000002</v>
      </c>
      <c r="AV13" s="147">
        <v>0.30780000000000002</v>
      </c>
      <c r="AW13" s="147">
        <v>0.30780000000000002</v>
      </c>
      <c r="AX13" s="147">
        <v>0.26219999999999999</v>
      </c>
      <c r="AY13" s="147">
        <v>0.26219999999999999</v>
      </c>
      <c r="AZ13" s="147">
        <v>0.26219999999999999</v>
      </c>
      <c r="BA13" s="147">
        <v>0.22109999999999999</v>
      </c>
      <c r="BB13" s="148">
        <f t="array" ref="BB13:BM13">TRANSPOSE('Att. #1'!G64:G75)</f>
        <v>0.23849999999999999</v>
      </c>
      <c r="BC13" s="148">
        <v>0.23849999999999999</v>
      </c>
      <c r="BD13" s="148">
        <v>0.28910000000000002</v>
      </c>
      <c r="BE13" s="148">
        <v>0.31919999999999998</v>
      </c>
      <c r="BF13" s="148">
        <v>0.31919999999999998</v>
      </c>
      <c r="BG13" s="148">
        <v>0.31919999999999998</v>
      </c>
      <c r="BH13" s="148">
        <v>0.31919999999999998</v>
      </c>
      <c r="BI13" s="148">
        <v>0.31919999999999998</v>
      </c>
      <c r="BJ13" s="148">
        <v>0.28910000000000002</v>
      </c>
      <c r="BK13" s="148">
        <v>0.28910000000000002</v>
      </c>
      <c r="BL13" s="148">
        <v>0.28910000000000002</v>
      </c>
      <c r="BM13" s="148">
        <v>0.23849999999999999</v>
      </c>
      <c r="BN13" s="147">
        <f t="array" ref="BN13:BY13">TRANSPOSE('Att. #1'!H64:H75)</f>
        <v>3.277184427847437E-2</v>
      </c>
      <c r="BO13" s="147">
        <v>3.277184427847437E-2</v>
      </c>
      <c r="BP13" s="147">
        <v>0.12479152945263422</v>
      </c>
      <c r="BQ13" s="147">
        <v>0.18075415871396419</v>
      </c>
      <c r="BR13" s="147">
        <v>0.18075415871396419</v>
      </c>
      <c r="BS13" s="147">
        <v>0.18075415871396419</v>
      </c>
      <c r="BT13" s="147">
        <v>0.18075415871396419</v>
      </c>
      <c r="BU13" s="147">
        <v>0.18075415871396419</v>
      </c>
      <c r="BV13" s="147">
        <v>0.12479152945263422</v>
      </c>
      <c r="BW13" s="147">
        <v>0.12479152945263422</v>
      </c>
      <c r="BX13" s="147">
        <v>0.12479152945263422</v>
      </c>
      <c r="BY13" s="147">
        <v>3.277184427847437E-2</v>
      </c>
      <c r="BZ13" s="149">
        <f t="array" ref="BZ13:CK13">TRANSPOSE('Att. #1'!I64:I75)</f>
        <v>6.0047694953579166E-2</v>
      </c>
      <c r="CA13" s="149">
        <v>6.0047694953579166E-2</v>
      </c>
      <c r="CB13" s="149">
        <v>0.13411564092410783</v>
      </c>
      <c r="CC13" s="149">
        <v>0.18843213463582872</v>
      </c>
      <c r="CD13" s="149">
        <v>0.18843213463582872</v>
      </c>
      <c r="CE13" s="149">
        <v>0.18843213463582872</v>
      </c>
      <c r="CF13" s="149">
        <v>0.18843213463582872</v>
      </c>
      <c r="CG13" s="149">
        <v>0.18843213463582872</v>
      </c>
      <c r="CH13" s="149">
        <v>0.13411564092410783</v>
      </c>
      <c r="CI13" s="149">
        <v>0.13411564092410783</v>
      </c>
      <c r="CJ13" s="149">
        <v>0.13411564092410783</v>
      </c>
      <c r="CK13" s="149">
        <v>6.0047694953579166E-2</v>
      </c>
      <c r="CL13" s="150">
        <f t="array" ref="CL13:CW13">TRANSPOSE('Att. #1'!J64:J75)</f>
        <v>0</v>
      </c>
      <c r="CM13" s="150">
        <v>0</v>
      </c>
      <c r="CN13" s="150">
        <v>3.7449290057648313E-2</v>
      </c>
      <c r="CO13" s="150">
        <v>9.8377453473373899E-2</v>
      </c>
      <c r="CP13" s="150">
        <v>9.8377453473373899E-2</v>
      </c>
      <c r="CQ13" s="150">
        <v>9.8377453473373899E-2</v>
      </c>
      <c r="CR13" s="150">
        <v>9.8377453473373899E-2</v>
      </c>
      <c r="CS13" s="150">
        <v>9.8377453473373899E-2</v>
      </c>
      <c r="CT13" s="150">
        <v>3.7449290057648313E-2</v>
      </c>
      <c r="CU13" s="150">
        <v>3.7449290057648313E-2</v>
      </c>
      <c r="CV13" s="150">
        <v>3.7449290057648313E-2</v>
      </c>
      <c r="CW13" s="150">
        <v>0</v>
      </c>
      <c r="CX13" s="150">
        <f t="array" ref="CX13:DI13">TRANSPOSE('Att. #1'!K64:K75)</f>
        <v>7.0395046101090712E-3</v>
      </c>
      <c r="CY13" s="150">
        <v>7.0395046101090712E-3</v>
      </c>
      <c r="CZ13" s="150">
        <v>6.6897958165587371E-2</v>
      </c>
      <c r="DA13" s="150">
        <v>0.12176820725810919</v>
      </c>
      <c r="DB13" s="150">
        <v>0.12176820725810919</v>
      </c>
      <c r="DC13" s="150">
        <v>0.12176820725810919</v>
      </c>
      <c r="DD13" s="150">
        <v>0.12176820725810919</v>
      </c>
      <c r="DE13" s="150">
        <v>0.12176820725810919</v>
      </c>
      <c r="DF13" s="150">
        <v>6.6897958165587371E-2</v>
      </c>
      <c r="DG13" s="150">
        <v>6.6897958165587371E-2</v>
      </c>
      <c r="DH13" s="150">
        <v>6.6897958165587371E-2</v>
      </c>
      <c r="DI13" s="150">
        <v>7.0395046101090712E-3</v>
      </c>
      <c r="DJ13" s="150">
        <f t="array" ref="DJ13:DU13">TRANSPOSE('Att. #1'!L64:L75)</f>
        <v>2.1855824189659607E-2</v>
      </c>
      <c r="DK13" s="150">
        <v>2.1855824189659607E-2</v>
      </c>
      <c r="DL13" s="150">
        <v>7.8257201156668413E-2</v>
      </c>
      <c r="DM13" s="150">
        <v>0.12995846337642655</v>
      </c>
      <c r="DN13" s="150">
        <v>0.12995846337642655</v>
      </c>
      <c r="DO13" s="150">
        <v>0.12995846337642655</v>
      </c>
      <c r="DP13" s="150">
        <v>0.12995846337642655</v>
      </c>
      <c r="DQ13" s="150">
        <v>0.12995846337642655</v>
      </c>
      <c r="DR13" s="150">
        <v>7.8257201156668413E-2</v>
      </c>
      <c r="DS13" s="150">
        <v>7.8257201156668413E-2</v>
      </c>
      <c r="DT13" s="150">
        <v>7.8257201156668413E-2</v>
      </c>
      <c r="DU13" s="150">
        <v>2.1855824189659607E-2</v>
      </c>
    </row>
    <row r="14" spans="1:125" s="153" customFormat="1" ht="18.649999999999999" customHeight="1" x14ac:dyDescent="0.3">
      <c r="A14" s="152" t="s">
        <v>0</v>
      </c>
      <c r="B14" s="146">
        <f>B13*(1-5.5%)</f>
        <v>0.23417099999999999</v>
      </c>
      <c r="C14" s="146">
        <f t="shared" ref="C14:BN14" si="6">C13*(1-5.5%)</f>
        <v>0.23417099999999999</v>
      </c>
      <c r="D14" s="146">
        <f t="shared" si="6"/>
        <v>0.23417099999999999</v>
      </c>
      <c r="E14" s="146">
        <f t="shared" si="6"/>
        <v>0.13787549999999998</v>
      </c>
      <c r="F14" s="146">
        <f t="shared" si="6"/>
        <v>0.11508134399999999</v>
      </c>
      <c r="G14" s="146">
        <f t="shared" si="6"/>
        <v>0.11508134399999999</v>
      </c>
      <c r="H14" s="146">
        <f t="shared" si="6"/>
        <v>0.21658265999999998</v>
      </c>
      <c r="I14" s="146">
        <f t="shared" si="6"/>
        <v>0.23155826399999996</v>
      </c>
      <c r="J14" s="146">
        <f t="shared" si="6"/>
        <v>0.23155826399999996</v>
      </c>
      <c r="K14" s="146">
        <f t="shared" si="6"/>
        <v>0.23155826399999996</v>
      </c>
      <c r="L14" s="146">
        <f t="shared" si="6"/>
        <v>0.23155826399999996</v>
      </c>
      <c r="M14" s="146">
        <f t="shared" si="6"/>
        <v>0.23155826399999996</v>
      </c>
      <c r="N14" s="146">
        <f t="shared" si="6"/>
        <v>0.21658265999999998</v>
      </c>
      <c r="O14" s="146">
        <f t="shared" si="6"/>
        <v>0.21658265999999998</v>
      </c>
      <c r="P14" s="146">
        <f t="shared" si="6"/>
        <v>0.21658265999999998</v>
      </c>
      <c r="Q14" s="146">
        <f t="shared" si="6"/>
        <v>0.11508134399999999</v>
      </c>
      <c r="R14" s="147">
        <f t="shared" si="6"/>
        <v>0.20355299999999998</v>
      </c>
      <c r="S14" s="147">
        <f t="shared" si="6"/>
        <v>0.20355299999999998</v>
      </c>
      <c r="T14" s="147">
        <f t="shared" si="6"/>
        <v>0.27508949999999999</v>
      </c>
      <c r="U14" s="147">
        <f t="shared" si="6"/>
        <v>0.30901499999999998</v>
      </c>
      <c r="V14" s="147">
        <f t="shared" si="6"/>
        <v>0.30901499999999998</v>
      </c>
      <c r="W14" s="147">
        <f t="shared" si="6"/>
        <v>0.30901499999999998</v>
      </c>
      <c r="X14" s="147">
        <f t="shared" si="6"/>
        <v>0.30901499999999998</v>
      </c>
      <c r="Y14" s="147">
        <f t="shared" si="6"/>
        <v>0.30901499999999998</v>
      </c>
      <c r="Z14" s="147">
        <f t="shared" si="6"/>
        <v>0.27508949999999999</v>
      </c>
      <c r="AA14" s="147">
        <f t="shared" si="6"/>
        <v>0.27508949999999999</v>
      </c>
      <c r="AB14" s="147">
        <f t="shared" si="6"/>
        <v>0.27508949999999999</v>
      </c>
      <c r="AC14" s="147">
        <f t="shared" si="6"/>
        <v>0.20355299999999998</v>
      </c>
      <c r="AD14" s="147">
        <f t="shared" si="6"/>
        <v>0.18663750000000001</v>
      </c>
      <c r="AE14" s="147">
        <f t="shared" si="6"/>
        <v>0.18663750000000001</v>
      </c>
      <c r="AF14" s="147">
        <f t="shared" si="6"/>
        <v>0.23256450000000001</v>
      </c>
      <c r="AG14" s="147">
        <f t="shared" si="6"/>
        <v>0.28236600000000001</v>
      </c>
      <c r="AH14" s="147">
        <f t="shared" si="6"/>
        <v>0.28236600000000001</v>
      </c>
      <c r="AI14" s="147">
        <f t="shared" si="6"/>
        <v>0.28236600000000001</v>
      </c>
      <c r="AJ14" s="147">
        <f t="shared" si="6"/>
        <v>0.28236600000000001</v>
      </c>
      <c r="AK14" s="147">
        <f t="shared" si="6"/>
        <v>0.28236600000000001</v>
      </c>
      <c r="AL14" s="147">
        <f t="shared" si="6"/>
        <v>0.23256450000000001</v>
      </c>
      <c r="AM14" s="147">
        <f t="shared" si="6"/>
        <v>0.23256450000000001</v>
      </c>
      <c r="AN14" s="147">
        <f t="shared" si="6"/>
        <v>0.23256450000000001</v>
      </c>
      <c r="AO14" s="147">
        <f t="shared" si="6"/>
        <v>0.18663750000000001</v>
      </c>
      <c r="AP14" s="147">
        <f t="shared" si="6"/>
        <v>0.20893949999999997</v>
      </c>
      <c r="AQ14" s="147">
        <f t="shared" si="6"/>
        <v>0.20893949999999997</v>
      </c>
      <c r="AR14" s="147">
        <f t="shared" si="6"/>
        <v>0.24777899999999997</v>
      </c>
      <c r="AS14" s="147">
        <f t="shared" si="6"/>
        <v>0.29087099999999999</v>
      </c>
      <c r="AT14" s="147">
        <f t="shared" si="6"/>
        <v>0.29087099999999999</v>
      </c>
      <c r="AU14" s="147">
        <f t="shared" si="6"/>
        <v>0.29087099999999999</v>
      </c>
      <c r="AV14" s="147">
        <f t="shared" si="6"/>
        <v>0.29087099999999999</v>
      </c>
      <c r="AW14" s="147">
        <f t="shared" si="6"/>
        <v>0.29087099999999999</v>
      </c>
      <c r="AX14" s="147">
        <f t="shared" si="6"/>
        <v>0.24777899999999997</v>
      </c>
      <c r="AY14" s="147">
        <f t="shared" si="6"/>
        <v>0.24777899999999997</v>
      </c>
      <c r="AZ14" s="147">
        <f t="shared" si="6"/>
        <v>0.24777899999999997</v>
      </c>
      <c r="BA14" s="147">
        <f t="shared" si="6"/>
        <v>0.20893949999999997</v>
      </c>
      <c r="BB14" s="148">
        <f t="shared" si="6"/>
        <v>0.22538249999999999</v>
      </c>
      <c r="BC14" s="148">
        <f t="shared" si="6"/>
        <v>0.22538249999999999</v>
      </c>
      <c r="BD14" s="148">
        <f t="shared" si="6"/>
        <v>0.27319949999999998</v>
      </c>
      <c r="BE14" s="148">
        <f t="shared" si="6"/>
        <v>0.30164399999999997</v>
      </c>
      <c r="BF14" s="148">
        <f t="shared" si="6"/>
        <v>0.30164399999999997</v>
      </c>
      <c r="BG14" s="148">
        <f t="shared" si="6"/>
        <v>0.30164399999999997</v>
      </c>
      <c r="BH14" s="148">
        <f t="shared" si="6"/>
        <v>0.30164399999999997</v>
      </c>
      <c r="BI14" s="148">
        <f t="shared" si="6"/>
        <v>0.30164399999999997</v>
      </c>
      <c r="BJ14" s="148">
        <f t="shared" si="6"/>
        <v>0.27319949999999998</v>
      </c>
      <c r="BK14" s="148">
        <f t="shared" si="6"/>
        <v>0.27319949999999998</v>
      </c>
      <c r="BL14" s="148">
        <f t="shared" si="6"/>
        <v>0.27319949999999998</v>
      </c>
      <c r="BM14" s="148">
        <f t="shared" si="6"/>
        <v>0.22538249999999999</v>
      </c>
      <c r="BN14" s="147">
        <f t="shared" si="6"/>
        <v>3.0969392843158278E-2</v>
      </c>
      <c r="BO14" s="147">
        <f t="shared" ref="BO14:DU14" si="7">BO13*(1-5.5%)</f>
        <v>3.0969392843158278E-2</v>
      </c>
      <c r="BP14" s="147">
        <f t="shared" si="7"/>
        <v>0.11792799533273933</v>
      </c>
      <c r="BQ14" s="147">
        <f t="shared" si="7"/>
        <v>0.17081267998469615</v>
      </c>
      <c r="BR14" s="147">
        <f t="shared" si="7"/>
        <v>0.17081267998469615</v>
      </c>
      <c r="BS14" s="147">
        <f t="shared" si="7"/>
        <v>0.17081267998469615</v>
      </c>
      <c r="BT14" s="147">
        <f t="shared" si="7"/>
        <v>0.17081267998469615</v>
      </c>
      <c r="BU14" s="147">
        <f t="shared" si="7"/>
        <v>0.17081267998469615</v>
      </c>
      <c r="BV14" s="147">
        <f t="shared" si="7"/>
        <v>0.11792799533273933</v>
      </c>
      <c r="BW14" s="147">
        <f t="shared" si="7"/>
        <v>0.11792799533273933</v>
      </c>
      <c r="BX14" s="147">
        <f t="shared" si="7"/>
        <v>0.11792799533273933</v>
      </c>
      <c r="BY14" s="147">
        <f t="shared" si="7"/>
        <v>3.0969392843158278E-2</v>
      </c>
      <c r="BZ14" s="149">
        <f t="shared" si="7"/>
        <v>5.6745071731132309E-2</v>
      </c>
      <c r="CA14" s="149">
        <f t="shared" si="7"/>
        <v>5.6745071731132309E-2</v>
      </c>
      <c r="CB14" s="149">
        <f t="shared" si="7"/>
        <v>0.12673928067328188</v>
      </c>
      <c r="CC14" s="149">
        <f t="shared" si="7"/>
        <v>0.17806836723085814</v>
      </c>
      <c r="CD14" s="149">
        <f t="shared" si="7"/>
        <v>0.17806836723085814</v>
      </c>
      <c r="CE14" s="149">
        <f t="shared" si="7"/>
        <v>0.17806836723085814</v>
      </c>
      <c r="CF14" s="149">
        <f t="shared" si="7"/>
        <v>0.17806836723085814</v>
      </c>
      <c r="CG14" s="149">
        <f t="shared" si="7"/>
        <v>0.17806836723085814</v>
      </c>
      <c r="CH14" s="149">
        <f t="shared" si="7"/>
        <v>0.12673928067328188</v>
      </c>
      <c r="CI14" s="149">
        <f t="shared" si="7"/>
        <v>0.12673928067328188</v>
      </c>
      <c r="CJ14" s="149">
        <f t="shared" si="7"/>
        <v>0.12673928067328188</v>
      </c>
      <c r="CK14" s="149">
        <f t="shared" si="7"/>
        <v>5.6745071731132309E-2</v>
      </c>
      <c r="CL14" s="150">
        <f t="shared" si="7"/>
        <v>0</v>
      </c>
      <c r="CM14" s="150">
        <f t="shared" si="7"/>
        <v>0</v>
      </c>
      <c r="CN14" s="150">
        <f t="shared" si="7"/>
        <v>3.5389579104477653E-2</v>
      </c>
      <c r="CO14" s="150">
        <f t="shared" si="7"/>
        <v>9.2966693532338329E-2</v>
      </c>
      <c r="CP14" s="150">
        <f t="shared" si="7"/>
        <v>9.2966693532338329E-2</v>
      </c>
      <c r="CQ14" s="150">
        <f t="shared" si="7"/>
        <v>9.2966693532338329E-2</v>
      </c>
      <c r="CR14" s="150">
        <f t="shared" si="7"/>
        <v>9.2966693532338329E-2</v>
      </c>
      <c r="CS14" s="150">
        <f t="shared" si="7"/>
        <v>9.2966693532338329E-2</v>
      </c>
      <c r="CT14" s="150">
        <f t="shared" si="7"/>
        <v>3.5389579104477653E-2</v>
      </c>
      <c r="CU14" s="150">
        <f t="shared" si="7"/>
        <v>3.5389579104477653E-2</v>
      </c>
      <c r="CV14" s="150">
        <f t="shared" si="7"/>
        <v>3.5389579104477653E-2</v>
      </c>
      <c r="CW14" s="150">
        <f t="shared" si="7"/>
        <v>0</v>
      </c>
      <c r="CX14" s="150">
        <f t="shared" si="7"/>
        <v>6.6523318565530716E-3</v>
      </c>
      <c r="CY14" s="150">
        <f t="shared" si="7"/>
        <v>6.6523318565530716E-3</v>
      </c>
      <c r="CZ14" s="150">
        <f t="shared" si="7"/>
        <v>6.3218570466480065E-2</v>
      </c>
      <c r="DA14" s="150">
        <f t="shared" si="7"/>
        <v>0.11507095585891318</v>
      </c>
      <c r="DB14" s="150">
        <f t="shared" si="7"/>
        <v>0.11507095585891318</v>
      </c>
      <c r="DC14" s="150">
        <f t="shared" si="7"/>
        <v>0.11507095585891318</v>
      </c>
      <c r="DD14" s="150">
        <f t="shared" si="7"/>
        <v>0.11507095585891318</v>
      </c>
      <c r="DE14" s="150">
        <f t="shared" si="7"/>
        <v>0.11507095585891318</v>
      </c>
      <c r="DF14" s="150">
        <f t="shared" si="7"/>
        <v>6.3218570466480065E-2</v>
      </c>
      <c r="DG14" s="150">
        <f t="shared" si="7"/>
        <v>6.3218570466480065E-2</v>
      </c>
      <c r="DH14" s="150">
        <f t="shared" si="7"/>
        <v>6.3218570466480065E-2</v>
      </c>
      <c r="DI14" s="150">
        <f t="shared" si="7"/>
        <v>6.6523318565530716E-3</v>
      </c>
      <c r="DJ14" s="150">
        <f t="shared" si="7"/>
        <v>2.0653753859228328E-2</v>
      </c>
      <c r="DK14" s="150">
        <f t="shared" si="7"/>
        <v>2.0653753859228328E-2</v>
      </c>
      <c r="DL14" s="150">
        <f t="shared" si="7"/>
        <v>7.3953055093051639E-2</v>
      </c>
      <c r="DM14" s="150">
        <f t="shared" si="7"/>
        <v>0.12281074789072309</v>
      </c>
      <c r="DN14" s="150">
        <f t="shared" si="7"/>
        <v>0.12281074789072309</v>
      </c>
      <c r="DO14" s="150">
        <f t="shared" si="7"/>
        <v>0.12281074789072309</v>
      </c>
      <c r="DP14" s="150">
        <f t="shared" si="7"/>
        <v>0.12281074789072309</v>
      </c>
      <c r="DQ14" s="150">
        <f t="shared" si="7"/>
        <v>0.12281074789072309</v>
      </c>
      <c r="DR14" s="150">
        <f t="shared" si="7"/>
        <v>7.3953055093051639E-2</v>
      </c>
      <c r="DS14" s="150">
        <f t="shared" si="7"/>
        <v>7.3953055093051639E-2</v>
      </c>
      <c r="DT14" s="150">
        <f t="shared" si="7"/>
        <v>7.3953055093051639E-2</v>
      </c>
      <c r="DU14" s="150">
        <f t="shared" si="7"/>
        <v>2.0653753859228328E-2</v>
      </c>
    </row>
    <row r="15" spans="1:125" s="31" customFormat="1" ht="18.649999999999999" customHeight="1" x14ac:dyDescent="0.3">
      <c r="A15" s="30" t="s">
        <v>1</v>
      </c>
      <c r="B15" s="45">
        <v>5.5E-2</v>
      </c>
      <c r="C15" s="45">
        <v>5.5E-2</v>
      </c>
      <c r="D15" s="45">
        <v>5.5E-2</v>
      </c>
      <c r="E15" s="45">
        <v>5.5E-2</v>
      </c>
      <c r="F15" s="45">
        <v>5.5E-2</v>
      </c>
      <c r="G15" s="45">
        <v>5.5E-2</v>
      </c>
      <c r="H15" s="45">
        <v>5.5E-2</v>
      </c>
      <c r="I15" s="45">
        <v>5.5E-2</v>
      </c>
      <c r="J15" s="45">
        <v>5.5E-2</v>
      </c>
      <c r="K15" s="45">
        <v>5.5E-2</v>
      </c>
      <c r="L15" s="45">
        <v>5.5E-2</v>
      </c>
      <c r="M15" s="45">
        <v>5.5E-2</v>
      </c>
      <c r="N15" s="45">
        <v>5.5E-2</v>
      </c>
      <c r="O15" s="45">
        <v>5.5E-2</v>
      </c>
      <c r="P15" s="45">
        <v>5.5E-2</v>
      </c>
      <c r="Q15" s="45">
        <v>5.5E-2</v>
      </c>
      <c r="R15" s="45">
        <v>5.5E-2</v>
      </c>
      <c r="S15" s="45">
        <v>5.5E-2</v>
      </c>
      <c r="T15" s="45">
        <v>5.5E-2</v>
      </c>
      <c r="U15" s="45">
        <v>5.5E-2</v>
      </c>
      <c r="V15" s="45">
        <v>5.5E-2</v>
      </c>
      <c r="W15" s="45">
        <v>5.5E-2</v>
      </c>
      <c r="X15" s="45">
        <v>5.5E-2</v>
      </c>
      <c r="Y15" s="45">
        <v>5.5E-2</v>
      </c>
      <c r="Z15" s="45">
        <v>5.5E-2</v>
      </c>
      <c r="AA15" s="45">
        <v>5.5E-2</v>
      </c>
      <c r="AB15" s="45">
        <v>5.5E-2</v>
      </c>
      <c r="AC15" s="45">
        <v>5.5E-2</v>
      </c>
      <c r="AD15" s="45">
        <v>5.5E-2</v>
      </c>
      <c r="AE15" s="45">
        <v>5.5E-2</v>
      </c>
      <c r="AF15" s="45">
        <v>5.5E-2</v>
      </c>
      <c r="AG15" s="45">
        <v>5.5E-2</v>
      </c>
      <c r="AH15" s="45">
        <v>5.5E-2</v>
      </c>
      <c r="AI15" s="45">
        <v>5.5E-2</v>
      </c>
      <c r="AJ15" s="45">
        <v>5.5E-2</v>
      </c>
      <c r="AK15" s="45">
        <v>5.5E-2</v>
      </c>
      <c r="AL15" s="45">
        <v>5.5E-2</v>
      </c>
      <c r="AM15" s="45">
        <v>5.5E-2</v>
      </c>
      <c r="AN15" s="45">
        <v>5.5E-2</v>
      </c>
      <c r="AO15" s="45">
        <v>5.5E-2</v>
      </c>
      <c r="AP15" s="45">
        <v>5.5E-2</v>
      </c>
      <c r="AQ15" s="45">
        <v>5.5E-2</v>
      </c>
      <c r="AR15" s="45">
        <v>5.5E-2</v>
      </c>
      <c r="AS15" s="45">
        <v>5.5E-2</v>
      </c>
      <c r="AT15" s="45">
        <v>5.5E-2</v>
      </c>
      <c r="AU15" s="45">
        <v>5.5E-2</v>
      </c>
      <c r="AV15" s="45">
        <v>5.5E-2</v>
      </c>
      <c r="AW15" s="45">
        <v>5.5E-2</v>
      </c>
      <c r="AX15" s="45">
        <v>5.5E-2</v>
      </c>
      <c r="AY15" s="45">
        <v>5.5E-2</v>
      </c>
      <c r="AZ15" s="45">
        <v>5.5E-2</v>
      </c>
      <c r="BA15" s="45">
        <v>5.5E-2</v>
      </c>
      <c r="BB15" s="84">
        <v>5.5E-2</v>
      </c>
      <c r="BC15" s="84">
        <v>5.5E-2</v>
      </c>
      <c r="BD15" s="84">
        <v>5.5E-2</v>
      </c>
      <c r="BE15" s="84">
        <v>5.5E-2</v>
      </c>
      <c r="BF15" s="84">
        <v>5.5E-2</v>
      </c>
      <c r="BG15" s="84">
        <v>5.5E-2</v>
      </c>
      <c r="BH15" s="84">
        <v>5.5E-2</v>
      </c>
      <c r="BI15" s="84">
        <v>5.5E-2</v>
      </c>
      <c r="BJ15" s="84">
        <v>5.5E-2</v>
      </c>
      <c r="BK15" s="84">
        <v>5.5E-2</v>
      </c>
      <c r="BL15" s="84">
        <v>5.5E-2</v>
      </c>
      <c r="BM15" s="84">
        <v>5.5E-2</v>
      </c>
      <c r="BN15" s="45">
        <v>5.5E-2</v>
      </c>
      <c r="BO15" s="45">
        <v>5.5E-2</v>
      </c>
      <c r="BP15" s="45">
        <v>5.5E-2</v>
      </c>
      <c r="BQ15" s="45">
        <v>5.5E-2</v>
      </c>
      <c r="BR15" s="45">
        <v>5.5E-2</v>
      </c>
      <c r="BS15" s="45">
        <v>5.5E-2</v>
      </c>
      <c r="BT15" s="45">
        <v>5.5E-2</v>
      </c>
      <c r="BU15" s="45">
        <v>5.5E-2</v>
      </c>
      <c r="BV15" s="45">
        <v>5.5E-2</v>
      </c>
      <c r="BW15" s="45">
        <v>5.5E-2</v>
      </c>
      <c r="BX15" s="45">
        <v>5.5E-2</v>
      </c>
      <c r="BY15" s="45">
        <v>5.5E-2</v>
      </c>
      <c r="BZ15" s="131">
        <v>5.5E-2</v>
      </c>
      <c r="CA15" s="131">
        <v>5.5E-2</v>
      </c>
      <c r="CB15" s="131">
        <v>5.5E-2</v>
      </c>
      <c r="CC15" s="131">
        <v>5.5E-2</v>
      </c>
      <c r="CD15" s="131">
        <v>5.5E-2</v>
      </c>
      <c r="CE15" s="131">
        <v>5.5E-2</v>
      </c>
      <c r="CF15" s="131">
        <v>5.5E-2</v>
      </c>
      <c r="CG15" s="131">
        <v>5.5E-2</v>
      </c>
      <c r="CH15" s="131">
        <v>5.5E-2</v>
      </c>
      <c r="CI15" s="131">
        <v>5.5E-2</v>
      </c>
      <c r="CJ15" s="131">
        <v>5.5E-2</v>
      </c>
      <c r="CK15" s="131">
        <v>5.5E-2</v>
      </c>
      <c r="CL15" s="62">
        <v>5.5E-2</v>
      </c>
      <c r="CM15" s="62">
        <v>5.5E-2</v>
      </c>
      <c r="CN15" s="62">
        <v>5.5E-2</v>
      </c>
      <c r="CO15" s="62">
        <v>5.5E-2</v>
      </c>
      <c r="CP15" s="62">
        <v>5.5E-2</v>
      </c>
      <c r="CQ15" s="62">
        <v>5.5E-2</v>
      </c>
      <c r="CR15" s="62">
        <v>5.5E-2</v>
      </c>
      <c r="CS15" s="62">
        <v>5.5E-2</v>
      </c>
      <c r="CT15" s="62">
        <v>5.5E-2</v>
      </c>
      <c r="CU15" s="62">
        <v>5.5E-2</v>
      </c>
      <c r="CV15" s="62">
        <v>5.5E-2</v>
      </c>
      <c r="CW15" s="62">
        <v>5.5E-2</v>
      </c>
      <c r="CX15" s="62">
        <v>5.5E-2</v>
      </c>
      <c r="CY15" s="62">
        <v>5.5E-2</v>
      </c>
      <c r="CZ15" s="62">
        <v>5.5E-2</v>
      </c>
      <c r="DA15" s="62">
        <v>5.5E-2</v>
      </c>
      <c r="DB15" s="62">
        <v>5.5E-2</v>
      </c>
      <c r="DC15" s="62">
        <v>5.5E-2</v>
      </c>
      <c r="DD15" s="62">
        <v>5.5E-2</v>
      </c>
      <c r="DE15" s="62">
        <v>5.5E-2</v>
      </c>
      <c r="DF15" s="62">
        <v>5.5E-2</v>
      </c>
      <c r="DG15" s="62">
        <v>5.5E-2</v>
      </c>
      <c r="DH15" s="62">
        <v>5.5E-2</v>
      </c>
      <c r="DI15" s="62">
        <v>5.5E-2</v>
      </c>
      <c r="DJ15" s="62">
        <v>5.5E-2</v>
      </c>
      <c r="DK15" s="62">
        <v>5.5E-2</v>
      </c>
      <c r="DL15" s="62">
        <v>5.5E-2</v>
      </c>
      <c r="DM15" s="62">
        <v>5.5E-2</v>
      </c>
      <c r="DN15" s="62">
        <v>5.5E-2</v>
      </c>
      <c r="DO15" s="62">
        <v>5.5E-2</v>
      </c>
      <c r="DP15" s="62">
        <v>5.5E-2</v>
      </c>
      <c r="DQ15" s="62">
        <v>5.5E-2</v>
      </c>
      <c r="DR15" s="62">
        <v>5.5E-2</v>
      </c>
      <c r="DS15" s="62">
        <v>5.5E-2</v>
      </c>
      <c r="DT15" s="62">
        <v>5.5E-2</v>
      </c>
      <c r="DU15" s="62">
        <v>5.5E-2</v>
      </c>
    </row>
    <row r="16" spans="1:125" s="31" customFormat="1" ht="18.649999999999999" customHeight="1" x14ac:dyDescent="0.3">
      <c r="A16" s="30" t="s">
        <v>137</v>
      </c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46"/>
      <c r="BO16" s="46"/>
      <c r="BP16" s="46"/>
      <c r="BQ16" s="46"/>
      <c r="BR16" s="46"/>
      <c r="BS16" s="46"/>
      <c r="BT16" s="46"/>
      <c r="BU16" s="46"/>
      <c r="BV16" s="46"/>
      <c r="BW16" s="46"/>
      <c r="BX16" s="46"/>
      <c r="BY16" s="46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36">
        <v>9.4500000000000001E-2</v>
      </c>
      <c r="CM16" s="36">
        <f>CL16</f>
        <v>9.4500000000000001E-2</v>
      </c>
      <c r="CN16" s="36">
        <f t="shared" ref="CN16:DU16" si="8">CM16</f>
        <v>9.4500000000000001E-2</v>
      </c>
      <c r="CO16" s="36">
        <f t="shared" si="8"/>
        <v>9.4500000000000001E-2</v>
      </c>
      <c r="CP16" s="36">
        <f t="shared" si="8"/>
        <v>9.4500000000000001E-2</v>
      </c>
      <c r="CQ16" s="36">
        <f t="shared" si="8"/>
        <v>9.4500000000000001E-2</v>
      </c>
      <c r="CR16" s="36">
        <f t="shared" si="8"/>
        <v>9.4500000000000001E-2</v>
      </c>
      <c r="CS16" s="36">
        <f t="shared" si="8"/>
        <v>9.4500000000000001E-2</v>
      </c>
      <c r="CT16" s="36">
        <f t="shared" si="8"/>
        <v>9.4500000000000001E-2</v>
      </c>
      <c r="CU16" s="36">
        <f t="shared" si="8"/>
        <v>9.4500000000000001E-2</v>
      </c>
      <c r="CV16" s="36">
        <f t="shared" si="8"/>
        <v>9.4500000000000001E-2</v>
      </c>
      <c r="CW16" s="36">
        <f t="shared" si="8"/>
        <v>9.4500000000000001E-2</v>
      </c>
      <c r="CX16" s="36">
        <f t="shared" si="8"/>
        <v>9.4500000000000001E-2</v>
      </c>
      <c r="CY16" s="36">
        <f t="shared" si="8"/>
        <v>9.4500000000000001E-2</v>
      </c>
      <c r="CZ16" s="36">
        <f t="shared" si="8"/>
        <v>9.4500000000000001E-2</v>
      </c>
      <c r="DA16" s="36">
        <f t="shared" si="8"/>
        <v>9.4500000000000001E-2</v>
      </c>
      <c r="DB16" s="36">
        <f t="shared" si="8"/>
        <v>9.4500000000000001E-2</v>
      </c>
      <c r="DC16" s="36">
        <f t="shared" si="8"/>
        <v>9.4500000000000001E-2</v>
      </c>
      <c r="DD16" s="36">
        <f t="shared" si="8"/>
        <v>9.4500000000000001E-2</v>
      </c>
      <c r="DE16" s="36">
        <f t="shared" si="8"/>
        <v>9.4500000000000001E-2</v>
      </c>
      <c r="DF16" s="36">
        <f t="shared" si="8"/>
        <v>9.4500000000000001E-2</v>
      </c>
      <c r="DG16" s="36">
        <f t="shared" si="8"/>
        <v>9.4500000000000001E-2</v>
      </c>
      <c r="DH16" s="36">
        <f t="shared" si="8"/>
        <v>9.4500000000000001E-2</v>
      </c>
      <c r="DI16" s="36">
        <f t="shared" si="8"/>
        <v>9.4500000000000001E-2</v>
      </c>
      <c r="DJ16" s="36">
        <v>0.12759999999999999</v>
      </c>
      <c r="DK16" s="36">
        <f t="shared" si="8"/>
        <v>0.12759999999999999</v>
      </c>
      <c r="DL16" s="36">
        <f t="shared" si="8"/>
        <v>0.12759999999999999</v>
      </c>
      <c r="DM16" s="36">
        <f t="shared" si="8"/>
        <v>0.12759999999999999</v>
      </c>
      <c r="DN16" s="36">
        <f t="shared" si="8"/>
        <v>0.12759999999999999</v>
      </c>
      <c r="DO16" s="36">
        <f t="shared" si="8"/>
        <v>0.12759999999999999</v>
      </c>
      <c r="DP16" s="36">
        <f t="shared" si="8"/>
        <v>0.12759999999999999</v>
      </c>
      <c r="DQ16" s="36">
        <f t="shared" si="8"/>
        <v>0.12759999999999999</v>
      </c>
      <c r="DR16" s="36">
        <f t="shared" si="8"/>
        <v>0.12759999999999999</v>
      </c>
      <c r="DS16" s="36">
        <f t="shared" si="8"/>
        <v>0.12759999999999999</v>
      </c>
      <c r="DT16" s="36">
        <f t="shared" si="8"/>
        <v>0.12759999999999999</v>
      </c>
      <c r="DU16" s="36">
        <f t="shared" si="8"/>
        <v>0.12759999999999999</v>
      </c>
    </row>
    <row r="17" spans="1:125" s="116" customFormat="1" ht="18.649999999999999" customHeight="1" x14ac:dyDescent="0.3">
      <c r="A17" s="30" t="s">
        <v>117</v>
      </c>
      <c r="B17" s="45">
        <f>B14+B15</f>
        <v>0.28917100000000001</v>
      </c>
      <c r="C17" s="45">
        <f t="shared" ref="C17:BN17" si="9">C14+C15</f>
        <v>0.28917100000000001</v>
      </c>
      <c r="D17" s="45">
        <f t="shared" si="9"/>
        <v>0.28917100000000001</v>
      </c>
      <c r="E17" s="45">
        <f t="shared" si="9"/>
        <v>0.19287549999999998</v>
      </c>
      <c r="F17" s="45">
        <f t="shared" si="9"/>
        <v>0.170081344</v>
      </c>
      <c r="G17" s="45">
        <f t="shared" si="9"/>
        <v>0.170081344</v>
      </c>
      <c r="H17" s="45">
        <f t="shared" si="9"/>
        <v>0.27158265999999998</v>
      </c>
      <c r="I17" s="45">
        <f t="shared" si="9"/>
        <v>0.28655826399999995</v>
      </c>
      <c r="J17" s="45">
        <f t="shared" si="9"/>
        <v>0.28655826399999995</v>
      </c>
      <c r="K17" s="45">
        <f t="shared" si="9"/>
        <v>0.28655826399999995</v>
      </c>
      <c r="L17" s="45">
        <f t="shared" si="9"/>
        <v>0.28655826399999995</v>
      </c>
      <c r="M17" s="45">
        <f t="shared" si="9"/>
        <v>0.28655826399999995</v>
      </c>
      <c r="N17" s="45">
        <f t="shared" si="9"/>
        <v>0.27158265999999998</v>
      </c>
      <c r="O17" s="45">
        <f t="shared" si="9"/>
        <v>0.27158265999999998</v>
      </c>
      <c r="P17" s="45">
        <f t="shared" si="9"/>
        <v>0.27158265999999998</v>
      </c>
      <c r="Q17" s="45">
        <f t="shared" si="9"/>
        <v>0.170081344</v>
      </c>
      <c r="R17" s="46">
        <f t="shared" si="9"/>
        <v>0.25855299999999998</v>
      </c>
      <c r="S17" s="46">
        <f t="shared" si="9"/>
        <v>0.25855299999999998</v>
      </c>
      <c r="T17" s="46">
        <f t="shared" si="9"/>
        <v>0.33008949999999998</v>
      </c>
      <c r="U17" s="46">
        <f t="shared" si="9"/>
        <v>0.36401499999999998</v>
      </c>
      <c r="V17" s="46">
        <f t="shared" si="9"/>
        <v>0.36401499999999998</v>
      </c>
      <c r="W17" s="46">
        <f t="shared" si="9"/>
        <v>0.36401499999999998</v>
      </c>
      <c r="X17" s="46">
        <f t="shared" si="9"/>
        <v>0.36401499999999998</v>
      </c>
      <c r="Y17" s="46">
        <f t="shared" si="9"/>
        <v>0.36401499999999998</v>
      </c>
      <c r="Z17" s="46">
        <f t="shared" si="9"/>
        <v>0.33008949999999998</v>
      </c>
      <c r="AA17" s="46">
        <f t="shared" si="9"/>
        <v>0.33008949999999998</v>
      </c>
      <c r="AB17" s="46">
        <f t="shared" si="9"/>
        <v>0.33008949999999998</v>
      </c>
      <c r="AC17" s="46">
        <f t="shared" si="9"/>
        <v>0.25855299999999998</v>
      </c>
      <c r="AD17" s="46">
        <f t="shared" si="9"/>
        <v>0.24163750000000001</v>
      </c>
      <c r="AE17" s="46">
        <f t="shared" si="9"/>
        <v>0.24163750000000001</v>
      </c>
      <c r="AF17" s="46">
        <f t="shared" si="9"/>
        <v>0.2875645</v>
      </c>
      <c r="AG17" s="46">
        <f t="shared" si="9"/>
        <v>0.337366</v>
      </c>
      <c r="AH17" s="46">
        <f t="shared" si="9"/>
        <v>0.337366</v>
      </c>
      <c r="AI17" s="46">
        <f t="shared" si="9"/>
        <v>0.337366</v>
      </c>
      <c r="AJ17" s="46">
        <f t="shared" si="9"/>
        <v>0.337366</v>
      </c>
      <c r="AK17" s="46">
        <f t="shared" si="9"/>
        <v>0.337366</v>
      </c>
      <c r="AL17" s="46">
        <f t="shared" si="9"/>
        <v>0.2875645</v>
      </c>
      <c r="AM17" s="46">
        <f t="shared" si="9"/>
        <v>0.2875645</v>
      </c>
      <c r="AN17" s="46">
        <f t="shared" si="9"/>
        <v>0.2875645</v>
      </c>
      <c r="AO17" s="46">
        <f t="shared" si="9"/>
        <v>0.24163750000000001</v>
      </c>
      <c r="AP17" s="46">
        <f t="shared" si="9"/>
        <v>0.26393949999999999</v>
      </c>
      <c r="AQ17" s="46">
        <f t="shared" si="9"/>
        <v>0.26393949999999999</v>
      </c>
      <c r="AR17" s="46">
        <f t="shared" si="9"/>
        <v>0.30277899999999996</v>
      </c>
      <c r="AS17" s="46">
        <f t="shared" si="9"/>
        <v>0.34587099999999998</v>
      </c>
      <c r="AT17" s="46">
        <f t="shared" si="9"/>
        <v>0.34587099999999998</v>
      </c>
      <c r="AU17" s="46">
        <f t="shared" si="9"/>
        <v>0.34587099999999998</v>
      </c>
      <c r="AV17" s="46">
        <f t="shared" si="9"/>
        <v>0.34587099999999998</v>
      </c>
      <c r="AW17" s="46">
        <f t="shared" si="9"/>
        <v>0.34587099999999998</v>
      </c>
      <c r="AX17" s="46">
        <f t="shared" si="9"/>
        <v>0.30277899999999996</v>
      </c>
      <c r="AY17" s="46">
        <f t="shared" si="9"/>
        <v>0.30277899999999996</v>
      </c>
      <c r="AZ17" s="46">
        <f t="shared" si="9"/>
        <v>0.30277899999999996</v>
      </c>
      <c r="BA17" s="46">
        <f t="shared" si="9"/>
        <v>0.26393949999999999</v>
      </c>
      <c r="BB17" s="83">
        <f t="shared" si="9"/>
        <v>0.28038249999999998</v>
      </c>
      <c r="BC17" s="83">
        <f t="shared" si="9"/>
        <v>0.28038249999999998</v>
      </c>
      <c r="BD17" s="83">
        <f t="shared" si="9"/>
        <v>0.32819949999999998</v>
      </c>
      <c r="BE17" s="83">
        <f t="shared" si="9"/>
        <v>0.35664399999999996</v>
      </c>
      <c r="BF17" s="83">
        <f t="shared" si="9"/>
        <v>0.35664399999999996</v>
      </c>
      <c r="BG17" s="83">
        <f t="shared" si="9"/>
        <v>0.35664399999999996</v>
      </c>
      <c r="BH17" s="83">
        <f t="shared" si="9"/>
        <v>0.35664399999999996</v>
      </c>
      <c r="BI17" s="83">
        <f t="shared" si="9"/>
        <v>0.35664399999999996</v>
      </c>
      <c r="BJ17" s="83">
        <f t="shared" si="9"/>
        <v>0.32819949999999998</v>
      </c>
      <c r="BK17" s="83">
        <f t="shared" si="9"/>
        <v>0.32819949999999998</v>
      </c>
      <c r="BL17" s="83">
        <f t="shared" si="9"/>
        <v>0.32819949999999998</v>
      </c>
      <c r="BM17" s="83">
        <f t="shared" si="9"/>
        <v>0.28038249999999998</v>
      </c>
      <c r="BN17" s="46">
        <f t="shared" si="9"/>
        <v>8.5969392843158271E-2</v>
      </c>
      <c r="BO17" s="46">
        <f t="shared" ref="BO17:CJ17" si="10">BO14+BO15</f>
        <v>8.5969392843158271E-2</v>
      </c>
      <c r="BP17" s="46">
        <f t="shared" si="10"/>
        <v>0.17292799533273934</v>
      </c>
      <c r="BQ17" s="46">
        <f t="shared" si="10"/>
        <v>0.22581267998469615</v>
      </c>
      <c r="BR17" s="46">
        <f t="shared" si="10"/>
        <v>0.22581267998469615</v>
      </c>
      <c r="BS17" s="46">
        <f t="shared" si="10"/>
        <v>0.22581267998469615</v>
      </c>
      <c r="BT17" s="46">
        <f t="shared" si="10"/>
        <v>0.22581267998469615</v>
      </c>
      <c r="BU17" s="46">
        <f t="shared" si="10"/>
        <v>0.22581267998469615</v>
      </c>
      <c r="BV17" s="46">
        <f t="shared" si="10"/>
        <v>0.17292799533273934</v>
      </c>
      <c r="BW17" s="46">
        <f t="shared" si="10"/>
        <v>0.17292799533273934</v>
      </c>
      <c r="BX17" s="46">
        <f t="shared" si="10"/>
        <v>0.17292799533273934</v>
      </c>
      <c r="BY17" s="46">
        <f t="shared" si="10"/>
        <v>8.5969392843158271E-2</v>
      </c>
      <c r="BZ17" s="132">
        <f t="shared" si="10"/>
        <v>0.11174507173113231</v>
      </c>
      <c r="CA17" s="132">
        <f t="shared" si="10"/>
        <v>0.11174507173113231</v>
      </c>
      <c r="CB17" s="132">
        <f t="shared" si="10"/>
        <v>0.18173928067328188</v>
      </c>
      <c r="CC17" s="132">
        <f t="shared" si="10"/>
        <v>0.23306836723085814</v>
      </c>
      <c r="CD17" s="132">
        <f t="shared" si="10"/>
        <v>0.23306836723085814</v>
      </c>
      <c r="CE17" s="132">
        <f t="shared" si="10"/>
        <v>0.23306836723085814</v>
      </c>
      <c r="CF17" s="132">
        <f t="shared" si="10"/>
        <v>0.23306836723085814</v>
      </c>
      <c r="CG17" s="132">
        <f t="shared" si="10"/>
        <v>0.23306836723085814</v>
      </c>
      <c r="CH17" s="132">
        <f t="shared" si="10"/>
        <v>0.18173928067328188</v>
      </c>
      <c r="CI17" s="132">
        <f t="shared" si="10"/>
        <v>0.18173928067328188</v>
      </c>
      <c r="CJ17" s="132">
        <f t="shared" si="10"/>
        <v>0.18173928067328188</v>
      </c>
      <c r="CK17" s="132">
        <f>CK14+CK15</f>
        <v>0.11174507173113231</v>
      </c>
      <c r="CL17" s="36">
        <f>CL14+CL15+CL16</f>
        <v>0.14949999999999999</v>
      </c>
      <c r="CM17" s="36">
        <f t="shared" ref="CM17:DU17" si="11">CM14+CM15+CM16</f>
        <v>0.14949999999999999</v>
      </c>
      <c r="CN17" s="36">
        <f t="shared" si="11"/>
        <v>0.18488957910447765</v>
      </c>
      <c r="CO17" s="36">
        <f t="shared" si="11"/>
        <v>0.24246669353233832</v>
      </c>
      <c r="CP17" s="36">
        <f t="shared" si="11"/>
        <v>0.24246669353233832</v>
      </c>
      <c r="CQ17" s="36">
        <f t="shared" si="11"/>
        <v>0.24246669353233832</v>
      </c>
      <c r="CR17" s="36">
        <f t="shared" si="11"/>
        <v>0.24246669353233832</v>
      </c>
      <c r="CS17" s="36">
        <f t="shared" si="11"/>
        <v>0.24246669353233832</v>
      </c>
      <c r="CT17" s="36">
        <f t="shared" si="11"/>
        <v>0.18488957910447765</v>
      </c>
      <c r="CU17" s="36">
        <f t="shared" si="11"/>
        <v>0.18488957910447765</v>
      </c>
      <c r="CV17" s="36">
        <f t="shared" si="11"/>
        <v>0.18488957910447765</v>
      </c>
      <c r="CW17" s="36">
        <f t="shared" si="11"/>
        <v>0.14949999999999999</v>
      </c>
      <c r="CX17" s="36">
        <f t="shared" si="11"/>
        <v>0.15615233185655308</v>
      </c>
      <c r="CY17" s="36">
        <f t="shared" si="11"/>
        <v>0.15615233185655308</v>
      </c>
      <c r="CZ17" s="36">
        <f t="shared" si="11"/>
        <v>0.21271857046648007</v>
      </c>
      <c r="DA17" s="36">
        <f t="shared" si="11"/>
        <v>0.26457095585891321</v>
      </c>
      <c r="DB17" s="36">
        <f t="shared" si="11"/>
        <v>0.26457095585891321</v>
      </c>
      <c r="DC17" s="36">
        <f t="shared" si="11"/>
        <v>0.26457095585891321</v>
      </c>
      <c r="DD17" s="36">
        <f t="shared" si="11"/>
        <v>0.26457095585891321</v>
      </c>
      <c r="DE17" s="36">
        <f t="shared" si="11"/>
        <v>0.26457095585891321</v>
      </c>
      <c r="DF17" s="36">
        <f t="shared" si="11"/>
        <v>0.21271857046648007</v>
      </c>
      <c r="DG17" s="36">
        <f t="shared" si="11"/>
        <v>0.21271857046648007</v>
      </c>
      <c r="DH17" s="36">
        <f t="shared" si="11"/>
        <v>0.21271857046648007</v>
      </c>
      <c r="DI17" s="36">
        <f t="shared" si="11"/>
        <v>0.15615233185655308</v>
      </c>
      <c r="DJ17" s="36">
        <f t="shared" si="11"/>
        <v>0.20325375385922834</v>
      </c>
      <c r="DK17" s="36">
        <f t="shared" si="11"/>
        <v>0.20325375385922834</v>
      </c>
      <c r="DL17" s="36">
        <f t="shared" si="11"/>
        <v>0.2565530550930516</v>
      </c>
      <c r="DM17" s="36">
        <f t="shared" si="11"/>
        <v>0.30541074789072309</v>
      </c>
      <c r="DN17" s="36">
        <f t="shared" si="11"/>
        <v>0.30541074789072309</v>
      </c>
      <c r="DO17" s="36">
        <f t="shared" si="11"/>
        <v>0.30541074789072309</v>
      </c>
      <c r="DP17" s="36">
        <f t="shared" si="11"/>
        <v>0.30541074789072309</v>
      </c>
      <c r="DQ17" s="36">
        <f t="shared" si="11"/>
        <v>0.30541074789072309</v>
      </c>
      <c r="DR17" s="36">
        <f t="shared" si="11"/>
        <v>0.2565530550930516</v>
      </c>
      <c r="DS17" s="36">
        <f t="shared" si="11"/>
        <v>0.2565530550930516</v>
      </c>
      <c r="DT17" s="36">
        <f t="shared" si="11"/>
        <v>0.2565530550930516</v>
      </c>
      <c r="DU17" s="36">
        <f t="shared" si="11"/>
        <v>0.20325375385922834</v>
      </c>
    </row>
    <row r="18" spans="1:125" ht="9" customHeight="1" x14ac:dyDescent="0.35"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7"/>
      <c r="DN18" s="57"/>
      <c r="DO18" s="57"/>
      <c r="DP18" s="57"/>
      <c r="DQ18" s="57"/>
      <c r="DR18" s="57"/>
      <c r="DS18" s="57"/>
      <c r="DT18" s="57"/>
      <c r="DU18" s="57"/>
    </row>
    <row r="19" spans="1:125" x14ac:dyDescent="0.35">
      <c r="A19" s="1" t="s">
        <v>118</v>
      </c>
      <c r="B19" s="48">
        <v>56054</v>
      </c>
      <c r="C19" s="48">
        <f t="shared" ref="C19:AH19" si="12">C11*C$17</f>
        <v>73283.160675000006</v>
      </c>
      <c r="D19" s="48">
        <f t="shared" si="12"/>
        <v>91893.049551000004</v>
      </c>
      <c r="E19" s="48">
        <f t="shared" si="12"/>
        <v>72020.541064649995</v>
      </c>
      <c r="F19" s="48">
        <f t="shared" si="12"/>
        <v>66062.060189087992</v>
      </c>
      <c r="G19" s="48">
        <f t="shared" si="12"/>
        <v>54932.872485119995</v>
      </c>
      <c r="H19" s="48">
        <f t="shared" si="12"/>
        <v>92895.935183639987</v>
      </c>
      <c r="I19" s="48">
        <f t="shared" si="12"/>
        <v>106383.46599781199</v>
      </c>
      <c r="J19" s="48">
        <f t="shared" si="12"/>
        <v>132426.11027674316</v>
      </c>
      <c r="K19" s="48">
        <f t="shared" si="12"/>
        <v>125090.41930912797</v>
      </c>
      <c r="L19" s="48">
        <f t="shared" si="12"/>
        <v>120383.01208309438</v>
      </c>
      <c r="M19" s="48">
        <f t="shared" si="12"/>
        <v>107686.21717760878</v>
      </c>
      <c r="N19" s="48">
        <f t="shared" si="12"/>
        <v>62638.639450379989</v>
      </c>
      <c r="O19" s="48">
        <f t="shared" si="12"/>
        <v>68825.835610499998</v>
      </c>
      <c r="P19" s="48">
        <f t="shared" si="12"/>
        <v>86303.809277459994</v>
      </c>
      <c r="Q19" s="48">
        <f t="shared" si="12"/>
        <v>63509.105199379199</v>
      </c>
      <c r="R19" s="48">
        <f t="shared" si="12"/>
        <v>100425.73421849999</v>
      </c>
      <c r="S19" s="48">
        <f t="shared" si="12"/>
        <v>86489.856794999985</v>
      </c>
      <c r="T19" s="48">
        <f t="shared" si="12"/>
        <v>112908.43383299999</v>
      </c>
      <c r="U19" s="48">
        <f t="shared" si="12"/>
        <v>135138.93068249998</v>
      </c>
      <c r="V19" s="48">
        <f t="shared" si="12"/>
        <v>168220.90509449996</v>
      </c>
      <c r="W19" s="48">
        <f t="shared" si="12"/>
        <v>158902.37590499999</v>
      </c>
      <c r="X19" s="48">
        <f t="shared" si="12"/>
        <v>152922.55589399999</v>
      </c>
      <c r="Y19" s="48">
        <f t="shared" si="12"/>
        <v>136793.81567549999</v>
      </c>
      <c r="Z19" s="48">
        <f t="shared" si="12"/>
        <v>76132.83254849998</v>
      </c>
      <c r="AA19" s="48">
        <f t="shared" si="12"/>
        <v>83652.931537500001</v>
      </c>
      <c r="AB19" s="48">
        <f t="shared" si="12"/>
        <v>104896.17139949999</v>
      </c>
      <c r="AC19" s="48">
        <f t="shared" si="12"/>
        <v>96544.801977899988</v>
      </c>
      <c r="AD19" s="48">
        <f t="shared" si="12"/>
        <v>93855.508743750004</v>
      </c>
      <c r="AE19" s="48">
        <f t="shared" si="12"/>
        <v>78044.079750000004</v>
      </c>
      <c r="AF19" s="48">
        <f t="shared" si="12"/>
        <v>98362.587482999996</v>
      </c>
      <c r="AG19" s="48">
        <f t="shared" si="12"/>
        <v>125245.60935299999</v>
      </c>
      <c r="AH19" s="48">
        <f t="shared" si="12"/>
        <v>155905.70132579998</v>
      </c>
      <c r="AI19" s="48">
        <f t="shared" ref="AI19:BN19" si="13">AI11*AI$17</f>
        <v>147269.36788199999</v>
      </c>
      <c r="AJ19" s="48">
        <f t="shared" si="13"/>
        <v>141727.3216536</v>
      </c>
      <c r="AK19" s="48">
        <f t="shared" si="13"/>
        <v>126779.3426622</v>
      </c>
      <c r="AL19" s="48">
        <f t="shared" si="13"/>
        <v>66324.738973499989</v>
      </c>
      <c r="AM19" s="48">
        <f t="shared" si="13"/>
        <v>72876.033412499994</v>
      </c>
      <c r="AN19" s="48">
        <f t="shared" si="13"/>
        <v>91382.534374499999</v>
      </c>
      <c r="AO19" s="48">
        <f t="shared" si="13"/>
        <v>90228.481541250003</v>
      </c>
      <c r="AP19" s="48">
        <f t="shared" si="13"/>
        <v>112618.761618</v>
      </c>
      <c r="AQ19" s="48">
        <f t="shared" si="13"/>
        <v>92674.437239999999</v>
      </c>
      <c r="AR19" s="48">
        <f t="shared" si="13"/>
        <v>92247.072371999995</v>
      </c>
      <c r="AS19" s="48">
        <f t="shared" si="13"/>
        <v>117789.82776</v>
      </c>
      <c r="AT19" s="48">
        <f t="shared" si="13"/>
        <v>162245.319132</v>
      </c>
      <c r="AU19" s="48">
        <f t="shared" si="13"/>
        <v>164357.89919999999</v>
      </c>
      <c r="AV19" s="48">
        <f t="shared" si="13"/>
        <v>143074.38134399999</v>
      </c>
      <c r="AW19" s="48">
        <f t="shared" si="13"/>
        <v>122654.15750399999</v>
      </c>
      <c r="AX19" s="48">
        <f t="shared" si="13"/>
        <v>75646.305359999998</v>
      </c>
      <c r="AY19" s="48">
        <f t="shared" si="13"/>
        <v>76590.975839999985</v>
      </c>
      <c r="AZ19" s="48">
        <f t="shared" si="13"/>
        <v>96683.390279999992</v>
      </c>
      <c r="BA19" s="48">
        <f t="shared" si="13"/>
        <v>92883.477323999992</v>
      </c>
      <c r="BB19" s="85">
        <f t="shared" si="13"/>
        <v>119634.72662999999</v>
      </c>
      <c r="BC19" s="85">
        <f t="shared" si="13"/>
        <v>98447.903399999996</v>
      </c>
      <c r="BD19" s="85">
        <f t="shared" si="13"/>
        <v>99991.885265999998</v>
      </c>
      <c r="BE19" s="85">
        <f t="shared" si="13"/>
        <v>121458.68063999999</v>
      </c>
      <c r="BF19" s="85">
        <f t="shared" si="13"/>
        <v>167298.84724799998</v>
      </c>
      <c r="BG19" s="85">
        <f t="shared" si="13"/>
        <v>169477.22879999998</v>
      </c>
      <c r="BH19" s="85">
        <f t="shared" si="13"/>
        <v>147530.78361599997</v>
      </c>
      <c r="BI19" s="85">
        <f t="shared" si="13"/>
        <v>126474.52185599999</v>
      </c>
      <c r="BJ19" s="85">
        <f t="shared" si="13"/>
        <v>81997.363079999996</v>
      </c>
      <c r="BK19" s="85">
        <f t="shared" si="13"/>
        <v>83021.345519999988</v>
      </c>
      <c r="BL19" s="85">
        <f t="shared" si="13"/>
        <v>104800.66433999999</v>
      </c>
      <c r="BM19" s="85">
        <f t="shared" si="13"/>
        <v>98669.966339999999</v>
      </c>
      <c r="BN19" s="48">
        <f t="shared" si="13"/>
        <v>31711.186060484419</v>
      </c>
      <c r="BO19" s="48">
        <f t="shared" ref="BO19:CT19" si="14">BO11*BO$17</f>
        <v>27988.625380982823</v>
      </c>
      <c r="BP19" s="48">
        <f t="shared" si="14"/>
        <v>59209.508033957951</v>
      </c>
      <c r="BQ19" s="48">
        <f t="shared" si="14"/>
        <v>82787.557642329295</v>
      </c>
      <c r="BR19" s="48">
        <f t="shared" si="14"/>
        <v>99844.544237653303</v>
      </c>
      <c r="BS19" s="48">
        <f t="shared" si="14"/>
        <v>99749.928724739715</v>
      </c>
      <c r="BT19" s="48">
        <f t="shared" si="14"/>
        <v>91626.769187650236</v>
      </c>
      <c r="BU19" s="48">
        <f t="shared" si="14"/>
        <v>81863.306343151926</v>
      </c>
      <c r="BV19" s="48">
        <f t="shared" si="14"/>
        <v>44587.927244588842</v>
      </c>
      <c r="BW19" s="48">
        <f t="shared" si="14"/>
        <v>45838.974826823549</v>
      </c>
      <c r="BX19" s="48">
        <f t="shared" si="14"/>
        <v>54709.489275411746</v>
      </c>
      <c r="BY19" s="48">
        <f t="shared" si="14"/>
        <v>30101.753057067654</v>
      </c>
      <c r="BZ19" s="133">
        <f t="shared" si="14"/>
        <v>41218.957629175849</v>
      </c>
      <c r="CA19" s="133">
        <f t="shared" si="14"/>
        <v>36380.284278146093</v>
      </c>
      <c r="CB19" s="133">
        <f t="shared" si="14"/>
        <v>62226.439266847672</v>
      </c>
      <c r="CC19" s="133">
        <f t="shared" si="14"/>
        <v>85447.641328360827</v>
      </c>
      <c r="CD19" s="133">
        <f t="shared" si="14"/>
        <v>103052.69351551092</v>
      </c>
      <c r="CE19" s="133">
        <f t="shared" si="14"/>
        <v>102955.03786964119</v>
      </c>
      <c r="CF19" s="133">
        <f t="shared" si="14"/>
        <v>94570.869495245541</v>
      </c>
      <c r="CG19" s="133">
        <f t="shared" si="14"/>
        <v>84493.692501284924</v>
      </c>
      <c r="CH19" s="133">
        <f t="shared" si="14"/>
        <v>46859.837868079674</v>
      </c>
      <c r="CI19" s="133">
        <f t="shared" si="14"/>
        <v>48174.630694110529</v>
      </c>
      <c r="CJ19" s="133">
        <f t="shared" si="14"/>
        <v>57497.128835527197</v>
      </c>
      <c r="CK19" s="133">
        <f t="shared" si="14"/>
        <v>39126.978141297324</v>
      </c>
      <c r="CL19" s="63">
        <f t="shared" si="14"/>
        <v>54776.86536538387</v>
      </c>
      <c r="CM19" s="63">
        <f t="shared" si="14"/>
        <v>47008.505244670348</v>
      </c>
      <c r="CN19" s="63">
        <f>CN11*CN$17</f>
        <v>60736.352490631805</v>
      </c>
      <c r="CO19" s="63">
        <f t="shared" si="14"/>
        <v>89974.908361401292</v>
      </c>
      <c r="CP19" s="63">
        <f t="shared" si="14"/>
        <v>109639.64589760128</v>
      </c>
      <c r="CQ19" s="63">
        <f t="shared" si="14"/>
        <v>108090.95718194522</v>
      </c>
      <c r="CR19" s="63">
        <f t="shared" si="14"/>
        <v>100587.35439802334</v>
      </c>
      <c r="CS19" s="63">
        <f t="shared" si="14"/>
        <v>87275.280270477859</v>
      </c>
      <c r="CT19" s="63">
        <f t="shared" si="14"/>
        <v>45449.220825181772</v>
      </c>
      <c r="CU19" s="63">
        <f t="shared" ref="CU19:DU19" si="15">CU11*CU$17</f>
        <v>47021.013742846619</v>
      </c>
      <c r="CV19" s="63">
        <f t="shared" si="15"/>
        <v>58166.374514206836</v>
      </c>
      <c r="CW19" s="63">
        <f t="shared" si="15"/>
        <v>51596.814187325668</v>
      </c>
      <c r="CX19" s="63">
        <f t="shared" si="15"/>
        <v>57214.282666201681</v>
      </c>
      <c r="CY19" s="63">
        <f t="shared" si="15"/>
        <v>49100.252247801203</v>
      </c>
      <c r="CZ19" s="63">
        <f t="shared" si="15"/>
        <v>69878.195081263751</v>
      </c>
      <c r="DA19" s="63">
        <f t="shared" si="15"/>
        <v>98177.391548910498</v>
      </c>
      <c r="DB19" s="63">
        <f t="shared" si="15"/>
        <v>119634.84754367862</v>
      </c>
      <c r="DC19" s="63">
        <f t="shared" si="15"/>
        <v>117944.97398677962</v>
      </c>
      <c r="DD19" s="63">
        <f t="shared" si="15"/>
        <v>109757.31187118666</v>
      </c>
      <c r="DE19" s="63">
        <f t="shared" si="15"/>
        <v>95231.654243411569</v>
      </c>
      <c r="DF19" s="63">
        <f t="shared" si="15"/>
        <v>52290.092981848888</v>
      </c>
      <c r="DG19" s="63">
        <f t="shared" si="15"/>
        <v>54098.467170023498</v>
      </c>
      <c r="DH19" s="63">
        <f t="shared" si="15"/>
        <v>66921.392194246859</v>
      </c>
      <c r="DI19" s="63">
        <f t="shared" si="15"/>
        <v>53892.728105151735</v>
      </c>
      <c r="DJ19" s="63">
        <f t="shared" si="15"/>
        <v>74472.264281978758</v>
      </c>
      <c r="DK19" s="63">
        <f t="shared" si="15"/>
        <v>63910.736817996461</v>
      </c>
      <c r="DL19" s="63">
        <f t="shared" si="15"/>
        <v>84277.853095630184</v>
      </c>
      <c r="DM19" s="63">
        <f t="shared" si="15"/>
        <v>113332.28351377617</v>
      </c>
      <c r="DN19" s="63">
        <f t="shared" si="15"/>
        <v>138101.9626417039</v>
      </c>
      <c r="DO19" s="63">
        <f t="shared" si="15"/>
        <v>136151.23624704816</v>
      </c>
      <c r="DP19" s="63">
        <f t="shared" si="15"/>
        <v>126699.70744230183</v>
      </c>
      <c r="DQ19" s="63">
        <f t="shared" si="15"/>
        <v>109931.83530266644</v>
      </c>
      <c r="DR19" s="63">
        <f t="shared" si="15"/>
        <v>63065.406448408874</v>
      </c>
      <c r="DS19" s="63">
        <f t="shared" si="15"/>
        <v>65246.428639890357</v>
      </c>
      <c r="DT19" s="63">
        <f t="shared" si="15"/>
        <v>80711.747831249071</v>
      </c>
      <c r="DU19" s="63">
        <f t="shared" si="15"/>
        <v>70148.803817732653</v>
      </c>
    </row>
    <row r="20" spans="1:125" x14ac:dyDescent="0.35">
      <c r="A20" s="1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130"/>
      <c r="CA20" s="130"/>
      <c r="CB20" s="130"/>
      <c r="CC20" s="130"/>
      <c r="CD20" s="130"/>
      <c r="CE20" s="130"/>
      <c r="CF20" s="130"/>
      <c r="CG20" s="130"/>
      <c r="CH20" s="130"/>
      <c r="CI20" s="130"/>
      <c r="CJ20" s="130"/>
      <c r="CK20" s="13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</row>
    <row r="21" spans="1:125" s="31" customFormat="1" ht="13" x14ac:dyDescent="0.3">
      <c r="A21" s="30" t="s">
        <v>120</v>
      </c>
      <c r="B21" s="43">
        <f t="shared" ref="B21:AG21" si="16">(B14/B17)*B19</f>
        <v>45392.592044153804</v>
      </c>
      <c r="C21" s="43">
        <f t="shared" si="16"/>
        <v>59344.785674999999</v>
      </c>
      <c r="D21" s="43">
        <f t="shared" si="16"/>
        <v>74415.094551000002</v>
      </c>
      <c r="E21" s="43">
        <f t="shared" si="16"/>
        <v>51483.304564649996</v>
      </c>
      <c r="F21" s="43">
        <f t="shared" si="16"/>
        <v>44699.262689087991</v>
      </c>
      <c r="G21" s="43">
        <f t="shared" si="16"/>
        <v>37168.972485119994</v>
      </c>
      <c r="H21" s="43">
        <f t="shared" si="16"/>
        <v>74082.965183639986</v>
      </c>
      <c r="I21" s="43">
        <f t="shared" si="16"/>
        <v>85964.963497811987</v>
      </c>
      <c r="J21" s="43">
        <f t="shared" si="16"/>
        <v>107009.16377674317</v>
      </c>
      <c r="K21" s="43">
        <f t="shared" si="16"/>
        <v>101081.43430912797</v>
      </c>
      <c r="L21" s="43">
        <f t="shared" si="16"/>
        <v>97277.534083094375</v>
      </c>
      <c r="M21" s="43">
        <f t="shared" si="16"/>
        <v>87017.673677608778</v>
      </c>
      <c r="N21" s="43">
        <f t="shared" si="16"/>
        <v>49953.274450379991</v>
      </c>
      <c r="O21" s="43">
        <f t="shared" si="16"/>
        <v>54887.460610499998</v>
      </c>
      <c r="P21" s="43">
        <f t="shared" si="16"/>
        <v>68825.854277459992</v>
      </c>
      <c r="Q21" s="43">
        <f t="shared" si="16"/>
        <v>42971.8686993792</v>
      </c>
      <c r="R21" s="43">
        <f t="shared" si="16"/>
        <v>79062.936718499986</v>
      </c>
      <c r="S21" s="43">
        <f t="shared" si="16"/>
        <v>68091.531794999988</v>
      </c>
      <c r="T21" s="43">
        <f t="shared" si="16"/>
        <v>94095.463832999987</v>
      </c>
      <c r="U21" s="43">
        <f t="shared" si="16"/>
        <v>114720.42818249998</v>
      </c>
      <c r="V21" s="43">
        <f t="shared" si="16"/>
        <v>142803.95859449997</v>
      </c>
      <c r="W21" s="43">
        <f t="shared" si="16"/>
        <v>134893.39090500001</v>
      </c>
      <c r="X21" s="43">
        <f t="shared" si="16"/>
        <v>129817.07789399999</v>
      </c>
      <c r="Y21" s="43">
        <f t="shared" si="16"/>
        <v>116125.27217549999</v>
      </c>
      <c r="Z21" s="43">
        <f t="shared" si="16"/>
        <v>63447.46754849999</v>
      </c>
      <c r="AA21" s="43">
        <f t="shared" si="16"/>
        <v>69714.556537500001</v>
      </c>
      <c r="AB21" s="43">
        <f t="shared" si="16"/>
        <v>87418.216399499986</v>
      </c>
      <c r="AC21" s="43">
        <f t="shared" si="16"/>
        <v>76007.565477899989</v>
      </c>
      <c r="AD21" s="43">
        <f t="shared" si="16"/>
        <v>72492.711243750004</v>
      </c>
      <c r="AE21" s="43">
        <f t="shared" si="16"/>
        <v>60280.179750000003</v>
      </c>
      <c r="AF21" s="43">
        <f t="shared" si="16"/>
        <v>79549.617482999995</v>
      </c>
      <c r="AG21" s="43">
        <f t="shared" si="16"/>
        <v>104827.10685299999</v>
      </c>
      <c r="AH21" s="43">
        <f t="shared" ref="AH21:BM21" si="17">(AH14/AH17)*AH19</f>
        <v>130488.75482579999</v>
      </c>
      <c r="AI21" s="43">
        <f t="shared" si="17"/>
        <v>123260.38288199999</v>
      </c>
      <c r="AJ21" s="43">
        <f t="shared" si="17"/>
        <v>118621.84365359999</v>
      </c>
      <c r="AK21" s="43">
        <f t="shared" si="17"/>
        <v>106110.7991622</v>
      </c>
      <c r="AL21" s="43">
        <f t="shared" si="17"/>
        <v>53639.373973499991</v>
      </c>
      <c r="AM21" s="43">
        <f t="shared" si="17"/>
        <v>58937.658412500001</v>
      </c>
      <c r="AN21" s="43">
        <f t="shared" si="17"/>
        <v>73904.579374499997</v>
      </c>
      <c r="AO21" s="43">
        <f t="shared" si="17"/>
        <v>69691.245041250004</v>
      </c>
      <c r="AP21" s="43">
        <f t="shared" si="17"/>
        <v>89151.141617999994</v>
      </c>
      <c r="AQ21" s="43">
        <f t="shared" si="17"/>
        <v>73362.837239999993</v>
      </c>
      <c r="AR21" s="43">
        <f t="shared" si="17"/>
        <v>75490.332372000004</v>
      </c>
      <c r="AS21" s="43">
        <f t="shared" si="17"/>
        <v>99059.027760000012</v>
      </c>
      <c r="AT21" s="43">
        <f t="shared" si="17"/>
        <v>136445.25913200001</v>
      </c>
      <c r="AU21" s="43">
        <f t="shared" si="17"/>
        <v>138221.89919999999</v>
      </c>
      <c r="AV21" s="43">
        <f t="shared" si="17"/>
        <v>120322.861344</v>
      </c>
      <c r="AW21" s="43">
        <f t="shared" si="17"/>
        <v>103149.837504</v>
      </c>
      <c r="AX21" s="43">
        <f t="shared" si="17"/>
        <v>61905.105360000001</v>
      </c>
      <c r="AY21" s="43">
        <f t="shared" si="17"/>
        <v>62678.175839999989</v>
      </c>
      <c r="AZ21" s="43">
        <f t="shared" si="17"/>
        <v>79120.790280000001</v>
      </c>
      <c r="BA21" s="43">
        <f t="shared" si="17"/>
        <v>73528.317323999989</v>
      </c>
      <c r="BB21" s="81">
        <f t="shared" si="17"/>
        <v>96167.106629999995</v>
      </c>
      <c r="BC21" s="81">
        <f t="shared" si="17"/>
        <v>79136.303400000004</v>
      </c>
      <c r="BD21" s="81">
        <f t="shared" si="17"/>
        <v>83235.145266000007</v>
      </c>
      <c r="BE21" s="81">
        <f t="shared" si="17"/>
        <v>102727.88063999999</v>
      </c>
      <c r="BF21" s="81">
        <f t="shared" si="17"/>
        <v>141498.78724799998</v>
      </c>
      <c r="BG21" s="81">
        <f t="shared" si="17"/>
        <v>143341.22879999998</v>
      </c>
      <c r="BH21" s="81">
        <f t="shared" si="17"/>
        <v>124779.26361599998</v>
      </c>
      <c r="BI21" s="81">
        <f t="shared" si="17"/>
        <v>106970.201856</v>
      </c>
      <c r="BJ21" s="81">
        <f t="shared" si="17"/>
        <v>68256.163079999998</v>
      </c>
      <c r="BK21" s="81">
        <f t="shared" si="17"/>
        <v>69108.545519999985</v>
      </c>
      <c r="BL21" s="81">
        <f t="shared" si="17"/>
        <v>87238.064339999997</v>
      </c>
      <c r="BM21" s="81">
        <f t="shared" si="17"/>
        <v>79314.806339999996</v>
      </c>
      <c r="BN21" s="43">
        <f t="shared" ref="BN21:CS21" si="18">(BN14/BN17)*BN19</f>
        <v>11423.556060484421</v>
      </c>
      <c r="BO21" s="43">
        <f t="shared" si="18"/>
        <v>10082.550380982826</v>
      </c>
      <c r="BP21" s="43">
        <f t="shared" si="18"/>
        <v>40377.838033957953</v>
      </c>
      <c r="BQ21" s="43">
        <f t="shared" si="18"/>
        <v>62623.4301423293</v>
      </c>
      <c r="BR21" s="43">
        <f t="shared" si="18"/>
        <v>75525.936737653305</v>
      </c>
      <c r="BS21" s="43">
        <f t="shared" si="18"/>
        <v>75454.366224739715</v>
      </c>
      <c r="BT21" s="43">
        <f t="shared" si="18"/>
        <v>69309.72168765025</v>
      </c>
      <c r="BU21" s="43">
        <f t="shared" si="18"/>
        <v>61924.293843151936</v>
      </c>
      <c r="BV21" s="43">
        <f t="shared" si="18"/>
        <v>30406.672244588841</v>
      </c>
      <c r="BW21" s="43">
        <f t="shared" si="18"/>
        <v>31259.822326823545</v>
      </c>
      <c r="BX21" s="43">
        <f t="shared" si="18"/>
        <v>37309.056775411744</v>
      </c>
      <c r="BY21" s="43">
        <f t="shared" si="18"/>
        <v>10843.778057067655</v>
      </c>
      <c r="BZ21" s="130">
        <f t="shared" si="18"/>
        <v>20931.327629175848</v>
      </c>
      <c r="CA21" s="130">
        <f t="shared" si="18"/>
        <v>18474.209278146089</v>
      </c>
      <c r="CB21" s="130">
        <f t="shared" si="18"/>
        <v>43394.769266847674</v>
      </c>
      <c r="CC21" s="130">
        <f t="shared" si="18"/>
        <v>65283.513828360832</v>
      </c>
      <c r="CD21" s="130">
        <f t="shared" si="18"/>
        <v>78734.086015510926</v>
      </c>
      <c r="CE21" s="130">
        <f t="shared" si="18"/>
        <v>78659.475369641208</v>
      </c>
      <c r="CF21" s="130">
        <f t="shared" si="18"/>
        <v>72253.821995245555</v>
      </c>
      <c r="CG21" s="130">
        <f t="shared" si="18"/>
        <v>64554.680001284934</v>
      </c>
      <c r="CH21" s="130">
        <f t="shared" si="18"/>
        <v>32678.582868079677</v>
      </c>
      <c r="CI21" s="130">
        <f t="shared" si="18"/>
        <v>33595.478194110532</v>
      </c>
      <c r="CJ21" s="130">
        <f t="shared" si="18"/>
        <v>40096.696335527202</v>
      </c>
      <c r="CK21" s="130">
        <f t="shared" si="18"/>
        <v>19869.003141297322</v>
      </c>
      <c r="CL21" s="60">
        <f t="shared" si="18"/>
        <v>0</v>
      </c>
      <c r="CM21" s="60">
        <f t="shared" si="18"/>
        <v>0</v>
      </c>
      <c r="CN21" s="60">
        <f>(CN14/CN17)*CN19</f>
        <v>11625.500806457283</v>
      </c>
      <c r="CO21" s="60">
        <f t="shared" si="18"/>
        <v>34498.221629433836</v>
      </c>
      <c r="CP21" s="60">
        <f t="shared" si="18"/>
        <v>42038.084533028661</v>
      </c>
      <c r="CQ21" s="60">
        <f t="shared" si="18"/>
        <v>41444.285578178875</v>
      </c>
      <c r="CR21" s="60">
        <f t="shared" si="18"/>
        <v>38567.250673967472</v>
      </c>
      <c r="CS21" s="60">
        <f t="shared" si="18"/>
        <v>33463.128958667912</v>
      </c>
      <c r="CT21" s="60">
        <f t="shared" ref="CT21:DR21" si="19">(CT14/CT17)*CT19</f>
        <v>8699.4021156852232</v>
      </c>
      <c r="CU21" s="60">
        <f t="shared" si="19"/>
        <v>9000.2578484148926</v>
      </c>
      <c r="CV21" s="60">
        <f t="shared" si="19"/>
        <v>11133.583201722717</v>
      </c>
      <c r="CW21" s="60">
        <f t="shared" si="19"/>
        <v>0</v>
      </c>
      <c r="CX21" s="60">
        <f t="shared" si="19"/>
        <v>2437.4173008178041</v>
      </c>
      <c r="CY21" s="60">
        <f t="shared" si="19"/>
        <v>2091.747003130854</v>
      </c>
      <c r="CZ21" s="60">
        <f t="shared" si="19"/>
        <v>20767.343397089218</v>
      </c>
      <c r="DA21" s="60">
        <f t="shared" si="19"/>
        <v>42700.704816943027</v>
      </c>
      <c r="DB21" s="60">
        <f t="shared" si="19"/>
        <v>52033.286179105999</v>
      </c>
      <c r="DC21" s="60">
        <f t="shared" si="19"/>
        <v>51298.302383013252</v>
      </c>
      <c r="DD21" s="60">
        <f t="shared" si="19"/>
        <v>47737.208147130776</v>
      </c>
      <c r="DE21" s="60">
        <f t="shared" si="19"/>
        <v>41419.502931601608</v>
      </c>
      <c r="DF21" s="60">
        <f t="shared" si="19"/>
        <v>15540.274272352339</v>
      </c>
      <c r="DG21" s="60">
        <f t="shared" si="19"/>
        <v>16077.711275591768</v>
      </c>
      <c r="DH21" s="60">
        <f t="shared" si="19"/>
        <v>19888.600881762733</v>
      </c>
      <c r="DI21" s="60">
        <f t="shared" si="19"/>
        <v>2295.9139178260602</v>
      </c>
      <c r="DJ21" s="60">
        <f t="shared" si="19"/>
        <v>7567.5444443928282</v>
      </c>
      <c r="DK21" s="60">
        <f t="shared" si="19"/>
        <v>6494.3284054425767</v>
      </c>
      <c r="DL21" s="60">
        <f t="shared" si="19"/>
        <v>24293.628898103321</v>
      </c>
      <c r="DM21" s="60">
        <f t="shared" si="19"/>
        <v>45572.798582289492</v>
      </c>
      <c r="DN21" s="60">
        <f t="shared" si="19"/>
        <v>55533.09906196504</v>
      </c>
      <c r="DO21" s="60">
        <f t="shared" si="19"/>
        <v>54748.679492213807</v>
      </c>
      <c r="DP21" s="60">
        <f t="shared" si="19"/>
        <v>50948.062358605501</v>
      </c>
      <c r="DQ21" s="60">
        <f t="shared" si="19"/>
        <v>44205.421727171481</v>
      </c>
      <c r="DR21" s="60">
        <f t="shared" si="19"/>
        <v>18179.005803900054</v>
      </c>
      <c r="DS21" s="60">
        <f t="shared" ref="DS21:DU21" si="20">(DS14/DS17)*DS19</f>
        <v>18807.699366825265</v>
      </c>
      <c r="DT21" s="60">
        <f t="shared" si="20"/>
        <v>23265.676301753436</v>
      </c>
      <c r="DU21" s="60">
        <f t="shared" si="20"/>
        <v>7128.2133788987585</v>
      </c>
    </row>
    <row r="22" spans="1:125" s="31" customFormat="1" ht="13" x14ac:dyDescent="0.3">
      <c r="A22" s="30" t="s">
        <v>121</v>
      </c>
      <c r="B22" s="43">
        <f t="shared" ref="B22:AG22" si="21">(B15/B17)*B19</f>
        <v>10661.407955846194</v>
      </c>
      <c r="C22" s="43">
        <f t="shared" si="21"/>
        <v>13938.375</v>
      </c>
      <c r="D22" s="43">
        <f t="shared" si="21"/>
        <v>17477.954999999998</v>
      </c>
      <c r="E22" s="43">
        <f t="shared" si="21"/>
        <v>20537.236499999999</v>
      </c>
      <c r="F22" s="43">
        <f t="shared" si="21"/>
        <v>21362.797499999997</v>
      </c>
      <c r="G22" s="43">
        <f t="shared" si="21"/>
        <v>17763.899999999998</v>
      </c>
      <c r="H22" s="43">
        <f t="shared" si="21"/>
        <v>18812.969999999998</v>
      </c>
      <c r="I22" s="43">
        <f t="shared" si="21"/>
        <v>20418.502500000002</v>
      </c>
      <c r="J22" s="43">
        <f t="shared" si="21"/>
        <v>25416.946499999995</v>
      </c>
      <c r="K22" s="43">
        <f t="shared" si="21"/>
        <v>24008.984999999997</v>
      </c>
      <c r="L22" s="43">
        <f t="shared" si="21"/>
        <v>23105.477999999999</v>
      </c>
      <c r="M22" s="43">
        <f t="shared" si="21"/>
        <v>20668.5435</v>
      </c>
      <c r="N22" s="43">
        <f t="shared" si="21"/>
        <v>12685.364999999998</v>
      </c>
      <c r="O22" s="43">
        <f t="shared" si="21"/>
        <v>13938.375</v>
      </c>
      <c r="P22" s="43">
        <f t="shared" si="21"/>
        <v>17477.954999999998</v>
      </c>
      <c r="Q22" s="43">
        <f t="shared" si="21"/>
        <v>20537.236499999999</v>
      </c>
      <c r="R22" s="43">
        <f t="shared" si="21"/>
        <v>21362.797500000001</v>
      </c>
      <c r="S22" s="43">
        <f t="shared" si="21"/>
        <v>18398.324999999997</v>
      </c>
      <c r="T22" s="43">
        <f t="shared" si="21"/>
        <v>18812.97</v>
      </c>
      <c r="U22" s="43">
        <f t="shared" si="21"/>
        <v>20418.502499999999</v>
      </c>
      <c r="V22" s="43">
        <f t="shared" si="21"/>
        <v>25416.946499999995</v>
      </c>
      <c r="W22" s="43">
        <f t="shared" si="21"/>
        <v>24008.985000000001</v>
      </c>
      <c r="X22" s="43">
        <f t="shared" si="21"/>
        <v>23105.477999999999</v>
      </c>
      <c r="Y22" s="43">
        <f t="shared" si="21"/>
        <v>20668.5435</v>
      </c>
      <c r="Z22" s="43">
        <f t="shared" si="21"/>
        <v>12685.364999999998</v>
      </c>
      <c r="AA22" s="43">
        <f t="shared" si="21"/>
        <v>13938.375000000002</v>
      </c>
      <c r="AB22" s="43">
        <f t="shared" si="21"/>
        <v>17477.955000000002</v>
      </c>
      <c r="AC22" s="43">
        <f t="shared" si="21"/>
        <v>20537.236499999999</v>
      </c>
      <c r="AD22" s="43">
        <f t="shared" si="21"/>
        <v>21362.797500000001</v>
      </c>
      <c r="AE22" s="43">
        <f t="shared" si="21"/>
        <v>17763.900000000001</v>
      </c>
      <c r="AF22" s="43">
        <f t="shared" si="21"/>
        <v>18812.97</v>
      </c>
      <c r="AG22" s="43">
        <f t="shared" si="21"/>
        <v>20418.502499999999</v>
      </c>
      <c r="AH22" s="43">
        <f t="shared" ref="AH22:BM22" si="22">(AH15/AH17)*AH19</f>
        <v>25416.946499999998</v>
      </c>
      <c r="AI22" s="43">
        <f t="shared" si="22"/>
        <v>24008.985000000001</v>
      </c>
      <c r="AJ22" s="43">
        <f t="shared" si="22"/>
        <v>23105.477999999999</v>
      </c>
      <c r="AK22" s="43">
        <f t="shared" si="22"/>
        <v>20668.5435</v>
      </c>
      <c r="AL22" s="43">
        <f t="shared" si="22"/>
        <v>12685.364999999998</v>
      </c>
      <c r="AM22" s="43">
        <f t="shared" si="22"/>
        <v>13938.375</v>
      </c>
      <c r="AN22" s="43">
        <f t="shared" si="22"/>
        <v>17477.955000000002</v>
      </c>
      <c r="AO22" s="43">
        <f t="shared" si="22"/>
        <v>20537.236499999999</v>
      </c>
      <c r="AP22" s="43">
        <f t="shared" si="22"/>
        <v>23467.620000000003</v>
      </c>
      <c r="AQ22" s="43">
        <f t="shared" si="22"/>
        <v>19311.599999999999</v>
      </c>
      <c r="AR22" s="43">
        <f t="shared" si="22"/>
        <v>16756.740000000002</v>
      </c>
      <c r="AS22" s="43">
        <f t="shared" si="22"/>
        <v>18730.800000000003</v>
      </c>
      <c r="AT22" s="43">
        <f t="shared" si="22"/>
        <v>25800.06</v>
      </c>
      <c r="AU22" s="43">
        <f t="shared" si="22"/>
        <v>26136</v>
      </c>
      <c r="AV22" s="43">
        <f t="shared" si="22"/>
        <v>22751.52</v>
      </c>
      <c r="AW22" s="43">
        <f t="shared" si="22"/>
        <v>19504.32</v>
      </c>
      <c r="AX22" s="43">
        <f t="shared" si="22"/>
        <v>13741.200000000003</v>
      </c>
      <c r="AY22" s="43">
        <f t="shared" si="22"/>
        <v>13912.8</v>
      </c>
      <c r="AZ22" s="43">
        <f t="shared" si="22"/>
        <v>17562.600000000002</v>
      </c>
      <c r="BA22" s="43">
        <f t="shared" si="22"/>
        <v>19355.16</v>
      </c>
      <c r="BB22" s="81">
        <f t="shared" si="22"/>
        <v>23467.62</v>
      </c>
      <c r="BC22" s="81">
        <f t="shared" si="22"/>
        <v>19311.599999999999</v>
      </c>
      <c r="BD22" s="81">
        <f t="shared" si="22"/>
        <v>16756.740000000002</v>
      </c>
      <c r="BE22" s="81">
        <f t="shared" si="22"/>
        <v>18730.800000000003</v>
      </c>
      <c r="BF22" s="81">
        <f t="shared" si="22"/>
        <v>25800.06</v>
      </c>
      <c r="BG22" s="81">
        <f t="shared" si="22"/>
        <v>26136.000000000004</v>
      </c>
      <c r="BH22" s="81">
        <f t="shared" si="22"/>
        <v>22751.52</v>
      </c>
      <c r="BI22" s="81">
        <f t="shared" si="22"/>
        <v>19504.320000000003</v>
      </c>
      <c r="BJ22" s="81">
        <f t="shared" si="22"/>
        <v>13741.2</v>
      </c>
      <c r="BK22" s="81">
        <f t="shared" si="22"/>
        <v>13912.8</v>
      </c>
      <c r="BL22" s="81">
        <f t="shared" si="22"/>
        <v>17562.599999999999</v>
      </c>
      <c r="BM22" s="81">
        <f t="shared" si="22"/>
        <v>19355.16</v>
      </c>
      <c r="BN22" s="43">
        <f t="shared" ref="BN22:CS22" si="23">(BN15/BN17)*BN19</f>
        <v>20287.629999999997</v>
      </c>
      <c r="BO22" s="43">
        <f t="shared" si="23"/>
        <v>17906.075000000001</v>
      </c>
      <c r="BP22" s="43">
        <f t="shared" si="23"/>
        <v>18831.670000000002</v>
      </c>
      <c r="BQ22" s="43">
        <f t="shared" si="23"/>
        <v>20164.127500000002</v>
      </c>
      <c r="BR22" s="43">
        <f t="shared" si="23"/>
        <v>24318.607500000002</v>
      </c>
      <c r="BS22" s="43">
        <f t="shared" si="23"/>
        <v>24295.5625</v>
      </c>
      <c r="BT22" s="43">
        <f t="shared" si="23"/>
        <v>22317.047500000001</v>
      </c>
      <c r="BU22" s="43">
        <f t="shared" si="23"/>
        <v>19939.012500000001</v>
      </c>
      <c r="BV22" s="43">
        <f t="shared" si="23"/>
        <v>14181.255000000001</v>
      </c>
      <c r="BW22" s="43">
        <f t="shared" si="23"/>
        <v>14579.152500000002</v>
      </c>
      <c r="BX22" s="43">
        <f t="shared" si="23"/>
        <v>17400.432500000003</v>
      </c>
      <c r="BY22" s="43">
        <f t="shared" si="23"/>
        <v>19257.974999999999</v>
      </c>
      <c r="BZ22" s="130">
        <f t="shared" si="23"/>
        <v>20287.63</v>
      </c>
      <c r="CA22" s="130">
        <f t="shared" si="23"/>
        <v>17906.075000000001</v>
      </c>
      <c r="CB22" s="130">
        <f t="shared" si="23"/>
        <v>18831.669999999998</v>
      </c>
      <c r="CC22" s="130">
        <f t="shared" si="23"/>
        <v>20164.127499999999</v>
      </c>
      <c r="CD22" s="130">
        <f t="shared" si="23"/>
        <v>24318.607499999998</v>
      </c>
      <c r="CE22" s="130">
        <f t="shared" si="23"/>
        <v>24295.5625</v>
      </c>
      <c r="CF22" s="130">
        <f t="shared" si="23"/>
        <v>22317.047500000001</v>
      </c>
      <c r="CG22" s="130">
        <f t="shared" si="23"/>
        <v>19939.012500000001</v>
      </c>
      <c r="CH22" s="130">
        <f t="shared" si="23"/>
        <v>14181.254999999999</v>
      </c>
      <c r="CI22" s="130">
        <f t="shared" si="23"/>
        <v>14579.152499999998</v>
      </c>
      <c r="CJ22" s="130">
        <f t="shared" si="23"/>
        <v>17400.432499999999</v>
      </c>
      <c r="CK22" s="130">
        <f t="shared" si="23"/>
        <v>19257.975000000002</v>
      </c>
      <c r="CL22" s="60">
        <f t="shared" si="23"/>
        <v>20152.024047465638</v>
      </c>
      <c r="CM22" s="60">
        <f t="shared" si="23"/>
        <v>17294.098919443943</v>
      </c>
      <c r="CN22" s="60">
        <f t="shared" si="23"/>
        <v>18067.537408893637</v>
      </c>
      <c r="CO22" s="60">
        <f t="shared" si="23"/>
        <v>20409.483413098398</v>
      </c>
      <c r="CP22" s="60">
        <f t="shared" si="23"/>
        <v>24870.139632451464</v>
      </c>
      <c r="CQ22" s="60">
        <f t="shared" si="23"/>
        <v>24518.842396034444</v>
      </c>
      <c r="CR22" s="60">
        <f t="shared" si="23"/>
        <v>22816.760567378413</v>
      </c>
      <c r="CS22" s="60">
        <f t="shared" si="23"/>
        <v>19797.112522739448</v>
      </c>
      <c r="CT22" s="60">
        <f t="shared" ref="CT22:DU22" si="24">(CT15/CT17)*CT19</f>
        <v>13520.000194129167</v>
      </c>
      <c r="CU22" s="60">
        <f t="shared" si="24"/>
        <v>13987.569058152141</v>
      </c>
      <c r="CV22" s="60">
        <f t="shared" si="24"/>
        <v>17303.033593221586</v>
      </c>
      <c r="CW22" s="60">
        <f t="shared" si="24"/>
        <v>18982.105553865633</v>
      </c>
      <c r="CX22" s="60">
        <f t="shared" si="24"/>
        <v>20152.024047465638</v>
      </c>
      <c r="CY22" s="60">
        <f t="shared" si="24"/>
        <v>17294.098919443939</v>
      </c>
      <c r="CZ22" s="60">
        <f t="shared" si="24"/>
        <v>18067.537408893641</v>
      </c>
      <c r="DA22" s="60">
        <f t="shared" si="24"/>
        <v>20409.483413098398</v>
      </c>
      <c r="DB22" s="60">
        <f t="shared" si="24"/>
        <v>24870.139632451464</v>
      </c>
      <c r="DC22" s="60">
        <f t="shared" si="24"/>
        <v>24518.842396034444</v>
      </c>
      <c r="DD22" s="60">
        <f t="shared" si="24"/>
        <v>22816.760567378416</v>
      </c>
      <c r="DE22" s="60">
        <f t="shared" si="24"/>
        <v>19797.112522739448</v>
      </c>
      <c r="DF22" s="60">
        <f t="shared" si="24"/>
        <v>13520.000194129165</v>
      </c>
      <c r="DG22" s="60">
        <f t="shared" si="24"/>
        <v>13987.569058152141</v>
      </c>
      <c r="DH22" s="60">
        <f t="shared" si="24"/>
        <v>17303.033593221582</v>
      </c>
      <c r="DI22" s="60">
        <f t="shared" si="24"/>
        <v>18982.105553865629</v>
      </c>
      <c r="DJ22" s="60">
        <f t="shared" si="24"/>
        <v>20152.024047465642</v>
      </c>
      <c r="DK22" s="60">
        <f t="shared" si="24"/>
        <v>17294.098919443943</v>
      </c>
      <c r="DL22" s="60">
        <f t="shared" si="24"/>
        <v>18067.537408893637</v>
      </c>
      <c r="DM22" s="60">
        <f t="shared" si="24"/>
        <v>20409.483413098398</v>
      </c>
      <c r="DN22" s="60">
        <f t="shared" si="24"/>
        <v>24870.139632451461</v>
      </c>
      <c r="DO22" s="60">
        <f t="shared" si="24"/>
        <v>24518.842396034444</v>
      </c>
      <c r="DP22" s="60">
        <f t="shared" si="24"/>
        <v>22816.760567378413</v>
      </c>
      <c r="DQ22" s="60">
        <f t="shared" si="24"/>
        <v>19797.112522739448</v>
      </c>
      <c r="DR22" s="60">
        <f t="shared" si="24"/>
        <v>13520.000194129167</v>
      </c>
      <c r="DS22" s="60">
        <f t="shared" si="24"/>
        <v>13987.569058152139</v>
      </c>
      <c r="DT22" s="60">
        <f t="shared" si="24"/>
        <v>17303.033593221582</v>
      </c>
      <c r="DU22" s="60">
        <f t="shared" si="24"/>
        <v>18982.105553865633</v>
      </c>
    </row>
    <row r="23" spans="1:125" s="31" customFormat="1" ht="13" x14ac:dyDescent="0.3">
      <c r="A23" s="30" t="s">
        <v>138</v>
      </c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81"/>
      <c r="BC23" s="81"/>
      <c r="BD23" s="81"/>
      <c r="BE23" s="81"/>
      <c r="BF23" s="81"/>
      <c r="BG23" s="81"/>
      <c r="BH23" s="81"/>
      <c r="BI23" s="81"/>
      <c r="BJ23" s="81"/>
      <c r="BK23" s="81"/>
      <c r="BL23" s="81"/>
      <c r="BM23" s="81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130"/>
      <c r="CA23" s="130"/>
      <c r="CB23" s="130"/>
      <c r="CC23" s="130"/>
      <c r="CD23" s="130"/>
      <c r="CE23" s="130"/>
      <c r="CF23" s="130"/>
      <c r="CG23" s="130"/>
      <c r="CH23" s="130"/>
      <c r="CI23" s="130"/>
      <c r="CJ23" s="130"/>
      <c r="CK23" s="130"/>
      <c r="CL23" s="60">
        <f t="shared" ref="CL23:DU23" si="25">(CL16/CL17)*CL19</f>
        <v>34624.841317918232</v>
      </c>
      <c r="CM23" s="60">
        <f t="shared" si="25"/>
        <v>29714.40632522641</v>
      </c>
      <c r="CN23" s="60">
        <f t="shared" si="25"/>
        <v>31043.314275280885</v>
      </c>
      <c r="CO23" s="60">
        <f t="shared" si="25"/>
        <v>35067.203318869062</v>
      </c>
      <c r="CP23" s="60">
        <f t="shared" si="25"/>
        <v>42731.421732121147</v>
      </c>
      <c r="CQ23" s="60">
        <f t="shared" si="25"/>
        <v>42127.829207731906</v>
      </c>
      <c r="CR23" s="60">
        <f t="shared" si="25"/>
        <v>39203.343156677452</v>
      </c>
      <c r="CS23" s="60">
        <f t="shared" si="25"/>
        <v>34015.038789070502</v>
      </c>
      <c r="CT23" s="60">
        <f t="shared" si="25"/>
        <v>23229.818515367384</v>
      </c>
      <c r="CU23" s="60">
        <f t="shared" si="25"/>
        <v>24033.186836279587</v>
      </c>
      <c r="CV23" s="60">
        <f t="shared" si="25"/>
        <v>29729.757719262539</v>
      </c>
      <c r="CW23" s="60">
        <f t="shared" si="25"/>
        <v>32614.708633460039</v>
      </c>
      <c r="CX23" s="60">
        <f t="shared" si="25"/>
        <v>34624.841317918239</v>
      </c>
      <c r="CY23" s="60">
        <f t="shared" si="25"/>
        <v>29714.40632522641</v>
      </c>
      <c r="CZ23" s="60">
        <f t="shared" si="25"/>
        <v>31043.314275280889</v>
      </c>
      <c r="DA23" s="60">
        <f t="shared" si="25"/>
        <v>35067.203318869062</v>
      </c>
      <c r="DB23" s="60">
        <f t="shared" si="25"/>
        <v>42731.421732121147</v>
      </c>
      <c r="DC23" s="60">
        <f t="shared" si="25"/>
        <v>42127.829207731906</v>
      </c>
      <c r="DD23" s="60">
        <f t="shared" si="25"/>
        <v>39203.343156677452</v>
      </c>
      <c r="DE23" s="60">
        <f t="shared" si="25"/>
        <v>34015.038789070502</v>
      </c>
      <c r="DF23" s="60">
        <f t="shared" si="25"/>
        <v>23229.81851536738</v>
      </c>
      <c r="DG23" s="60">
        <f t="shared" si="25"/>
        <v>24033.186836279587</v>
      </c>
      <c r="DH23" s="60">
        <f t="shared" si="25"/>
        <v>29729.757719262539</v>
      </c>
      <c r="DI23" s="60">
        <f t="shared" si="25"/>
        <v>32614.708633460043</v>
      </c>
      <c r="DJ23" s="60">
        <f t="shared" si="25"/>
        <v>46752.695790120284</v>
      </c>
      <c r="DK23" s="60">
        <f t="shared" si="25"/>
        <v>40122.30949310994</v>
      </c>
      <c r="DL23" s="60">
        <f t="shared" si="25"/>
        <v>41916.68678863324</v>
      </c>
      <c r="DM23" s="60">
        <f t="shared" si="25"/>
        <v>47350.001518388279</v>
      </c>
      <c r="DN23" s="60">
        <f t="shared" si="25"/>
        <v>57698.723947287392</v>
      </c>
      <c r="DO23" s="60">
        <f t="shared" si="25"/>
        <v>56883.714358799909</v>
      </c>
      <c r="DP23" s="60">
        <f t="shared" si="25"/>
        <v>52934.884516317921</v>
      </c>
      <c r="DQ23" s="60">
        <f t="shared" si="25"/>
        <v>45929.301052755516</v>
      </c>
      <c r="DR23" s="60">
        <f t="shared" si="25"/>
        <v>31366.400450379664</v>
      </c>
      <c r="DS23" s="60">
        <f t="shared" si="25"/>
        <v>32451.160214912961</v>
      </c>
      <c r="DT23" s="60">
        <f t="shared" si="25"/>
        <v>40143.037936274071</v>
      </c>
      <c r="DU23" s="60">
        <f t="shared" si="25"/>
        <v>44038.48488496826</v>
      </c>
    </row>
    <row r="24" spans="1:125" x14ac:dyDescent="0.35">
      <c r="BB24" s="78"/>
      <c r="BC24" s="78"/>
      <c r="BD24" s="78"/>
      <c r="BE24" s="78"/>
      <c r="BF24" s="78"/>
      <c r="BG24" s="78"/>
      <c r="BH24" s="78"/>
      <c r="BI24" s="78"/>
      <c r="BJ24" s="78"/>
      <c r="BK24" s="78"/>
      <c r="BL24" s="78"/>
      <c r="BM24" s="78"/>
      <c r="BN24" s="47"/>
      <c r="BO24" s="47"/>
      <c r="BP24" s="47"/>
      <c r="BQ24" s="47"/>
      <c r="BR24" s="47"/>
      <c r="BS24" s="47"/>
      <c r="BT24" s="47"/>
      <c r="BU24" s="47"/>
      <c r="BV24" s="47"/>
      <c r="BW24" s="47"/>
      <c r="BX24" s="47"/>
      <c r="BY24" s="47"/>
      <c r="CL24" s="57"/>
      <c r="CM24" s="57"/>
      <c r="CN24" s="57"/>
      <c r="CO24" s="57"/>
      <c r="CP24" s="57"/>
      <c r="CQ24" s="57"/>
      <c r="CR24" s="57"/>
      <c r="CS24" s="57"/>
      <c r="CT24" s="57"/>
      <c r="CU24" s="57"/>
      <c r="CV24" s="57"/>
      <c r="CW24" s="57"/>
      <c r="CX24" s="57"/>
      <c r="CY24" s="57"/>
      <c r="CZ24" s="57"/>
      <c r="DA24" s="57"/>
      <c r="DB24" s="57"/>
      <c r="DC24" s="57"/>
      <c r="DD24" s="57"/>
      <c r="DE24" s="57"/>
      <c r="DF24" s="57"/>
      <c r="DG24" s="57"/>
      <c r="DH24" s="57"/>
      <c r="DI24" s="57"/>
      <c r="DJ24" s="57"/>
      <c r="DK24" s="57"/>
      <c r="DL24" s="57"/>
      <c r="DM24" s="57"/>
      <c r="DN24" s="57"/>
      <c r="DO24" s="57"/>
      <c r="DP24" s="57"/>
      <c r="DQ24" s="57"/>
      <c r="DR24" s="57"/>
      <c r="DS24" s="57"/>
      <c r="DT24" s="57"/>
      <c r="DU24" s="57"/>
    </row>
    <row r="25" spans="1:125" s="117" customFormat="1" x14ac:dyDescent="0.35">
      <c r="A25" s="5" t="s">
        <v>123</v>
      </c>
      <c r="B25" s="52">
        <f>AVERAGE($B$13:$E$13)*'Price tables'!$B$9</f>
        <v>1489577.5</v>
      </c>
      <c r="C25" s="52">
        <f>AVERAGE($B$13:$E$13)*'Price tables'!$B$9</f>
        <v>1489577.5</v>
      </c>
      <c r="D25" s="52">
        <f>AVERAGE($B$13:$E$13)*'Price tables'!$B$9</f>
        <v>1489577.5</v>
      </c>
      <c r="E25" s="52">
        <f>AVERAGE($B$13:$E$13)*'Price tables'!$B$9</f>
        <v>1489577.5</v>
      </c>
      <c r="F25" s="52">
        <f>HLOOKUP(F9,'Att. #1'!$C$7:$L$78,72,FALSE)</f>
        <v>1378961</v>
      </c>
      <c r="G25" s="52">
        <f>HLOOKUP(G9,'Att. #1'!$C$7:$L$78,72,FALSE)</f>
        <v>1378961</v>
      </c>
      <c r="H25" s="52">
        <f>HLOOKUP(H9,'Att. #1'!$C$7:$L$78,72,FALSE)</f>
        <v>1378961</v>
      </c>
      <c r="I25" s="52">
        <f>HLOOKUP(I9,'Att. #1'!$C$7:$L$78,72,FALSE)</f>
        <v>1378961</v>
      </c>
      <c r="J25" s="52">
        <f>HLOOKUP(J9,'Att. #1'!$C$7:$L$78,72,FALSE)</f>
        <v>1378961</v>
      </c>
      <c r="K25" s="52">
        <f>HLOOKUP(K9,'Att. #1'!$C$7:$L$78,72,FALSE)</f>
        <v>1378961</v>
      </c>
      <c r="L25" s="52">
        <f>HLOOKUP(L9,'Att. #1'!$C$7:$L$78,72,FALSE)</f>
        <v>1378961</v>
      </c>
      <c r="M25" s="52">
        <f>HLOOKUP(M9,'Att. #1'!$C$7:$L$78,72,FALSE)</f>
        <v>1378961</v>
      </c>
      <c r="N25" s="52">
        <f>HLOOKUP(N9,'Att. #1'!$C$7:$L$78,72,FALSE)</f>
        <v>1378961</v>
      </c>
      <c r="O25" s="52">
        <f>HLOOKUP(O9,'Att. #1'!$C$7:$L$78,72,FALSE)</f>
        <v>1378961</v>
      </c>
      <c r="P25" s="52">
        <f>HLOOKUP(P9,'Att. #1'!$C$7:$L$78,72,FALSE)</f>
        <v>1378961</v>
      </c>
      <c r="Q25" s="52">
        <f>HLOOKUP(Q9,'Att. #1'!$C$7:$L$78,72,FALSE)</f>
        <v>1378961</v>
      </c>
      <c r="R25" s="52">
        <f>HLOOKUP(R9,'Att. #1'!$C$7:$L$78,72,FALSE)</f>
        <v>1866287</v>
      </c>
      <c r="S25" s="52">
        <f>HLOOKUP(S9,'Att. #1'!$C$7:$L$78,72,FALSE)</f>
        <v>1866287</v>
      </c>
      <c r="T25" s="52">
        <f>HLOOKUP(T9,'Att. #1'!$C$7:$L$78,72,FALSE)</f>
        <v>1866287</v>
      </c>
      <c r="U25" s="52">
        <f>HLOOKUP(U9,'Att. #1'!$C$7:$L$78,72,FALSE)</f>
        <v>1866287</v>
      </c>
      <c r="V25" s="52">
        <f>HLOOKUP(V9,'Att. #1'!$C$7:$L$78,72,FALSE)</f>
        <v>1866287</v>
      </c>
      <c r="W25" s="52">
        <f>HLOOKUP(W9,'Att. #1'!$C$7:$L$78,72,FALSE)</f>
        <v>1866287</v>
      </c>
      <c r="X25" s="52">
        <f>HLOOKUP(X9,'Att. #1'!$C$7:$L$78,72,FALSE)</f>
        <v>1866287</v>
      </c>
      <c r="Y25" s="52">
        <f>HLOOKUP(Y9,'Att. #1'!$C$7:$L$78,72,FALSE)</f>
        <v>1866287</v>
      </c>
      <c r="Z25" s="52">
        <f>HLOOKUP(Z9,'Att. #1'!$C$7:$L$78,72,FALSE)</f>
        <v>1866287</v>
      </c>
      <c r="AA25" s="52">
        <f>HLOOKUP(AA9,'Att. #1'!$C$7:$L$78,72,FALSE)</f>
        <v>1866287</v>
      </c>
      <c r="AB25" s="52">
        <f>HLOOKUP(AB9,'Att. #1'!$C$7:$L$78,72,FALSE)</f>
        <v>1866287</v>
      </c>
      <c r="AC25" s="52">
        <f>HLOOKUP(AC9,'Att. #1'!$C$7:$L$78,72,FALSE)</f>
        <v>1866287</v>
      </c>
      <c r="AD25" s="52">
        <f>HLOOKUP(AD9,'Att. #1'!$C$7:$L$78,72,FALSE)</f>
        <v>1637586</v>
      </c>
      <c r="AE25" s="52">
        <f>HLOOKUP(AE9,'Att. #1'!$C$7:$L$78,72,FALSE)</f>
        <v>1637586</v>
      </c>
      <c r="AF25" s="52">
        <f>HLOOKUP(AF9,'Att. #1'!$C$7:$L$78,72,FALSE)</f>
        <v>1637586</v>
      </c>
      <c r="AG25" s="52">
        <f>HLOOKUP(AG9,'Att. #1'!$C$7:$L$78,72,FALSE)</f>
        <v>1637586</v>
      </c>
      <c r="AH25" s="52">
        <f>HLOOKUP(AH9,'Att. #1'!$C$7:$L$78,72,FALSE)</f>
        <v>1637586</v>
      </c>
      <c r="AI25" s="52">
        <f>HLOOKUP(AI9,'Att. #1'!$C$7:$L$78,72,FALSE)</f>
        <v>1637586</v>
      </c>
      <c r="AJ25" s="52">
        <f>HLOOKUP(AJ9,'Att. #1'!$C$7:$L$78,72,FALSE)</f>
        <v>1637586</v>
      </c>
      <c r="AK25" s="52">
        <f>HLOOKUP(AK9,'Att. #1'!$C$7:$L$78,72,FALSE)</f>
        <v>1637586</v>
      </c>
      <c r="AL25" s="52">
        <f>HLOOKUP(AL9,'Att. #1'!$C$7:$L$78,72,FALSE)</f>
        <v>1637586</v>
      </c>
      <c r="AM25" s="52">
        <f>HLOOKUP(AM9,'Att. #1'!$C$7:$L$78,72,FALSE)</f>
        <v>1637586</v>
      </c>
      <c r="AN25" s="52">
        <f>HLOOKUP(AN9,'Att. #1'!$C$7:$L$78,72,FALSE)</f>
        <v>1637586</v>
      </c>
      <c r="AO25" s="52">
        <f>HLOOKUP(AO9,'Att. #1'!$C$7:$L$78,72,FALSE)</f>
        <v>1637586</v>
      </c>
      <c r="AP25" s="52">
        <f>HLOOKUP(AP9,'Att. #1'!$C$7:$L$78,72,FALSE)</f>
        <v>1693446</v>
      </c>
      <c r="AQ25" s="52">
        <f>HLOOKUP(AQ9,'Att. #1'!$C$7:$L$78,72,FALSE)</f>
        <v>1693446</v>
      </c>
      <c r="AR25" s="52">
        <f>HLOOKUP(AR9,'Att. #1'!$C$7:$L$78,72,FALSE)</f>
        <v>1693446</v>
      </c>
      <c r="AS25" s="52">
        <f>HLOOKUP(AS9,'Att. #1'!$C$7:$L$78,72,FALSE)</f>
        <v>1693446</v>
      </c>
      <c r="AT25" s="52">
        <f>HLOOKUP(AT9,'Att. #1'!$C$7:$L$78,72,FALSE)</f>
        <v>1693446</v>
      </c>
      <c r="AU25" s="52">
        <f>HLOOKUP(AU9,'Att. #1'!$C$7:$L$78,72,FALSE)</f>
        <v>1693446</v>
      </c>
      <c r="AV25" s="52">
        <f>HLOOKUP(AV9,'Att. #1'!$C$7:$L$78,72,FALSE)</f>
        <v>1693446</v>
      </c>
      <c r="AW25" s="52">
        <f>HLOOKUP(AW9,'Att. #1'!$C$7:$L$78,72,FALSE)</f>
        <v>1693446</v>
      </c>
      <c r="AX25" s="52">
        <f>HLOOKUP(AX9,'Att. #1'!$C$7:$L$78,72,FALSE)</f>
        <v>1693446</v>
      </c>
      <c r="AY25" s="52">
        <f>HLOOKUP(AY9,'Att. #1'!$C$7:$L$78,72,FALSE)</f>
        <v>1693446</v>
      </c>
      <c r="AZ25" s="52">
        <f>HLOOKUP(AZ9,'Att. #1'!$C$7:$L$78,72,FALSE)</f>
        <v>1693446</v>
      </c>
      <c r="BA25" s="52">
        <f>HLOOKUP(BA9,'Att. #1'!$C$7:$L$78,72,FALSE)</f>
        <v>1693446</v>
      </c>
      <c r="BB25" s="86">
        <f>HLOOKUP(BB9,'Att. #1'!$C$7:$L$78,72,FALSE)</f>
        <v>1777100</v>
      </c>
      <c r="BC25" s="86">
        <f>HLOOKUP(BC9,'Att. #1'!$C$7:$L$78,72,FALSE)</f>
        <v>1777100</v>
      </c>
      <c r="BD25" s="86">
        <f>HLOOKUP(BD9,'Att. #1'!$C$7:$L$78,72,FALSE)</f>
        <v>1777100</v>
      </c>
      <c r="BE25" s="86">
        <f>HLOOKUP(BE9,'Att. #1'!$C$7:$L$78,72,FALSE)</f>
        <v>1777100</v>
      </c>
      <c r="BF25" s="86">
        <f>HLOOKUP(BF9,'Att. #1'!$C$7:$L$78,72,FALSE)</f>
        <v>1777100</v>
      </c>
      <c r="BG25" s="86">
        <f>HLOOKUP(BG9,'Att. #1'!$C$7:$L$78,72,FALSE)</f>
        <v>1777100</v>
      </c>
      <c r="BH25" s="86">
        <f>HLOOKUP(BH9,'Att. #1'!$C$7:$L$78,72,FALSE)</f>
        <v>1777100</v>
      </c>
      <c r="BI25" s="86">
        <f>HLOOKUP(BI9,'Att. #1'!$C$7:$L$78,72,FALSE)</f>
        <v>1777100</v>
      </c>
      <c r="BJ25" s="86">
        <f>HLOOKUP(BJ9,'Att. #1'!$C$7:$L$78,72,FALSE)</f>
        <v>1777100</v>
      </c>
      <c r="BK25" s="86">
        <f>HLOOKUP(BK9,'Att. #1'!$C$7:$L$78,72,FALSE)</f>
        <v>1777100</v>
      </c>
      <c r="BL25" s="86">
        <f>HLOOKUP(BL9,'Att. #1'!$C$7:$L$78,72,FALSE)</f>
        <v>1777100</v>
      </c>
      <c r="BM25" s="86">
        <f>HLOOKUP(BM9,'Att. #1'!$C$7:$L$78,72,FALSE)</f>
        <v>1777100</v>
      </c>
      <c r="BN25" s="52">
        <f>HLOOKUP(BN9,'Att. #1'!$C$7:$L$78,72,FALSE)</f>
        <v>769391.87766058778</v>
      </c>
      <c r="BO25" s="52">
        <f>HLOOKUP(BO9,'Att. #1'!$C$7:$L$78,72,FALSE)</f>
        <v>769391.87766058778</v>
      </c>
      <c r="BP25" s="52">
        <f>HLOOKUP(BP9,'Att. #1'!$C$7:$L$78,72,FALSE)</f>
        <v>769391.87766058778</v>
      </c>
      <c r="BQ25" s="52">
        <f>HLOOKUP(BQ9,'Att. #1'!$C$7:$L$78,72,FALSE)</f>
        <v>769391.87766058778</v>
      </c>
      <c r="BR25" s="52">
        <f>HLOOKUP(BR9,'Att. #1'!$C$7:$L$78,72,FALSE)</f>
        <v>769391.87766058778</v>
      </c>
      <c r="BS25" s="52">
        <f>HLOOKUP(BS9,'Att. #1'!$C$7:$L$78,72,FALSE)</f>
        <v>769391.87766058778</v>
      </c>
      <c r="BT25" s="52">
        <f>HLOOKUP(BT9,'Att. #1'!$C$7:$L$78,72,FALSE)</f>
        <v>769391.87766058778</v>
      </c>
      <c r="BU25" s="52">
        <f>HLOOKUP(BU9,'Att. #1'!$C$7:$L$78,72,FALSE)</f>
        <v>769391.87766058778</v>
      </c>
      <c r="BV25" s="52">
        <f>HLOOKUP(BV9,'Att. #1'!$C$7:$L$78,72,FALSE)</f>
        <v>769391.87766058778</v>
      </c>
      <c r="BW25" s="52">
        <f>HLOOKUP(BW9,'Att. #1'!$C$7:$L$78,72,FALSE)</f>
        <v>769391.87766058778</v>
      </c>
      <c r="BX25" s="52">
        <f>HLOOKUP(BX9,'Att. #1'!$C$7:$L$78,72,FALSE)</f>
        <v>769391.87766058778</v>
      </c>
      <c r="BY25" s="52">
        <f>HLOOKUP(BY9,'Att. #1'!$C$7:$L$78,72,FALSE)</f>
        <v>769391.87766058778</v>
      </c>
      <c r="BZ25" s="134">
        <f>HLOOKUP(BZ9,'Att. #1'!$C$7:$L$78,72,FALSE)</f>
        <v>850117.73988986004</v>
      </c>
      <c r="CA25" s="134">
        <f>HLOOKUP(CA9,'Att. #1'!$C$7:$L$78,72,FALSE)</f>
        <v>850117.73988986004</v>
      </c>
      <c r="CB25" s="134">
        <f>HLOOKUP(CB9,'Att. #1'!$C$7:$L$78,72,FALSE)</f>
        <v>850117.73988986004</v>
      </c>
      <c r="CC25" s="134">
        <f>HLOOKUP(CC9,'Att. #1'!$C$7:$L$78,72,FALSE)</f>
        <v>850117.73988986004</v>
      </c>
      <c r="CD25" s="134">
        <f>HLOOKUP(CD9,'Att. #1'!$C$7:$L$78,72,FALSE)</f>
        <v>850117.73988986004</v>
      </c>
      <c r="CE25" s="134">
        <f>HLOOKUP(CE9,'Att. #1'!$C$7:$L$78,72,FALSE)</f>
        <v>850117.73988986004</v>
      </c>
      <c r="CF25" s="134">
        <f>HLOOKUP(CF9,'Att. #1'!$C$7:$L$78,72,FALSE)</f>
        <v>850117.73988986004</v>
      </c>
      <c r="CG25" s="134">
        <f>HLOOKUP(CG9,'Att. #1'!$C$7:$L$78,72,FALSE)</f>
        <v>850117.73988986004</v>
      </c>
      <c r="CH25" s="134">
        <f>HLOOKUP(CH9,'Att. #1'!$C$7:$L$78,72,FALSE)</f>
        <v>850117.73988986004</v>
      </c>
      <c r="CI25" s="134">
        <f>HLOOKUP(CI9,'Att. #1'!$C$7:$L$78,72,FALSE)</f>
        <v>850117.73988986004</v>
      </c>
      <c r="CJ25" s="134">
        <f>HLOOKUP(CJ9,'Att. #1'!$C$7:$L$78,72,FALSE)</f>
        <v>850117.73988986004</v>
      </c>
      <c r="CK25" s="134">
        <f>HLOOKUP(CK9,'Att. #1'!$C$7:$L$78,72,FALSE)</f>
        <v>850117.73988986004</v>
      </c>
      <c r="CL25" s="64">
        <f>HLOOKUP(CL9,'Att. #1'!$C$7:$L$78,72,FALSE)</f>
        <v>323515.8989137208</v>
      </c>
      <c r="CM25" s="64">
        <f>HLOOKUP(CM9,'Att. #1'!$C$7:$L$78,72,FALSE)</f>
        <v>323515.8989137208</v>
      </c>
      <c r="CN25" s="64">
        <f>HLOOKUP(CN9,'Att. #1'!$C$7:$L$78,72,FALSE)</f>
        <v>323515.8989137208</v>
      </c>
      <c r="CO25" s="64">
        <f>HLOOKUP(CO9,'Att. #1'!$C$7:$L$78,72,FALSE)</f>
        <v>323515.8989137208</v>
      </c>
      <c r="CP25" s="64">
        <f>HLOOKUP(CP9,'Att. #1'!$C$7:$L$78,72,FALSE)</f>
        <v>323515.8989137208</v>
      </c>
      <c r="CQ25" s="64">
        <f>HLOOKUP(CQ9,'Att. #1'!$C$7:$L$78,72,FALSE)</f>
        <v>323515.8989137208</v>
      </c>
      <c r="CR25" s="64">
        <f>HLOOKUP(CR9,'Att. #1'!$C$7:$L$78,72,FALSE)</f>
        <v>323515.8989137208</v>
      </c>
      <c r="CS25" s="64">
        <f>HLOOKUP(CS9,'Att. #1'!$C$7:$L$78,72,FALSE)</f>
        <v>323515.8989137208</v>
      </c>
      <c r="CT25" s="64">
        <f>HLOOKUP(CT9,'Att. #1'!$C$7:$L$78,72,FALSE)</f>
        <v>323515.8989137208</v>
      </c>
      <c r="CU25" s="64">
        <f>HLOOKUP(CU9,'Att. #1'!$C$7:$L$78,72,FALSE)</f>
        <v>323515.8989137208</v>
      </c>
      <c r="CV25" s="64">
        <f>HLOOKUP(CV9,'Att. #1'!$C$7:$L$78,72,FALSE)</f>
        <v>323515.8989137208</v>
      </c>
      <c r="CW25" s="64">
        <f>HLOOKUP(CW9,'Att. #1'!$C$7:$L$78,72,FALSE)</f>
        <v>323515.8989137208</v>
      </c>
      <c r="CX25" s="64">
        <f>HLOOKUP(CX9,'Att. #1'!$C$7:$L$78,72,FALSE)</f>
        <v>452515.48881987482</v>
      </c>
      <c r="CY25" s="64">
        <f>HLOOKUP(CY9,'Att. #1'!$C$7:$L$78,72,FALSE)</f>
        <v>452515.48881987482</v>
      </c>
      <c r="CZ25" s="64">
        <f>HLOOKUP(CZ9,'Att. #1'!$C$7:$L$78,72,FALSE)</f>
        <v>452515.48881987482</v>
      </c>
      <c r="DA25" s="64">
        <f>HLOOKUP(DA9,'Att. #1'!$C$7:$L$78,72,FALSE)</f>
        <v>452515.48881987482</v>
      </c>
      <c r="DB25" s="64">
        <f>HLOOKUP(DB9,'Att. #1'!$C$7:$L$78,72,FALSE)</f>
        <v>452515.48881987482</v>
      </c>
      <c r="DC25" s="64">
        <f>HLOOKUP(DC9,'Att. #1'!$C$7:$L$78,72,FALSE)</f>
        <v>452515.48881987482</v>
      </c>
      <c r="DD25" s="64">
        <f>HLOOKUP(DD9,'Att. #1'!$C$7:$L$78,72,FALSE)</f>
        <v>452515.48881987482</v>
      </c>
      <c r="DE25" s="64">
        <f>HLOOKUP(DE9,'Att. #1'!$C$7:$L$78,72,FALSE)</f>
        <v>452515.48881987482</v>
      </c>
      <c r="DF25" s="64">
        <f>HLOOKUP(DF9,'Att. #1'!$C$7:$L$78,72,FALSE)</f>
        <v>452515.48881987482</v>
      </c>
      <c r="DG25" s="64">
        <f>HLOOKUP(DG9,'Att. #1'!$C$7:$L$78,72,FALSE)</f>
        <v>452515.48881987482</v>
      </c>
      <c r="DH25" s="64">
        <f>HLOOKUP(DH9,'Att. #1'!$C$7:$L$78,72,FALSE)</f>
        <v>452515.48881987482</v>
      </c>
      <c r="DI25" s="64">
        <f>HLOOKUP(DI9,'Att. #1'!$C$7:$L$78,72,FALSE)</f>
        <v>452515.48881987482</v>
      </c>
      <c r="DJ25" s="64">
        <f>HLOOKUP(DJ9,'Att. #1'!$C$7:$L$78,72,FALSE)</f>
        <v>571401.23598083039</v>
      </c>
      <c r="DK25" s="64">
        <f>HLOOKUP(DK9,'Att. #1'!$C$7:$L$78,72,FALSE)</f>
        <v>571401.23598083039</v>
      </c>
      <c r="DL25" s="64">
        <f>HLOOKUP(DL9,'Att. #1'!$C$7:$L$78,72,FALSE)</f>
        <v>571401.23598083039</v>
      </c>
      <c r="DM25" s="64">
        <f>HLOOKUP(DM9,'Att. #1'!$C$7:$L$78,72,FALSE)</f>
        <v>571401.23598083039</v>
      </c>
      <c r="DN25" s="64">
        <f>HLOOKUP(DN9,'Att. #1'!$C$7:$L$78,72,FALSE)</f>
        <v>571401.23598083039</v>
      </c>
      <c r="DO25" s="64">
        <f>HLOOKUP(DO9,'Att. #1'!$C$7:$L$78,72,FALSE)</f>
        <v>571401.23598083039</v>
      </c>
      <c r="DP25" s="64">
        <f>HLOOKUP(DP9,'Att. #1'!$C$7:$L$78,72,FALSE)</f>
        <v>571401.23598083039</v>
      </c>
      <c r="DQ25" s="64">
        <f>HLOOKUP(DQ9,'Att. #1'!$C$7:$L$78,72,FALSE)</f>
        <v>571401.23598083039</v>
      </c>
      <c r="DR25" s="64">
        <f>HLOOKUP(DR9,'Att. #1'!$C$7:$L$78,72,FALSE)</f>
        <v>571401.23598083039</v>
      </c>
      <c r="DS25" s="64">
        <f>HLOOKUP(DS9,'Att. #1'!$C$7:$L$78,72,FALSE)</f>
        <v>571401.23598083039</v>
      </c>
      <c r="DT25" s="64">
        <f>HLOOKUP(DT9,'Att. #1'!$C$7:$L$78,72,FALSE)</f>
        <v>571401.23598083039</v>
      </c>
      <c r="DU25" s="64">
        <f>HLOOKUP(DU9,'Att. #1'!$C$7:$L$78,72,FALSE)</f>
        <v>571401.23598083039</v>
      </c>
    </row>
    <row r="26" spans="1:125" x14ac:dyDescent="0.35">
      <c r="A26" s="33" t="s">
        <v>125</v>
      </c>
      <c r="B26" s="53">
        <f>HLOOKUP(B9,'Price tables'!$B$13:$L$17,5,FALSE)</f>
        <v>10</v>
      </c>
      <c r="C26" s="53">
        <f>HLOOKUP(C9,'Price tables'!$B$13:$L$17,5,FALSE)</f>
        <v>10</v>
      </c>
      <c r="D26" s="53">
        <f>HLOOKUP(D9,'Price tables'!$B$13:$L$17,5,FALSE)</f>
        <v>10</v>
      </c>
      <c r="E26" s="53">
        <f>HLOOKUP(E9,'Price tables'!$B$13:$L$17,2,FALSE)</f>
        <v>17</v>
      </c>
      <c r="F26" s="53">
        <f>HLOOKUP(F9,'Price tables'!$B$13:$L$17,2,FALSE)</f>
        <v>17</v>
      </c>
      <c r="G26" s="53">
        <f>HLOOKUP(G9,'Price tables'!$B$13:$L$17,2,FALSE)</f>
        <v>17</v>
      </c>
      <c r="H26" s="53">
        <f>HLOOKUP(H9,'Price tables'!$B$13:$L$17,5,FALSE)</f>
        <v>10</v>
      </c>
      <c r="I26" s="53">
        <f>HLOOKUP(I9,'Price tables'!$B$13:$L$17,3,FALSE)</f>
        <v>7</v>
      </c>
      <c r="J26" s="53">
        <f>HLOOKUP(J9,'Price tables'!$B$13:$L$17,3,FALSE)</f>
        <v>7</v>
      </c>
      <c r="K26" s="53">
        <f>HLOOKUP(K9,'Price tables'!$B$13:$L$17,3,FALSE)</f>
        <v>7</v>
      </c>
      <c r="L26" s="53">
        <f>HLOOKUP(L9,'Price tables'!$B$13:$L$17,4,FALSE)</f>
        <v>17</v>
      </c>
      <c r="M26" s="53">
        <f>HLOOKUP(M9,'Price tables'!$B$13:$L$17,4,FALSE)</f>
        <v>17</v>
      </c>
      <c r="N26" s="53">
        <f>HLOOKUP(N9,'Price tables'!$B$13:$L$17,5,FALSE)</f>
        <v>10</v>
      </c>
      <c r="O26" s="53">
        <f>HLOOKUP(O9,'Price tables'!$B$13:$L$17,5,FALSE)</f>
        <v>10</v>
      </c>
      <c r="P26" s="53">
        <f>HLOOKUP(P9,'Price tables'!$B$13:$L$17,5,FALSE)</f>
        <v>10</v>
      </c>
      <c r="Q26" s="53">
        <f>HLOOKUP(Q9,'Price tables'!$B$13:$L$17,2,FALSE)</f>
        <v>17</v>
      </c>
      <c r="R26" s="53">
        <f>HLOOKUP(R9,'Price tables'!$B$13:$L$17,2,FALSE)</f>
        <v>17.510000000000002</v>
      </c>
      <c r="S26" s="53">
        <f>HLOOKUP(S9,'Price tables'!$B$13:$L$17,2,FALSE)</f>
        <v>17.510000000000002</v>
      </c>
      <c r="T26" s="53">
        <f>HLOOKUP(T9,'Price tables'!$B$13:$L$17,5,FALSE)</f>
        <v>10.3</v>
      </c>
      <c r="U26" s="53">
        <f>HLOOKUP(U9,'Price tables'!$B$13:$L$17,3,FALSE)</f>
        <v>7.21</v>
      </c>
      <c r="V26" s="53">
        <f>HLOOKUP(V9,'Price tables'!$B$13:$L$17,3,FALSE)</f>
        <v>7.21</v>
      </c>
      <c r="W26" s="53">
        <f>HLOOKUP(W9,'Price tables'!$B$13:$L$17,3,FALSE)</f>
        <v>7.21</v>
      </c>
      <c r="X26" s="53">
        <f>HLOOKUP(X9,'Price tables'!$B$13:$L$17,4,FALSE)</f>
        <v>17.510000000000002</v>
      </c>
      <c r="Y26" s="53">
        <f>HLOOKUP(Y9,'Price tables'!$B$13:$L$17,4,FALSE)</f>
        <v>17.510000000000002</v>
      </c>
      <c r="Z26" s="53">
        <f>HLOOKUP(Z9,'Price tables'!$B$13:$L$17,5,FALSE)</f>
        <v>10.3</v>
      </c>
      <c r="AA26" s="53">
        <f>HLOOKUP(AA9,'Price tables'!$B$13:$L$17,5,FALSE)</f>
        <v>10.3</v>
      </c>
      <c r="AB26" s="53">
        <f>HLOOKUP(AB9,'Price tables'!$B$13:$L$17,5,FALSE)</f>
        <v>10.3</v>
      </c>
      <c r="AC26" s="53">
        <f>HLOOKUP(AC9,'Price tables'!$B$13:$L$17,2,FALSE)</f>
        <v>17.510000000000002</v>
      </c>
      <c r="AD26" s="53">
        <f>HLOOKUP(AD9,'Price tables'!$B$13:$L$17,2,FALSE)</f>
        <v>18.035300000000003</v>
      </c>
      <c r="AE26" s="53">
        <f>HLOOKUP(AE9,'Price tables'!$B$13:$L$17,2,FALSE)</f>
        <v>18.035300000000003</v>
      </c>
      <c r="AF26" s="53">
        <f>HLOOKUP(AF9,'Price tables'!$B$13:$L$17,5,FALSE)</f>
        <v>10.609000000000002</v>
      </c>
      <c r="AG26" s="53">
        <f>HLOOKUP(AG9,'Price tables'!$B$13:$L$17,3,FALSE)</f>
        <v>7.4263000000000003</v>
      </c>
      <c r="AH26" s="53">
        <f>HLOOKUP(AH9,'Price tables'!$B$13:$L$17,3,FALSE)</f>
        <v>7.4263000000000003</v>
      </c>
      <c r="AI26" s="53">
        <f>HLOOKUP(AI9,'Price tables'!$B$13:$L$17,3,FALSE)</f>
        <v>7.4263000000000003</v>
      </c>
      <c r="AJ26" s="53">
        <f>HLOOKUP(AJ9,'Price tables'!$B$13:$L$17,4,FALSE)</f>
        <v>18.035300000000003</v>
      </c>
      <c r="AK26" s="53">
        <f>HLOOKUP(AK9,'Price tables'!$B$13:$L$17,4,FALSE)</f>
        <v>18.035300000000003</v>
      </c>
      <c r="AL26" s="53">
        <f>HLOOKUP(AL9,'Price tables'!$B$13:$L$17,5,FALSE)</f>
        <v>10.609000000000002</v>
      </c>
      <c r="AM26" s="53">
        <f>HLOOKUP(AM9,'Price tables'!$B$13:$L$17,5,FALSE)</f>
        <v>10.609000000000002</v>
      </c>
      <c r="AN26" s="53">
        <f>HLOOKUP(AN9,'Price tables'!$B$13:$L$17,5,FALSE)</f>
        <v>10.609000000000002</v>
      </c>
      <c r="AO26" s="53">
        <f>HLOOKUP(AO9,'Price tables'!$B$13:$L$17,2,FALSE)</f>
        <v>18.035300000000003</v>
      </c>
      <c r="AP26" s="53">
        <f>HLOOKUP(AP9,'Price tables'!$B$13:$L$17,2,FALSE)</f>
        <v>18.576359000000004</v>
      </c>
      <c r="AQ26" s="53">
        <f>HLOOKUP(AQ9,'Price tables'!$B$13:$L$17,2,FALSE)</f>
        <v>18.576359000000004</v>
      </c>
      <c r="AR26" s="53">
        <f>HLOOKUP(AR9,'Price tables'!$B$13:$L$17,5,FALSE)</f>
        <v>10.927270000000002</v>
      </c>
      <c r="AS26" s="53">
        <f>HLOOKUP(AS9,'Price tables'!$B$13:$L$17,3,FALSE)</f>
        <v>7.6490890000000009</v>
      </c>
      <c r="AT26" s="53">
        <f>HLOOKUP(AT9,'Price tables'!$B$13:$L$17,3,FALSE)</f>
        <v>7.6490890000000009</v>
      </c>
      <c r="AU26" s="53">
        <f>HLOOKUP(AU9,'Price tables'!$B$13:$L$17,3,FALSE)</f>
        <v>7.6490890000000009</v>
      </c>
      <c r="AV26" s="53">
        <f>HLOOKUP(AV9,'Price tables'!$B$13:$L$17,4,FALSE)</f>
        <v>18.576359000000004</v>
      </c>
      <c r="AW26" s="53">
        <f>HLOOKUP(AW9,'Price tables'!$B$13:$L$17,4,FALSE)</f>
        <v>18.576359000000004</v>
      </c>
      <c r="AX26" s="53">
        <f>HLOOKUP(AX9,'Price tables'!$B$13:$L$17,5,FALSE)</f>
        <v>10.927270000000002</v>
      </c>
      <c r="AY26" s="53">
        <f>HLOOKUP(AY9,'Price tables'!$B$13:$L$17,5,FALSE)</f>
        <v>10.927270000000002</v>
      </c>
      <c r="AZ26" s="53">
        <f>HLOOKUP(AZ9,'Price tables'!$B$13:$L$17,5,FALSE)</f>
        <v>10.927270000000002</v>
      </c>
      <c r="BA26" s="53">
        <f>HLOOKUP(BA9,'Price tables'!$B$13:$L$17,2,FALSE)</f>
        <v>18.576359000000004</v>
      </c>
      <c r="BB26" s="87">
        <f>HLOOKUP(BB9,'Price tables'!$B$13:$L$17,2,FALSE)</f>
        <v>19.133649770000005</v>
      </c>
      <c r="BC26" s="87">
        <f>HLOOKUP(BC9,'Price tables'!$B$13:$L$17,2,FALSE)</f>
        <v>19.133649770000005</v>
      </c>
      <c r="BD26" s="87">
        <f>HLOOKUP(BD9,'Price tables'!$B$13:$L$17,5,FALSE)</f>
        <v>11.255088100000002</v>
      </c>
      <c r="BE26" s="87">
        <f>HLOOKUP(BE9,'Price tables'!$B$13:$L$17,3,FALSE)</f>
        <v>7.8785616700000007</v>
      </c>
      <c r="BF26" s="87">
        <f>HLOOKUP(BF9,'Price tables'!$B$13:$L$17,3,FALSE)</f>
        <v>7.8785616700000007</v>
      </c>
      <c r="BG26" s="87">
        <f>HLOOKUP(BG9,'Price tables'!$B$13:$L$17,3,FALSE)</f>
        <v>7.8785616700000007</v>
      </c>
      <c r="BH26" s="87">
        <f>HLOOKUP(BH9,'Price tables'!$B$13:$L$17,4,FALSE)</f>
        <v>19.133649770000005</v>
      </c>
      <c r="BI26" s="87">
        <f>HLOOKUP(BI9,'Price tables'!$B$13:$L$17,4,FALSE)</f>
        <v>19.133649770000005</v>
      </c>
      <c r="BJ26" s="87">
        <f>HLOOKUP(BJ9,'Price tables'!$B$13:$L$17,5,FALSE)</f>
        <v>11.255088100000002</v>
      </c>
      <c r="BK26" s="87">
        <f>HLOOKUP(BK9,'Price tables'!$B$13:$L$17,5,FALSE)</f>
        <v>11.255088100000002</v>
      </c>
      <c r="BL26" s="87">
        <f>HLOOKUP(BL9,'Price tables'!$B$13:$L$17,5,FALSE)</f>
        <v>11.255088100000002</v>
      </c>
      <c r="BM26" s="87">
        <f>HLOOKUP(BM9,'Price tables'!$B$13:$L$17,2,FALSE)</f>
        <v>19.133649770000005</v>
      </c>
      <c r="BN26" s="53">
        <f>HLOOKUP(BN9,'Price tables'!$B$13:$L$17,2,FALSE)</f>
        <v>19.707659263100005</v>
      </c>
      <c r="BO26" s="53">
        <f>HLOOKUP(BO9,'Price tables'!$B$13:$L$17,2,FALSE)</f>
        <v>19.707659263100005</v>
      </c>
      <c r="BP26" s="53">
        <f>HLOOKUP(BP9,'Price tables'!$B$13:$L$17,5,FALSE)</f>
        <v>11.592740743000002</v>
      </c>
      <c r="BQ26" s="53">
        <f>HLOOKUP(BQ9,'Price tables'!$B$13:$L$17,3,FALSE)</f>
        <v>8.1149185201000016</v>
      </c>
      <c r="BR26" s="53">
        <f>HLOOKUP(BR9,'Price tables'!$B$13:$L$17,3,FALSE)</f>
        <v>8.1149185201000016</v>
      </c>
      <c r="BS26" s="53">
        <f>HLOOKUP(BS9,'Price tables'!$B$13:$L$17,3,FALSE)</f>
        <v>8.1149185201000016</v>
      </c>
      <c r="BT26" s="53">
        <f>HLOOKUP(BT9,'Price tables'!$B$13:$L$17,4,FALSE)</f>
        <v>19.707659263100005</v>
      </c>
      <c r="BU26" s="53">
        <f>HLOOKUP(BU9,'Price tables'!$B$13:$L$17,4,FALSE)</f>
        <v>19.707659263100005</v>
      </c>
      <c r="BV26" s="53">
        <f>HLOOKUP(BV9,'Price tables'!$B$13:$L$17,5,FALSE)</f>
        <v>11.592740743000002</v>
      </c>
      <c r="BW26" s="53">
        <f>HLOOKUP(BW9,'Price tables'!$B$13:$L$17,5,FALSE)</f>
        <v>11.592740743000002</v>
      </c>
      <c r="BX26" s="53">
        <f>HLOOKUP(BX9,'Price tables'!$B$13:$L$17,5,FALSE)</f>
        <v>11.592740743000002</v>
      </c>
      <c r="BY26" s="53">
        <f>HLOOKUP(BY9,'Price tables'!$B$13:$L$17,2,FALSE)</f>
        <v>19.707659263100005</v>
      </c>
      <c r="BZ26" s="135">
        <f>HLOOKUP(BZ9,'Price tables'!$B$13:$L$17,2,FALSE)</f>
        <v>20.298889040993007</v>
      </c>
      <c r="CA26" s="135">
        <f>HLOOKUP(CA9,'Price tables'!$B$13:$L$17,2,FALSE)</f>
        <v>20.298889040993007</v>
      </c>
      <c r="CB26" s="135">
        <f>HLOOKUP(CB9,'Price tables'!$B$13:$L$17,5,FALSE)</f>
        <v>11.940522965290002</v>
      </c>
      <c r="CC26" s="135">
        <f>HLOOKUP(CC9,'Price tables'!$B$13:$L$17,3,FALSE)</f>
        <v>8.3583660757030014</v>
      </c>
      <c r="CD26" s="135">
        <f>HLOOKUP(CD9,'Price tables'!$B$13:$L$17,3,FALSE)</f>
        <v>8.3583660757030014</v>
      </c>
      <c r="CE26" s="135">
        <f>HLOOKUP(CE9,'Price tables'!$B$13:$L$17,3,FALSE)</f>
        <v>8.3583660757030014</v>
      </c>
      <c r="CF26" s="135">
        <f>HLOOKUP(CF9,'Price tables'!$B$13:$L$17,4,FALSE)</f>
        <v>20.298889040993007</v>
      </c>
      <c r="CG26" s="135">
        <f>HLOOKUP(CG9,'Price tables'!$B$13:$L$17,4,FALSE)</f>
        <v>20.298889040993007</v>
      </c>
      <c r="CH26" s="135">
        <f>HLOOKUP(CH9,'Price tables'!$B$13:$L$17,5,FALSE)</f>
        <v>11.940522965290002</v>
      </c>
      <c r="CI26" s="135">
        <f>HLOOKUP(CI9,'Price tables'!$B$13:$L$17,5,FALSE)</f>
        <v>11.940522965290002</v>
      </c>
      <c r="CJ26" s="135">
        <f>HLOOKUP(CJ9,'Price tables'!$B$13:$L$17,5,FALSE)</f>
        <v>11.940522965290002</v>
      </c>
      <c r="CK26" s="135">
        <f>HLOOKUP(CK9,'Price tables'!$B$13:$L$17,2,FALSE)</f>
        <v>20.298889040993007</v>
      </c>
      <c r="CL26" s="65">
        <f>HLOOKUP(CL9,'Price tables'!$B$13:$L$17,2,FALSE)</f>
        <v>20.907855712222798</v>
      </c>
      <c r="CM26" s="65">
        <f>HLOOKUP(CM9,'Price tables'!$B$13:$L$17,2,FALSE)</f>
        <v>20.907855712222798</v>
      </c>
      <c r="CN26" s="65">
        <f>HLOOKUP(CN9,'Price tables'!$B$13:$L$17,5,FALSE)</f>
        <v>12.298738654248703</v>
      </c>
      <c r="CO26" s="65">
        <f>HLOOKUP(CO9,'Price tables'!$B$13:$L$17,3,FALSE)</f>
        <v>8.6091170579740908</v>
      </c>
      <c r="CP26" s="65">
        <f>HLOOKUP(CP9,'Price tables'!$B$13:$L$17,3,FALSE)</f>
        <v>8.6091170579740908</v>
      </c>
      <c r="CQ26" s="65">
        <f>HLOOKUP(CQ9,'Price tables'!$B$13:$L$17,3,FALSE)</f>
        <v>8.6091170579740908</v>
      </c>
      <c r="CR26" s="65">
        <f>HLOOKUP(CR9,'Price tables'!$B$13:$L$17,4,FALSE)</f>
        <v>20.907855712222798</v>
      </c>
      <c r="CS26" s="65">
        <f>HLOOKUP(CS9,'Price tables'!$B$13:$L$17,4,FALSE)</f>
        <v>20.907855712222798</v>
      </c>
      <c r="CT26" s="65">
        <f>HLOOKUP(CT9,'Price tables'!$B$13:$L$17,5,FALSE)</f>
        <v>12.298738654248703</v>
      </c>
      <c r="CU26" s="65">
        <f>HLOOKUP(CU9,'Price tables'!$B$13:$L$17,5,FALSE)</f>
        <v>12.298738654248703</v>
      </c>
      <c r="CV26" s="65">
        <f>HLOOKUP(CV9,'Price tables'!$B$13:$L$17,5,FALSE)</f>
        <v>12.298738654248703</v>
      </c>
      <c r="CW26" s="65">
        <f>HLOOKUP(CW9,'Price tables'!$B$13:$L$17,2,FALSE)</f>
        <v>20.907855712222798</v>
      </c>
      <c r="CX26" s="65">
        <f>HLOOKUP(CX9,'Price tables'!$B$13:$L$17,2,FALSE)</f>
        <v>21.535091383589481</v>
      </c>
      <c r="CY26" s="65">
        <f>HLOOKUP(CY9,'Price tables'!$B$13:$L$17,2,FALSE)</f>
        <v>21.535091383589481</v>
      </c>
      <c r="CZ26" s="65">
        <f>HLOOKUP(CZ9,'Price tables'!$B$13:$L$17,5,FALSE)</f>
        <v>12.667700813876165</v>
      </c>
      <c r="DA26" s="65">
        <f>HLOOKUP(DA9,'Price tables'!$B$13:$L$17,3,FALSE)</f>
        <v>8.8673905697133133</v>
      </c>
      <c r="DB26" s="65">
        <f>HLOOKUP(DB9,'Price tables'!$B$13:$L$17,3,FALSE)</f>
        <v>8.8673905697133133</v>
      </c>
      <c r="DC26" s="65">
        <f>HLOOKUP(DC9,'Price tables'!$B$13:$L$17,3,FALSE)</f>
        <v>8.8673905697133133</v>
      </c>
      <c r="DD26" s="65">
        <f>HLOOKUP(DD9,'Price tables'!$B$13:$L$17,4,FALSE)</f>
        <v>21.535091383589481</v>
      </c>
      <c r="DE26" s="65">
        <f>HLOOKUP(DE9,'Price tables'!$B$13:$L$17,4,FALSE)</f>
        <v>21.535091383589481</v>
      </c>
      <c r="DF26" s="65">
        <f>HLOOKUP(DF9,'Price tables'!$B$13:$L$17,5,FALSE)</f>
        <v>12.667700813876165</v>
      </c>
      <c r="DG26" s="65">
        <f>HLOOKUP(DG9,'Price tables'!$B$13:$L$17,5,FALSE)</f>
        <v>12.667700813876165</v>
      </c>
      <c r="DH26" s="65">
        <f>HLOOKUP(DH9,'Price tables'!$B$13:$L$17,5,FALSE)</f>
        <v>12.667700813876165</v>
      </c>
      <c r="DI26" s="65">
        <f>HLOOKUP(DI9,'Price tables'!$B$13:$L$17,2,FALSE)</f>
        <v>21.535091383589481</v>
      </c>
      <c r="DJ26" s="65">
        <f>HLOOKUP(DJ9,'Price tables'!$B$13:$L$17,2,FALSE)</f>
        <v>22.181144125097166</v>
      </c>
      <c r="DK26" s="65">
        <f>HLOOKUP(DK9,'Price tables'!$B$13:$L$17,2,FALSE)</f>
        <v>22.181144125097166</v>
      </c>
      <c r="DL26" s="65">
        <f>HLOOKUP(DL9,'Price tables'!$B$13:$L$17,5,FALSE)</f>
        <v>13.047731838292449</v>
      </c>
      <c r="DM26" s="65">
        <f>HLOOKUP(DM9,'Price tables'!$B$13:$L$17,3,FALSE)</f>
        <v>9.1334122868047132</v>
      </c>
      <c r="DN26" s="65">
        <f>HLOOKUP(DN9,'Price tables'!$B$13:$L$17,3,FALSE)</f>
        <v>9.1334122868047132</v>
      </c>
      <c r="DO26" s="65">
        <f>HLOOKUP(DO9,'Price tables'!$B$13:$L$17,3,FALSE)</f>
        <v>9.1334122868047132</v>
      </c>
      <c r="DP26" s="65">
        <f>HLOOKUP(DP9,'Price tables'!$B$13:$L$17,4,FALSE)</f>
        <v>22.181144125097166</v>
      </c>
      <c r="DQ26" s="65">
        <f>HLOOKUP(DQ9,'Price tables'!$B$13:$L$17,4,FALSE)</f>
        <v>22.181144125097166</v>
      </c>
      <c r="DR26" s="65">
        <f>HLOOKUP(DR9,'Price tables'!$B$13:$L$17,5,FALSE)</f>
        <v>13.047731838292449</v>
      </c>
      <c r="DS26" s="65">
        <f>HLOOKUP(DS9,'Price tables'!$B$13:$L$17,5,FALSE)</f>
        <v>13.047731838292449</v>
      </c>
      <c r="DT26" s="65">
        <f>HLOOKUP(DT9,'Price tables'!$B$13:$L$17,5,FALSE)</f>
        <v>13.047731838292449</v>
      </c>
      <c r="DU26" s="65">
        <f>HLOOKUP(DU9,'Price tables'!$B$13:$L$17,5,FALSE)</f>
        <v>13.047731838292449</v>
      </c>
    </row>
    <row r="27" spans="1:125" s="118" customFormat="1" x14ac:dyDescent="0.35">
      <c r="A27" s="49" t="s">
        <v>124</v>
      </c>
      <c r="B27" s="54">
        <f t="shared" ref="B27:AG27" si="26">B21*B26</f>
        <v>453925.92044153804</v>
      </c>
      <c r="C27" s="54">
        <f t="shared" si="26"/>
        <v>593447.85675000004</v>
      </c>
      <c r="D27" s="54">
        <f t="shared" si="26"/>
        <v>744150.94550999999</v>
      </c>
      <c r="E27" s="54">
        <f t="shared" si="26"/>
        <v>875216.17759904987</v>
      </c>
      <c r="F27" s="54">
        <f t="shared" si="26"/>
        <v>759887.46571449586</v>
      </c>
      <c r="G27" s="54">
        <f t="shared" si="26"/>
        <v>631872.53224703984</v>
      </c>
      <c r="H27" s="54">
        <f t="shared" si="26"/>
        <v>740829.65183639992</v>
      </c>
      <c r="I27" s="54">
        <f t="shared" si="26"/>
        <v>601754.74448468396</v>
      </c>
      <c r="J27" s="54">
        <f t="shared" si="26"/>
        <v>749064.14643720211</v>
      </c>
      <c r="K27" s="54">
        <f t="shared" si="26"/>
        <v>707570.04016389581</v>
      </c>
      <c r="L27" s="54">
        <f t="shared" si="26"/>
        <v>1653718.0794126044</v>
      </c>
      <c r="M27" s="54">
        <f t="shared" si="26"/>
        <v>1479300.4525193493</v>
      </c>
      <c r="N27" s="54">
        <f t="shared" si="26"/>
        <v>499532.74450379994</v>
      </c>
      <c r="O27" s="54">
        <f t="shared" si="26"/>
        <v>548874.60610500001</v>
      </c>
      <c r="P27" s="54">
        <f t="shared" si="26"/>
        <v>688258.54277459998</v>
      </c>
      <c r="Q27" s="54">
        <f t="shared" si="26"/>
        <v>730521.76788944635</v>
      </c>
      <c r="R27" s="54">
        <f t="shared" si="26"/>
        <v>1384392.0219409349</v>
      </c>
      <c r="S27" s="54">
        <f t="shared" si="26"/>
        <v>1192282.7217304499</v>
      </c>
      <c r="T27" s="54">
        <f t="shared" si="26"/>
        <v>969183.27747989993</v>
      </c>
      <c r="U27" s="54">
        <f t="shared" si="26"/>
        <v>827134.28719582479</v>
      </c>
      <c r="V27" s="54">
        <f t="shared" si="26"/>
        <v>1029616.5414663447</v>
      </c>
      <c r="W27" s="54">
        <f t="shared" si="26"/>
        <v>972581.34842505003</v>
      </c>
      <c r="X27" s="54">
        <f t="shared" si="26"/>
        <v>2273097.0339239398</v>
      </c>
      <c r="Y27" s="54">
        <f t="shared" si="26"/>
        <v>2033353.515793005</v>
      </c>
      <c r="Z27" s="54">
        <f t="shared" si="26"/>
        <v>653508.91574954998</v>
      </c>
      <c r="AA27" s="54">
        <f t="shared" si="26"/>
        <v>718059.93233625009</v>
      </c>
      <c r="AB27" s="54">
        <f t="shared" si="26"/>
        <v>900407.62891484995</v>
      </c>
      <c r="AC27" s="54">
        <f t="shared" si="26"/>
        <v>1330892.471518029</v>
      </c>
      <c r="AD27" s="54">
        <f t="shared" si="26"/>
        <v>1307427.7950944046</v>
      </c>
      <c r="AE27" s="54">
        <f t="shared" si="26"/>
        <v>1087171.1258451752</v>
      </c>
      <c r="AF27" s="54">
        <f t="shared" si="26"/>
        <v>843941.89187714714</v>
      </c>
      <c r="AG27" s="54">
        <f t="shared" si="26"/>
        <v>778477.54362243391</v>
      </c>
      <c r="AH27" s="54">
        <f t="shared" ref="AH27:BM27" si="27">AH21*AH26</f>
        <v>969048.6399628385</v>
      </c>
      <c r="AI27" s="54">
        <f t="shared" si="27"/>
        <v>915368.58139659662</v>
      </c>
      <c r="AJ27" s="54">
        <f t="shared" si="27"/>
        <v>2139380.5368457725</v>
      </c>
      <c r="AK27" s="54">
        <f t="shared" si="27"/>
        <v>1913740.096130026</v>
      </c>
      <c r="AL27" s="54">
        <f t="shared" si="27"/>
        <v>569060.11848486145</v>
      </c>
      <c r="AM27" s="54">
        <f t="shared" si="27"/>
        <v>625269.61809821264</v>
      </c>
      <c r="AN27" s="54">
        <f t="shared" si="27"/>
        <v>784053.6825840706</v>
      </c>
      <c r="AO27" s="54">
        <f t="shared" si="27"/>
        <v>1256902.5116924564</v>
      </c>
      <c r="AP27" s="54">
        <f t="shared" si="27"/>
        <v>1656103.6119558092</v>
      </c>
      <c r="AQ27" s="54">
        <f t="shared" si="27"/>
        <v>1362814.4018288094</v>
      </c>
      <c r="AR27" s="54">
        <f t="shared" si="27"/>
        <v>824903.24421858462</v>
      </c>
      <c r="AS27" s="54">
        <f t="shared" si="27"/>
        <v>757711.31958971079</v>
      </c>
      <c r="AT27" s="54">
        <f t="shared" si="27"/>
        <v>1043681.930728731</v>
      </c>
      <c r="AU27" s="54">
        <f t="shared" si="27"/>
        <v>1057271.6087298288</v>
      </c>
      <c r="AV27" s="54">
        <f t="shared" si="27"/>
        <v>2235160.6682333671</v>
      </c>
      <c r="AW27" s="54">
        <f t="shared" si="27"/>
        <v>1916148.4122659683</v>
      </c>
      <c r="AX27" s="54">
        <f t="shared" si="27"/>
        <v>676453.80064716737</v>
      </c>
      <c r="AY27" s="54">
        <f t="shared" si="27"/>
        <v>684901.35051115684</v>
      </c>
      <c r="AZ27" s="54">
        <f t="shared" si="27"/>
        <v>864574.23800293577</v>
      </c>
      <c r="BA27" s="54">
        <f t="shared" si="27"/>
        <v>1365888.4192765434</v>
      </c>
      <c r="BB27" s="88">
        <f t="shared" si="27"/>
        <v>1840027.7376526655</v>
      </c>
      <c r="BC27" s="88">
        <f t="shared" si="27"/>
        <v>1514166.3133480607</v>
      </c>
      <c r="BD27" s="88">
        <f t="shared" si="27"/>
        <v>936818.89298512822</v>
      </c>
      <c r="BE27" s="88">
        <f t="shared" si="27"/>
        <v>809347.942850639</v>
      </c>
      <c r="BF27" s="88">
        <f t="shared" si="27"/>
        <v>1114806.9215635776</v>
      </c>
      <c r="BG27" s="88">
        <f t="shared" si="27"/>
        <v>1129322.71095438</v>
      </c>
      <c r="BH27" s="88">
        <f t="shared" si="27"/>
        <v>2387482.7285870481</v>
      </c>
      <c r="BI27" s="88">
        <f t="shared" si="27"/>
        <v>2046730.3781389084</v>
      </c>
      <c r="BJ27" s="88">
        <f t="shared" si="27"/>
        <v>768229.12883336749</v>
      </c>
      <c r="BK27" s="88">
        <f t="shared" si="27"/>
        <v>777822.76829046023</v>
      </c>
      <c r="BL27" s="88">
        <f t="shared" si="27"/>
        <v>981872.09982016846</v>
      </c>
      <c r="BM27" s="88">
        <f t="shared" si="27"/>
        <v>1517581.7260849359</v>
      </c>
      <c r="BN27" s="54">
        <f t="shared" ref="BN27:CS27" si="28">BN21*BN26</f>
        <v>225131.55041294801</v>
      </c>
      <c r="BO27" s="54">
        <f t="shared" si="28"/>
        <v>198703.46741144868</v>
      </c>
      <c r="BP27" s="54">
        <f t="shared" si="28"/>
        <v>468089.80809051945</v>
      </c>
      <c r="BQ27" s="54">
        <f t="shared" si="28"/>
        <v>508184.03305417672</v>
      </c>
      <c r="BR27" s="54">
        <f t="shared" si="28"/>
        <v>612886.82278028387</v>
      </c>
      <c r="BS27" s="54">
        <f t="shared" si="28"/>
        <v>612306.03389954835</v>
      </c>
      <c r="BT27" s="54">
        <f t="shared" si="28"/>
        <v>1365932.3786405039</v>
      </c>
      <c r="BU27" s="54">
        <f t="shared" si="28"/>
        <v>1220382.8831689199</v>
      </c>
      <c r="BV27" s="54">
        <f t="shared" si="28"/>
        <v>352496.66818889236</v>
      </c>
      <c r="BW27" s="54">
        <f t="shared" si="28"/>
        <v>362387.01590710843</v>
      </c>
      <c r="BX27" s="54">
        <f t="shared" si="28"/>
        <v>432514.222563216</v>
      </c>
      <c r="BY27" s="54">
        <f t="shared" si="28"/>
        <v>213705.48307336995</v>
      </c>
      <c r="BZ27" s="136">
        <f t="shared" si="28"/>
        <v>424882.69702531176</v>
      </c>
      <c r="CA27" s="136">
        <f t="shared" si="28"/>
        <v>375005.92425717099</v>
      </c>
      <c r="CB27" s="136">
        <f t="shared" si="28"/>
        <v>518156.23900425545</v>
      </c>
      <c r="CC27" s="136">
        <f t="shared" si="28"/>
        <v>545663.50728565897</v>
      </c>
      <c r="CD27" s="136">
        <f t="shared" si="28"/>
        <v>658088.31355352863</v>
      </c>
      <c r="CE27" s="136">
        <f t="shared" si="28"/>
        <v>657464.69046220486</v>
      </c>
      <c r="CF27" s="136">
        <f t="shared" si="28"/>
        <v>1466672.3154691495</v>
      </c>
      <c r="CG27" s="136">
        <f t="shared" si="28"/>
        <v>1310388.2864228932</v>
      </c>
      <c r="CH27" s="136">
        <f t="shared" si="28"/>
        <v>390199.36920943781</v>
      </c>
      <c r="CI27" s="136">
        <f t="shared" si="28"/>
        <v>401147.57890667632</v>
      </c>
      <c r="CJ27" s="136">
        <f t="shared" si="28"/>
        <v>478775.52342662204</v>
      </c>
      <c r="CK27" s="136">
        <f t="shared" si="28"/>
        <v>403318.69012033584</v>
      </c>
      <c r="CL27" s="66">
        <f t="shared" si="28"/>
        <v>0</v>
      </c>
      <c r="CM27" s="66">
        <f t="shared" si="28"/>
        <v>0</v>
      </c>
      <c r="CN27" s="66">
        <f t="shared" si="28"/>
        <v>142978.99614337567</v>
      </c>
      <c r="CO27" s="66">
        <f t="shared" si="28"/>
        <v>296999.22829972958</v>
      </c>
      <c r="CP27" s="66">
        <f t="shared" si="28"/>
        <v>361910.79063785385</v>
      </c>
      <c r="CQ27" s="66">
        <f t="shared" si="28"/>
        <v>356798.70592664933</v>
      </c>
      <c r="CR27" s="66">
        <f t="shared" si="28"/>
        <v>806358.51230843936</v>
      </c>
      <c r="CS27" s="66">
        <f t="shared" si="28"/>
        <v>699642.27194733301</v>
      </c>
      <c r="CT27" s="66">
        <f t="shared" ref="CT27:DU27" si="29">CT21*CT26</f>
        <v>106991.6730690308</v>
      </c>
      <c r="CU27" s="66">
        <f t="shared" si="29"/>
        <v>110691.81909850551</v>
      </c>
      <c r="CV27" s="66">
        <f t="shared" si="29"/>
        <v>136929.03008332121</v>
      </c>
      <c r="CW27" s="66">
        <f t="shared" si="29"/>
        <v>0</v>
      </c>
      <c r="CX27" s="66">
        <f t="shared" si="29"/>
        <v>52490.004313053425</v>
      </c>
      <c r="CY27" s="66">
        <f t="shared" si="29"/>
        <v>45045.962863772373</v>
      </c>
      <c r="CZ27" s="66">
        <f t="shared" si="29"/>
        <v>263074.49285335286</v>
      </c>
      <c r="DA27" s="66">
        <f t="shared" si="29"/>
        <v>378643.82721387246</v>
      </c>
      <c r="DB27" s="66">
        <f t="shared" si="29"/>
        <v>461399.47117579862</v>
      </c>
      <c r="DC27" s="66">
        <f t="shared" si="29"/>
        <v>454882.08279343368</v>
      </c>
      <c r="DD27" s="66">
        <f t="shared" si="29"/>
        <v>1028025.1398458936</v>
      </c>
      <c r="DE27" s="66">
        <f t="shared" si="29"/>
        <v>891972.7806948931</v>
      </c>
      <c r="DF27" s="66">
        <f t="shared" si="29"/>
        <v>196859.54504773655</v>
      </c>
      <c r="DG27" s="66">
        <f t="shared" si="29"/>
        <v>203667.63621107984</v>
      </c>
      <c r="DH27" s="66">
        <f t="shared" si="29"/>
        <v>251942.845576764</v>
      </c>
      <c r="DI27" s="66">
        <f t="shared" si="29"/>
        <v>49442.716029239156</v>
      </c>
      <c r="DJ27" s="66">
        <f t="shared" si="29"/>
        <v>167856.79399415568</v>
      </c>
      <c r="DK27" s="66">
        <f t="shared" si="29"/>
        <v>144051.63435683426</v>
      </c>
      <c r="DL27" s="66">
        <f t="shared" si="29"/>
        <v>316976.75524144422</v>
      </c>
      <c r="DM27" s="66">
        <f t="shared" si="29"/>
        <v>416235.15851555928</v>
      </c>
      <c r="DN27" s="66">
        <f t="shared" si="29"/>
        <v>507206.68929689476</v>
      </c>
      <c r="DO27" s="66">
        <f t="shared" si="29"/>
        <v>500042.26196051884</v>
      </c>
      <c r="DP27" s="66">
        <f t="shared" si="29"/>
        <v>1130086.3140706664</v>
      </c>
      <c r="DQ27" s="66">
        <f t="shared" si="29"/>
        <v>980526.83044109226</v>
      </c>
      <c r="DR27" s="66">
        <f t="shared" si="29"/>
        <v>237194.79281604997</v>
      </c>
      <c r="DS27" s="66">
        <f t="shared" si="29"/>
        <v>245397.81783355874</v>
      </c>
      <c r="DT27" s="66">
        <f t="shared" si="29"/>
        <v>303564.30542179442</v>
      </c>
      <c r="DU27" s="66">
        <f t="shared" si="29"/>
        <v>93007.016653999526</v>
      </c>
    </row>
    <row r="28" spans="1:125" x14ac:dyDescent="0.35">
      <c r="A28" s="1" t="s">
        <v>130</v>
      </c>
      <c r="B28" s="55">
        <f>B27+B25</f>
        <v>1943503.4204415381</v>
      </c>
      <c r="C28" s="55">
        <f t="shared" ref="C28:BN28" si="30">C27+C25</f>
        <v>2083025.35675</v>
      </c>
      <c r="D28" s="55">
        <f t="shared" si="30"/>
        <v>2233728.44551</v>
      </c>
      <c r="E28" s="55">
        <f t="shared" si="30"/>
        <v>2364793.6775990501</v>
      </c>
      <c r="F28" s="55">
        <f t="shared" si="30"/>
        <v>2138848.4657144956</v>
      </c>
      <c r="G28" s="55">
        <f t="shared" si="30"/>
        <v>2010833.53224704</v>
      </c>
      <c r="H28" s="55">
        <f t="shared" si="30"/>
        <v>2119790.6518363999</v>
      </c>
      <c r="I28" s="55">
        <f t="shared" si="30"/>
        <v>1980715.744484684</v>
      </c>
      <c r="J28" s="55">
        <f t="shared" si="30"/>
        <v>2128025.1464372021</v>
      </c>
      <c r="K28" s="55">
        <f t="shared" si="30"/>
        <v>2086531.0401638958</v>
      </c>
      <c r="L28" s="55">
        <f t="shared" si="30"/>
        <v>3032679.0794126047</v>
      </c>
      <c r="M28" s="55">
        <f t="shared" si="30"/>
        <v>2858261.4525193493</v>
      </c>
      <c r="N28" s="55">
        <f t="shared" si="30"/>
        <v>1878493.7445037998</v>
      </c>
      <c r="O28" s="55">
        <f t="shared" si="30"/>
        <v>1927835.606105</v>
      </c>
      <c r="P28" s="55">
        <f t="shared" si="30"/>
        <v>2067219.5427746</v>
      </c>
      <c r="Q28" s="55">
        <f t="shared" si="30"/>
        <v>2109482.7678894466</v>
      </c>
      <c r="R28" s="55">
        <f t="shared" si="30"/>
        <v>3250679.0219409349</v>
      </c>
      <c r="S28" s="55">
        <f t="shared" si="30"/>
        <v>3058569.7217304502</v>
      </c>
      <c r="T28" s="55">
        <f t="shared" si="30"/>
        <v>2835470.2774799</v>
      </c>
      <c r="U28" s="55">
        <f t="shared" si="30"/>
        <v>2693421.287195825</v>
      </c>
      <c r="V28" s="55">
        <f t="shared" si="30"/>
        <v>2895903.5414663446</v>
      </c>
      <c r="W28" s="55">
        <f t="shared" si="30"/>
        <v>2838868.3484250503</v>
      </c>
      <c r="X28" s="55">
        <f t="shared" si="30"/>
        <v>4139384.0339239398</v>
      </c>
      <c r="Y28" s="55">
        <f t="shared" si="30"/>
        <v>3899640.515793005</v>
      </c>
      <c r="Z28" s="55">
        <f t="shared" si="30"/>
        <v>2519795.9157495499</v>
      </c>
      <c r="AA28" s="55">
        <f t="shared" si="30"/>
        <v>2584346.9323362503</v>
      </c>
      <c r="AB28" s="55">
        <f t="shared" si="30"/>
        <v>2766694.6289148498</v>
      </c>
      <c r="AC28" s="55">
        <f t="shared" si="30"/>
        <v>3197179.471518029</v>
      </c>
      <c r="AD28" s="55">
        <f t="shared" si="30"/>
        <v>2945013.7950944044</v>
      </c>
      <c r="AE28" s="55">
        <f t="shared" si="30"/>
        <v>2724757.1258451752</v>
      </c>
      <c r="AF28" s="55">
        <f t="shared" si="30"/>
        <v>2481527.8918771474</v>
      </c>
      <c r="AG28" s="55">
        <f t="shared" si="30"/>
        <v>2416063.5436224341</v>
      </c>
      <c r="AH28" s="55">
        <f t="shared" si="30"/>
        <v>2606634.6399628385</v>
      </c>
      <c r="AI28" s="55">
        <f t="shared" si="30"/>
        <v>2552954.5813965965</v>
      </c>
      <c r="AJ28" s="55">
        <f t="shared" si="30"/>
        <v>3776966.5368457725</v>
      </c>
      <c r="AK28" s="55">
        <f t="shared" si="30"/>
        <v>3551326.096130026</v>
      </c>
      <c r="AL28" s="55">
        <f t="shared" si="30"/>
        <v>2206646.1184848612</v>
      </c>
      <c r="AM28" s="55">
        <f t="shared" si="30"/>
        <v>2262855.6180982124</v>
      </c>
      <c r="AN28" s="55">
        <f t="shared" si="30"/>
        <v>2421639.6825840706</v>
      </c>
      <c r="AO28" s="55">
        <f t="shared" si="30"/>
        <v>2894488.5116924564</v>
      </c>
      <c r="AP28" s="55">
        <f t="shared" si="30"/>
        <v>3349549.6119558094</v>
      </c>
      <c r="AQ28" s="55">
        <f t="shared" si="30"/>
        <v>3056260.4018288096</v>
      </c>
      <c r="AR28" s="55">
        <f t="shared" si="30"/>
        <v>2518349.2442185846</v>
      </c>
      <c r="AS28" s="55">
        <f t="shared" si="30"/>
        <v>2451157.3195897108</v>
      </c>
      <c r="AT28" s="55">
        <f t="shared" si="30"/>
        <v>2737127.9307287307</v>
      </c>
      <c r="AU28" s="55">
        <f t="shared" si="30"/>
        <v>2750717.6087298291</v>
      </c>
      <c r="AV28" s="55">
        <f t="shared" si="30"/>
        <v>3928606.6682333671</v>
      </c>
      <c r="AW28" s="55">
        <f t="shared" si="30"/>
        <v>3609594.4122659685</v>
      </c>
      <c r="AX28" s="55">
        <f t="shared" si="30"/>
        <v>2369899.8006471675</v>
      </c>
      <c r="AY28" s="55">
        <f t="shared" si="30"/>
        <v>2378347.350511157</v>
      </c>
      <c r="AZ28" s="55">
        <f t="shared" si="30"/>
        <v>2558020.2380029359</v>
      </c>
      <c r="BA28" s="55">
        <f t="shared" si="30"/>
        <v>3059334.4192765434</v>
      </c>
      <c r="BB28" s="89">
        <f t="shared" si="30"/>
        <v>3617127.7376526655</v>
      </c>
      <c r="BC28" s="89">
        <f t="shared" si="30"/>
        <v>3291266.3133480605</v>
      </c>
      <c r="BD28" s="89">
        <f t="shared" si="30"/>
        <v>2713918.8929851283</v>
      </c>
      <c r="BE28" s="89">
        <f t="shared" si="30"/>
        <v>2586447.9428506391</v>
      </c>
      <c r="BF28" s="89">
        <f t="shared" si="30"/>
        <v>2891906.9215635778</v>
      </c>
      <c r="BG28" s="89">
        <f t="shared" si="30"/>
        <v>2906422.7109543802</v>
      </c>
      <c r="BH28" s="89">
        <f t="shared" si="30"/>
        <v>4164582.7285870481</v>
      </c>
      <c r="BI28" s="89">
        <f t="shared" si="30"/>
        <v>3823830.3781389082</v>
      </c>
      <c r="BJ28" s="89">
        <f t="shared" si="30"/>
        <v>2545329.1288333675</v>
      </c>
      <c r="BK28" s="89">
        <f t="shared" si="30"/>
        <v>2554922.7682904601</v>
      </c>
      <c r="BL28" s="89">
        <f t="shared" si="30"/>
        <v>2758972.0998201687</v>
      </c>
      <c r="BM28" s="89">
        <f t="shared" si="30"/>
        <v>3294681.7260849359</v>
      </c>
      <c r="BN28" s="55">
        <f t="shared" si="30"/>
        <v>994523.42807353579</v>
      </c>
      <c r="BO28" s="55">
        <f t="shared" ref="BO28:DR28" si="31">BO27+BO25</f>
        <v>968095.34507203649</v>
      </c>
      <c r="BP28" s="55">
        <f t="shared" si="31"/>
        <v>1237481.6857511073</v>
      </c>
      <c r="BQ28" s="55">
        <f t="shared" si="31"/>
        <v>1277575.9107147646</v>
      </c>
      <c r="BR28" s="55">
        <f t="shared" si="31"/>
        <v>1382278.7004408715</v>
      </c>
      <c r="BS28" s="55">
        <f t="shared" si="31"/>
        <v>1381697.9115601361</v>
      </c>
      <c r="BT28" s="55">
        <f t="shared" si="31"/>
        <v>2135324.2563010915</v>
      </c>
      <c r="BU28" s="55">
        <f t="shared" si="31"/>
        <v>1989774.7608295078</v>
      </c>
      <c r="BV28" s="55">
        <f t="shared" si="31"/>
        <v>1121888.5458494802</v>
      </c>
      <c r="BW28" s="55">
        <f t="shared" si="31"/>
        <v>1131778.8935676962</v>
      </c>
      <c r="BX28" s="55">
        <f t="shared" si="31"/>
        <v>1201906.1002238039</v>
      </c>
      <c r="BY28" s="55">
        <f t="shared" si="31"/>
        <v>983097.36073395773</v>
      </c>
      <c r="BZ28" s="137">
        <f t="shared" si="31"/>
        <v>1275000.4369151718</v>
      </c>
      <c r="CA28" s="137">
        <f t="shared" si="31"/>
        <v>1225123.664147031</v>
      </c>
      <c r="CB28" s="137">
        <f t="shared" si="31"/>
        <v>1368273.9788941154</v>
      </c>
      <c r="CC28" s="137">
        <f t="shared" si="31"/>
        <v>1395781.2471755189</v>
      </c>
      <c r="CD28" s="137">
        <f t="shared" si="31"/>
        <v>1508206.0534433885</v>
      </c>
      <c r="CE28" s="137">
        <f t="shared" si="31"/>
        <v>1507582.4303520648</v>
      </c>
      <c r="CF28" s="137">
        <f t="shared" si="31"/>
        <v>2316790.0553590097</v>
      </c>
      <c r="CG28" s="137">
        <f t="shared" si="31"/>
        <v>2160506.0263127531</v>
      </c>
      <c r="CH28" s="137">
        <f t="shared" si="31"/>
        <v>1240317.1090992978</v>
      </c>
      <c r="CI28" s="137">
        <f t="shared" si="31"/>
        <v>1251265.3187965364</v>
      </c>
      <c r="CJ28" s="137">
        <f t="shared" si="31"/>
        <v>1328893.2633164821</v>
      </c>
      <c r="CK28" s="137">
        <f t="shared" si="31"/>
        <v>1253436.4300101958</v>
      </c>
      <c r="CL28" s="67">
        <f t="shared" si="31"/>
        <v>323515.8989137208</v>
      </c>
      <c r="CM28" s="67">
        <f t="shared" si="31"/>
        <v>323515.8989137208</v>
      </c>
      <c r="CN28" s="67">
        <f t="shared" si="31"/>
        <v>466494.8950570965</v>
      </c>
      <c r="CO28" s="67">
        <f t="shared" si="31"/>
        <v>620515.12721345038</v>
      </c>
      <c r="CP28" s="67">
        <f t="shared" si="31"/>
        <v>685426.68955157464</v>
      </c>
      <c r="CQ28" s="67">
        <f t="shared" si="31"/>
        <v>680314.60484037013</v>
      </c>
      <c r="CR28" s="67">
        <f t="shared" si="31"/>
        <v>1129874.4112221601</v>
      </c>
      <c r="CS28" s="67">
        <f t="shared" si="31"/>
        <v>1023158.1708610537</v>
      </c>
      <c r="CT28" s="67">
        <f t="shared" si="31"/>
        <v>430507.5719827516</v>
      </c>
      <c r="CU28" s="67">
        <f t="shared" si="31"/>
        <v>434207.71801222628</v>
      </c>
      <c r="CV28" s="67">
        <f t="shared" si="31"/>
        <v>460444.92899704201</v>
      </c>
      <c r="CW28" s="67">
        <f t="shared" si="31"/>
        <v>323515.8989137208</v>
      </c>
      <c r="CX28" s="67">
        <f t="shared" si="31"/>
        <v>505005.49313292827</v>
      </c>
      <c r="CY28" s="67">
        <f t="shared" si="31"/>
        <v>497561.45168364717</v>
      </c>
      <c r="CZ28" s="67">
        <f t="shared" si="31"/>
        <v>715589.98167322762</v>
      </c>
      <c r="DA28" s="67">
        <f t="shared" si="31"/>
        <v>831159.31603374728</v>
      </c>
      <c r="DB28" s="67">
        <f t="shared" si="31"/>
        <v>913914.9599956735</v>
      </c>
      <c r="DC28" s="67">
        <f t="shared" si="31"/>
        <v>907397.57161330851</v>
      </c>
      <c r="DD28" s="67">
        <f t="shared" si="31"/>
        <v>1480540.6286657685</v>
      </c>
      <c r="DE28" s="67">
        <f t="shared" si="31"/>
        <v>1344488.2695147679</v>
      </c>
      <c r="DF28" s="67">
        <f t="shared" si="31"/>
        <v>649375.03386761132</v>
      </c>
      <c r="DG28" s="67">
        <f t="shared" si="31"/>
        <v>656183.1250309546</v>
      </c>
      <c r="DH28" s="67">
        <f t="shared" si="31"/>
        <v>704458.33439663879</v>
      </c>
      <c r="DI28" s="67">
        <f t="shared" si="31"/>
        <v>501958.204849114</v>
      </c>
      <c r="DJ28" s="67">
        <f t="shared" si="31"/>
        <v>739258.0299749861</v>
      </c>
      <c r="DK28" s="67">
        <f t="shared" si="31"/>
        <v>715452.87033766462</v>
      </c>
      <c r="DL28" s="67">
        <f t="shared" si="31"/>
        <v>888377.99122227461</v>
      </c>
      <c r="DM28" s="67">
        <f t="shared" si="31"/>
        <v>987636.39449638966</v>
      </c>
      <c r="DN28" s="67">
        <f t="shared" si="31"/>
        <v>1078607.9252777251</v>
      </c>
      <c r="DO28" s="67">
        <f t="shared" si="31"/>
        <v>1071443.4979413492</v>
      </c>
      <c r="DP28" s="67">
        <f t="shared" si="31"/>
        <v>1701487.5500514968</v>
      </c>
      <c r="DQ28" s="67">
        <f t="shared" si="31"/>
        <v>1551928.0664219228</v>
      </c>
      <c r="DR28" s="67">
        <f t="shared" si="31"/>
        <v>808596.02879688039</v>
      </c>
      <c r="DS28" s="67">
        <f t="shared" ref="DS28:DU28" si="32">DS27+DS25</f>
        <v>816799.05381438916</v>
      </c>
      <c r="DT28" s="67">
        <f t="shared" si="32"/>
        <v>874965.5414026248</v>
      </c>
      <c r="DU28" s="67">
        <f t="shared" si="32"/>
        <v>664408.25263482996</v>
      </c>
    </row>
    <row r="29" spans="1:125" s="117" customFormat="1" ht="15" thickBot="1" x14ac:dyDescent="0.4">
      <c r="A29" s="5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134"/>
      <c r="CA29" s="134"/>
      <c r="CB29" s="134"/>
      <c r="CC29" s="134"/>
      <c r="CD29" s="134"/>
      <c r="CE29" s="134"/>
      <c r="CF29" s="134"/>
      <c r="CG29" s="134"/>
      <c r="CH29" s="134"/>
      <c r="CI29" s="134"/>
      <c r="CJ29" s="134"/>
      <c r="CK29" s="134"/>
      <c r="CL29" s="64"/>
      <c r="CM29" s="64"/>
      <c r="CN29" s="64"/>
      <c r="CO29" s="64"/>
      <c r="CP29" s="64"/>
      <c r="CQ29" s="64"/>
      <c r="CR29" s="64"/>
      <c r="CS29" s="64"/>
      <c r="CT29" s="64"/>
      <c r="CU29" s="64"/>
      <c r="CV29" s="64"/>
      <c r="CW29" s="64"/>
      <c r="CX29" s="64"/>
      <c r="CY29" s="64"/>
      <c r="CZ29" s="64"/>
      <c r="DA29" s="64"/>
      <c r="DB29" s="64"/>
      <c r="DC29" s="64"/>
      <c r="DD29" s="64"/>
      <c r="DE29" s="64"/>
      <c r="DF29" s="64"/>
      <c r="DG29" s="64"/>
      <c r="DH29" s="64"/>
      <c r="DI29" s="64"/>
      <c r="DJ29" s="64"/>
      <c r="DK29" s="64"/>
      <c r="DL29" s="64"/>
      <c r="DM29" s="64"/>
      <c r="DN29" s="64"/>
      <c r="DO29" s="64"/>
      <c r="DP29" s="64"/>
      <c r="DQ29" s="64"/>
      <c r="DR29" s="64"/>
      <c r="DS29" s="64"/>
      <c r="DT29" s="64"/>
      <c r="DU29" s="64"/>
    </row>
    <row r="30" spans="1:125" s="117" customFormat="1" ht="15" thickBot="1" x14ac:dyDescent="0.4">
      <c r="A30" s="5" t="s">
        <v>122</v>
      </c>
      <c r="B30" s="50">
        <f>19500000/37</f>
        <v>527027.02702702698</v>
      </c>
      <c r="C30" s="51">
        <f t="shared" ref="C30:AL30" si="33">19500000/37</f>
        <v>527027.02702702698</v>
      </c>
      <c r="D30" s="51">
        <f t="shared" si="33"/>
        <v>527027.02702702698</v>
      </c>
      <c r="E30" s="51">
        <f t="shared" si="33"/>
        <v>527027.02702702698</v>
      </c>
      <c r="F30" s="51">
        <f t="shared" si="33"/>
        <v>527027.02702702698</v>
      </c>
      <c r="G30" s="51">
        <f t="shared" si="33"/>
        <v>527027.02702702698</v>
      </c>
      <c r="H30" s="51">
        <f t="shared" si="33"/>
        <v>527027.02702702698</v>
      </c>
      <c r="I30" s="51">
        <f t="shared" si="33"/>
        <v>527027.02702702698</v>
      </c>
      <c r="J30" s="51">
        <f t="shared" si="33"/>
        <v>527027.02702702698</v>
      </c>
      <c r="K30" s="51">
        <f t="shared" si="33"/>
        <v>527027.02702702698</v>
      </c>
      <c r="L30" s="51">
        <f t="shared" si="33"/>
        <v>527027.02702702698</v>
      </c>
      <c r="M30" s="51">
        <f t="shared" si="33"/>
        <v>527027.02702702698</v>
      </c>
      <c r="N30" s="51">
        <f t="shared" si="33"/>
        <v>527027.02702702698</v>
      </c>
      <c r="O30" s="51">
        <f t="shared" si="33"/>
        <v>527027.02702702698</v>
      </c>
      <c r="P30" s="51">
        <f t="shared" si="33"/>
        <v>527027.02702702698</v>
      </c>
      <c r="Q30" s="51">
        <f t="shared" si="33"/>
        <v>527027.02702702698</v>
      </c>
      <c r="R30" s="51">
        <f t="shared" si="33"/>
        <v>527027.02702702698</v>
      </c>
      <c r="S30" s="51">
        <f t="shared" si="33"/>
        <v>527027.02702702698</v>
      </c>
      <c r="T30" s="51">
        <f t="shared" si="33"/>
        <v>527027.02702702698</v>
      </c>
      <c r="U30" s="51">
        <f t="shared" si="33"/>
        <v>527027.02702702698</v>
      </c>
      <c r="V30" s="51">
        <f t="shared" si="33"/>
        <v>527027.02702702698</v>
      </c>
      <c r="W30" s="51">
        <f t="shared" si="33"/>
        <v>527027.02702702698</v>
      </c>
      <c r="X30" s="51">
        <f t="shared" si="33"/>
        <v>527027.02702702698</v>
      </c>
      <c r="Y30" s="51">
        <f t="shared" si="33"/>
        <v>527027.02702702698</v>
      </c>
      <c r="Z30" s="51">
        <f t="shared" si="33"/>
        <v>527027.02702702698</v>
      </c>
      <c r="AA30" s="51">
        <f t="shared" si="33"/>
        <v>527027.02702702698</v>
      </c>
      <c r="AB30" s="51">
        <f t="shared" si="33"/>
        <v>527027.02702702698</v>
      </c>
      <c r="AC30" s="51">
        <f t="shared" si="33"/>
        <v>527027.02702702698</v>
      </c>
      <c r="AD30" s="51">
        <f t="shared" si="33"/>
        <v>527027.02702702698</v>
      </c>
      <c r="AE30" s="51">
        <f t="shared" si="33"/>
        <v>527027.02702702698</v>
      </c>
      <c r="AF30" s="51">
        <f t="shared" si="33"/>
        <v>527027.02702702698</v>
      </c>
      <c r="AG30" s="51">
        <f t="shared" si="33"/>
        <v>527027.02702702698</v>
      </c>
      <c r="AH30" s="51">
        <f t="shared" si="33"/>
        <v>527027.02702702698</v>
      </c>
      <c r="AI30" s="51">
        <f t="shared" si="33"/>
        <v>527027.02702702698</v>
      </c>
      <c r="AJ30" s="51">
        <f t="shared" si="33"/>
        <v>527027.02702702698</v>
      </c>
      <c r="AK30" s="51">
        <f t="shared" si="33"/>
        <v>527027.02702702698</v>
      </c>
      <c r="AL30" s="51">
        <f t="shared" si="33"/>
        <v>527027.02702702698</v>
      </c>
      <c r="AM30" s="51">
        <v>695000</v>
      </c>
      <c r="AN30" s="51">
        <v>695000</v>
      </c>
      <c r="AO30" s="51">
        <v>695000</v>
      </c>
      <c r="AP30" s="51">
        <v>695000</v>
      </c>
      <c r="AQ30" s="51">
        <v>695000</v>
      </c>
      <c r="AR30" s="51">
        <v>695000</v>
      </c>
      <c r="AS30" s="51">
        <v>695000</v>
      </c>
      <c r="AT30" s="51">
        <v>695000</v>
      </c>
      <c r="AU30" s="51">
        <v>695000</v>
      </c>
      <c r="AV30" s="51">
        <v>695000</v>
      </c>
      <c r="AW30" s="51">
        <v>695000</v>
      </c>
      <c r="AX30" s="51">
        <v>695000</v>
      </c>
      <c r="AY30" s="51">
        <v>695000</v>
      </c>
      <c r="AZ30" s="51">
        <v>695000</v>
      </c>
      <c r="BA30" s="51">
        <v>695000</v>
      </c>
      <c r="BB30" s="51">
        <v>695000</v>
      </c>
      <c r="BC30" s="51">
        <v>695000</v>
      </c>
      <c r="BD30" s="51">
        <v>695000</v>
      </c>
      <c r="BE30" s="51">
        <v>695000</v>
      </c>
      <c r="BF30" s="51">
        <v>695000</v>
      </c>
      <c r="BG30" s="51">
        <v>695000</v>
      </c>
      <c r="BH30" s="51">
        <v>695000</v>
      </c>
      <c r="BI30" s="51">
        <v>695000</v>
      </c>
      <c r="BJ30" s="51">
        <v>695000</v>
      </c>
      <c r="BK30" s="51">
        <v>695000</v>
      </c>
      <c r="BL30" s="51">
        <v>695000</v>
      </c>
      <c r="BM30" s="51">
        <v>695000</v>
      </c>
      <c r="BN30" s="122">
        <v>695000</v>
      </c>
      <c r="BO30" s="123">
        <v>695000</v>
      </c>
      <c r="BP30" s="123">
        <v>695000</v>
      </c>
      <c r="BQ30" s="123">
        <v>695000</v>
      </c>
      <c r="BR30" s="123">
        <v>695000</v>
      </c>
      <c r="BS30" s="123">
        <v>695000</v>
      </c>
      <c r="BT30" s="123">
        <v>695000</v>
      </c>
      <c r="BU30" s="123">
        <v>695000</v>
      </c>
      <c r="BV30" s="123">
        <v>695000</v>
      </c>
      <c r="BW30" s="123">
        <v>2083333</v>
      </c>
      <c r="BX30" s="123">
        <v>2083333</v>
      </c>
      <c r="BY30" s="123">
        <v>2083333</v>
      </c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6"/>
      <c r="CM30" s="156"/>
      <c r="CN30" s="156"/>
      <c r="CO30" s="156"/>
      <c r="CP30" s="156"/>
      <c r="CQ30" s="156"/>
      <c r="CR30" s="156"/>
      <c r="CS30" s="156"/>
      <c r="CT30" s="156"/>
      <c r="CU30" s="156"/>
      <c r="CV30" s="156"/>
      <c r="CW30" s="156"/>
      <c r="CX30" s="156"/>
      <c r="CY30" s="156"/>
      <c r="CZ30" s="156"/>
      <c r="DA30" s="156"/>
      <c r="DB30" s="156"/>
      <c r="DC30" s="156"/>
      <c r="DD30" s="156"/>
      <c r="DE30" s="156"/>
      <c r="DF30" s="156"/>
      <c r="DG30" s="156"/>
      <c r="DH30" s="156"/>
      <c r="DI30" s="156"/>
      <c r="DJ30" s="156"/>
      <c r="DK30" s="156"/>
      <c r="DL30" s="156"/>
      <c r="DM30" s="156"/>
      <c r="DN30" s="156"/>
      <c r="DO30" s="156"/>
      <c r="DP30" s="156"/>
      <c r="DQ30" s="156"/>
      <c r="DR30" s="156"/>
      <c r="DS30" s="156"/>
      <c r="DT30" s="156"/>
      <c r="DU30" s="157"/>
    </row>
    <row r="31" spans="1:125" s="117" customFormat="1" ht="15" thickBot="1" x14ac:dyDescent="0.4">
      <c r="A31" s="5" t="s">
        <v>134</v>
      </c>
      <c r="B31" s="50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124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58"/>
      <c r="CA31" s="158"/>
      <c r="CB31" s="158"/>
      <c r="CC31" s="158"/>
      <c r="CD31" s="158"/>
      <c r="CE31" s="158"/>
      <c r="CF31" s="158"/>
      <c r="CG31" s="158"/>
      <c r="CH31" s="158"/>
      <c r="CI31" s="158"/>
      <c r="CJ31" s="158"/>
      <c r="CK31" s="158"/>
      <c r="CL31" s="159"/>
      <c r="CM31" s="159"/>
      <c r="CN31" s="159"/>
      <c r="CO31" s="159"/>
      <c r="CP31" s="159"/>
      <c r="CQ31" s="159"/>
      <c r="CR31" s="159"/>
      <c r="CS31" s="159"/>
      <c r="CT31" s="159"/>
      <c r="CU31" s="159"/>
      <c r="CV31" s="159"/>
      <c r="CW31" s="159"/>
      <c r="CX31" s="159"/>
      <c r="CY31" s="159"/>
      <c r="CZ31" s="159"/>
      <c r="DA31" s="159"/>
      <c r="DB31" s="159"/>
      <c r="DC31" s="159"/>
      <c r="DD31" s="159"/>
      <c r="DE31" s="159"/>
      <c r="DF31" s="159"/>
      <c r="DG31" s="159"/>
      <c r="DH31" s="159"/>
      <c r="DI31" s="159"/>
      <c r="DJ31" s="159"/>
      <c r="DK31" s="159"/>
      <c r="DL31" s="159"/>
      <c r="DM31" s="159"/>
      <c r="DN31" s="159"/>
      <c r="DO31" s="159"/>
      <c r="DP31" s="159"/>
      <c r="DQ31" s="159"/>
      <c r="DR31" s="159"/>
      <c r="DS31" s="159"/>
      <c r="DT31" s="159"/>
      <c r="DU31" s="160"/>
    </row>
    <row r="33" spans="18:90" x14ac:dyDescent="0.35"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CL33" s="141"/>
    </row>
  </sheetData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U37"/>
  <sheetViews>
    <sheetView workbookViewId="0">
      <selection activeCell="A6" sqref="A6:Q37"/>
    </sheetView>
  </sheetViews>
  <sheetFormatPr defaultRowHeight="14.5" x14ac:dyDescent="0.35"/>
  <cols>
    <col min="1" max="1" width="61.453125" customWidth="1"/>
  </cols>
  <sheetData>
    <row r="1" spans="1:125" x14ac:dyDescent="0.35">
      <c r="A1" s="144" t="str">
        <f>REDACTED!A3</f>
        <v>REDACTED VERSION</v>
      </c>
    </row>
    <row r="2" spans="1:125" ht="18.5" x14ac:dyDescent="0.45">
      <c r="A2" s="90" t="s">
        <v>126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</row>
    <row r="3" spans="1:125" ht="15.5" x14ac:dyDescent="0.35">
      <c r="A3" s="91" t="str">
        <f>'Summary (R)'!A5</f>
        <v>2026 Power Cost update workpapers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78"/>
      <c r="BO3" s="78"/>
      <c r="BP3" s="78"/>
      <c r="BQ3" s="78"/>
      <c r="BR3" s="78"/>
      <c r="BS3" s="78"/>
      <c r="BT3" s="78"/>
      <c r="BU3" s="78"/>
      <c r="BV3" s="78"/>
      <c r="BW3" s="78"/>
      <c r="BX3" s="78"/>
      <c r="BY3" s="78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</row>
    <row r="4" spans="1:125" ht="21" x14ac:dyDescent="0.5">
      <c r="A4" s="39" t="s">
        <v>135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</row>
    <row r="5" spans="1:125" ht="16" thickBot="1" x14ac:dyDescent="0.4">
      <c r="A5" s="40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</row>
    <row r="6" spans="1:125" x14ac:dyDescent="0.35">
      <c r="A6" s="161"/>
      <c r="B6" s="162"/>
      <c r="C6" s="162"/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3"/>
    </row>
    <row r="7" spans="1:125" x14ac:dyDescent="0.35">
      <c r="A7" s="164"/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6"/>
    </row>
    <row r="8" spans="1:125" x14ac:dyDescent="0.35">
      <c r="A8" s="164"/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6"/>
    </row>
    <row r="9" spans="1:125" x14ac:dyDescent="0.35">
      <c r="A9" s="164"/>
      <c r="B9" s="165"/>
      <c r="C9" s="165"/>
      <c r="D9" s="165"/>
      <c r="E9" s="165"/>
      <c r="F9" s="165"/>
      <c r="G9" s="165"/>
      <c r="H9" s="165"/>
      <c r="I9" s="165"/>
      <c r="J9" s="165"/>
      <c r="K9" s="165"/>
      <c r="L9" s="165"/>
      <c r="M9" s="165"/>
      <c r="N9" s="165"/>
      <c r="O9" s="165"/>
      <c r="P9" s="165"/>
      <c r="Q9" s="166"/>
    </row>
    <row r="10" spans="1:125" x14ac:dyDescent="0.35">
      <c r="A10" s="164"/>
      <c r="B10" s="165"/>
      <c r="C10" s="165"/>
      <c r="D10" s="165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6"/>
    </row>
    <row r="11" spans="1:125" x14ac:dyDescent="0.35">
      <c r="A11" s="164"/>
      <c r="B11" s="165"/>
      <c r="C11" s="165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6"/>
    </row>
    <row r="12" spans="1:125" x14ac:dyDescent="0.35">
      <c r="A12" s="164"/>
      <c r="B12" s="165"/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6"/>
    </row>
    <row r="13" spans="1:125" s="154" customFormat="1" x14ac:dyDescent="0.35">
      <c r="A13" s="164"/>
      <c r="B13" s="165"/>
      <c r="C13" s="165"/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6"/>
    </row>
    <row r="14" spans="1:125" s="154" customFormat="1" x14ac:dyDescent="0.35">
      <c r="A14" s="164"/>
      <c r="B14" s="165"/>
      <c r="C14" s="165"/>
      <c r="D14" s="165"/>
      <c r="E14" s="165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6"/>
    </row>
    <row r="15" spans="1:125" x14ac:dyDescent="0.35">
      <c r="A15" s="164"/>
      <c r="B15" s="165"/>
      <c r="C15" s="165"/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65"/>
      <c r="O15" s="165"/>
      <c r="P15" s="165"/>
      <c r="Q15" s="166"/>
    </row>
    <row r="16" spans="1:125" x14ac:dyDescent="0.35">
      <c r="A16" s="164"/>
      <c r="B16" s="165"/>
      <c r="C16" s="165"/>
      <c r="D16" s="165"/>
      <c r="E16" s="165"/>
      <c r="F16" s="165"/>
      <c r="G16" s="165"/>
      <c r="H16" s="165"/>
      <c r="I16" s="165"/>
      <c r="J16" s="165"/>
      <c r="K16" s="165"/>
      <c r="L16" s="165"/>
      <c r="M16" s="165"/>
      <c r="N16" s="165"/>
      <c r="O16" s="165"/>
      <c r="P16" s="165"/>
      <c r="Q16" s="166"/>
    </row>
    <row r="17" spans="1:17" x14ac:dyDescent="0.35">
      <c r="A17" s="164"/>
      <c r="B17" s="165"/>
      <c r="C17" s="165"/>
      <c r="D17" s="165"/>
      <c r="E17" s="165"/>
      <c r="F17" s="165"/>
      <c r="G17" s="165"/>
      <c r="H17" s="165"/>
      <c r="I17" s="165"/>
      <c r="J17" s="165"/>
      <c r="K17" s="165"/>
      <c r="L17" s="165"/>
      <c r="M17" s="165"/>
      <c r="N17" s="165"/>
      <c r="O17" s="165"/>
      <c r="P17" s="165"/>
      <c r="Q17" s="166"/>
    </row>
    <row r="18" spans="1:17" x14ac:dyDescent="0.35">
      <c r="A18" s="164"/>
      <c r="B18" s="165"/>
      <c r="C18" s="165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65"/>
      <c r="Q18" s="166"/>
    </row>
    <row r="19" spans="1:17" x14ac:dyDescent="0.35">
      <c r="A19" s="164"/>
      <c r="B19" s="165"/>
      <c r="C19" s="165"/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165"/>
      <c r="Q19" s="166"/>
    </row>
    <row r="20" spans="1:17" x14ac:dyDescent="0.35">
      <c r="A20" s="164"/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6"/>
    </row>
    <row r="21" spans="1:17" x14ac:dyDescent="0.35">
      <c r="A21" s="164"/>
      <c r="B21" s="165"/>
      <c r="C21" s="165"/>
      <c r="D21" s="165"/>
      <c r="E21" s="165"/>
      <c r="F21" s="165"/>
      <c r="G21" s="165"/>
      <c r="H21" s="165"/>
      <c r="I21" s="165"/>
      <c r="J21" s="165"/>
      <c r="K21" s="165"/>
      <c r="L21" s="165"/>
      <c r="M21" s="165"/>
      <c r="N21" s="165"/>
      <c r="O21" s="165"/>
      <c r="P21" s="165"/>
      <c r="Q21" s="166"/>
    </row>
    <row r="22" spans="1:17" x14ac:dyDescent="0.35">
      <c r="A22" s="164"/>
      <c r="B22" s="165"/>
      <c r="C22" s="165"/>
      <c r="D22" s="165"/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6"/>
    </row>
    <row r="23" spans="1:17" x14ac:dyDescent="0.35">
      <c r="A23" s="164"/>
      <c r="B23" s="165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6"/>
    </row>
    <row r="24" spans="1:17" x14ac:dyDescent="0.35">
      <c r="A24" s="164"/>
      <c r="B24" s="165"/>
      <c r="C24" s="165"/>
      <c r="D24" s="165"/>
      <c r="E24" s="165"/>
      <c r="F24" s="165"/>
      <c r="G24" s="165"/>
      <c r="H24" s="165"/>
      <c r="I24" s="165"/>
      <c r="J24" s="165"/>
      <c r="K24" s="165"/>
      <c r="L24" s="165"/>
      <c r="M24" s="165"/>
      <c r="N24" s="165"/>
      <c r="O24" s="165"/>
      <c r="P24" s="165"/>
      <c r="Q24" s="166"/>
    </row>
    <row r="25" spans="1:17" x14ac:dyDescent="0.35">
      <c r="A25" s="164"/>
      <c r="B25" s="165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6"/>
    </row>
    <row r="26" spans="1:17" x14ac:dyDescent="0.35">
      <c r="A26" s="164"/>
      <c r="B26" s="165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6"/>
    </row>
    <row r="27" spans="1:17" x14ac:dyDescent="0.35">
      <c r="A27" s="164"/>
      <c r="B27" s="165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6"/>
    </row>
    <row r="28" spans="1:17" x14ac:dyDescent="0.35">
      <c r="A28" s="164"/>
      <c r="B28" s="165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6"/>
    </row>
    <row r="29" spans="1:17" x14ac:dyDescent="0.35">
      <c r="A29" s="164"/>
      <c r="B29" s="165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6"/>
    </row>
    <row r="30" spans="1:17" x14ac:dyDescent="0.35">
      <c r="A30" s="164"/>
      <c r="B30" s="165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6"/>
    </row>
    <row r="31" spans="1:17" x14ac:dyDescent="0.35">
      <c r="A31" s="164"/>
      <c r="B31" s="165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6"/>
    </row>
    <row r="32" spans="1:17" x14ac:dyDescent="0.35">
      <c r="A32" s="164"/>
      <c r="B32" s="165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6"/>
    </row>
    <row r="33" spans="1:17" x14ac:dyDescent="0.35">
      <c r="A33" s="164"/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6"/>
    </row>
    <row r="34" spans="1:17" x14ac:dyDescent="0.35">
      <c r="A34" s="164"/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6"/>
    </row>
    <row r="35" spans="1:17" x14ac:dyDescent="0.35">
      <c r="A35" s="164"/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6"/>
    </row>
    <row r="36" spans="1:17" x14ac:dyDescent="0.35">
      <c r="A36" s="164"/>
      <c r="B36" s="165"/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6"/>
    </row>
    <row r="37" spans="1:17" ht="15" thickBot="1" x14ac:dyDescent="0.4">
      <c r="A37" s="167"/>
      <c r="B37" s="168"/>
      <c r="C37" s="168"/>
      <c r="D37" s="168"/>
      <c r="E37" s="168"/>
      <c r="F37" s="168"/>
      <c r="G37" s="168"/>
      <c r="H37" s="168"/>
      <c r="I37" s="168"/>
      <c r="J37" s="168"/>
      <c r="K37" s="168"/>
      <c r="L37" s="168"/>
      <c r="M37" s="168"/>
      <c r="N37" s="168"/>
      <c r="O37" s="168"/>
      <c r="P37" s="168"/>
      <c r="Q37" s="169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8"/>
  <sheetViews>
    <sheetView zoomScaleNormal="100" workbookViewId="0">
      <pane xSplit="2" topLeftCell="C1" activePane="topRight" state="frozen"/>
      <selection sqref="A1:XFD1048576"/>
      <selection pane="topRight" sqref="A1:XFD1048576"/>
    </sheetView>
  </sheetViews>
  <sheetFormatPr defaultRowHeight="14.5" x14ac:dyDescent="0.35"/>
  <cols>
    <col min="2" max="2" width="32.54296875" bestFit="1" customWidth="1"/>
    <col min="3" max="3" width="14" style="3" customWidth="1"/>
    <col min="4" max="4" width="12.26953125" style="3" customWidth="1"/>
    <col min="5" max="5" width="11.26953125" style="3" customWidth="1"/>
    <col min="6" max="12" width="11.453125" style="3" bestFit="1" customWidth="1"/>
  </cols>
  <sheetData>
    <row r="1" spans="1:15" ht="18.5" x14ac:dyDescent="0.45">
      <c r="A1" s="90" t="s">
        <v>126</v>
      </c>
    </row>
    <row r="2" spans="1:15" ht="15.5" x14ac:dyDescent="0.35">
      <c r="A2" s="91" t="str">
        <f>'Summary (R)'!A5</f>
        <v>2026 Power Cost update workpapers</v>
      </c>
    </row>
    <row r="3" spans="1:15" ht="21" x14ac:dyDescent="0.5">
      <c r="A3" s="39" t="s">
        <v>127</v>
      </c>
    </row>
    <row r="4" spans="1:15" ht="15.5" x14ac:dyDescent="0.35">
      <c r="A4" s="40" t="s">
        <v>132</v>
      </c>
    </row>
    <row r="5" spans="1:15" ht="18.5" x14ac:dyDescent="0.45">
      <c r="A5" s="10"/>
    </row>
    <row r="7" spans="1:15" x14ac:dyDescent="0.35">
      <c r="B7" s="1" t="s">
        <v>18</v>
      </c>
      <c r="C7" s="96">
        <v>2019</v>
      </c>
      <c r="D7" s="96">
        <v>2020</v>
      </c>
      <c r="E7" s="96">
        <v>2021</v>
      </c>
      <c r="F7" s="96">
        <v>2022</v>
      </c>
      <c r="G7" s="96">
        <v>2023</v>
      </c>
      <c r="H7" s="96">
        <v>2024</v>
      </c>
      <c r="I7" s="96">
        <v>2025</v>
      </c>
      <c r="J7" s="4">
        <v>2026</v>
      </c>
      <c r="K7" s="4">
        <v>2027</v>
      </c>
      <c r="L7" s="4">
        <v>2028</v>
      </c>
    </row>
    <row r="8" spans="1:15" x14ac:dyDescent="0.35">
      <c r="A8" s="7" t="s">
        <v>10</v>
      </c>
      <c r="B8" s="5" t="s">
        <v>43</v>
      </c>
      <c r="C8" s="104"/>
      <c r="D8" s="104"/>
      <c r="E8" s="104"/>
      <c r="F8" s="104"/>
      <c r="G8" s="104"/>
      <c r="H8" s="104"/>
      <c r="I8" s="104"/>
    </row>
    <row r="9" spans="1:15" x14ac:dyDescent="0.35">
      <c r="A9" s="1" t="s">
        <v>3</v>
      </c>
      <c r="B9" s="1" t="s">
        <v>44</v>
      </c>
      <c r="C9" s="105">
        <v>321.10000000000002</v>
      </c>
      <c r="D9" s="105">
        <v>318.10000000000002</v>
      </c>
      <c r="E9" s="105">
        <v>314.89999999999998</v>
      </c>
      <c r="F9" s="105">
        <v>323.8</v>
      </c>
      <c r="G9" s="105">
        <v>330.5</v>
      </c>
      <c r="H9" s="105">
        <v>321</v>
      </c>
      <c r="I9" s="105">
        <v>321.60000000000002</v>
      </c>
      <c r="J9" s="73">
        <v>321.60000000000002</v>
      </c>
      <c r="K9" s="73">
        <f t="shared" ref="K9:L9" si="0">J9</f>
        <v>321.60000000000002</v>
      </c>
      <c r="L9" s="73">
        <f t="shared" si="0"/>
        <v>321.60000000000002</v>
      </c>
      <c r="N9" s="28"/>
      <c r="O9" s="28"/>
    </row>
    <row r="10" spans="1:15" x14ac:dyDescent="0.35">
      <c r="A10" s="1" t="s">
        <v>4</v>
      </c>
      <c r="B10" s="6" t="s">
        <v>45</v>
      </c>
      <c r="C10" s="106">
        <f>C9*5.5%</f>
        <v>17.660500000000003</v>
      </c>
      <c r="D10" s="106">
        <f t="shared" ref="D10:L10" si="1">D9*5.5%</f>
        <v>17.4955</v>
      </c>
      <c r="E10" s="106">
        <f t="shared" si="1"/>
        <v>17.319499999999998</v>
      </c>
      <c r="F10" s="106">
        <f t="shared" si="1"/>
        <v>17.809000000000001</v>
      </c>
      <c r="G10" s="106">
        <f t="shared" si="1"/>
        <v>18.177499999999998</v>
      </c>
      <c r="H10" s="106">
        <f t="shared" si="1"/>
        <v>17.655000000000001</v>
      </c>
      <c r="I10" s="106">
        <f t="shared" si="1"/>
        <v>17.688000000000002</v>
      </c>
      <c r="J10" s="74">
        <f t="shared" si="1"/>
        <v>17.688000000000002</v>
      </c>
      <c r="K10" s="74">
        <f t="shared" si="1"/>
        <v>17.688000000000002</v>
      </c>
      <c r="L10" s="74">
        <f t="shared" si="1"/>
        <v>17.688000000000002</v>
      </c>
      <c r="N10" s="12"/>
      <c r="O10" s="12"/>
    </row>
    <row r="11" spans="1:15" x14ac:dyDescent="0.35">
      <c r="A11" s="1" t="s">
        <v>5</v>
      </c>
      <c r="B11" s="6" t="s">
        <v>46</v>
      </c>
      <c r="C11" s="106">
        <f>C9-C10</f>
        <v>303.43950000000001</v>
      </c>
      <c r="D11" s="106">
        <f t="shared" ref="D11:L11" si="2">D9-D10</f>
        <v>300.60450000000003</v>
      </c>
      <c r="E11" s="106">
        <f t="shared" si="2"/>
        <v>297.58049999999997</v>
      </c>
      <c r="F11" s="106">
        <f t="shared" si="2"/>
        <v>305.99099999999999</v>
      </c>
      <c r="G11" s="106">
        <f t="shared" si="2"/>
        <v>312.32249999999999</v>
      </c>
      <c r="H11" s="106">
        <f t="shared" si="2"/>
        <v>303.34500000000003</v>
      </c>
      <c r="I11" s="106">
        <f t="shared" si="2"/>
        <v>303.91200000000003</v>
      </c>
      <c r="J11" s="74">
        <f t="shared" si="2"/>
        <v>303.91200000000003</v>
      </c>
      <c r="K11" s="74">
        <f t="shared" si="2"/>
        <v>303.91200000000003</v>
      </c>
      <c r="L11" s="74">
        <f t="shared" si="2"/>
        <v>303.91200000000003</v>
      </c>
      <c r="N11" s="12"/>
      <c r="O11" s="12"/>
    </row>
    <row r="12" spans="1:15" x14ac:dyDescent="0.35">
      <c r="C12" s="104"/>
      <c r="D12" s="104"/>
      <c r="E12" s="104"/>
      <c r="F12" s="104"/>
      <c r="G12" s="104"/>
      <c r="H12" s="104"/>
      <c r="I12" s="104"/>
    </row>
    <row r="13" spans="1:15" x14ac:dyDescent="0.35">
      <c r="A13" s="7" t="s">
        <v>7</v>
      </c>
      <c r="B13" s="5" t="s">
        <v>50</v>
      </c>
      <c r="C13" s="104"/>
      <c r="D13" s="104"/>
      <c r="E13" s="104"/>
      <c r="F13" s="104"/>
      <c r="G13" s="104"/>
      <c r="H13" s="104"/>
      <c r="I13" s="104"/>
    </row>
    <row r="14" spans="1:15" x14ac:dyDescent="0.35">
      <c r="A14" s="1" t="s">
        <v>47</v>
      </c>
      <c r="B14" s="1" t="s">
        <v>51</v>
      </c>
      <c r="C14" s="107">
        <v>535</v>
      </c>
      <c r="D14" s="107">
        <v>532.1</v>
      </c>
      <c r="E14" s="107">
        <v>532.70000000000005</v>
      </c>
      <c r="F14" s="107">
        <v>537.70000000000005</v>
      </c>
      <c r="G14" s="107">
        <v>550.79999999999995</v>
      </c>
      <c r="H14" s="107">
        <v>539.5</v>
      </c>
      <c r="I14" s="107">
        <v>538.6</v>
      </c>
      <c r="J14" s="75">
        <v>538.6</v>
      </c>
      <c r="K14" s="75">
        <f t="shared" ref="K14:L14" si="3">J14</f>
        <v>538.6</v>
      </c>
      <c r="L14" s="75">
        <f t="shared" si="3"/>
        <v>538.6</v>
      </c>
      <c r="N14" s="29"/>
      <c r="O14" s="29"/>
    </row>
    <row r="15" spans="1:15" x14ac:dyDescent="0.35">
      <c r="A15" s="1" t="s">
        <v>48</v>
      </c>
      <c r="B15" s="1" t="s">
        <v>53</v>
      </c>
      <c r="C15" s="46">
        <v>5.5399999999999998E-2</v>
      </c>
      <c r="D15" s="46">
        <v>5.5399999999999998E-2</v>
      </c>
      <c r="E15" s="46">
        <v>5.5399999999999998E-2</v>
      </c>
      <c r="F15" s="46">
        <v>5.5399999999999998E-2</v>
      </c>
      <c r="G15" s="46">
        <v>5.5399999999999998E-2</v>
      </c>
      <c r="H15" s="46">
        <v>5.5399999999999998E-2</v>
      </c>
      <c r="I15" s="46">
        <v>5.5399999999999998E-2</v>
      </c>
      <c r="J15" s="36">
        <v>5.5399999999999998E-2</v>
      </c>
      <c r="K15" s="36">
        <v>5.5399999999999998E-2</v>
      </c>
      <c r="L15" s="36">
        <v>5.5399999999999998E-2</v>
      </c>
      <c r="N15" s="13"/>
      <c r="O15" s="13"/>
    </row>
    <row r="16" spans="1:15" x14ac:dyDescent="0.35">
      <c r="A16" s="1" t="s">
        <v>49</v>
      </c>
      <c r="B16" s="6" t="s">
        <v>52</v>
      </c>
      <c r="C16" s="106">
        <f>C14*C15</f>
        <v>29.638999999999999</v>
      </c>
      <c r="D16" s="106">
        <f t="shared" ref="D16:L16" si="4">D14*D15</f>
        <v>29.478339999999999</v>
      </c>
      <c r="E16" s="106">
        <f t="shared" si="4"/>
        <v>29.511580000000002</v>
      </c>
      <c r="F16" s="106">
        <f t="shared" si="4"/>
        <v>29.78858</v>
      </c>
      <c r="G16" s="106">
        <f t="shared" si="4"/>
        <v>30.514319999999998</v>
      </c>
      <c r="H16" s="106">
        <f t="shared" si="4"/>
        <v>29.888299999999997</v>
      </c>
      <c r="I16" s="106">
        <f t="shared" si="4"/>
        <v>29.838439999999999</v>
      </c>
      <c r="J16" s="74">
        <f t="shared" si="4"/>
        <v>29.838439999999999</v>
      </c>
      <c r="K16" s="74">
        <f t="shared" si="4"/>
        <v>29.838439999999999</v>
      </c>
      <c r="L16" s="74">
        <f t="shared" si="4"/>
        <v>29.838439999999999</v>
      </c>
      <c r="N16" s="12"/>
      <c r="O16" s="12"/>
    </row>
    <row r="17" spans="1:15" x14ac:dyDescent="0.35">
      <c r="C17" s="104"/>
      <c r="D17" s="104"/>
      <c r="E17" s="104"/>
      <c r="F17" s="104"/>
      <c r="G17" s="104"/>
      <c r="H17" s="104"/>
      <c r="I17" s="104"/>
    </row>
    <row r="18" spans="1:15" x14ac:dyDescent="0.35">
      <c r="A18" s="7" t="s">
        <v>12</v>
      </c>
      <c r="B18" s="8" t="s">
        <v>55</v>
      </c>
      <c r="C18" s="104"/>
      <c r="D18" s="104"/>
      <c r="E18" s="104"/>
      <c r="F18" s="104"/>
      <c r="G18" s="104"/>
      <c r="H18" s="104"/>
      <c r="I18" s="104"/>
    </row>
    <row r="19" spans="1:15" x14ac:dyDescent="0.35">
      <c r="A19" s="1" t="s">
        <v>54</v>
      </c>
      <c r="B19" s="14" t="s">
        <v>37</v>
      </c>
      <c r="C19" s="108">
        <f>'Att. #2'!C41</f>
        <v>231.3</v>
      </c>
      <c r="D19" s="106">
        <f>'Att. #2'!D41</f>
        <v>177.4</v>
      </c>
      <c r="E19" s="106">
        <f>'Att. #2'!E41</f>
        <v>183.2</v>
      </c>
      <c r="F19" s="106">
        <f>'Att. #2'!F41</f>
        <v>179.5</v>
      </c>
      <c r="G19" s="106">
        <f>'Att. #2'!G41</f>
        <v>171.6</v>
      </c>
      <c r="H19" s="108">
        <f>'Att. #2'!H41</f>
        <v>266.28744038787863</v>
      </c>
      <c r="I19" s="108">
        <f>'Att. #2'!I41</f>
        <v>247.03026586934982</v>
      </c>
      <c r="J19" s="74">
        <f>'Att. #2'!J41</f>
        <v>312.7</v>
      </c>
      <c r="K19" s="74">
        <f>'Att. #2'!K41</f>
        <v>293.63300761521202</v>
      </c>
      <c r="L19" s="74">
        <f>'Att. #2'!L41</f>
        <v>286.01373037454096</v>
      </c>
      <c r="N19" s="12"/>
      <c r="O19" s="12"/>
    </row>
    <row r="20" spans="1:15" x14ac:dyDescent="0.35">
      <c r="B20" s="14" t="s">
        <v>27</v>
      </c>
      <c r="C20" s="108">
        <f>'Att. #2'!C42</f>
        <v>195.8</v>
      </c>
      <c r="D20" s="106">
        <f>'Att. #2'!D42</f>
        <v>158.4</v>
      </c>
      <c r="E20" s="106">
        <f>'Att. #2'!E42</f>
        <v>186.7</v>
      </c>
      <c r="F20" s="106">
        <f>'Att. #2'!F42</f>
        <v>178.1</v>
      </c>
      <c r="G20" s="106">
        <f>'Att. #2'!G42</f>
        <v>173.8</v>
      </c>
      <c r="H20" s="108">
        <f>'Att. #2'!H42</f>
        <v>249.42302489293678</v>
      </c>
      <c r="I20" s="108">
        <f>'Att. #2'!I42</f>
        <v>233.82009122393004</v>
      </c>
      <c r="J20" s="74">
        <f>'Att. #2'!J42</f>
        <v>279.8</v>
      </c>
      <c r="K20" s="74">
        <f>'Att. #2'!K42</f>
        <v>264.27433306907386</v>
      </c>
      <c r="L20" s="74">
        <f>'Att. #2'!L42</f>
        <v>258.35064233980302</v>
      </c>
      <c r="N20" s="12"/>
      <c r="O20" s="12"/>
    </row>
    <row r="21" spans="1:15" x14ac:dyDescent="0.35">
      <c r="B21" s="17" t="s">
        <v>38</v>
      </c>
      <c r="C21" s="108">
        <f>'Att. #2'!C43</f>
        <v>155.30000000000001</v>
      </c>
      <c r="D21" s="106">
        <f>'Att. #2'!D43</f>
        <v>127.3</v>
      </c>
      <c r="E21" s="106">
        <f>'Att. #2'!E43</f>
        <v>149.1</v>
      </c>
      <c r="F21" s="106">
        <f>'Att. #2'!F43</f>
        <v>148.5</v>
      </c>
      <c r="G21" s="106">
        <f>'Att. #2'!G43</f>
        <v>143.80000000000001</v>
      </c>
      <c r="H21" s="108">
        <f>'Att. #2'!H43</f>
        <v>205.90439296697974</v>
      </c>
      <c r="I21" s="108">
        <f>'Att. #2'!I43</f>
        <v>195.51058475221268</v>
      </c>
      <c r="J21" s="74">
        <f>'Att. #2'!J43</f>
        <v>242.8</v>
      </c>
      <c r="K21" s="74">
        <f>'Att. #2'!K43</f>
        <v>232.24668810965039</v>
      </c>
      <c r="L21" s="74">
        <f>'Att. #2'!L43</f>
        <v>228.17272812008898</v>
      </c>
      <c r="N21" s="12"/>
      <c r="O21" s="12"/>
    </row>
    <row r="22" spans="1:15" x14ac:dyDescent="0.35">
      <c r="B22" s="16" t="s">
        <v>28</v>
      </c>
      <c r="C22" s="108">
        <f>'Att. #2'!C44</f>
        <v>133.4</v>
      </c>
      <c r="D22" s="106">
        <f>'Att. #2'!D44</f>
        <v>103</v>
      </c>
      <c r="E22" s="106">
        <f>'Att. #2'!E44</f>
        <v>117.5</v>
      </c>
      <c r="F22" s="106">
        <f>'Att. #2'!F44</f>
        <v>119.6</v>
      </c>
      <c r="G22" s="106">
        <f>'Att. #2'!G44</f>
        <v>118.5</v>
      </c>
      <c r="H22" s="108">
        <f>'Att. #2'!H44</f>
        <v>185.21040162157288</v>
      </c>
      <c r="I22" s="108">
        <f>'Att. #2'!I44</f>
        <v>178.33735771316697</v>
      </c>
      <c r="J22" s="74">
        <f>'Att. #2'!J44</f>
        <v>223.6</v>
      </c>
      <c r="K22" s="74">
        <f>'Att. #2'!K44</f>
        <v>214.89838042329603</v>
      </c>
      <c r="L22" s="74">
        <f>'Att. #2'!L44</f>
        <v>211.82635791774382</v>
      </c>
      <c r="N22" s="12"/>
      <c r="O22" s="12"/>
    </row>
    <row r="23" spans="1:15" x14ac:dyDescent="0.35">
      <c r="B23" s="16" t="s">
        <v>29</v>
      </c>
      <c r="C23" s="108">
        <f>'Att. #2'!C45</f>
        <v>136.80000000000001</v>
      </c>
      <c r="D23" s="106">
        <f>'Att. #2'!D45</f>
        <v>103.2</v>
      </c>
      <c r="E23" s="106">
        <f>'Att. #2'!E45</f>
        <v>116.6</v>
      </c>
      <c r="F23" s="106">
        <f>'Att. #2'!F45</f>
        <v>118.6</v>
      </c>
      <c r="G23" s="106">
        <f>'Att. #2'!G45</f>
        <v>116.7</v>
      </c>
      <c r="H23" s="108">
        <f>'Att. #2'!H45</f>
        <v>177.33481273591551</v>
      </c>
      <c r="I23" s="108">
        <f>'Att. #2'!I45</f>
        <v>171.73227039045707</v>
      </c>
      <c r="J23" s="74">
        <f>'Att. #2'!J45</f>
        <v>217.9</v>
      </c>
      <c r="K23" s="74">
        <f>'Att. #2'!K45</f>
        <v>209.56043959672547</v>
      </c>
      <c r="L23" s="74">
        <f>'Att. #2'!L45</f>
        <v>206.79670554779148</v>
      </c>
      <c r="N23" s="12"/>
      <c r="O23" s="12"/>
    </row>
    <row r="24" spans="1:15" x14ac:dyDescent="0.35">
      <c r="B24" s="16" t="s">
        <v>30</v>
      </c>
      <c r="C24" s="108">
        <f>'Att. #2'!C46</f>
        <v>155.30000000000001</v>
      </c>
      <c r="D24" s="106">
        <f>'Att. #2'!D46</f>
        <v>111.9</v>
      </c>
      <c r="E24" s="106">
        <f>'Att. #2'!E46</f>
        <v>125.9</v>
      </c>
      <c r="F24" s="106">
        <f>'Att. #2'!F46</f>
        <v>127.3</v>
      </c>
      <c r="G24" s="106">
        <f>'Att. #2'!G46</f>
        <v>128.19999999999999</v>
      </c>
      <c r="H24" s="108">
        <f>'Att. #2'!H46</f>
        <v>187.82845440263688</v>
      </c>
      <c r="I24" s="108">
        <f>'Att. #2'!I46</f>
        <v>183.62142757133486</v>
      </c>
      <c r="J24" s="74">
        <f>'Att. #2'!J46</f>
        <v>224</v>
      </c>
      <c r="K24" s="74">
        <f>'Att. #2'!K46</f>
        <v>214.89838042329603</v>
      </c>
      <c r="L24" s="74">
        <f>'Att. #2'!L46</f>
        <v>211.82635791774382</v>
      </c>
      <c r="N24" s="12"/>
      <c r="O24" s="12"/>
    </row>
    <row r="25" spans="1:15" x14ac:dyDescent="0.35">
      <c r="B25" s="16" t="s">
        <v>31</v>
      </c>
      <c r="C25" s="108">
        <f>'Att. #2'!C47</f>
        <v>172.2</v>
      </c>
      <c r="D25" s="106">
        <f>'Att. #2'!D47</f>
        <v>127.1</v>
      </c>
      <c r="E25" s="106">
        <f>'Att. #2'!E47</f>
        <v>142.5</v>
      </c>
      <c r="F25" s="106">
        <f>'Att. #2'!F47</f>
        <v>141.30000000000001</v>
      </c>
      <c r="G25" s="106">
        <f>'Att. #2'!G47</f>
        <v>137.1</v>
      </c>
      <c r="H25" s="108">
        <f>'Att. #2'!H47</f>
        <v>206.73247768470515</v>
      </c>
      <c r="I25" s="108">
        <f>'Att. #2'!I47</f>
        <v>202.11567207492257</v>
      </c>
      <c r="J25" s="74">
        <f>'Att. #2'!J47</f>
        <v>250.1</v>
      </c>
      <c r="K25" s="74">
        <f>'Att. #2'!K47</f>
        <v>237.58462893622098</v>
      </c>
      <c r="L25" s="74">
        <f>'Att. #2'!L47</f>
        <v>233.20238049004129</v>
      </c>
      <c r="N25" s="12"/>
      <c r="O25" s="12"/>
    </row>
    <row r="26" spans="1:15" x14ac:dyDescent="0.35">
      <c r="B26" s="16" t="s">
        <v>32</v>
      </c>
      <c r="C26" s="108">
        <f>'Att. #2'!C48</f>
        <v>167.1</v>
      </c>
      <c r="D26" s="106">
        <f>'Att. #2'!D48</f>
        <v>124</v>
      </c>
      <c r="E26" s="106">
        <f>'Att. #2'!E48</f>
        <v>138</v>
      </c>
      <c r="F26" s="106">
        <f>'Att. #2'!F48</f>
        <v>138</v>
      </c>
      <c r="G26" s="106">
        <f>'Att. #2'!G48</f>
        <v>133.19999999999999</v>
      </c>
      <c r="H26" s="108">
        <f>'Att. #2'!H48</f>
        <v>201.57001985694927</v>
      </c>
      <c r="I26" s="108">
        <f>'Att. #2'!I48</f>
        <v>198.15261968129664</v>
      </c>
      <c r="J26" s="74">
        <f>'Att. #2'!J48</f>
        <v>245.9</v>
      </c>
      <c r="K26" s="74">
        <f>'Att. #2'!K48</f>
        <v>234.9156585229357</v>
      </c>
      <c r="L26" s="74">
        <f>'Att. #2'!L48</f>
        <v>230.68755430506513</v>
      </c>
      <c r="N26" s="12"/>
      <c r="O26" s="12"/>
    </row>
    <row r="27" spans="1:15" x14ac:dyDescent="0.35">
      <c r="B27" s="17" t="s">
        <v>33</v>
      </c>
      <c r="C27" s="108">
        <f>'Att. #2'!C49</f>
        <v>140.1</v>
      </c>
      <c r="D27" s="106">
        <f>'Att. #2'!D49</f>
        <v>111.1</v>
      </c>
      <c r="E27" s="106">
        <f>'Att. #2'!E49</f>
        <v>125.9</v>
      </c>
      <c r="F27" s="106">
        <f>'Att. #2'!F49</f>
        <v>126.7</v>
      </c>
      <c r="G27" s="106">
        <f>'Att. #2'!G49</f>
        <v>123.1</v>
      </c>
      <c r="H27" s="108">
        <f>'Att. #2'!H49</f>
        <v>185.49960105725714</v>
      </c>
      <c r="I27" s="108">
        <f>'Att. #2'!I49</f>
        <v>182.3004101067929</v>
      </c>
      <c r="J27" s="74">
        <f>'Att. #2'!J49</f>
        <v>230.3</v>
      </c>
      <c r="K27" s="74">
        <f>'Att. #2'!K49</f>
        <v>220.23632124986662</v>
      </c>
      <c r="L27" s="74">
        <f>'Att. #2'!L49</f>
        <v>216.85601028769619</v>
      </c>
      <c r="N27" s="12"/>
      <c r="O27" s="12"/>
    </row>
    <row r="28" spans="1:15" x14ac:dyDescent="0.35">
      <c r="B28" s="17" t="s">
        <v>34</v>
      </c>
      <c r="C28" s="108">
        <f>'Att. #2'!C50</f>
        <v>143.5</v>
      </c>
      <c r="D28" s="106">
        <f>'Att. #2'!D50</f>
        <v>118.2</v>
      </c>
      <c r="E28" s="106">
        <f>'Att. #2'!E50</f>
        <v>138.5</v>
      </c>
      <c r="F28" s="106">
        <f>'Att. #2'!F50</f>
        <v>137.4</v>
      </c>
      <c r="G28" s="106">
        <f>'Att. #2'!G50</f>
        <v>131.30000000000001</v>
      </c>
      <c r="H28" s="108">
        <f>'Att. #2'!H50</f>
        <v>187.23390811874333</v>
      </c>
      <c r="I28" s="108">
        <f>'Att. #2'!I50</f>
        <v>184.94244503587686</v>
      </c>
      <c r="J28" s="74">
        <f>'Att. #2'!J50</f>
        <v>228.1</v>
      </c>
      <c r="K28" s="74">
        <f>'Att. #2'!K50</f>
        <v>218.90183604322397</v>
      </c>
      <c r="L28" s="74">
        <f>'Att. #2'!L50</f>
        <v>215.5985971952081</v>
      </c>
      <c r="N28" s="12"/>
      <c r="O28" s="12"/>
    </row>
    <row r="29" spans="1:15" x14ac:dyDescent="0.35">
      <c r="B29" s="17" t="s">
        <v>35</v>
      </c>
      <c r="C29" s="108">
        <f>'Att. #2'!C51</f>
        <v>180.7</v>
      </c>
      <c r="D29" s="106">
        <f>'Att. #2'!D51</f>
        <v>146.1</v>
      </c>
      <c r="E29" s="106">
        <f>'Att. #2'!E51</f>
        <v>170.1</v>
      </c>
      <c r="F29" s="106">
        <f>'Att. #2'!F51</f>
        <v>165.8</v>
      </c>
      <c r="G29" s="106">
        <f>'Att. #2'!G51</f>
        <v>153.69999999999999</v>
      </c>
      <c r="H29" s="108">
        <f>'Att. #2'!H51</f>
        <v>236.61977306019486</v>
      </c>
      <c r="I29" s="108">
        <f>'Att. #2'!I51</f>
        <v>231.17805629484604</v>
      </c>
      <c r="J29" s="74">
        <f>'Att. #2'!J51</f>
        <v>282.7</v>
      </c>
      <c r="K29" s="74">
        <f>'Att. #2'!K51</f>
        <v>266.94330348235917</v>
      </c>
      <c r="L29" s="74">
        <f>'Att. #2'!L51</f>
        <v>260.8654685247792</v>
      </c>
      <c r="N29" s="12"/>
      <c r="O29" s="12"/>
    </row>
    <row r="30" spans="1:15" x14ac:dyDescent="0.35">
      <c r="B30" s="14" t="s">
        <v>36</v>
      </c>
      <c r="C30" s="108">
        <f>'Att. #2'!C52</f>
        <v>238.08</v>
      </c>
      <c r="D30" s="106">
        <f>'Att. #2'!D52</f>
        <v>186.1</v>
      </c>
      <c r="E30" s="106">
        <f>'Att. #2'!E52</f>
        <v>195.5</v>
      </c>
      <c r="F30" s="106">
        <f>'Att. #2'!F52</f>
        <v>188</v>
      </c>
      <c r="G30" s="106">
        <f>'Att. #2'!G52</f>
        <v>181.5</v>
      </c>
      <c r="H30" s="108">
        <f>'Att. #2'!H52</f>
        <v>285.76363115729964</v>
      </c>
      <c r="I30" s="108">
        <f>'Att. #2'!I52</f>
        <v>270.8085802311054</v>
      </c>
      <c r="J30" s="74">
        <f>'Att. #2'!J52</f>
        <v>317.60000000000002</v>
      </c>
      <c r="K30" s="74">
        <f>'Att. #2'!K52</f>
        <v>298.97094844178264</v>
      </c>
      <c r="L30" s="74">
        <f>'Att. #2'!L52</f>
        <v>291.04338274449327</v>
      </c>
      <c r="N30" s="12"/>
      <c r="O30" s="12"/>
    </row>
    <row r="31" spans="1:15" x14ac:dyDescent="0.35">
      <c r="C31" s="104"/>
      <c r="D31" s="104"/>
      <c r="E31" s="104"/>
      <c r="F31" s="104"/>
      <c r="G31" s="104"/>
      <c r="H31" s="104"/>
      <c r="I31" s="104"/>
    </row>
    <row r="32" spans="1:15" x14ac:dyDescent="0.35">
      <c r="A32" s="1" t="s">
        <v>56</v>
      </c>
      <c r="B32" s="6" t="s">
        <v>73</v>
      </c>
      <c r="C32" s="106">
        <f>MAX(C19:C20,C30)</f>
        <v>238.08</v>
      </c>
      <c r="D32" s="106">
        <f t="shared" ref="D32:L32" si="5">MAX(D19:D20,D30)</f>
        <v>186.1</v>
      </c>
      <c r="E32" s="106">
        <f t="shared" si="5"/>
        <v>195.5</v>
      </c>
      <c r="F32" s="106">
        <f t="shared" si="5"/>
        <v>188</v>
      </c>
      <c r="G32" s="106">
        <f t="shared" si="5"/>
        <v>181.5</v>
      </c>
      <c r="H32" s="106">
        <f t="shared" si="5"/>
        <v>285.76363115729964</v>
      </c>
      <c r="I32" s="106">
        <f t="shared" si="5"/>
        <v>270.8085802311054</v>
      </c>
      <c r="J32" s="74">
        <f t="shared" si="5"/>
        <v>317.60000000000002</v>
      </c>
      <c r="K32" s="74">
        <f t="shared" si="5"/>
        <v>298.97094844178264</v>
      </c>
      <c r="L32" s="74">
        <f t="shared" si="5"/>
        <v>291.04338274449327</v>
      </c>
      <c r="N32" s="12"/>
      <c r="O32" s="12"/>
    </row>
    <row r="33" spans="1:15" x14ac:dyDescent="0.35">
      <c r="A33" s="1" t="s">
        <v>57</v>
      </c>
      <c r="B33" s="6" t="s">
        <v>74</v>
      </c>
      <c r="C33" s="106">
        <f>MAX(C21,C27:C29)</f>
        <v>180.7</v>
      </c>
      <c r="D33" s="106">
        <f t="shared" ref="D33:L33" si="6">MAX(D21,D27:D29)</f>
        <v>146.1</v>
      </c>
      <c r="E33" s="106">
        <f t="shared" si="6"/>
        <v>170.1</v>
      </c>
      <c r="F33" s="106">
        <f t="shared" si="6"/>
        <v>165.8</v>
      </c>
      <c r="G33" s="106">
        <f t="shared" si="6"/>
        <v>153.69999999999999</v>
      </c>
      <c r="H33" s="106">
        <f t="shared" si="6"/>
        <v>236.61977306019486</v>
      </c>
      <c r="I33" s="106">
        <f t="shared" si="6"/>
        <v>231.17805629484604</v>
      </c>
      <c r="J33" s="74">
        <f t="shared" si="6"/>
        <v>282.7</v>
      </c>
      <c r="K33" s="74">
        <f t="shared" si="6"/>
        <v>266.94330348235917</v>
      </c>
      <c r="L33" s="74">
        <f t="shared" si="6"/>
        <v>260.8654685247792</v>
      </c>
      <c r="N33" s="12"/>
      <c r="O33" s="12"/>
    </row>
    <row r="34" spans="1:15" x14ac:dyDescent="0.35">
      <c r="A34" s="1" t="s">
        <v>58</v>
      </c>
      <c r="B34" s="6" t="s">
        <v>75</v>
      </c>
      <c r="C34" s="106">
        <f>MAX(C22:C26)</f>
        <v>172.2</v>
      </c>
      <c r="D34" s="106">
        <f t="shared" ref="D34:L34" si="7">MAX(D22:D26)</f>
        <v>127.1</v>
      </c>
      <c r="E34" s="106">
        <f t="shared" si="7"/>
        <v>142.5</v>
      </c>
      <c r="F34" s="106">
        <f t="shared" si="7"/>
        <v>141.30000000000001</v>
      </c>
      <c r="G34" s="106">
        <f t="shared" si="7"/>
        <v>137.1</v>
      </c>
      <c r="H34" s="106">
        <f t="shared" si="7"/>
        <v>206.73247768470515</v>
      </c>
      <c r="I34" s="106">
        <f t="shared" si="7"/>
        <v>202.11567207492257</v>
      </c>
      <c r="J34" s="74">
        <f t="shared" si="7"/>
        <v>250.1</v>
      </c>
      <c r="K34" s="74">
        <f t="shared" si="7"/>
        <v>237.58462893622098</v>
      </c>
      <c r="L34" s="74">
        <f t="shared" si="7"/>
        <v>233.20238049004129</v>
      </c>
      <c r="N34" s="12"/>
      <c r="O34" s="12"/>
    </row>
    <row r="35" spans="1:15" x14ac:dyDescent="0.35">
      <c r="C35" s="104"/>
      <c r="D35" s="104"/>
      <c r="E35" s="104"/>
      <c r="F35" s="104"/>
      <c r="G35" s="104"/>
      <c r="H35" s="104"/>
      <c r="I35" s="104"/>
    </row>
    <row r="36" spans="1:15" x14ac:dyDescent="0.35">
      <c r="A36" s="7" t="s">
        <v>14</v>
      </c>
      <c r="B36" s="5" t="s">
        <v>59</v>
      </c>
      <c r="C36" s="104"/>
      <c r="D36" s="104"/>
      <c r="E36" s="104"/>
      <c r="F36" s="104"/>
      <c r="G36" s="104"/>
      <c r="H36" s="104"/>
      <c r="I36" s="104"/>
    </row>
    <row r="37" spans="1:15" x14ac:dyDescent="0.35">
      <c r="A37" s="1" t="s">
        <v>16</v>
      </c>
      <c r="B37" s="6" t="s">
        <v>61</v>
      </c>
      <c r="C37" s="106">
        <f>C32-C$16</f>
        <v>208.441</v>
      </c>
      <c r="D37" s="106">
        <f t="shared" ref="D37:L37" si="8">D32-D$16</f>
        <v>156.62165999999999</v>
      </c>
      <c r="E37" s="106">
        <f t="shared" si="8"/>
        <v>165.98841999999999</v>
      </c>
      <c r="F37" s="106">
        <f t="shared" si="8"/>
        <v>158.21142</v>
      </c>
      <c r="G37" s="106">
        <f t="shared" si="8"/>
        <v>150.98568</v>
      </c>
      <c r="H37" s="106">
        <f t="shared" si="8"/>
        <v>255.87533115729966</v>
      </c>
      <c r="I37" s="106">
        <f t="shared" si="8"/>
        <v>240.9701402311054</v>
      </c>
      <c r="J37" s="74">
        <f t="shared" si="8"/>
        <v>287.76156000000003</v>
      </c>
      <c r="K37" s="74">
        <f t="shared" si="8"/>
        <v>269.13250844178265</v>
      </c>
      <c r="L37" s="74">
        <f t="shared" si="8"/>
        <v>261.20494274449328</v>
      </c>
      <c r="N37" s="12"/>
      <c r="O37" s="12"/>
    </row>
    <row r="38" spans="1:15" x14ac:dyDescent="0.35">
      <c r="A38" s="1" t="s">
        <v>17</v>
      </c>
      <c r="B38" s="6" t="s">
        <v>62</v>
      </c>
      <c r="C38" s="106">
        <f t="shared" ref="C38:L39" si="9">C33-C$16</f>
        <v>151.06099999999998</v>
      </c>
      <c r="D38" s="106">
        <f t="shared" si="9"/>
        <v>116.62165999999999</v>
      </c>
      <c r="E38" s="106">
        <f t="shared" si="9"/>
        <v>140.58841999999999</v>
      </c>
      <c r="F38" s="106">
        <f t="shared" si="9"/>
        <v>136.01142000000002</v>
      </c>
      <c r="G38" s="106">
        <f t="shared" si="9"/>
        <v>123.18567999999999</v>
      </c>
      <c r="H38" s="106">
        <f t="shared" si="9"/>
        <v>206.73147306019487</v>
      </c>
      <c r="I38" s="106">
        <f t="shared" si="9"/>
        <v>201.33961629484605</v>
      </c>
      <c r="J38" s="74">
        <f t="shared" si="9"/>
        <v>252.86156</v>
      </c>
      <c r="K38" s="74">
        <f t="shared" si="9"/>
        <v>237.10486348235918</v>
      </c>
      <c r="L38" s="74">
        <f t="shared" si="9"/>
        <v>231.02702852477921</v>
      </c>
      <c r="N38" s="12"/>
      <c r="O38" s="12"/>
    </row>
    <row r="39" spans="1:15" x14ac:dyDescent="0.35">
      <c r="A39" s="1" t="s">
        <v>60</v>
      </c>
      <c r="B39" s="6" t="s">
        <v>63</v>
      </c>
      <c r="C39" s="106">
        <f t="shared" si="9"/>
        <v>142.56099999999998</v>
      </c>
      <c r="D39" s="106">
        <f t="shared" si="9"/>
        <v>97.621659999999991</v>
      </c>
      <c r="E39" s="106">
        <f t="shared" si="9"/>
        <v>112.98841999999999</v>
      </c>
      <c r="F39" s="106">
        <f t="shared" si="9"/>
        <v>111.51142000000002</v>
      </c>
      <c r="G39" s="106">
        <f t="shared" si="9"/>
        <v>106.58568</v>
      </c>
      <c r="H39" s="106">
        <f t="shared" si="9"/>
        <v>176.84417768470516</v>
      </c>
      <c r="I39" s="106">
        <f t="shared" si="9"/>
        <v>172.27723207492258</v>
      </c>
      <c r="J39" s="74">
        <f t="shared" si="9"/>
        <v>220.26156</v>
      </c>
      <c r="K39" s="74">
        <f t="shared" si="9"/>
        <v>207.74618893622099</v>
      </c>
      <c r="L39" s="74">
        <f t="shared" si="9"/>
        <v>203.3639404900413</v>
      </c>
      <c r="N39" s="12"/>
      <c r="O39" s="12"/>
    </row>
    <row r="40" spans="1:15" x14ac:dyDescent="0.35">
      <c r="C40" s="104"/>
      <c r="D40" s="104"/>
      <c r="E40" s="104"/>
      <c r="F40" s="104"/>
      <c r="G40" s="104"/>
      <c r="H40" s="104"/>
      <c r="I40" s="104"/>
    </row>
    <row r="41" spans="1:15" x14ac:dyDescent="0.35">
      <c r="A41" s="7" t="s">
        <v>23</v>
      </c>
      <c r="B41" s="5" t="s">
        <v>64</v>
      </c>
      <c r="C41" s="107">
        <v>75.2</v>
      </c>
      <c r="D41" s="107">
        <v>75.400000000000006</v>
      </c>
      <c r="E41" s="107">
        <v>73.8</v>
      </c>
      <c r="F41" s="107">
        <v>73.7</v>
      </c>
      <c r="G41" s="107">
        <v>74.7</v>
      </c>
      <c r="H41" s="107">
        <v>75.2</v>
      </c>
      <c r="I41" s="107">
        <v>76</v>
      </c>
      <c r="J41" s="75">
        <v>76.2</v>
      </c>
      <c r="K41" s="75">
        <f t="shared" ref="K41:L41" si="10">J41</f>
        <v>76.2</v>
      </c>
      <c r="L41" s="75">
        <f t="shared" si="10"/>
        <v>76.2</v>
      </c>
      <c r="N41" s="29"/>
      <c r="O41" s="29"/>
    </row>
    <row r="42" spans="1:15" x14ac:dyDescent="0.35">
      <c r="A42" s="7" t="s">
        <v>26</v>
      </c>
      <c r="B42" s="5" t="s">
        <v>65</v>
      </c>
      <c r="C42" s="107">
        <v>69.5</v>
      </c>
      <c r="D42" s="107">
        <v>69.5</v>
      </c>
      <c r="E42" s="107">
        <v>69.5</v>
      </c>
      <c r="F42" s="107">
        <v>69.5</v>
      </c>
      <c r="G42" s="107">
        <v>69.5</v>
      </c>
      <c r="H42" s="107">
        <f t="shared" ref="H42:L42" si="11">G42</f>
        <v>69.5</v>
      </c>
      <c r="I42" s="107">
        <f t="shared" si="11"/>
        <v>69.5</v>
      </c>
      <c r="J42" s="75">
        <f t="shared" si="11"/>
        <v>69.5</v>
      </c>
      <c r="K42" s="75">
        <f t="shared" si="11"/>
        <v>69.5</v>
      </c>
      <c r="L42" s="75">
        <f t="shared" si="11"/>
        <v>69.5</v>
      </c>
      <c r="N42" s="29"/>
      <c r="O42" s="29"/>
    </row>
    <row r="43" spans="1:15" x14ac:dyDescent="0.35">
      <c r="A43" s="7" t="s">
        <v>39</v>
      </c>
      <c r="B43" s="8" t="s">
        <v>66</v>
      </c>
      <c r="C43" s="106">
        <f>C41-C42</f>
        <v>5.7000000000000028</v>
      </c>
      <c r="D43" s="106">
        <f t="shared" ref="D43:L43" si="12">D41-D42</f>
        <v>5.9000000000000057</v>
      </c>
      <c r="E43" s="106">
        <f t="shared" si="12"/>
        <v>4.2999999999999972</v>
      </c>
      <c r="F43" s="106">
        <f t="shared" si="12"/>
        <v>4.2000000000000028</v>
      </c>
      <c r="G43" s="106">
        <f t="shared" si="12"/>
        <v>5.2000000000000028</v>
      </c>
      <c r="H43" s="106">
        <f t="shared" si="12"/>
        <v>5.7000000000000028</v>
      </c>
      <c r="I43" s="106">
        <f t="shared" si="12"/>
        <v>6.5</v>
      </c>
      <c r="J43" s="74">
        <f t="shared" si="12"/>
        <v>6.7000000000000028</v>
      </c>
      <c r="K43" s="74">
        <f t="shared" si="12"/>
        <v>6.7000000000000028</v>
      </c>
      <c r="L43" s="74">
        <f t="shared" si="12"/>
        <v>6.7000000000000028</v>
      </c>
      <c r="N43" s="12"/>
      <c r="O43" s="12"/>
    </row>
    <row r="44" spans="1:15" x14ac:dyDescent="0.35">
      <c r="C44" s="104"/>
      <c r="D44" s="104"/>
      <c r="E44" s="104"/>
      <c r="F44" s="104"/>
      <c r="G44" s="104"/>
      <c r="H44" s="104"/>
      <c r="I44" s="104"/>
    </row>
    <row r="45" spans="1:15" x14ac:dyDescent="0.35">
      <c r="A45" s="7" t="s">
        <v>40</v>
      </c>
      <c r="B45" s="5" t="s">
        <v>67</v>
      </c>
      <c r="C45" s="104"/>
      <c r="D45" s="104"/>
      <c r="E45" s="104"/>
      <c r="F45" s="104"/>
      <c r="G45" s="104"/>
      <c r="H45" s="104"/>
      <c r="I45" s="104"/>
    </row>
    <row r="46" spans="1:15" x14ac:dyDescent="0.35">
      <c r="A46" s="1" t="s">
        <v>68</v>
      </c>
      <c r="B46" s="1" t="s">
        <v>72</v>
      </c>
      <c r="C46" s="109">
        <v>0.3</v>
      </c>
      <c r="D46" s="109">
        <v>0.3</v>
      </c>
      <c r="E46" s="109">
        <v>0.3</v>
      </c>
      <c r="F46" s="109">
        <v>0.3</v>
      </c>
      <c r="G46" s="109">
        <v>0.3</v>
      </c>
      <c r="H46" s="109">
        <v>0.3</v>
      </c>
      <c r="I46" s="109">
        <v>0.3</v>
      </c>
      <c r="J46" s="37">
        <v>0.3</v>
      </c>
      <c r="K46" s="37">
        <v>0.3</v>
      </c>
      <c r="L46" s="37">
        <v>0.3</v>
      </c>
      <c r="N46" s="19"/>
      <c r="O46" s="19"/>
    </row>
    <row r="47" spans="1:15" x14ac:dyDescent="0.35">
      <c r="A47" s="1" t="s">
        <v>69</v>
      </c>
      <c r="B47" s="6" t="s">
        <v>76</v>
      </c>
      <c r="C47" s="46">
        <f>MAX(C43/C11,0)</f>
        <v>1.8784634169249564E-2</v>
      </c>
      <c r="D47" s="46">
        <f t="shared" ref="D47:L47" si="13">MAX(D43/D11,0)</f>
        <v>1.962711802384863E-2</v>
      </c>
      <c r="E47" s="46">
        <f t="shared" si="13"/>
        <v>1.4449871547362806E-2</v>
      </c>
      <c r="F47" s="46">
        <f t="shared" si="13"/>
        <v>1.3725893898840172E-2</v>
      </c>
      <c r="G47" s="46">
        <f t="shared" si="13"/>
        <v>1.664945689151439E-2</v>
      </c>
      <c r="H47" s="46">
        <f t="shared" si="13"/>
        <v>1.8790486080205716E-2</v>
      </c>
      <c r="I47" s="46">
        <f t="shared" si="13"/>
        <v>2.1387770143989047E-2</v>
      </c>
      <c r="J47" s="38">
        <f t="shared" si="13"/>
        <v>2.2045855379188718E-2</v>
      </c>
      <c r="K47" s="38">
        <f t="shared" si="13"/>
        <v>2.2045855379188718E-2</v>
      </c>
      <c r="L47" s="38">
        <f t="shared" si="13"/>
        <v>2.2045855379188718E-2</v>
      </c>
      <c r="N47" s="18"/>
      <c r="O47" s="18"/>
    </row>
    <row r="48" spans="1:15" x14ac:dyDescent="0.35">
      <c r="A48" s="1" t="s">
        <v>70</v>
      </c>
      <c r="B48" s="1" t="s">
        <v>77</v>
      </c>
      <c r="C48" s="109">
        <v>0.08</v>
      </c>
      <c r="D48" s="109">
        <v>0.08</v>
      </c>
      <c r="E48" s="109">
        <v>0.08</v>
      </c>
      <c r="F48" s="109">
        <v>0.08</v>
      </c>
      <c r="G48" s="109">
        <v>0.08</v>
      </c>
      <c r="H48" s="109">
        <v>0.08</v>
      </c>
      <c r="I48" s="109">
        <v>0.08</v>
      </c>
      <c r="J48" s="37">
        <v>0.08</v>
      </c>
      <c r="K48" s="37">
        <v>0.08</v>
      </c>
      <c r="L48" s="37">
        <v>0.08</v>
      </c>
      <c r="N48" s="19"/>
      <c r="O48" s="19"/>
    </row>
    <row r="49" spans="1:15" x14ac:dyDescent="0.35">
      <c r="A49" s="1" t="s">
        <v>71</v>
      </c>
      <c r="B49" s="6" t="s">
        <v>78</v>
      </c>
      <c r="C49" s="46">
        <f>MIN(C48+C47,C46)</f>
        <v>9.8784634169249569E-2</v>
      </c>
      <c r="D49" s="46">
        <f t="shared" ref="D49:L49" si="14">MIN(D48+D47,D46)</f>
        <v>9.9627118023848632E-2</v>
      </c>
      <c r="E49" s="46">
        <f t="shared" si="14"/>
        <v>9.4449871547362813E-2</v>
      </c>
      <c r="F49" s="46">
        <f t="shared" si="14"/>
        <v>9.3725893898840174E-2</v>
      </c>
      <c r="G49" s="46">
        <f t="shared" si="14"/>
        <v>9.6649456891514385E-2</v>
      </c>
      <c r="H49" s="46">
        <f t="shared" si="14"/>
        <v>9.8790486080205714E-2</v>
      </c>
      <c r="I49" s="46">
        <f t="shared" si="14"/>
        <v>0.10138777014398904</v>
      </c>
      <c r="J49" s="38">
        <f t="shared" si="14"/>
        <v>0.10204585537918873</v>
      </c>
      <c r="K49" s="38">
        <f t="shared" si="14"/>
        <v>0.10204585537918873</v>
      </c>
      <c r="L49" s="38">
        <f t="shared" si="14"/>
        <v>0.10204585537918873</v>
      </c>
      <c r="N49" s="18"/>
      <c r="O49" s="18"/>
    </row>
    <row r="50" spans="1:15" x14ac:dyDescent="0.35">
      <c r="C50" s="104"/>
      <c r="D50" s="104"/>
      <c r="E50" s="104"/>
      <c r="F50" s="104"/>
      <c r="G50" s="104"/>
      <c r="H50" s="104"/>
      <c r="I50" s="104"/>
    </row>
    <row r="51" spans="1:15" x14ac:dyDescent="0.35">
      <c r="A51" s="7" t="s">
        <v>79</v>
      </c>
      <c r="B51" s="5" t="s">
        <v>80</v>
      </c>
      <c r="C51" s="104"/>
      <c r="D51" s="104"/>
      <c r="E51" s="104"/>
      <c r="F51" s="104"/>
      <c r="G51" s="104"/>
      <c r="H51" s="104"/>
      <c r="I51" s="104"/>
    </row>
    <row r="52" spans="1:15" x14ac:dyDescent="0.35">
      <c r="A52" s="1" t="s">
        <v>81</v>
      </c>
      <c r="B52" s="6" t="s">
        <v>84</v>
      </c>
      <c r="C52" s="45">
        <v>0.68679999999999997</v>
      </c>
      <c r="D52" s="46">
        <f t="shared" ref="D52:L52" si="15">MIN(D37/D$11,1-D49)</f>
        <v>0.5210223399849303</v>
      </c>
      <c r="E52" s="46">
        <f t="shared" si="15"/>
        <v>0.55779333659295549</v>
      </c>
      <c r="F52" s="46">
        <f t="shared" si="15"/>
        <v>0.51704599154877107</v>
      </c>
      <c r="G52" s="46">
        <f t="shared" si="15"/>
        <v>0.48342876353768943</v>
      </c>
      <c r="H52" s="46">
        <f t="shared" si="15"/>
        <v>0.8435126049788183</v>
      </c>
      <c r="I52" s="46">
        <f t="shared" si="15"/>
        <v>0.79289445705041384</v>
      </c>
      <c r="J52" s="38">
        <f>MIN(J37/J$11,1-J49)</f>
        <v>0.89795414462081125</v>
      </c>
      <c r="K52" s="38">
        <f t="shared" si="15"/>
        <v>0.88556065058892908</v>
      </c>
      <c r="L52" s="38">
        <f t="shared" si="15"/>
        <v>0.85947558090662179</v>
      </c>
      <c r="N52" s="20"/>
      <c r="O52" s="20"/>
    </row>
    <row r="53" spans="1:15" x14ac:dyDescent="0.35">
      <c r="A53" s="1" t="s">
        <v>82</v>
      </c>
      <c r="B53" s="6" t="s">
        <v>85</v>
      </c>
      <c r="C53" s="45">
        <v>0.49769999999999998</v>
      </c>
      <c r="D53" s="46">
        <f t="shared" ref="D53:I53" si="16">MIN(D38/D$11,1-D50)</f>
        <v>0.38795713304358376</v>
      </c>
      <c r="E53" s="46">
        <f t="shared" si="16"/>
        <v>0.47243828140620775</v>
      </c>
      <c r="F53" s="46">
        <f t="shared" si="16"/>
        <v>0.44449483808347312</v>
      </c>
      <c r="G53" s="46">
        <f t="shared" si="16"/>
        <v>0.39441820554074714</v>
      </c>
      <c r="H53" s="46">
        <f t="shared" si="16"/>
        <v>0.6815061169961425</v>
      </c>
      <c r="I53" s="46">
        <f t="shared" si="16"/>
        <v>0.66249314372201829</v>
      </c>
      <c r="J53" s="38">
        <f>MIN(J38/J$11,1)</f>
        <v>0.83202229592776844</v>
      </c>
      <c r="K53" s="38">
        <f t="shared" ref="K53:L53" si="17">MIN(K38/K$11,1)</f>
        <v>0.78017604925886164</v>
      </c>
      <c r="L53" s="38">
        <f t="shared" si="17"/>
        <v>0.7601773820210429</v>
      </c>
      <c r="N53" s="20"/>
      <c r="O53" s="20"/>
    </row>
    <row r="54" spans="1:15" x14ac:dyDescent="0.35">
      <c r="A54" s="1" t="s">
        <v>83</v>
      </c>
      <c r="B54" s="6" t="s">
        <v>86</v>
      </c>
      <c r="C54" s="45">
        <v>0.46989999999999998</v>
      </c>
      <c r="D54" s="46">
        <f t="shared" ref="D54:I54" si="18">MIN(D39/D$11,1-D51)</f>
        <v>0.3247511597464442</v>
      </c>
      <c r="E54" s="46">
        <f t="shared" si="18"/>
        <v>0.3796902686835999</v>
      </c>
      <c r="F54" s="46">
        <f t="shared" si="18"/>
        <v>0.36442712367357216</v>
      </c>
      <c r="G54" s="46">
        <f t="shared" si="18"/>
        <v>0.34126801623322045</v>
      </c>
      <c r="H54" s="46">
        <f t="shared" si="18"/>
        <v>0.58298036125436437</v>
      </c>
      <c r="I54" s="46">
        <f t="shared" si="18"/>
        <v>0.56686551394786178</v>
      </c>
      <c r="J54" s="38">
        <f>MIN(J39/J$11,1)</f>
        <v>0.72475440259022339</v>
      </c>
      <c r="K54" s="38">
        <f t="shared" ref="K54:L54" si="19">MIN(K39/K$11,1)</f>
        <v>0.68357349803963308</v>
      </c>
      <c r="L54" s="38">
        <f t="shared" si="19"/>
        <v>0.66915403304259546</v>
      </c>
      <c r="N54" s="20"/>
      <c r="O54" s="20"/>
    </row>
    <row r="55" spans="1:15" x14ac:dyDescent="0.35">
      <c r="C55" s="104"/>
      <c r="D55" s="104"/>
      <c r="E55" s="104"/>
      <c r="F55" s="104"/>
      <c r="G55" s="104"/>
      <c r="H55" s="104"/>
      <c r="I55" s="104"/>
    </row>
    <row r="56" spans="1:15" x14ac:dyDescent="0.35">
      <c r="A56" s="7" t="s">
        <v>87</v>
      </c>
      <c r="B56" s="5" t="s">
        <v>88</v>
      </c>
      <c r="C56" s="104"/>
      <c r="D56" s="104"/>
      <c r="E56" s="104"/>
      <c r="F56" s="104"/>
      <c r="G56" s="104"/>
      <c r="H56" s="104"/>
      <c r="I56" s="104"/>
    </row>
    <row r="57" spans="1:15" x14ac:dyDescent="0.35">
      <c r="A57" s="1" t="s">
        <v>89</v>
      </c>
      <c r="B57" s="6" t="s">
        <v>92</v>
      </c>
      <c r="C57" s="45">
        <v>0.21440000000000001</v>
      </c>
      <c r="D57" s="46">
        <f t="shared" ref="D57:L57" si="20">1-D$49-D52</f>
        <v>0.37935054199122109</v>
      </c>
      <c r="E57" s="46">
        <f t="shared" si="20"/>
        <v>0.34775679185968167</v>
      </c>
      <c r="F57" s="46">
        <f t="shared" si="20"/>
        <v>0.38922811455238882</v>
      </c>
      <c r="G57" s="46">
        <f t="shared" si="20"/>
        <v>0.41992177957079618</v>
      </c>
      <c r="H57" s="46">
        <f t="shared" si="20"/>
        <v>5.7696908940976011E-2</v>
      </c>
      <c r="I57" s="46">
        <f t="shared" si="20"/>
        <v>0.10571777280559713</v>
      </c>
      <c r="J57" s="38">
        <f>1-J$49-J52</f>
        <v>0</v>
      </c>
      <c r="K57" s="38">
        <f t="shared" si="20"/>
        <v>1.2393494031882168E-2</v>
      </c>
      <c r="L57" s="38">
        <f t="shared" si="20"/>
        <v>3.8478563714189451E-2</v>
      </c>
      <c r="N57" s="20"/>
      <c r="O57" s="20"/>
    </row>
    <row r="58" spans="1:15" x14ac:dyDescent="0.35">
      <c r="A58" s="1" t="s">
        <v>90</v>
      </c>
      <c r="B58" s="6" t="s">
        <v>93</v>
      </c>
      <c r="C58" s="45">
        <v>0.40350000000000003</v>
      </c>
      <c r="D58" s="46">
        <f t="shared" ref="D58:L59" si="21">1-D$49-D53</f>
        <v>0.51241574893256758</v>
      </c>
      <c r="E58" s="46">
        <f t="shared" si="21"/>
        <v>0.43311184704642941</v>
      </c>
      <c r="F58" s="46">
        <f t="shared" si="21"/>
        <v>0.46177926801768676</v>
      </c>
      <c r="G58" s="46">
        <f t="shared" si="21"/>
        <v>0.50893233756773848</v>
      </c>
      <c r="H58" s="46">
        <f t="shared" si="21"/>
        <v>0.21970339692365182</v>
      </c>
      <c r="I58" s="46">
        <f t="shared" si="21"/>
        <v>0.23611908613399268</v>
      </c>
      <c r="J58" s="38">
        <f t="shared" si="21"/>
        <v>6.5931848693042805E-2</v>
      </c>
      <c r="K58" s="38">
        <f t="shared" si="21"/>
        <v>0.11777809536194961</v>
      </c>
      <c r="L58" s="38">
        <f t="shared" si="21"/>
        <v>0.13777676259976834</v>
      </c>
      <c r="N58" s="20"/>
      <c r="O58" s="20"/>
    </row>
    <row r="59" spans="1:15" x14ac:dyDescent="0.35">
      <c r="A59" s="1" t="s">
        <v>91</v>
      </c>
      <c r="B59" s="6" t="s">
        <v>94</v>
      </c>
      <c r="C59" s="45">
        <v>0.43140000000000001</v>
      </c>
      <c r="D59" s="46">
        <f t="shared" si="21"/>
        <v>0.5756217222297072</v>
      </c>
      <c r="E59" s="46">
        <f t="shared" si="21"/>
        <v>0.52585985976903726</v>
      </c>
      <c r="F59" s="46">
        <f t="shared" si="21"/>
        <v>0.54184698242758778</v>
      </c>
      <c r="G59" s="46">
        <f t="shared" si="21"/>
        <v>0.56208252687526516</v>
      </c>
      <c r="H59" s="46">
        <f t="shared" si="21"/>
        <v>0.31822915266542995</v>
      </c>
      <c r="I59" s="46">
        <f t="shared" si="21"/>
        <v>0.33174671590814919</v>
      </c>
      <c r="J59" s="38">
        <f t="shared" si="21"/>
        <v>0.17319974203058786</v>
      </c>
      <c r="K59" s="38">
        <f t="shared" si="21"/>
        <v>0.21438064658117817</v>
      </c>
      <c r="L59" s="38">
        <f t="shared" si="21"/>
        <v>0.22880011157821578</v>
      </c>
      <c r="N59" s="20"/>
      <c r="O59" s="20"/>
    </row>
    <row r="60" spans="1:15" x14ac:dyDescent="0.35">
      <c r="A60" s="1"/>
      <c r="B60" s="1"/>
      <c r="C60" s="46"/>
      <c r="D60" s="46"/>
      <c r="E60" s="46"/>
      <c r="F60" s="46"/>
      <c r="G60" s="46"/>
      <c r="H60" s="46"/>
      <c r="I60" s="46"/>
      <c r="J60" s="38"/>
      <c r="K60" s="38"/>
      <c r="L60" s="38"/>
      <c r="N60" s="20"/>
      <c r="O60" s="20"/>
    </row>
    <row r="61" spans="1:15" x14ac:dyDescent="0.35">
      <c r="A61" s="7" t="s">
        <v>95</v>
      </c>
      <c r="B61" s="5" t="s">
        <v>103</v>
      </c>
      <c r="C61" s="104"/>
      <c r="D61" s="104"/>
      <c r="E61" s="104"/>
      <c r="F61" s="104"/>
      <c r="G61" s="104"/>
      <c r="H61" s="104"/>
      <c r="I61" s="104"/>
    </row>
    <row r="62" spans="1:15" x14ac:dyDescent="0.35">
      <c r="A62" s="21" t="s">
        <v>97</v>
      </c>
      <c r="B62" s="1" t="s">
        <v>96</v>
      </c>
      <c r="C62" s="110">
        <v>0.56799999999999995</v>
      </c>
      <c r="D62" s="110">
        <v>0.56799999999999995</v>
      </c>
      <c r="E62" s="110">
        <v>0.56799999999999995</v>
      </c>
      <c r="F62" s="110">
        <v>0.56799999999999995</v>
      </c>
      <c r="G62" s="110">
        <v>0.56799999999999995</v>
      </c>
      <c r="H62" s="110">
        <v>0.56799999999999995</v>
      </c>
      <c r="I62" s="110">
        <v>0.56799999999999995</v>
      </c>
      <c r="J62" s="2">
        <v>0.56799999999999995</v>
      </c>
      <c r="K62" s="2">
        <v>0.56799999999999995</v>
      </c>
      <c r="L62" s="2">
        <v>0.56799999999999995</v>
      </c>
      <c r="N62" s="2"/>
      <c r="O62" s="2"/>
    </row>
    <row r="63" spans="1:15" x14ac:dyDescent="0.35">
      <c r="A63" s="21" t="s">
        <v>98</v>
      </c>
      <c r="B63" s="6" t="s">
        <v>99</v>
      </c>
      <c r="C63" s="104"/>
      <c r="D63" s="104"/>
      <c r="E63" s="104"/>
      <c r="F63" s="104"/>
      <c r="G63" s="104"/>
      <c r="H63" s="104"/>
      <c r="I63" s="104"/>
    </row>
    <row r="64" spans="1:15" x14ac:dyDescent="0.35">
      <c r="B64" s="14" t="s">
        <v>37</v>
      </c>
      <c r="C64" s="111">
        <f>C$57*C$62</f>
        <v>0.12177919999999999</v>
      </c>
      <c r="D64" s="111">
        <v>0.21540000000000001</v>
      </c>
      <c r="E64" s="111">
        <v>0.19750000000000001</v>
      </c>
      <c r="F64" s="111">
        <v>0.22109999999999999</v>
      </c>
      <c r="G64" s="111">
        <v>0.23849999999999999</v>
      </c>
      <c r="H64" s="111">
        <f t="shared" ref="H64:L65" si="22">H$57*H$62</f>
        <v>3.277184427847437E-2</v>
      </c>
      <c r="I64" s="111">
        <f t="shared" si="22"/>
        <v>6.0047694953579166E-2</v>
      </c>
      <c r="J64" s="76">
        <f t="shared" si="22"/>
        <v>0</v>
      </c>
      <c r="K64" s="76">
        <f t="shared" si="22"/>
        <v>7.0395046101090712E-3</v>
      </c>
      <c r="L64" s="76">
        <f t="shared" si="22"/>
        <v>2.1855824189659607E-2</v>
      </c>
      <c r="N64" s="22"/>
      <c r="O64" s="22"/>
    </row>
    <row r="65" spans="1:15" x14ac:dyDescent="0.35">
      <c r="B65" s="14" t="s">
        <v>27</v>
      </c>
      <c r="C65" s="111">
        <f>C$57*C$62</f>
        <v>0.12177919999999999</v>
      </c>
      <c r="D65" s="111">
        <v>0.21540000000000001</v>
      </c>
      <c r="E65" s="111">
        <v>0.19750000000000001</v>
      </c>
      <c r="F65" s="111">
        <v>0.22109999999999999</v>
      </c>
      <c r="G65" s="111">
        <v>0.23849999999999999</v>
      </c>
      <c r="H65" s="111">
        <f t="shared" si="22"/>
        <v>3.277184427847437E-2</v>
      </c>
      <c r="I65" s="111">
        <f t="shared" si="22"/>
        <v>6.0047694953579166E-2</v>
      </c>
      <c r="J65" s="76">
        <f t="shared" si="22"/>
        <v>0</v>
      </c>
      <c r="K65" s="76">
        <f t="shared" si="22"/>
        <v>7.0395046101090712E-3</v>
      </c>
      <c r="L65" s="76">
        <f t="shared" si="22"/>
        <v>2.1855824189659607E-2</v>
      </c>
      <c r="N65" s="22"/>
      <c r="O65" s="22"/>
    </row>
    <row r="66" spans="1:15" x14ac:dyDescent="0.35">
      <c r="B66" s="17" t="s">
        <v>38</v>
      </c>
      <c r="C66" s="111">
        <f>C$58*C$62</f>
        <v>0.229188</v>
      </c>
      <c r="D66" s="111">
        <v>0.29110000000000003</v>
      </c>
      <c r="E66" s="111">
        <v>0.24610000000000001</v>
      </c>
      <c r="F66" s="111">
        <v>0.26219999999999999</v>
      </c>
      <c r="G66" s="111">
        <v>0.28910000000000002</v>
      </c>
      <c r="H66" s="111">
        <f t="shared" ref="H66:L66" si="23">H$58*H$62</f>
        <v>0.12479152945263422</v>
      </c>
      <c r="I66" s="111">
        <f t="shared" si="23"/>
        <v>0.13411564092410783</v>
      </c>
      <c r="J66" s="76">
        <f t="shared" si="23"/>
        <v>3.7449290057648313E-2</v>
      </c>
      <c r="K66" s="76">
        <f t="shared" si="23"/>
        <v>6.6897958165587371E-2</v>
      </c>
      <c r="L66" s="76">
        <f t="shared" si="23"/>
        <v>7.8257201156668413E-2</v>
      </c>
      <c r="N66" s="22"/>
      <c r="O66" s="22"/>
    </row>
    <row r="67" spans="1:15" x14ac:dyDescent="0.35">
      <c r="B67" s="16" t="s">
        <v>28</v>
      </c>
      <c r="C67" s="111">
        <f>C$59*C$62</f>
        <v>0.24503519999999998</v>
      </c>
      <c r="D67" s="111">
        <v>0.32700000000000001</v>
      </c>
      <c r="E67" s="111">
        <v>0.29880000000000001</v>
      </c>
      <c r="F67" s="111">
        <v>0.30780000000000002</v>
      </c>
      <c r="G67" s="111">
        <v>0.31919999999999998</v>
      </c>
      <c r="H67" s="111">
        <f t="shared" ref="H67:L67" si="24">H$59*H$62</f>
        <v>0.18075415871396419</v>
      </c>
      <c r="I67" s="111">
        <f t="shared" si="24"/>
        <v>0.18843213463582872</v>
      </c>
      <c r="J67" s="76">
        <f t="shared" si="24"/>
        <v>9.8377453473373899E-2</v>
      </c>
      <c r="K67" s="76">
        <f t="shared" si="24"/>
        <v>0.12176820725810919</v>
      </c>
      <c r="L67" s="76">
        <f t="shared" si="24"/>
        <v>0.12995846337642655</v>
      </c>
      <c r="N67" s="22"/>
      <c r="O67" s="22"/>
    </row>
    <row r="68" spans="1:15" x14ac:dyDescent="0.35">
      <c r="B68" s="16" t="s">
        <v>29</v>
      </c>
      <c r="C68" s="111">
        <f t="shared" ref="C68:L71" si="25">C$59*C$62</f>
        <v>0.24503519999999998</v>
      </c>
      <c r="D68" s="111">
        <v>0.32700000000000001</v>
      </c>
      <c r="E68" s="111">
        <v>0.29880000000000001</v>
      </c>
      <c r="F68" s="111">
        <v>0.30780000000000002</v>
      </c>
      <c r="G68" s="111">
        <v>0.31919999999999998</v>
      </c>
      <c r="H68" s="111">
        <f t="shared" si="25"/>
        <v>0.18075415871396419</v>
      </c>
      <c r="I68" s="111">
        <f t="shared" si="25"/>
        <v>0.18843213463582872</v>
      </c>
      <c r="J68" s="76">
        <f t="shared" si="25"/>
        <v>9.8377453473373899E-2</v>
      </c>
      <c r="K68" s="76">
        <f t="shared" si="25"/>
        <v>0.12176820725810919</v>
      </c>
      <c r="L68" s="76">
        <f t="shared" si="25"/>
        <v>0.12995846337642655</v>
      </c>
      <c r="N68" s="22"/>
      <c r="O68" s="22"/>
    </row>
    <row r="69" spans="1:15" x14ac:dyDescent="0.35">
      <c r="B69" s="16" t="s">
        <v>30</v>
      </c>
      <c r="C69" s="111">
        <f t="shared" si="25"/>
        <v>0.24503519999999998</v>
      </c>
      <c r="D69" s="111">
        <v>0.32700000000000001</v>
      </c>
      <c r="E69" s="111">
        <v>0.29880000000000001</v>
      </c>
      <c r="F69" s="111">
        <v>0.30780000000000002</v>
      </c>
      <c r="G69" s="111">
        <v>0.31919999999999998</v>
      </c>
      <c r="H69" s="111">
        <f t="shared" si="25"/>
        <v>0.18075415871396419</v>
      </c>
      <c r="I69" s="111">
        <f t="shared" si="25"/>
        <v>0.18843213463582872</v>
      </c>
      <c r="J69" s="76">
        <f t="shared" si="25"/>
        <v>9.8377453473373899E-2</v>
      </c>
      <c r="K69" s="76">
        <f t="shared" si="25"/>
        <v>0.12176820725810919</v>
      </c>
      <c r="L69" s="76">
        <f t="shared" si="25"/>
        <v>0.12995846337642655</v>
      </c>
      <c r="N69" s="22"/>
      <c r="O69" s="22"/>
    </row>
    <row r="70" spans="1:15" x14ac:dyDescent="0.35">
      <c r="B70" s="16" t="s">
        <v>31</v>
      </c>
      <c r="C70" s="111">
        <f t="shared" si="25"/>
        <v>0.24503519999999998</v>
      </c>
      <c r="D70" s="111">
        <v>0.32700000000000001</v>
      </c>
      <c r="E70" s="111">
        <v>0.29880000000000001</v>
      </c>
      <c r="F70" s="111">
        <v>0.30780000000000002</v>
      </c>
      <c r="G70" s="111">
        <v>0.31919999999999998</v>
      </c>
      <c r="H70" s="111">
        <f t="shared" si="25"/>
        <v>0.18075415871396419</v>
      </c>
      <c r="I70" s="111">
        <f t="shared" si="25"/>
        <v>0.18843213463582872</v>
      </c>
      <c r="J70" s="76">
        <f t="shared" si="25"/>
        <v>9.8377453473373899E-2</v>
      </c>
      <c r="K70" s="76">
        <f t="shared" si="25"/>
        <v>0.12176820725810919</v>
      </c>
      <c r="L70" s="76">
        <f t="shared" si="25"/>
        <v>0.12995846337642655</v>
      </c>
      <c r="N70" s="22"/>
      <c r="O70" s="22"/>
    </row>
    <row r="71" spans="1:15" x14ac:dyDescent="0.35">
      <c r="B71" s="16" t="s">
        <v>32</v>
      </c>
      <c r="C71" s="111">
        <f t="shared" si="25"/>
        <v>0.24503519999999998</v>
      </c>
      <c r="D71" s="111">
        <v>0.32700000000000001</v>
      </c>
      <c r="E71" s="111">
        <v>0.29880000000000001</v>
      </c>
      <c r="F71" s="111">
        <v>0.30780000000000002</v>
      </c>
      <c r="G71" s="111">
        <v>0.31919999999999998</v>
      </c>
      <c r="H71" s="111">
        <f t="shared" si="25"/>
        <v>0.18075415871396419</v>
      </c>
      <c r="I71" s="111">
        <f t="shared" si="25"/>
        <v>0.18843213463582872</v>
      </c>
      <c r="J71" s="76">
        <f t="shared" si="25"/>
        <v>9.8377453473373899E-2</v>
      </c>
      <c r="K71" s="76">
        <f t="shared" si="25"/>
        <v>0.12176820725810919</v>
      </c>
      <c r="L71" s="76">
        <f t="shared" si="25"/>
        <v>0.12995846337642655</v>
      </c>
      <c r="N71" s="22"/>
      <c r="O71" s="22"/>
    </row>
    <row r="72" spans="1:15" x14ac:dyDescent="0.35">
      <c r="B72" s="17" t="s">
        <v>33</v>
      </c>
      <c r="C72" s="111">
        <f t="shared" ref="C72:L74" si="26">C$58*C$62</f>
        <v>0.229188</v>
      </c>
      <c r="D72" s="111">
        <f>D66</f>
        <v>0.29110000000000003</v>
      </c>
      <c r="E72" s="111">
        <v>0.24610000000000001</v>
      </c>
      <c r="F72" s="111">
        <v>0.26219999999999999</v>
      </c>
      <c r="G72" s="111">
        <v>0.28910000000000002</v>
      </c>
      <c r="H72" s="111">
        <f t="shared" si="26"/>
        <v>0.12479152945263422</v>
      </c>
      <c r="I72" s="111">
        <f t="shared" si="26"/>
        <v>0.13411564092410783</v>
      </c>
      <c r="J72" s="76">
        <f t="shared" si="26"/>
        <v>3.7449290057648313E-2</v>
      </c>
      <c r="K72" s="76">
        <f t="shared" si="26"/>
        <v>6.6897958165587371E-2</v>
      </c>
      <c r="L72" s="76">
        <f t="shared" si="26"/>
        <v>7.8257201156668413E-2</v>
      </c>
      <c r="N72" s="22"/>
      <c r="O72" s="22"/>
    </row>
    <row r="73" spans="1:15" x14ac:dyDescent="0.35">
      <c r="B73" s="17" t="s">
        <v>34</v>
      </c>
      <c r="C73" s="111">
        <f t="shared" si="26"/>
        <v>0.229188</v>
      </c>
      <c r="D73" s="111">
        <f>D72</f>
        <v>0.29110000000000003</v>
      </c>
      <c r="E73" s="111">
        <v>0.24610000000000001</v>
      </c>
      <c r="F73" s="111">
        <v>0.26219999999999999</v>
      </c>
      <c r="G73" s="111">
        <v>0.28910000000000002</v>
      </c>
      <c r="H73" s="111">
        <f t="shared" si="26"/>
        <v>0.12479152945263422</v>
      </c>
      <c r="I73" s="111">
        <f t="shared" si="26"/>
        <v>0.13411564092410783</v>
      </c>
      <c r="J73" s="76">
        <f t="shared" si="26"/>
        <v>3.7449290057648313E-2</v>
      </c>
      <c r="K73" s="76">
        <f t="shared" si="26"/>
        <v>6.6897958165587371E-2</v>
      </c>
      <c r="L73" s="76">
        <f t="shared" si="26"/>
        <v>7.8257201156668413E-2</v>
      </c>
      <c r="N73" s="22"/>
      <c r="O73" s="22"/>
    </row>
    <row r="74" spans="1:15" x14ac:dyDescent="0.35">
      <c r="B74" s="17" t="s">
        <v>35</v>
      </c>
      <c r="C74" s="111">
        <f t="shared" si="26"/>
        <v>0.229188</v>
      </c>
      <c r="D74" s="111">
        <f>D73</f>
        <v>0.29110000000000003</v>
      </c>
      <c r="E74" s="111">
        <v>0.24610000000000001</v>
      </c>
      <c r="F74" s="111">
        <v>0.26219999999999999</v>
      </c>
      <c r="G74" s="111">
        <v>0.28910000000000002</v>
      </c>
      <c r="H74" s="111">
        <f t="shared" si="26"/>
        <v>0.12479152945263422</v>
      </c>
      <c r="I74" s="111">
        <f t="shared" si="26"/>
        <v>0.13411564092410783</v>
      </c>
      <c r="J74" s="76">
        <f t="shared" si="26"/>
        <v>3.7449290057648313E-2</v>
      </c>
      <c r="K74" s="76">
        <f t="shared" si="26"/>
        <v>6.6897958165587371E-2</v>
      </c>
      <c r="L74" s="76">
        <f t="shared" si="26"/>
        <v>7.8257201156668413E-2</v>
      </c>
      <c r="N74" s="22"/>
      <c r="O74" s="22"/>
    </row>
    <row r="75" spans="1:15" x14ac:dyDescent="0.35">
      <c r="B75" s="14" t="s">
        <v>36</v>
      </c>
      <c r="C75" s="111">
        <f>C$57*C$62</f>
        <v>0.12177919999999999</v>
      </c>
      <c r="D75" s="111">
        <f>D64</f>
        <v>0.21540000000000001</v>
      </c>
      <c r="E75" s="111">
        <v>0.19750000000000001</v>
      </c>
      <c r="F75" s="111">
        <v>0.22109999999999999</v>
      </c>
      <c r="G75" s="111">
        <v>0.23849999999999999</v>
      </c>
      <c r="H75" s="111">
        <f t="shared" ref="H75:L75" si="27">H$57*H$62</f>
        <v>3.277184427847437E-2</v>
      </c>
      <c r="I75" s="111">
        <f t="shared" si="27"/>
        <v>6.0047694953579166E-2</v>
      </c>
      <c r="J75" s="76">
        <f t="shared" si="27"/>
        <v>0</v>
      </c>
      <c r="K75" s="76">
        <f t="shared" si="27"/>
        <v>7.0395046101090712E-3</v>
      </c>
      <c r="L75" s="76">
        <f t="shared" si="27"/>
        <v>2.1855824189659607E-2</v>
      </c>
      <c r="N75" s="22"/>
      <c r="O75" s="22"/>
    </row>
    <row r="76" spans="1:15" x14ac:dyDescent="0.35">
      <c r="C76" s="104"/>
      <c r="D76" s="104"/>
      <c r="E76" s="104"/>
      <c r="F76" s="104"/>
      <c r="G76" s="104"/>
      <c r="H76" s="104"/>
      <c r="I76" s="104"/>
    </row>
    <row r="77" spans="1:15" x14ac:dyDescent="0.35">
      <c r="A77" s="7" t="s">
        <v>100</v>
      </c>
      <c r="B77" s="34" t="s">
        <v>101</v>
      </c>
      <c r="C77" s="111">
        <f>AVERAGE(C64:C75)</f>
        <v>0.20893880000000001</v>
      </c>
      <c r="D77" s="111">
        <f t="shared" ref="D77:K77" si="28">AVERAGE(D64:D75)</f>
        <v>0.28713333333333335</v>
      </c>
      <c r="E77" s="111">
        <f t="shared" si="28"/>
        <v>0.2559083333333334</v>
      </c>
      <c r="F77" s="111">
        <v>0.27100000000000002</v>
      </c>
      <c r="G77" s="111">
        <v>0.28899999999999998</v>
      </c>
      <c r="H77" s="111">
        <f t="shared" si="28"/>
        <v>0.12510437035131508</v>
      </c>
      <c r="I77" s="111">
        <f t="shared" si="28"/>
        <v>0.13823052681135936</v>
      </c>
      <c r="J77" s="76">
        <f>AVERAGE(J64:J75)</f>
        <v>5.347370229978856E-2</v>
      </c>
      <c r="K77" s="76">
        <f t="shared" si="28"/>
        <v>7.4795948565268569E-2</v>
      </c>
      <c r="L77" s="76">
        <f>AVERAGE(L64:L72)</f>
        <v>9.4446485286087664E-2</v>
      </c>
      <c r="N77" s="22"/>
      <c r="O77" s="22"/>
    </row>
    <row r="78" spans="1:15" x14ac:dyDescent="0.35">
      <c r="A78" s="7" t="s">
        <v>102</v>
      </c>
      <c r="B78" s="35" t="s">
        <v>104</v>
      </c>
      <c r="C78" s="112">
        <v>1378961</v>
      </c>
      <c r="D78" s="113">
        <f>1866287</f>
        <v>1866287</v>
      </c>
      <c r="E78" s="113">
        <f>1637586</f>
        <v>1637586</v>
      </c>
      <c r="F78" s="113">
        <v>1693446</v>
      </c>
      <c r="G78" s="113">
        <v>1777100</v>
      </c>
      <c r="H78" s="113">
        <f>H77*'Price tables'!H9</f>
        <v>769391.87766058778</v>
      </c>
      <c r="I78" s="113">
        <f>I77*'Price tables'!I9</f>
        <v>850117.73988986004</v>
      </c>
      <c r="J78" s="77">
        <f>J77*'Price tables'!J9</f>
        <v>323515.8989137208</v>
      </c>
      <c r="K78" s="77">
        <f>K77*'Price tables'!K9</f>
        <v>452515.48881987482</v>
      </c>
      <c r="L78" s="77">
        <f>L77*'Price tables'!L9</f>
        <v>571401.23598083039</v>
      </c>
      <c r="N78" s="27"/>
      <c r="O78" s="2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52"/>
  <sheetViews>
    <sheetView zoomScale="90" zoomScaleNormal="90" workbookViewId="0">
      <selection sqref="A1:XFD1048576"/>
    </sheetView>
  </sheetViews>
  <sheetFormatPr defaultRowHeight="14.5" x14ac:dyDescent="0.35"/>
  <cols>
    <col min="2" max="2" width="37" customWidth="1"/>
    <col min="3" max="3" width="10" customWidth="1"/>
    <col min="4" max="5" width="9.7265625" bestFit="1" customWidth="1"/>
    <col min="6" max="6" width="9.54296875" customWidth="1"/>
    <col min="7" max="7" width="10.1796875" customWidth="1"/>
    <col min="8" max="9" width="9.7265625" bestFit="1" customWidth="1"/>
    <col min="10" max="10" width="9.7265625" customWidth="1"/>
    <col min="11" max="11" width="8.81640625" customWidth="1"/>
    <col min="12" max="12" width="8.81640625"/>
  </cols>
  <sheetData>
    <row r="1" spans="1:12" ht="18.5" x14ac:dyDescent="0.45">
      <c r="A1" s="90" t="s">
        <v>126</v>
      </c>
    </row>
    <row r="2" spans="1:12" ht="15.5" x14ac:dyDescent="0.35">
      <c r="A2" s="91" t="str">
        <f>'Summary (R)'!A5</f>
        <v>2026 Power Cost update workpapers</v>
      </c>
    </row>
    <row r="3" spans="1:12" ht="21" x14ac:dyDescent="0.5">
      <c r="A3" s="39" t="s">
        <v>127</v>
      </c>
    </row>
    <row r="4" spans="1:12" ht="15.5" x14ac:dyDescent="0.35">
      <c r="A4" s="40" t="s">
        <v>131</v>
      </c>
    </row>
    <row r="5" spans="1:12" ht="18.5" x14ac:dyDescent="0.45">
      <c r="A5" s="10"/>
    </row>
    <row r="6" spans="1:12" ht="18.5" x14ac:dyDescent="0.45">
      <c r="A6" s="10"/>
    </row>
    <row r="7" spans="1:12" x14ac:dyDescent="0.35">
      <c r="B7" s="1" t="s">
        <v>18</v>
      </c>
      <c r="C7" s="96">
        <v>2019</v>
      </c>
      <c r="D7" s="96">
        <v>2020</v>
      </c>
      <c r="E7" s="96">
        <v>2021</v>
      </c>
      <c r="F7" s="96">
        <v>2022</v>
      </c>
      <c r="G7" s="96">
        <v>2023</v>
      </c>
      <c r="H7" s="96">
        <v>2024</v>
      </c>
      <c r="I7" s="96">
        <v>2025</v>
      </c>
      <c r="J7" s="4">
        <v>2026</v>
      </c>
      <c r="K7" s="4">
        <v>2027</v>
      </c>
      <c r="L7" s="4">
        <v>2028</v>
      </c>
    </row>
    <row r="8" spans="1:12" x14ac:dyDescent="0.35">
      <c r="A8" s="7" t="s">
        <v>10</v>
      </c>
      <c r="B8" s="5" t="s">
        <v>11</v>
      </c>
      <c r="C8" s="47"/>
      <c r="D8" s="47"/>
      <c r="E8" s="47"/>
      <c r="F8" s="47"/>
      <c r="G8" s="47"/>
      <c r="H8" s="47"/>
      <c r="I8" s="47"/>
    </row>
    <row r="9" spans="1:12" x14ac:dyDescent="0.35">
      <c r="A9" s="1" t="s">
        <v>3</v>
      </c>
      <c r="B9" s="1" t="s">
        <v>19</v>
      </c>
      <c r="C9" s="97">
        <v>93.5</v>
      </c>
      <c r="D9" s="97">
        <f t="shared" ref="D9:H10" si="0">C10</f>
        <v>96.5</v>
      </c>
      <c r="E9" s="97">
        <f t="shared" si="0"/>
        <v>108.2</v>
      </c>
      <c r="F9" s="97">
        <f t="shared" si="0"/>
        <v>116.2</v>
      </c>
      <c r="G9" s="97">
        <f t="shared" si="0"/>
        <v>134.9</v>
      </c>
      <c r="H9" s="97">
        <f t="shared" si="0"/>
        <v>127.4</v>
      </c>
      <c r="I9" s="97">
        <f t="shared" ref="I9:L10" si="1">H10</f>
        <v>142.6</v>
      </c>
      <c r="J9" s="68">
        <f t="shared" si="1"/>
        <v>155.80000000000001</v>
      </c>
      <c r="K9" s="68">
        <f t="shared" si="1"/>
        <v>170.4</v>
      </c>
      <c r="L9" s="68">
        <f t="shared" si="1"/>
        <v>185.2</v>
      </c>
    </row>
    <row r="10" spans="1:12" x14ac:dyDescent="0.35">
      <c r="A10" s="1" t="s">
        <v>4</v>
      </c>
      <c r="B10" s="1" t="s">
        <v>20</v>
      </c>
      <c r="C10" s="97">
        <v>96.5</v>
      </c>
      <c r="D10" s="97">
        <v>108.2</v>
      </c>
      <c r="E10" s="97">
        <f t="shared" si="0"/>
        <v>116.2</v>
      </c>
      <c r="F10" s="97">
        <v>134.9</v>
      </c>
      <c r="G10" s="97">
        <f t="shared" si="0"/>
        <v>127.4</v>
      </c>
      <c r="H10" s="97">
        <f t="shared" si="0"/>
        <v>142.6</v>
      </c>
      <c r="I10" s="97">
        <f t="shared" si="1"/>
        <v>155.80000000000001</v>
      </c>
      <c r="J10" s="69">
        <f t="shared" si="1"/>
        <v>170.4</v>
      </c>
      <c r="K10" s="69">
        <f t="shared" si="1"/>
        <v>185.2</v>
      </c>
      <c r="L10" s="69">
        <f t="shared" si="1"/>
        <v>188.904</v>
      </c>
    </row>
    <row r="11" spans="1:12" x14ac:dyDescent="0.35">
      <c r="A11" s="1" t="s">
        <v>5</v>
      </c>
      <c r="B11" s="1" t="s">
        <v>21</v>
      </c>
      <c r="C11" s="97">
        <v>108.2</v>
      </c>
      <c r="D11" s="97">
        <v>116.2</v>
      </c>
      <c r="E11" s="97">
        <v>135.1</v>
      </c>
      <c r="F11" s="97">
        <v>127.4</v>
      </c>
      <c r="G11" s="97">
        <v>142.6</v>
      </c>
      <c r="H11" s="97">
        <v>155.80000000000001</v>
      </c>
      <c r="I11" s="97">
        <v>170.4</v>
      </c>
      <c r="J11" s="69">
        <v>185.2</v>
      </c>
      <c r="K11" s="69">
        <f t="shared" ref="K11:L11" si="2">J11*1.02</f>
        <v>188.904</v>
      </c>
      <c r="L11" s="69">
        <f t="shared" si="2"/>
        <v>192.68208000000001</v>
      </c>
    </row>
    <row r="12" spans="1:12" x14ac:dyDescent="0.35">
      <c r="A12" s="6" t="s">
        <v>9</v>
      </c>
      <c r="B12" s="6" t="s">
        <v>6</v>
      </c>
      <c r="C12" s="98">
        <f t="shared" ref="C12:H12" si="3">AVERAGE(C9:C11)</f>
        <v>99.399999999999991</v>
      </c>
      <c r="D12" s="98">
        <f t="shared" si="3"/>
        <v>106.96666666666665</v>
      </c>
      <c r="E12" s="98">
        <f t="shared" si="3"/>
        <v>119.83333333333333</v>
      </c>
      <c r="F12" s="98">
        <f t="shared" si="3"/>
        <v>126.16666666666667</v>
      </c>
      <c r="G12" s="98">
        <f t="shared" si="3"/>
        <v>134.96666666666667</v>
      </c>
      <c r="H12" s="98">
        <f t="shared" si="3"/>
        <v>141.93333333333334</v>
      </c>
      <c r="I12" s="98">
        <f t="shared" ref="I12:L12" si="4">AVERAGE(I9:I11)</f>
        <v>156.26666666666665</v>
      </c>
      <c r="J12" s="12">
        <f t="shared" si="4"/>
        <v>170.46666666666667</v>
      </c>
      <c r="K12" s="12">
        <f t="shared" si="4"/>
        <v>181.50133333333335</v>
      </c>
      <c r="L12" s="12">
        <f t="shared" si="4"/>
        <v>188.92869333333331</v>
      </c>
    </row>
    <row r="13" spans="1:12" x14ac:dyDescent="0.35">
      <c r="C13" s="47"/>
      <c r="D13" s="47"/>
      <c r="E13" s="47"/>
      <c r="F13" s="47"/>
      <c r="G13" s="47"/>
      <c r="H13" s="47"/>
      <c r="I13" s="47"/>
    </row>
    <row r="14" spans="1:12" x14ac:dyDescent="0.35">
      <c r="A14" s="9" t="s">
        <v>7</v>
      </c>
      <c r="B14" s="8" t="s">
        <v>8</v>
      </c>
      <c r="C14" s="99">
        <f t="shared" ref="C14:H14" si="5">((C11/C9)^(1/2)-1)</f>
        <v>7.574125668624343E-2</v>
      </c>
      <c r="D14" s="99">
        <f t="shared" si="5"/>
        <v>9.7335444483685363E-2</v>
      </c>
      <c r="E14" s="99">
        <f t="shared" si="5"/>
        <v>0.11741383487648949</v>
      </c>
      <c r="F14" s="99">
        <f t="shared" si="5"/>
        <v>4.7084305186872122E-2</v>
      </c>
      <c r="G14" s="99">
        <f t="shared" si="5"/>
        <v>2.814362713258256E-2</v>
      </c>
      <c r="H14" s="99">
        <f t="shared" si="5"/>
        <v>0.10585710523812786</v>
      </c>
      <c r="I14" s="99">
        <f t="shared" ref="I14:L14" si="6">((I11/I9)^(1/2)-1)</f>
        <v>9.3138102730370376E-2</v>
      </c>
      <c r="J14" s="11">
        <f t="shared" si="6"/>
        <v>9.0276784115862929E-2</v>
      </c>
      <c r="K14" s="11">
        <f t="shared" si="6"/>
        <v>5.2896741991243168E-2</v>
      </c>
      <c r="L14" s="11">
        <f t="shared" si="6"/>
        <v>2.0000000000000018E-2</v>
      </c>
    </row>
    <row r="15" spans="1:12" x14ac:dyDescent="0.35">
      <c r="C15" s="47"/>
      <c r="D15" s="47"/>
      <c r="E15" s="47"/>
      <c r="F15" s="47"/>
      <c r="G15" s="47"/>
      <c r="H15" s="47"/>
      <c r="I15" s="47"/>
    </row>
    <row r="16" spans="1:12" x14ac:dyDescent="0.35">
      <c r="A16" s="9" t="s">
        <v>12</v>
      </c>
      <c r="B16" s="5" t="s">
        <v>13</v>
      </c>
      <c r="C16" s="100">
        <v>52.7</v>
      </c>
      <c r="D16" s="100">
        <v>4</v>
      </c>
      <c r="E16" s="101">
        <v>0</v>
      </c>
      <c r="F16" s="101">
        <v>9</v>
      </c>
      <c r="G16" s="101">
        <v>0</v>
      </c>
      <c r="H16" s="101">
        <v>41</v>
      </c>
      <c r="I16" s="101">
        <v>19.7</v>
      </c>
      <c r="J16" s="70">
        <v>52</v>
      </c>
      <c r="K16" s="70">
        <v>41</v>
      </c>
      <c r="L16" s="70">
        <v>41</v>
      </c>
    </row>
    <row r="17" spans="1:12" x14ac:dyDescent="0.35">
      <c r="C17" s="47"/>
      <c r="D17" s="47"/>
      <c r="E17" s="47"/>
      <c r="F17" s="47"/>
      <c r="G17" s="47"/>
      <c r="H17" s="47"/>
      <c r="I17" s="47"/>
    </row>
    <row r="18" spans="1:12" x14ac:dyDescent="0.35">
      <c r="A18" s="9" t="s">
        <v>14</v>
      </c>
      <c r="B18" s="5" t="s">
        <v>15</v>
      </c>
      <c r="C18" s="47"/>
      <c r="D18" s="47"/>
      <c r="E18" s="47"/>
      <c r="F18" s="47"/>
      <c r="G18" s="47"/>
      <c r="H18" s="47"/>
      <c r="I18" s="47"/>
    </row>
    <row r="19" spans="1:12" x14ac:dyDescent="0.35">
      <c r="A19" s="1" t="s">
        <v>16</v>
      </c>
      <c r="B19" s="6" t="s">
        <v>22</v>
      </c>
      <c r="C19" s="98">
        <f t="shared" ref="C19:H19" si="7">C12*(1+C14)</f>
        <v>106.92868091461258</v>
      </c>
      <c r="D19" s="98">
        <f t="shared" si="7"/>
        <v>117.37831471160486</v>
      </c>
      <c r="E19" s="98">
        <f t="shared" si="7"/>
        <v>133.90342454603265</v>
      </c>
      <c r="F19" s="98">
        <f t="shared" si="7"/>
        <v>132.10713650441036</v>
      </c>
      <c r="G19" s="98">
        <f t="shared" si="7"/>
        <v>138.76511820866091</v>
      </c>
      <c r="H19" s="98">
        <f t="shared" si="7"/>
        <v>156.95798513679827</v>
      </c>
      <c r="I19" s="98">
        <f t="shared" ref="I19:L19" si="8">I12*(1+I14)</f>
        <v>170.82104751999918</v>
      </c>
      <c r="J19" s="12">
        <f t="shared" si="8"/>
        <v>185.85584913228411</v>
      </c>
      <c r="K19" s="12">
        <f t="shared" si="8"/>
        <v>191.10216253373332</v>
      </c>
      <c r="L19" s="12">
        <f t="shared" si="8"/>
        <v>192.70726719999999</v>
      </c>
    </row>
    <row r="20" spans="1:12" x14ac:dyDescent="0.35">
      <c r="A20" s="1" t="s">
        <v>17</v>
      </c>
      <c r="B20" s="6" t="s">
        <v>24</v>
      </c>
      <c r="C20" s="98">
        <f t="shared" ref="C20:H20" si="9">C19*(1+C14)</f>
        <v>115.02759358288768</v>
      </c>
      <c r="D20" s="98">
        <f t="shared" si="9"/>
        <v>128.80338514680483</v>
      </c>
      <c r="E20" s="98">
        <f t="shared" si="9"/>
        <v>149.62553912507701</v>
      </c>
      <c r="F20" s="98">
        <f t="shared" si="9"/>
        <v>138.3273092369478</v>
      </c>
      <c r="G20" s="98">
        <f t="shared" si="9"/>
        <v>142.67047195453421</v>
      </c>
      <c r="H20" s="98">
        <f t="shared" si="9"/>
        <v>173.57310308738883</v>
      </c>
      <c r="I20" s="98">
        <f t="shared" ref="I20:L20" si="10">I19*(1+I14)</f>
        <v>186.73099579242634</v>
      </c>
      <c r="J20" s="12">
        <f t="shared" si="10"/>
        <v>202.63431750106972</v>
      </c>
      <c r="K20" s="12">
        <f t="shared" si="10"/>
        <v>201.21084431924882</v>
      </c>
      <c r="L20" s="12">
        <f t="shared" si="10"/>
        <v>196.56141254400001</v>
      </c>
    </row>
    <row r="21" spans="1:12" x14ac:dyDescent="0.35">
      <c r="A21" s="9"/>
      <c r="C21" s="47"/>
      <c r="D21" s="47"/>
      <c r="E21" s="47"/>
      <c r="F21" s="47"/>
      <c r="G21" s="47"/>
      <c r="H21" s="47"/>
      <c r="I21" s="47"/>
    </row>
    <row r="22" spans="1:12" x14ac:dyDescent="0.35">
      <c r="A22" s="9" t="s">
        <v>23</v>
      </c>
      <c r="B22" s="8" t="s">
        <v>25</v>
      </c>
      <c r="C22" s="98">
        <f t="shared" ref="C22:H22" si="11">IF(C14&gt;0,C20+C16,C11)</f>
        <v>167.72759358288766</v>
      </c>
      <c r="D22" s="98">
        <f t="shared" si="11"/>
        <v>132.80338514680483</v>
      </c>
      <c r="E22" s="98">
        <f t="shared" si="11"/>
        <v>149.62553912507701</v>
      </c>
      <c r="F22" s="98">
        <f t="shared" si="11"/>
        <v>147.3273092369478</v>
      </c>
      <c r="G22" s="102">
        <f t="shared" si="11"/>
        <v>142.67047195453421</v>
      </c>
      <c r="H22" s="103">
        <f t="shared" si="11"/>
        <v>214.57310308738883</v>
      </c>
      <c r="I22" s="103">
        <f t="shared" ref="I22:L22" si="12">IF(I14&gt;0,I20+I16,I11)</f>
        <v>206.43099579242633</v>
      </c>
      <c r="J22" s="12">
        <f t="shared" si="12"/>
        <v>254.63431750106972</v>
      </c>
      <c r="K22" s="12">
        <f t="shared" si="12"/>
        <v>242.21084431924882</v>
      </c>
      <c r="L22" s="12">
        <f t="shared" si="12"/>
        <v>237.56141254400001</v>
      </c>
    </row>
    <row r="23" spans="1:12" x14ac:dyDescent="0.35">
      <c r="A23" s="9"/>
      <c r="C23" s="47"/>
      <c r="D23" s="47"/>
      <c r="E23" s="47"/>
      <c r="F23" s="47"/>
      <c r="G23" s="47"/>
      <c r="H23" s="47"/>
      <c r="I23" s="47"/>
    </row>
    <row r="24" spans="1:12" x14ac:dyDescent="0.35">
      <c r="A24" s="9"/>
      <c r="C24" s="47"/>
      <c r="D24" s="47"/>
      <c r="E24" s="47"/>
      <c r="F24" s="47"/>
      <c r="G24" s="47"/>
      <c r="H24" s="47"/>
      <c r="I24" s="47"/>
    </row>
    <row r="25" spans="1:12" x14ac:dyDescent="0.35">
      <c r="A25" s="9"/>
      <c r="C25" s="47"/>
      <c r="D25" s="47"/>
      <c r="E25" s="47"/>
      <c r="F25" s="47"/>
      <c r="G25" s="47"/>
      <c r="H25" s="47"/>
      <c r="I25" s="47"/>
    </row>
    <row r="26" spans="1:12" x14ac:dyDescent="0.35">
      <c r="A26" s="9" t="s">
        <v>26</v>
      </c>
      <c r="B26" s="5" t="s">
        <v>41</v>
      </c>
      <c r="C26" s="47"/>
      <c r="D26" s="47"/>
      <c r="E26" s="47"/>
      <c r="F26" s="47"/>
      <c r="G26" s="47"/>
      <c r="H26" s="47"/>
      <c r="I26" s="47"/>
    </row>
    <row r="27" spans="1:12" x14ac:dyDescent="0.35">
      <c r="A27" s="9"/>
      <c r="B27" s="1" t="s">
        <v>37</v>
      </c>
      <c r="C27" s="101">
        <v>137</v>
      </c>
      <c r="D27" s="101">
        <v>143</v>
      </c>
      <c r="E27" s="101">
        <v>147</v>
      </c>
      <c r="F27" s="101">
        <v>154</v>
      </c>
      <c r="G27" s="101">
        <v>162</v>
      </c>
      <c r="H27" s="101">
        <v>176.14073476702333</v>
      </c>
      <c r="I27" s="101">
        <v>187</v>
      </c>
      <c r="J27" s="71">
        <v>209</v>
      </c>
      <c r="K27" s="71">
        <f t="shared" ref="K27:L27" si="13">J27+(K$12-J$12)</f>
        <v>220.03466666666668</v>
      </c>
      <c r="L27" s="71">
        <f t="shared" si="13"/>
        <v>227.46202666666665</v>
      </c>
    </row>
    <row r="28" spans="1:12" x14ac:dyDescent="0.35">
      <c r="A28" s="9"/>
      <c r="B28" s="1" t="s">
        <v>27</v>
      </c>
      <c r="C28" s="101">
        <v>116</v>
      </c>
      <c r="D28" s="101">
        <v>128</v>
      </c>
      <c r="E28" s="101">
        <v>150</v>
      </c>
      <c r="F28" s="101">
        <v>153</v>
      </c>
      <c r="G28" s="101">
        <v>164</v>
      </c>
      <c r="H28" s="101">
        <v>164.98545634920333</v>
      </c>
      <c r="I28" s="101">
        <v>177</v>
      </c>
      <c r="J28" s="71">
        <v>187</v>
      </c>
      <c r="K28" s="71">
        <f t="shared" ref="F28:L38" si="14">J28+(K$12-J$12)</f>
        <v>198.03466666666668</v>
      </c>
      <c r="L28" s="71">
        <f t="shared" si="14"/>
        <v>205.46202666666665</v>
      </c>
    </row>
    <row r="29" spans="1:12" x14ac:dyDescent="0.35">
      <c r="A29" s="9"/>
      <c r="B29" s="1" t="s">
        <v>38</v>
      </c>
      <c r="C29" s="101">
        <v>92</v>
      </c>
      <c r="D29" s="101">
        <v>103</v>
      </c>
      <c r="E29" s="101">
        <v>119</v>
      </c>
      <c r="F29" s="101">
        <v>127</v>
      </c>
      <c r="G29" s="101">
        <v>136</v>
      </c>
      <c r="H29" s="101">
        <v>136.19925527142001</v>
      </c>
      <c r="I29" s="101">
        <v>148</v>
      </c>
      <c r="J29" s="71">
        <v>163</v>
      </c>
      <c r="K29" s="71">
        <f t="shared" si="14"/>
        <v>174.03466666666668</v>
      </c>
      <c r="L29" s="71">
        <f t="shared" si="14"/>
        <v>181.46202666666665</v>
      </c>
    </row>
    <row r="30" spans="1:12" x14ac:dyDescent="0.35">
      <c r="A30" s="9"/>
      <c r="B30" s="1" t="s">
        <v>28</v>
      </c>
      <c r="C30" s="101">
        <v>79</v>
      </c>
      <c r="D30" s="101">
        <v>83</v>
      </c>
      <c r="E30" s="101">
        <v>94</v>
      </c>
      <c r="F30" s="101">
        <v>102</v>
      </c>
      <c r="G30" s="101">
        <v>112</v>
      </c>
      <c r="H30" s="101">
        <v>122.51083333333334</v>
      </c>
      <c r="I30" s="101">
        <v>135</v>
      </c>
      <c r="J30" s="71">
        <v>150</v>
      </c>
      <c r="K30" s="71">
        <f t="shared" si="14"/>
        <v>161.03466666666668</v>
      </c>
      <c r="L30" s="71">
        <f t="shared" si="14"/>
        <v>168.46202666666665</v>
      </c>
    </row>
    <row r="31" spans="1:12" x14ac:dyDescent="0.35">
      <c r="A31" s="9"/>
      <c r="B31" s="1" t="s">
        <v>29</v>
      </c>
      <c r="C31" s="101">
        <v>81</v>
      </c>
      <c r="D31" s="101">
        <v>83</v>
      </c>
      <c r="E31" s="101">
        <v>93</v>
      </c>
      <c r="F31" s="101">
        <v>102</v>
      </c>
      <c r="G31" s="101">
        <v>110</v>
      </c>
      <c r="H31" s="101">
        <v>117.30137992831334</v>
      </c>
      <c r="I31" s="101">
        <v>130</v>
      </c>
      <c r="J31" s="71">
        <v>146</v>
      </c>
      <c r="K31" s="71">
        <f t="shared" si="14"/>
        <v>157.03466666666668</v>
      </c>
      <c r="L31" s="71">
        <f t="shared" si="14"/>
        <v>164.46202666666665</v>
      </c>
    </row>
    <row r="32" spans="1:12" x14ac:dyDescent="0.35">
      <c r="A32" s="9"/>
      <c r="B32" s="1" t="s">
        <v>30</v>
      </c>
      <c r="C32" s="101">
        <v>92</v>
      </c>
      <c r="D32" s="101">
        <v>90</v>
      </c>
      <c r="E32" s="101">
        <v>101</v>
      </c>
      <c r="F32" s="101">
        <v>109</v>
      </c>
      <c r="G32" s="101">
        <v>121</v>
      </c>
      <c r="H32" s="101">
        <v>124.24259259258999</v>
      </c>
      <c r="I32" s="101">
        <v>139</v>
      </c>
      <c r="J32" s="71">
        <v>150</v>
      </c>
      <c r="K32" s="71">
        <f t="shared" si="14"/>
        <v>161.03466666666668</v>
      </c>
      <c r="L32" s="71">
        <f t="shared" si="14"/>
        <v>168.46202666666665</v>
      </c>
    </row>
    <row r="33" spans="1:12" x14ac:dyDescent="0.35">
      <c r="A33" s="9"/>
      <c r="B33" s="1" t="s">
        <v>31</v>
      </c>
      <c r="C33" s="101">
        <v>102</v>
      </c>
      <c r="D33" s="101">
        <v>102</v>
      </c>
      <c r="E33" s="101">
        <v>114</v>
      </c>
      <c r="F33" s="101">
        <v>121</v>
      </c>
      <c r="G33" s="101">
        <v>130</v>
      </c>
      <c r="H33" s="101">
        <v>136.74700716845666</v>
      </c>
      <c r="I33" s="101">
        <v>153</v>
      </c>
      <c r="J33" s="71">
        <v>167</v>
      </c>
      <c r="K33" s="71">
        <f t="shared" si="14"/>
        <v>178.03466666666668</v>
      </c>
      <c r="L33" s="71">
        <f t="shared" si="14"/>
        <v>185.46202666666665</v>
      </c>
    </row>
    <row r="34" spans="1:12" x14ac:dyDescent="0.35">
      <c r="A34" s="9"/>
      <c r="B34" s="1" t="s">
        <v>32</v>
      </c>
      <c r="C34" s="101">
        <v>99</v>
      </c>
      <c r="D34" s="101">
        <v>100</v>
      </c>
      <c r="E34" s="101">
        <v>111</v>
      </c>
      <c r="F34" s="101">
        <v>118</v>
      </c>
      <c r="G34" s="101">
        <v>126</v>
      </c>
      <c r="H34" s="101">
        <v>133.33220430107335</v>
      </c>
      <c r="I34" s="101">
        <v>150</v>
      </c>
      <c r="J34" s="71">
        <v>165</v>
      </c>
      <c r="K34" s="71">
        <f t="shared" si="14"/>
        <v>176.03466666666668</v>
      </c>
      <c r="L34" s="71">
        <f t="shared" si="14"/>
        <v>183.46202666666665</v>
      </c>
    </row>
    <row r="35" spans="1:12" x14ac:dyDescent="0.35">
      <c r="A35" s="9"/>
      <c r="B35" s="1" t="s">
        <v>33</v>
      </c>
      <c r="C35" s="101">
        <v>83</v>
      </c>
      <c r="D35" s="101">
        <v>90</v>
      </c>
      <c r="E35" s="101">
        <v>101</v>
      </c>
      <c r="F35" s="101">
        <v>109</v>
      </c>
      <c r="G35" s="101">
        <v>116</v>
      </c>
      <c r="H35" s="101">
        <v>122.70212962962667</v>
      </c>
      <c r="I35" s="101">
        <v>138</v>
      </c>
      <c r="J35" s="71">
        <v>154</v>
      </c>
      <c r="K35" s="71">
        <f t="shared" si="14"/>
        <v>165.03466666666668</v>
      </c>
      <c r="L35" s="71">
        <f t="shared" si="14"/>
        <v>172.46202666666665</v>
      </c>
    </row>
    <row r="36" spans="1:12" x14ac:dyDescent="0.35">
      <c r="A36" s="9"/>
      <c r="B36" s="1" t="s">
        <v>34</v>
      </c>
      <c r="C36" s="101">
        <v>85</v>
      </c>
      <c r="D36" s="101">
        <v>95</v>
      </c>
      <c r="E36" s="101">
        <v>111</v>
      </c>
      <c r="F36" s="101">
        <v>118</v>
      </c>
      <c r="G36" s="101">
        <v>124</v>
      </c>
      <c r="H36" s="101">
        <v>123.84931899641333</v>
      </c>
      <c r="I36" s="101">
        <v>140</v>
      </c>
      <c r="J36" s="71">
        <v>153</v>
      </c>
      <c r="K36" s="71">
        <f t="shared" si="14"/>
        <v>164.03466666666668</v>
      </c>
      <c r="L36" s="71">
        <f t="shared" si="14"/>
        <v>171.46202666666665</v>
      </c>
    </row>
    <row r="37" spans="1:12" x14ac:dyDescent="0.35">
      <c r="A37" s="9"/>
      <c r="B37" s="1" t="s">
        <v>35</v>
      </c>
      <c r="C37" s="101">
        <v>107</v>
      </c>
      <c r="D37" s="101">
        <v>118</v>
      </c>
      <c r="E37" s="101">
        <v>136</v>
      </c>
      <c r="F37" s="101">
        <f t="shared" si="14"/>
        <v>142.33333333333334</v>
      </c>
      <c r="G37" s="101">
        <v>145</v>
      </c>
      <c r="H37" s="101">
        <v>156.51650947757665</v>
      </c>
      <c r="I37" s="101">
        <v>175</v>
      </c>
      <c r="J37" s="71">
        <v>189</v>
      </c>
      <c r="K37" s="71">
        <f t="shared" si="14"/>
        <v>200.03466666666668</v>
      </c>
      <c r="L37" s="71">
        <f t="shared" si="14"/>
        <v>207.46202666666665</v>
      </c>
    </row>
    <row r="38" spans="1:12" x14ac:dyDescent="0.35">
      <c r="A38" s="9"/>
      <c r="B38" s="1" t="s">
        <v>36</v>
      </c>
      <c r="C38" s="101">
        <v>141</v>
      </c>
      <c r="D38" s="101">
        <v>150</v>
      </c>
      <c r="E38" s="101">
        <v>157</v>
      </c>
      <c r="F38" s="101">
        <v>161</v>
      </c>
      <c r="G38" s="101">
        <v>172</v>
      </c>
      <c r="H38" s="101">
        <v>189.02362007168335</v>
      </c>
      <c r="I38" s="101">
        <v>205</v>
      </c>
      <c r="J38" s="71">
        <v>213</v>
      </c>
      <c r="K38" s="71">
        <f t="shared" si="14"/>
        <v>224.03466666666668</v>
      </c>
      <c r="L38" s="71">
        <f t="shared" si="14"/>
        <v>231.46202666666665</v>
      </c>
    </row>
    <row r="39" spans="1:12" x14ac:dyDescent="0.35">
      <c r="A39" s="9"/>
      <c r="C39" s="47"/>
      <c r="D39" s="47"/>
      <c r="E39" s="47"/>
      <c r="F39" s="47"/>
      <c r="G39" s="47"/>
      <c r="H39" s="47"/>
      <c r="I39" s="47"/>
    </row>
    <row r="40" spans="1:12" x14ac:dyDescent="0.35">
      <c r="A40" s="9" t="s">
        <v>40</v>
      </c>
      <c r="B40" s="8" t="s">
        <v>42</v>
      </c>
      <c r="C40" s="47"/>
      <c r="D40" s="47"/>
      <c r="E40" s="47"/>
      <c r="F40" s="47"/>
      <c r="G40" s="47"/>
      <c r="H40" s="47"/>
      <c r="I40" s="47"/>
      <c r="J40" s="72"/>
      <c r="K40" s="72"/>
      <c r="L40" s="72"/>
    </row>
    <row r="41" spans="1:12" x14ac:dyDescent="0.35">
      <c r="B41" s="6" t="s">
        <v>37</v>
      </c>
      <c r="C41" s="103">
        <v>231.3</v>
      </c>
      <c r="D41" s="103">
        <v>177.4</v>
      </c>
      <c r="E41" s="103">
        <v>183.2</v>
      </c>
      <c r="F41" s="103">
        <v>179.5</v>
      </c>
      <c r="G41" s="103">
        <v>171.6</v>
      </c>
      <c r="H41" s="103">
        <f t="shared" ref="H41" si="15">(H27/H$12)*H$22</f>
        <v>266.28744038787863</v>
      </c>
      <c r="I41" s="103">
        <f t="shared" ref="I41:L41" si="16">(I27/I$12)*I$22</f>
        <v>247.03026586934982</v>
      </c>
      <c r="J41" s="12">
        <v>312.7</v>
      </c>
      <c r="K41" s="12">
        <f t="shared" si="16"/>
        <v>293.63300761521202</v>
      </c>
      <c r="L41" s="12">
        <f t="shared" si="16"/>
        <v>286.01373037454096</v>
      </c>
    </row>
    <row r="42" spans="1:12" x14ac:dyDescent="0.35">
      <c r="B42" s="6" t="s">
        <v>27</v>
      </c>
      <c r="C42" s="103">
        <v>195.8</v>
      </c>
      <c r="D42" s="103">
        <v>158.4</v>
      </c>
      <c r="E42" s="103">
        <v>186.7</v>
      </c>
      <c r="F42" s="103">
        <v>178.1</v>
      </c>
      <c r="G42" s="103">
        <v>173.8</v>
      </c>
      <c r="H42" s="103">
        <f t="shared" ref="H42" si="17">(H28/H$12)*H$22</f>
        <v>249.42302489293678</v>
      </c>
      <c r="I42" s="103">
        <f t="shared" ref="I42:L42" si="18">(I28/I$12)*I$22</f>
        <v>233.82009122393004</v>
      </c>
      <c r="J42" s="12">
        <v>279.8</v>
      </c>
      <c r="K42" s="12">
        <f t="shared" si="18"/>
        <v>264.27433306907386</v>
      </c>
      <c r="L42" s="12">
        <f t="shared" si="18"/>
        <v>258.35064233980302</v>
      </c>
    </row>
    <row r="43" spans="1:12" x14ac:dyDescent="0.35">
      <c r="B43" s="6" t="s">
        <v>38</v>
      </c>
      <c r="C43" s="103">
        <v>155.30000000000001</v>
      </c>
      <c r="D43" s="103">
        <v>127.3</v>
      </c>
      <c r="E43" s="103">
        <v>149.1</v>
      </c>
      <c r="F43" s="103">
        <v>148.5</v>
      </c>
      <c r="G43" s="103">
        <v>143.80000000000001</v>
      </c>
      <c r="H43" s="103">
        <f t="shared" ref="H43" si="19">(H29/H$12)*H$22</f>
        <v>205.90439296697974</v>
      </c>
      <c r="I43" s="103">
        <f t="shared" ref="I43:L43" si="20">(I29/I$12)*I$22</f>
        <v>195.51058475221268</v>
      </c>
      <c r="J43" s="12">
        <v>242.8</v>
      </c>
      <c r="K43" s="12">
        <f t="shared" si="20"/>
        <v>232.24668810965039</v>
      </c>
      <c r="L43" s="12">
        <f t="shared" si="20"/>
        <v>228.17272812008898</v>
      </c>
    </row>
    <row r="44" spans="1:12" x14ac:dyDescent="0.35">
      <c r="B44" s="6" t="s">
        <v>28</v>
      </c>
      <c r="C44" s="103">
        <v>133.4</v>
      </c>
      <c r="D44" s="103">
        <v>103</v>
      </c>
      <c r="E44" s="103">
        <v>117.5</v>
      </c>
      <c r="F44" s="103">
        <v>119.6</v>
      </c>
      <c r="G44" s="103">
        <v>118.5</v>
      </c>
      <c r="H44" s="103">
        <f t="shared" ref="H44" si="21">(H30/H$12)*H$22</f>
        <v>185.21040162157288</v>
      </c>
      <c r="I44" s="103">
        <f t="shared" ref="I44:L44" si="22">(I30/I$12)*I$22</f>
        <v>178.33735771316697</v>
      </c>
      <c r="J44" s="12">
        <v>223.6</v>
      </c>
      <c r="K44" s="12">
        <f t="shared" si="22"/>
        <v>214.89838042329603</v>
      </c>
      <c r="L44" s="12">
        <f t="shared" si="22"/>
        <v>211.82635791774382</v>
      </c>
    </row>
    <row r="45" spans="1:12" x14ac:dyDescent="0.35">
      <c r="B45" s="6" t="s">
        <v>29</v>
      </c>
      <c r="C45" s="103">
        <v>136.80000000000001</v>
      </c>
      <c r="D45" s="103">
        <v>103.2</v>
      </c>
      <c r="E45" s="103">
        <v>116.6</v>
      </c>
      <c r="F45" s="103">
        <v>118.6</v>
      </c>
      <c r="G45" s="103">
        <v>116.7</v>
      </c>
      <c r="H45" s="103">
        <f t="shared" ref="H45" si="23">(H31/H$12)*H$22</f>
        <v>177.33481273591551</v>
      </c>
      <c r="I45" s="103">
        <f t="shared" ref="I45:L45" si="24">(I31/I$12)*I$22</f>
        <v>171.73227039045707</v>
      </c>
      <c r="J45" s="12">
        <v>217.9</v>
      </c>
      <c r="K45" s="12">
        <f t="shared" si="24"/>
        <v>209.56043959672547</v>
      </c>
      <c r="L45" s="12">
        <f t="shared" si="24"/>
        <v>206.79670554779148</v>
      </c>
    </row>
    <row r="46" spans="1:12" x14ac:dyDescent="0.35">
      <c r="B46" s="6" t="s">
        <v>30</v>
      </c>
      <c r="C46" s="103">
        <v>155.30000000000001</v>
      </c>
      <c r="D46" s="103">
        <v>111.9</v>
      </c>
      <c r="E46" s="103">
        <v>125.9</v>
      </c>
      <c r="F46" s="103">
        <v>127.3</v>
      </c>
      <c r="G46" s="103">
        <v>128.19999999999999</v>
      </c>
      <c r="H46" s="103">
        <f t="shared" ref="H46" si="25">(H32/H$12)*H$22</f>
        <v>187.82845440263688</v>
      </c>
      <c r="I46" s="103">
        <f t="shared" ref="I46:L46" si="26">(I32/I$12)*I$22</f>
        <v>183.62142757133486</v>
      </c>
      <c r="J46" s="12">
        <v>224</v>
      </c>
      <c r="K46" s="12">
        <f t="shared" si="26"/>
        <v>214.89838042329603</v>
      </c>
      <c r="L46" s="12">
        <f t="shared" si="26"/>
        <v>211.82635791774382</v>
      </c>
    </row>
    <row r="47" spans="1:12" x14ac:dyDescent="0.35">
      <c r="B47" s="6" t="s">
        <v>31</v>
      </c>
      <c r="C47" s="103">
        <v>172.2</v>
      </c>
      <c r="D47" s="103">
        <v>127.1</v>
      </c>
      <c r="E47" s="103">
        <v>142.5</v>
      </c>
      <c r="F47" s="103">
        <v>141.30000000000001</v>
      </c>
      <c r="G47" s="103">
        <v>137.1</v>
      </c>
      <c r="H47" s="103">
        <f t="shared" ref="H47" si="27">(H33/H$12)*H$22</f>
        <v>206.73247768470515</v>
      </c>
      <c r="I47" s="103">
        <f t="shared" ref="I47:L47" si="28">(I33/I$12)*I$22</f>
        <v>202.11567207492257</v>
      </c>
      <c r="J47" s="12">
        <v>250.1</v>
      </c>
      <c r="K47" s="12">
        <f t="shared" si="28"/>
        <v>237.58462893622098</v>
      </c>
      <c r="L47" s="12">
        <f t="shared" si="28"/>
        <v>233.20238049004129</v>
      </c>
    </row>
    <row r="48" spans="1:12" x14ac:dyDescent="0.35">
      <c r="B48" s="6" t="s">
        <v>32</v>
      </c>
      <c r="C48" s="103">
        <v>167.1</v>
      </c>
      <c r="D48" s="103">
        <v>124</v>
      </c>
      <c r="E48" s="103">
        <v>138</v>
      </c>
      <c r="F48" s="103">
        <v>138</v>
      </c>
      <c r="G48" s="103">
        <v>133.19999999999999</v>
      </c>
      <c r="H48" s="103">
        <f t="shared" ref="H48" si="29">(H34/H$12)*H$22</f>
        <v>201.57001985694927</v>
      </c>
      <c r="I48" s="103">
        <f t="shared" ref="I48:L48" si="30">(I34/I$12)*I$22</f>
        <v>198.15261968129664</v>
      </c>
      <c r="J48" s="12">
        <v>245.9</v>
      </c>
      <c r="K48" s="12">
        <f t="shared" si="30"/>
        <v>234.9156585229357</v>
      </c>
      <c r="L48" s="12">
        <f t="shared" si="30"/>
        <v>230.68755430506513</v>
      </c>
    </row>
    <row r="49" spans="2:12" x14ac:dyDescent="0.35">
      <c r="B49" s="6" t="s">
        <v>33</v>
      </c>
      <c r="C49" s="103">
        <v>140.1</v>
      </c>
      <c r="D49" s="103">
        <v>111.1</v>
      </c>
      <c r="E49" s="103">
        <v>125.9</v>
      </c>
      <c r="F49" s="103">
        <v>126.7</v>
      </c>
      <c r="G49" s="103">
        <v>123.1</v>
      </c>
      <c r="H49" s="103">
        <f t="shared" ref="H49" si="31">(H35/H$12)*H$22</f>
        <v>185.49960105725714</v>
      </c>
      <c r="I49" s="103">
        <f t="shared" ref="I49:L49" si="32">(I35/I$12)*I$22</f>
        <v>182.3004101067929</v>
      </c>
      <c r="J49" s="12">
        <v>230.3</v>
      </c>
      <c r="K49" s="12">
        <f t="shared" si="32"/>
        <v>220.23632124986662</v>
      </c>
      <c r="L49" s="12">
        <f t="shared" si="32"/>
        <v>216.85601028769619</v>
      </c>
    </row>
    <row r="50" spans="2:12" x14ac:dyDescent="0.35">
      <c r="B50" s="6" t="s">
        <v>34</v>
      </c>
      <c r="C50" s="103">
        <v>143.5</v>
      </c>
      <c r="D50" s="103">
        <v>118.2</v>
      </c>
      <c r="E50" s="103">
        <v>138.5</v>
      </c>
      <c r="F50" s="103">
        <v>137.4</v>
      </c>
      <c r="G50" s="103">
        <v>131.30000000000001</v>
      </c>
      <c r="H50" s="103">
        <f t="shared" ref="H50" si="33">(H36/H$12)*H$22</f>
        <v>187.23390811874333</v>
      </c>
      <c r="I50" s="103">
        <f t="shared" ref="I50:L50" si="34">(I36/I$12)*I$22</f>
        <v>184.94244503587686</v>
      </c>
      <c r="J50" s="12">
        <v>228.1</v>
      </c>
      <c r="K50" s="12">
        <f t="shared" si="34"/>
        <v>218.90183604322397</v>
      </c>
      <c r="L50" s="12">
        <f t="shared" si="34"/>
        <v>215.5985971952081</v>
      </c>
    </row>
    <row r="51" spans="2:12" x14ac:dyDescent="0.35">
      <c r="B51" s="6" t="s">
        <v>35</v>
      </c>
      <c r="C51" s="103">
        <v>180.7</v>
      </c>
      <c r="D51" s="103">
        <v>146.1</v>
      </c>
      <c r="E51" s="103">
        <v>170.1</v>
      </c>
      <c r="F51" s="103">
        <v>165.8</v>
      </c>
      <c r="G51" s="103">
        <v>153.69999999999999</v>
      </c>
      <c r="H51" s="103">
        <f t="shared" ref="H51" si="35">(H37/H$12)*H$22</f>
        <v>236.61977306019486</v>
      </c>
      <c r="I51" s="103">
        <f t="shared" ref="I51:L51" si="36">(I37/I$12)*I$22</f>
        <v>231.17805629484604</v>
      </c>
      <c r="J51" s="12">
        <v>282.7</v>
      </c>
      <c r="K51" s="12">
        <f t="shared" si="36"/>
        <v>266.94330348235917</v>
      </c>
      <c r="L51" s="12">
        <f t="shared" si="36"/>
        <v>260.8654685247792</v>
      </c>
    </row>
    <row r="52" spans="2:12" x14ac:dyDescent="0.35">
      <c r="B52" s="6" t="s">
        <v>36</v>
      </c>
      <c r="C52" s="103">
        <v>238.08</v>
      </c>
      <c r="D52" s="103">
        <v>186.1</v>
      </c>
      <c r="E52" s="103">
        <v>195.5</v>
      </c>
      <c r="F52" s="103">
        <v>188</v>
      </c>
      <c r="G52" s="103">
        <v>181.5</v>
      </c>
      <c r="H52" s="103">
        <f t="shared" ref="H52" si="37">(H38/H$12)*H$22</f>
        <v>285.76363115729964</v>
      </c>
      <c r="I52" s="103">
        <f t="shared" ref="I52:L52" si="38">(I38/I$12)*I$22</f>
        <v>270.8085802311054</v>
      </c>
      <c r="J52" s="12">
        <v>317.60000000000002</v>
      </c>
      <c r="K52" s="12">
        <f t="shared" si="38"/>
        <v>298.97094844178264</v>
      </c>
      <c r="L52" s="12">
        <f t="shared" si="38"/>
        <v>291.04338274449327</v>
      </c>
    </row>
  </sheetData>
  <pageMargins left="0.7" right="0.7" top="0.75" bottom="0.75" header="0.3" footer="0.3"/>
  <pageSetup orientation="portrait" horizontalDpi="90" verticalDpi="9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workbookViewId="0">
      <selection sqref="A1:XFD1048576"/>
    </sheetView>
  </sheetViews>
  <sheetFormatPr defaultRowHeight="14.5" x14ac:dyDescent="0.35"/>
  <cols>
    <col min="1" max="1" width="24.7265625" customWidth="1"/>
    <col min="2" max="7" width="11.54296875" bestFit="1" customWidth="1"/>
    <col min="8" max="9" width="11.54296875" style="127" bestFit="1" customWidth="1"/>
    <col min="10" max="12" width="11.54296875" bestFit="1" customWidth="1"/>
  </cols>
  <sheetData>
    <row r="1" spans="1:12" ht="18.5" x14ac:dyDescent="0.45">
      <c r="A1" s="90" t="s">
        <v>126</v>
      </c>
    </row>
    <row r="2" spans="1:12" ht="15.5" x14ac:dyDescent="0.35">
      <c r="A2" s="91" t="str">
        <f>'Summary (R)'!A5</f>
        <v>2026 Power Cost update workpapers</v>
      </c>
    </row>
    <row r="3" spans="1:12" ht="21" x14ac:dyDescent="0.5">
      <c r="A3" s="39" t="s">
        <v>127</v>
      </c>
    </row>
    <row r="4" spans="1:12" ht="15.5" x14ac:dyDescent="0.35">
      <c r="A4" s="40" t="s">
        <v>133</v>
      </c>
    </row>
    <row r="5" spans="1:12" ht="15.5" x14ac:dyDescent="0.35">
      <c r="A5" s="40"/>
    </row>
    <row r="7" spans="1:12" ht="15.5" x14ac:dyDescent="0.35">
      <c r="A7" s="92" t="s">
        <v>106</v>
      </c>
    </row>
    <row r="8" spans="1:12" ht="21.65" customHeight="1" x14ac:dyDescent="0.35">
      <c r="A8" s="1" t="s">
        <v>18</v>
      </c>
      <c r="B8" s="96">
        <v>2018</v>
      </c>
      <c r="C8" s="96">
        <v>2019</v>
      </c>
      <c r="D8" s="96">
        <v>2020</v>
      </c>
      <c r="E8" s="96">
        <v>2021</v>
      </c>
      <c r="F8" s="96">
        <v>2022</v>
      </c>
      <c r="G8" s="96">
        <v>2023</v>
      </c>
      <c r="H8" s="138">
        <v>2024</v>
      </c>
      <c r="I8" s="138">
        <v>2025</v>
      </c>
      <c r="J8" s="93">
        <v>2026</v>
      </c>
      <c r="K8" s="93">
        <v>2027</v>
      </c>
      <c r="L8" s="93">
        <v>2028</v>
      </c>
    </row>
    <row r="9" spans="1:12" x14ac:dyDescent="0.35">
      <c r="A9" s="5" t="s">
        <v>105</v>
      </c>
      <c r="B9" s="119">
        <v>6700000</v>
      </c>
      <c r="C9" s="119">
        <v>6600000</v>
      </c>
      <c r="D9" s="119">
        <v>6500000</v>
      </c>
      <c r="E9" s="119">
        <v>6400000</v>
      </c>
      <c r="F9" s="119">
        <v>6250000</v>
      </c>
      <c r="G9" s="119">
        <v>6150000</v>
      </c>
      <c r="H9" s="139">
        <v>6150000</v>
      </c>
      <c r="I9" s="139">
        <v>6150000</v>
      </c>
      <c r="J9" s="94">
        <v>6050000</v>
      </c>
      <c r="K9" s="94">
        <v>6050000</v>
      </c>
      <c r="L9" s="94">
        <v>6050000</v>
      </c>
    </row>
    <row r="10" spans="1:12" x14ac:dyDescent="0.35">
      <c r="B10" s="47"/>
      <c r="C10" s="47"/>
      <c r="D10" s="47"/>
      <c r="E10" s="47"/>
      <c r="F10" s="47"/>
      <c r="G10" s="47"/>
      <c r="J10" s="57"/>
      <c r="K10" s="57"/>
      <c r="L10" s="57"/>
    </row>
    <row r="11" spans="1:12" x14ac:dyDescent="0.35">
      <c r="B11" s="47"/>
      <c r="C11" s="47"/>
      <c r="D11" s="47"/>
      <c r="E11" s="47"/>
      <c r="F11" s="47"/>
      <c r="G11" s="47"/>
      <c r="J11" s="57"/>
      <c r="K11" s="57"/>
      <c r="L11" s="57"/>
    </row>
    <row r="12" spans="1:12" ht="15.5" x14ac:dyDescent="0.35">
      <c r="A12" s="92" t="s">
        <v>107</v>
      </c>
      <c r="B12" s="47"/>
      <c r="C12" s="47"/>
      <c r="D12" s="47"/>
      <c r="E12" s="47"/>
      <c r="F12" s="47"/>
      <c r="G12" s="47"/>
      <c r="J12" s="57"/>
      <c r="K12" s="57"/>
      <c r="L12" s="57"/>
    </row>
    <row r="13" spans="1:12" x14ac:dyDescent="0.35">
      <c r="A13" s="1" t="s">
        <v>18</v>
      </c>
      <c r="B13" s="96">
        <v>2018</v>
      </c>
      <c r="C13" s="96">
        <v>2019</v>
      </c>
      <c r="D13" s="96">
        <v>2020</v>
      </c>
      <c r="E13" s="96">
        <v>2021</v>
      </c>
      <c r="F13" s="96">
        <v>2022</v>
      </c>
      <c r="G13" s="96">
        <v>2023</v>
      </c>
      <c r="H13" s="138">
        <v>2024</v>
      </c>
      <c r="I13" s="138">
        <v>2025</v>
      </c>
      <c r="J13" s="93">
        <v>2026</v>
      </c>
      <c r="K13" s="93">
        <v>2027</v>
      </c>
      <c r="L13" s="93">
        <v>2028</v>
      </c>
    </row>
    <row r="14" spans="1:12" x14ac:dyDescent="0.35">
      <c r="A14" s="24" t="s">
        <v>108</v>
      </c>
      <c r="B14" s="120">
        <v>17</v>
      </c>
      <c r="C14" s="120">
        <v>17</v>
      </c>
      <c r="D14" s="121">
        <f>C14*1.03</f>
        <v>17.510000000000002</v>
      </c>
      <c r="E14" s="121">
        <f t="shared" ref="E14:L14" si="0">D14*1.03</f>
        <v>18.035300000000003</v>
      </c>
      <c r="F14" s="121">
        <f t="shared" si="0"/>
        <v>18.576359000000004</v>
      </c>
      <c r="G14" s="121">
        <f t="shared" si="0"/>
        <v>19.133649770000005</v>
      </c>
      <c r="H14" s="140">
        <f t="shared" si="0"/>
        <v>19.707659263100005</v>
      </c>
      <c r="I14" s="140">
        <f t="shared" si="0"/>
        <v>20.298889040993007</v>
      </c>
      <c r="J14" s="95">
        <f t="shared" si="0"/>
        <v>20.907855712222798</v>
      </c>
      <c r="K14" s="95">
        <f t="shared" si="0"/>
        <v>21.535091383589481</v>
      </c>
      <c r="L14" s="95">
        <f t="shared" si="0"/>
        <v>22.181144125097166</v>
      </c>
    </row>
    <row r="15" spans="1:12" x14ac:dyDescent="0.35">
      <c r="A15" s="15" t="s">
        <v>109</v>
      </c>
      <c r="B15" s="104" t="s">
        <v>112</v>
      </c>
      <c r="C15" s="120">
        <v>7</v>
      </c>
      <c r="D15" s="121">
        <f t="shared" ref="D15:L17" si="1">C15*1.03</f>
        <v>7.21</v>
      </c>
      <c r="E15" s="121">
        <f t="shared" si="1"/>
        <v>7.4263000000000003</v>
      </c>
      <c r="F15" s="121">
        <f t="shared" si="1"/>
        <v>7.6490890000000009</v>
      </c>
      <c r="G15" s="121">
        <f t="shared" si="1"/>
        <v>7.8785616700000007</v>
      </c>
      <c r="H15" s="140">
        <f t="shared" si="1"/>
        <v>8.1149185201000016</v>
      </c>
      <c r="I15" s="140">
        <f t="shared" si="1"/>
        <v>8.3583660757030014</v>
      </c>
      <c r="J15" s="95">
        <f t="shared" si="1"/>
        <v>8.6091170579740908</v>
      </c>
      <c r="K15" s="95">
        <f t="shared" si="1"/>
        <v>8.8673905697133133</v>
      </c>
      <c r="L15" s="95">
        <f t="shared" si="1"/>
        <v>9.1334122868047132</v>
      </c>
    </row>
    <row r="16" spans="1:12" x14ac:dyDescent="0.35">
      <c r="A16" s="25" t="s">
        <v>110</v>
      </c>
      <c r="B16" s="104" t="s">
        <v>112</v>
      </c>
      <c r="C16" s="120">
        <v>17</v>
      </c>
      <c r="D16" s="121">
        <f t="shared" si="1"/>
        <v>17.510000000000002</v>
      </c>
      <c r="E16" s="121">
        <f t="shared" si="1"/>
        <v>18.035300000000003</v>
      </c>
      <c r="F16" s="121">
        <f t="shared" si="1"/>
        <v>18.576359000000004</v>
      </c>
      <c r="G16" s="121">
        <f t="shared" si="1"/>
        <v>19.133649770000005</v>
      </c>
      <c r="H16" s="140">
        <f t="shared" si="1"/>
        <v>19.707659263100005</v>
      </c>
      <c r="I16" s="140">
        <f t="shared" si="1"/>
        <v>20.298889040993007</v>
      </c>
      <c r="J16" s="95">
        <f t="shared" si="1"/>
        <v>20.907855712222798</v>
      </c>
      <c r="K16" s="95">
        <f t="shared" si="1"/>
        <v>21.535091383589481</v>
      </c>
      <c r="L16" s="95">
        <f t="shared" si="1"/>
        <v>22.181144125097166</v>
      </c>
    </row>
    <row r="17" spans="1:12" x14ac:dyDescent="0.35">
      <c r="A17" s="17" t="s">
        <v>111</v>
      </c>
      <c r="B17" s="120">
        <v>10</v>
      </c>
      <c r="C17" s="120">
        <v>10</v>
      </c>
      <c r="D17" s="121">
        <f t="shared" si="1"/>
        <v>10.3</v>
      </c>
      <c r="E17" s="121">
        <f t="shared" si="1"/>
        <v>10.609000000000002</v>
      </c>
      <c r="F17" s="121">
        <f t="shared" si="1"/>
        <v>10.927270000000002</v>
      </c>
      <c r="G17" s="121">
        <f t="shared" si="1"/>
        <v>11.255088100000002</v>
      </c>
      <c r="H17" s="140">
        <f t="shared" si="1"/>
        <v>11.592740743000002</v>
      </c>
      <c r="I17" s="140">
        <f t="shared" si="1"/>
        <v>11.940522965290002</v>
      </c>
      <c r="J17" s="95">
        <f t="shared" si="1"/>
        <v>12.298738654248703</v>
      </c>
      <c r="K17" s="95">
        <f t="shared" si="1"/>
        <v>12.667700813876165</v>
      </c>
      <c r="L17" s="95">
        <f t="shared" si="1"/>
        <v>13.047731838292449</v>
      </c>
    </row>
    <row r="20" spans="1:12" x14ac:dyDescent="0.35">
      <c r="A20" s="26" t="s">
        <v>113</v>
      </c>
    </row>
    <row r="21" spans="1:12" x14ac:dyDescent="0.35">
      <c r="A21" s="26" t="s">
        <v>114</v>
      </c>
      <c r="C21" s="23"/>
    </row>
    <row r="22" spans="1:12" x14ac:dyDescent="0.35">
      <c r="A22" s="26" t="s">
        <v>115</v>
      </c>
      <c r="C22" s="23"/>
    </row>
    <row r="23" spans="1:12" x14ac:dyDescent="0.35">
      <c r="A23" s="26" t="s">
        <v>116</v>
      </c>
      <c r="C23" s="23"/>
    </row>
    <row r="24" spans="1:12" x14ac:dyDescent="0.35">
      <c r="C24" s="23"/>
    </row>
    <row r="25" spans="1:12" x14ac:dyDescent="0.35">
      <c r="C25" s="23"/>
    </row>
    <row r="26" spans="1:12" x14ac:dyDescent="0.35">
      <c r="C26" s="23"/>
    </row>
    <row r="27" spans="1:12" x14ac:dyDescent="0.35">
      <c r="C27" s="23"/>
    </row>
    <row r="28" spans="1:12" x14ac:dyDescent="0.35">
      <c r="C28" s="23"/>
    </row>
    <row r="29" spans="1:12" x14ac:dyDescent="0.35">
      <c r="C29" s="23"/>
    </row>
    <row r="30" spans="1:12" x14ac:dyDescent="0.35">
      <c r="C30" s="23"/>
    </row>
    <row r="31" spans="1:12" x14ac:dyDescent="0.35">
      <c r="C31" s="2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838E9E564775014CAA0EA3FECB11FE6C" ma:contentTypeVersion="19" ma:contentTypeDescription="" ma:contentTypeScope="" ma:versionID="430919a0790dc34340800aa98d410fe7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275ef9dcc7ead6001da0d7ec3e70ce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UE</Prefix>
    <DocumentSetType xmlns="dc463f71-b30c-4ab2-9473-d307f9d35888">Workpapers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Tariff Revision</CaseType>
    <IndustryCode xmlns="dc463f71-b30c-4ab2-9473-d307f9d35888">140</IndustryCode>
    <CaseStatus xmlns="dc463f71-b30c-4ab2-9473-d307f9d35888">Pending</CaseStatus>
    <OpenedDate xmlns="dc463f71-b30c-4ab2-9473-d307f9d35888">2025-10-01T07:00:00+00:00</OpenedDate>
    <SignificantOrder xmlns="dc463f71-b30c-4ab2-9473-d307f9d35888">false</SignificantOrder>
    <Date1 xmlns="dc463f71-b30c-4ab2-9473-d307f9d35888">2025-10-01T07:00:00+00:00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Puget Sound Energy</CaseCompanyNames>
    <Nickname xmlns="http://schemas.microsoft.com/sharepoint/v3" xsi:nil="true"/>
    <DocketNumber xmlns="dc463f71-b30c-4ab2-9473-d307f9d35888">250747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69C57C41-CF51-47EC-96F4-EE584945FFE5}"/>
</file>

<file path=customXml/itemProps2.xml><?xml version="1.0" encoding="utf-8"?>
<ds:datastoreItem xmlns:ds="http://schemas.openxmlformats.org/officeDocument/2006/customXml" ds:itemID="{C3B01996-FE08-40B2-806B-B0FB99BD5A9C}"/>
</file>

<file path=customXml/itemProps3.xml><?xml version="1.0" encoding="utf-8"?>
<ds:datastoreItem xmlns:ds="http://schemas.openxmlformats.org/officeDocument/2006/customXml" ds:itemID="{DB1E166C-7512-4AFF-AD95-CAA679F3B55A}"/>
</file>

<file path=customXml/itemProps4.xml><?xml version="1.0" encoding="utf-8"?>
<ds:datastoreItem xmlns:ds="http://schemas.openxmlformats.org/officeDocument/2006/customXml" ds:itemID="{0EDBF85E-A1B7-4652-90CC-CAD9B020B79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REDACTED</vt:lpstr>
      <vt:lpstr>Summary (R)</vt:lpstr>
      <vt:lpstr>2024 PPA (R)</vt:lpstr>
      <vt:lpstr>Att. #1</vt:lpstr>
      <vt:lpstr>Att. #2</vt:lpstr>
      <vt:lpstr>Price tables</vt:lpstr>
    </vt:vector>
  </TitlesOfParts>
  <Company>Puget Sound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Puget Sound Energy</dc:creator>
  <cp:lastModifiedBy>Mueller, Brennan</cp:lastModifiedBy>
  <dcterms:created xsi:type="dcterms:W3CDTF">2018-10-04T18:58:33Z</dcterms:created>
  <dcterms:modified xsi:type="dcterms:W3CDTF">2025-10-01T15:35:39Z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689cc04-6351-41d8-9f1d-a834e5351c1d_Enabled">
    <vt:lpwstr>true</vt:lpwstr>
  </property>
  <property fmtid="{D5CDD505-2E9C-101B-9397-08002B2CF9AE}" pid="3" name="MSIP_Label_b689cc04-6351-41d8-9f1d-a834e5351c1d_SetDate">
    <vt:lpwstr>2025-09-05T21:39:13Z</vt:lpwstr>
  </property>
  <property fmtid="{D5CDD505-2E9C-101B-9397-08002B2CF9AE}" pid="4" name="MSIP_Label_b689cc04-6351-41d8-9f1d-a834e5351c1d_Method">
    <vt:lpwstr>Standard</vt:lpwstr>
  </property>
  <property fmtid="{D5CDD505-2E9C-101B-9397-08002B2CF9AE}" pid="5" name="MSIP_Label_b689cc04-6351-41d8-9f1d-a834e5351c1d_Name">
    <vt:lpwstr>Internal Use Only</vt:lpwstr>
  </property>
  <property fmtid="{D5CDD505-2E9C-101B-9397-08002B2CF9AE}" pid="6" name="MSIP_Label_b689cc04-6351-41d8-9f1d-a834e5351c1d_SiteId">
    <vt:lpwstr>58e8b525-6212-4087-a0d0-fa755583444b</vt:lpwstr>
  </property>
  <property fmtid="{D5CDD505-2E9C-101B-9397-08002B2CF9AE}" pid="7" name="MSIP_Label_b689cc04-6351-41d8-9f1d-a834e5351c1d_ActionId">
    <vt:lpwstr>6c6494b0-d9a0-4e3b-b781-0e9c0394375f</vt:lpwstr>
  </property>
  <property fmtid="{D5CDD505-2E9C-101B-9397-08002B2CF9AE}" pid="8" name="MSIP_Label_b689cc04-6351-41d8-9f1d-a834e5351c1d_ContentBits">
    <vt:lpwstr>0</vt:lpwstr>
  </property>
  <property fmtid="{D5CDD505-2E9C-101B-9397-08002B2CF9AE}" pid="9" name="MSIP_Label_b689cc04-6351-41d8-9f1d-a834e5351c1d_Tag">
    <vt:lpwstr>10, 3, 0, 1</vt:lpwstr>
  </property>
  <property fmtid="{D5CDD505-2E9C-101B-9397-08002B2CF9AE}" pid="10" name="ContentTypeId">
    <vt:lpwstr>0x0101006E56B4D1795A2E4DB2F0B01679ED314A00838E9E564775014CAA0EA3FECB11FE6C</vt:lpwstr>
  </property>
  <property fmtid="{D5CDD505-2E9C-101B-9397-08002B2CF9AE}" pid="11" name="_docset_NoMedatataSyncRequired">
    <vt:lpwstr>False</vt:lpwstr>
  </property>
</Properties>
</file>