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20\06.2020\"/>
    </mc:Choice>
  </mc:AlternateContent>
  <xr:revisionPtr revIDLastSave="0" documentId="13_ncr:1_{A98F5BEA-B2C0-49E2-8A75-FE7850101B01}" xr6:coauthVersionLast="44" xr6:coauthVersionMax="44" xr10:uidLastSave="{00000000-0000-0000-0000-000000000000}"/>
  <bookViews>
    <workbookView xWindow="-108" yWindow="-108" windowWidth="23256" windowHeight="12576" tabRatio="772" activeTab="6" xr2:uid="{00000000-000D-0000-FFFF-FFFF00000000}"/>
  </bookViews>
  <sheets>
    <sheet name="Jan" sheetId="5" r:id="rId1"/>
    <sheet name="Feb" sheetId="48" r:id="rId2"/>
    <sheet name="Mar" sheetId="49" r:id="rId3"/>
    <sheet name="Apr" sheetId="50" r:id="rId4"/>
    <sheet name="May" sheetId="51" r:id="rId5"/>
    <sheet name="June" sheetId="52" r:id="rId6"/>
    <sheet name="191010 WA DEF" sheetId="39" r:id="rId7"/>
    <sheet name="191000 WA Amort" sheetId="41" r:id="rId8"/>
  </sheets>
  <externalReferences>
    <externalReference r:id="rId9"/>
    <externalReference r:id="rId10"/>
    <externalReference r:id="rId11"/>
  </externalReferences>
  <definedNames>
    <definedName name="Actual_Cost_Per_MMBtu" localSheetId="7">'[1]Oregon Gas Costs - 1999'!#REF!</definedName>
    <definedName name="Actual_Cost_Per_MMBtu" localSheetId="3">'[1]Oregon Gas Costs - 1999'!#REF!</definedName>
    <definedName name="Actual_Cost_Per_MMBtu" localSheetId="1">'[1]Oregon Gas Costs - 1999'!#REF!</definedName>
    <definedName name="Actual_Cost_Per_MMBtu" localSheetId="5">'[1]Oregon Gas Costs - 1999'!#REF!</definedName>
    <definedName name="Actual_Cost_Per_MMBtu" localSheetId="2">'[1]Oregon Gas Costs - 1999'!#REF!</definedName>
    <definedName name="Actual_Cost_Per_MMBtu" localSheetId="4">'[1]Oregon Gas Costs - 1999'!#REF!</definedName>
    <definedName name="Actual_Cost_Per_MMBtu">'[1]Oregon Gas Costs - 1999'!#REF!</definedName>
    <definedName name="Actual_Gas_Costs" localSheetId="7">#REF!</definedName>
    <definedName name="Actual_Gas_Costs" localSheetId="3">#REF!</definedName>
    <definedName name="Actual_Gas_Costs" localSheetId="1">#REF!</definedName>
    <definedName name="Actual_Gas_Costs" localSheetId="5">#REF!</definedName>
    <definedName name="Actual_Gas_Costs" localSheetId="2">#REF!</definedName>
    <definedName name="Actual_Gas_Costs" localSheetId="4">#REF!</definedName>
    <definedName name="Actual_Gas_Costs">#REF!</definedName>
    <definedName name="Actual_Volumes" localSheetId="7">#REF!</definedName>
    <definedName name="Actual_Volumes" localSheetId="3">#REF!</definedName>
    <definedName name="Actual_Volumes" localSheetId="1">#REF!</definedName>
    <definedName name="Actual_Volumes" localSheetId="5">#REF!</definedName>
    <definedName name="Actual_Volumes" localSheetId="2">#REF!</definedName>
    <definedName name="Actual_Volumes" localSheetId="4">#REF!</definedName>
    <definedName name="Actual_Volumes">#REF!</definedName>
    <definedName name="Analysis_of_Year_to_Date_Gas_Costs___WWP_System" localSheetId="7">#REF!</definedName>
    <definedName name="Analysis_of_Year_to_Date_Gas_Costs___WWP_System" localSheetId="3">#REF!</definedName>
    <definedName name="Analysis_of_Year_to_Date_Gas_Costs___WWP_System" localSheetId="1">#REF!</definedName>
    <definedName name="Analysis_of_Year_to_Date_Gas_Costs___WWP_System" localSheetId="5">#REF!</definedName>
    <definedName name="Analysis_of_Year_to_Date_Gas_Costs___WWP_System" localSheetId="2">#REF!</definedName>
    <definedName name="Analysis_of_Year_to_Date_Gas_Costs___WWP_System" localSheetId="4">#REF!</definedName>
    <definedName name="Analysis_of_Year_to_Date_Gas_Costs___WWP_System">#REF!</definedName>
    <definedName name="Balancing_Account_Summary" localSheetId="7">#REF!</definedName>
    <definedName name="Balancing_Account_Summary" localSheetId="3">#REF!</definedName>
    <definedName name="Balancing_Account_Summary" localSheetId="1">#REF!</definedName>
    <definedName name="Balancing_Account_Summary" localSheetId="5">#REF!</definedName>
    <definedName name="Balancing_Account_Summary" localSheetId="2">#REF!</definedName>
    <definedName name="Balancing_Account_Summary" localSheetId="4">#REF!</definedName>
    <definedName name="Balancing_Account_Summary">#REF!</definedName>
    <definedName name="Budgeted_Costs_Volumes" localSheetId="7">#REF!</definedName>
    <definedName name="Budgeted_Costs_Volumes" localSheetId="3">#REF!</definedName>
    <definedName name="Budgeted_Costs_Volumes" localSheetId="1">#REF!</definedName>
    <definedName name="Budgeted_Costs_Volumes" localSheetId="5">#REF!</definedName>
    <definedName name="Budgeted_Costs_Volumes" localSheetId="2">#REF!</definedName>
    <definedName name="Budgeted_Costs_Volumes" localSheetId="4">#REF!</definedName>
    <definedName name="Budgeted_Costs_Volumes">#REF!</definedName>
    <definedName name="Commodity_Costs" localSheetId="7">#REF!</definedName>
    <definedName name="Commodity_Costs" localSheetId="3">#REF!</definedName>
    <definedName name="Commodity_Costs" localSheetId="1">#REF!</definedName>
    <definedName name="Commodity_Costs" localSheetId="5">#REF!</definedName>
    <definedName name="Commodity_Costs" localSheetId="2">#REF!</definedName>
    <definedName name="Commodity_Costs" localSheetId="4">#REF!</definedName>
    <definedName name="Commodity_Costs">#REF!</definedName>
    <definedName name="_xlnm.Database" localSheetId="7">'[2]May 2000'!#REF!</definedName>
    <definedName name="_xlnm.Database" localSheetId="3">'[2]May 2000'!#REF!</definedName>
    <definedName name="_xlnm.Database" localSheetId="1">'[2]May 2000'!#REF!</definedName>
    <definedName name="_xlnm.Database" localSheetId="5">'[2]May 2000'!#REF!</definedName>
    <definedName name="_xlnm.Database" localSheetId="2">'[2]May 2000'!#REF!</definedName>
    <definedName name="_xlnm.Database" localSheetId="4">'[2]May 2000'!#REF!</definedName>
    <definedName name="_xlnm.Database">'[2]May 2000'!#REF!</definedName>
    <definedName name="EIA857_Report_Info" localSheetId="7">#REF!</definedName>
    <definedName name="EIA857_Report_Info" localSheetId="3">#REF!</definedName>
    <definedName name="EIA857_Report_Info" localSheetId="1">#REF!</definedName>
    <definedName name="EIA857_Report_Info" localSheetId="5">#REF!</definedName>
    <definedName name="EIA857_Report_Info" localSheetId="2">#REF!</definedName>
    <definedName name="EIA857_Report_Info" localSheetId="4">#REF!</definedName>
    <definedName name="EIA857_Report_Info">#REF!</definedName>
    <definedName name="InputMonth">[3]Start!$B$2</definedName>
    <definedName name="JanJunPretaxRate">[3]Start!$C$7</definedName>
    <definedName name="jj" localSheetId="7">'[1]Oregon Gas Costs - 1999'!#REF!</definedName>
    <definedName name="jj" localSheetId="3">'[1]Oregon Gas Costs - 1999'!#REF!</definedName>
    <definedName name="jj" localSheetId="1">'[1]Oregon Gas Costs - 1999'!#REF!</definedName>
    <definedName name="jj" localSheetId="5">'[1]Oregon Gas Costs - 1999'!#REF!</definedName>
    <definedName name="jj" localSheetId="2">'[1]Oregon Gas Costs - 1999'!#REF!</definedName>
    <definedName name="jj" localSheetId="4">'[1]Oregon Gas Costs - 1999'!#REF!</definedName>
    <definedName name="jj">'[1]Oregon Gas Costs - 1999'!#REF!</definedName>
    <definedName name="Journal_Entry_Dollars" localSheetId="7">#REF!</definedName>
    <definedName name="Journal_Entry_Dollars" localSheetId="3">#REF!</definedName>
    <definedName name="Journal_Entry_Dollars" localSheetId="1">#REF!</definedName>
    <definedName name="Journal_Entry_Dollars" localSheetId="5">#REF!</definedName>
    <definedName name="Journal_Entry_Dollars" localSheetId="2">#REF!</definedName>
    <definedName name="Journal_Entry_Dollars" localSheetId="4">#REF!</definedName>
    <definedName name="Journal_Entry_Dollars">#REF!</definedName>
    <definedName name="Journal_Entry_Volumes" localSheetId="7">#REF!</definedName>
    <definedName name="Journal_Entry_Volumes" localSheetId="3">#REF!</definedName>
    <definedName name="Journal_Entry_Volumes" localSheetId="1">#REF!</definedName>
    <definedName name="Journal_Entry_Volumes" localSheetId="5">#REF!</definedName>
    <definedName name="Journal_Entry_Volumes" localSheetId="2">#REF!</definedName>
    <definedName name="Journal_Entry_Volumes" localSheetId="4">#REF!</definedName>
    <definedName name="Journal_Entry_Volumes">#REF!</definedName>
    <definedName name="JournalEntryPrintArea" localSheetId="7">#REF!</definedName>
    <definedName name="JournalEntryPrintArea" localSheetId="3">#REF!</definedName>
    <definedName name="JournalEntryPrintArea" localSheetId="1">#REF!</definedName>
    <definedName name="JournalEntryPrintArea" localSheetId="5">#REF!</definedName>
    <definedName name="JournalEntryPrintArea" localSheetId="2">#REF!</definedName>
    <definedName name="JournalEntryPrintArea" localSheetId="4">#REF!</definedName>
    <definedName name="JournalEntryPrintArea">#REF!</definedName>
    <definedName name="JulDecPretaxRate">[3]Start!$C$8</definedName>
    <definedName name="Notes" localSheetId="7">#REF!</definedName>
    <definedName name="Notes" localSheetId="3">#REF!</definedName>
    <definedName name="Notes" localSheetId="1">#REF!</definedName>
    <definedName name="Notes" localSheetId="5">#REF!</definedName>
    <definedName name="Notes" localSheetId="2">#REF!</definedName>
    <definedName name="Notes" localSheetId="4">#REF!</definedName>
    <definedName name="Notes">#REF!</definedName>
    <definedName name="_xlnm.Print_Area" localSheetId="7">'191000 WA Amort'!$A$1:$S$53</definedName>
    <definedName name="_xlnm.Print_Area" localSheetId="6">'191010 WA DEF'!$A$1:$L$53</definedName>
    <definedName name="_xlnm.Print_Area" localSheetId="3">Apr!$A$1:$M$63</definedName>
    <definedName name="_xlnm.Print_Area" localSheetId="1">Feb!$A$1:$M$68</definedName>
    <definedName name="_xlnm.Print_Area" localSheetId="0">Jan!$A$1:$M$68</definedName>
    <definedName name="_xlnm.Print_Area" localSheetId="5">June!$A$1:$M$63</definedName>
    <definedName name="_xlnm.Print_Area" localSheetId="2">Mar!$A$1:$M$63</definedName>
    <definedName name="_xlnm.Print_Area" localSheetId="4">May!$A$1:$M$63</definedName>
    <definedName name="_xlnm.Print_Titles" localSheetId="3">Apr!$1:$2</definedName>
    <definedName name="_xlnm.Print_Titles" localSheetId="1">Feb!$1:$2</definedName>
    <definedName name="_xlnm.Print_Titles" localSheetId="0">Jan!$1:$2</definedName>
    <definedName name="_xlnm.Print_Titles" localSheetId="5">June!$1:$2</definedName>
    <definedName name="_xlnm.Print_Titles" localSheetId="2">Mar!$1:$2</definedName>
    <definedName name="_xlnm.Print_Titles" localSheetId="4">May!$1:$2</definedName>
    <definedName name="SPREADSHEET_DOCUMENTATION" localSheetId="7">#REF!</definedName>
    <definedName name="SPREADSHEET_DOCUMENTATION" localSheetId="3">#REF!</definedName>
    <definedName name="SPREADSHEET_DOCUMENTATION" localSheetId="1">#REF!</definedName>
    <definedName name="SPREADSHEET_DOCUMENTATION" localSheetId="5">#REF!</definedName>
    <definedName name="SPREADSHEET_DOCUMENTATION" localSheetId="2">#REF!</definedName>
    <definedName name="SPREADSHEET_DOCUMENTATION" localSheetId="4">#REF!</definedName>
    <definedName name="SPREADSHEET_DOCUMENTATION">#REF!</definedName>
    <definedName name="Summary_of_Off_system_Sales" localSheetId="7">'[1]Oregon Gas Costs - 1999'!#REF!</definedName>
    <definedName name="Summary_of_Off_system_Sales" localSheetId="3">'[1]Oregon Gas Costs - 1999'!#REF!</definedName>
    <definedName name="Summary_of_Off_system_Sales" localSheetId="1">'[1]Oregon Gas Costs - 1999'!#REF!</definedName>
    <definedName name="Summary_of_Off_system_Sales" localSheetId="5">'[1]Oregon Gas Costs - 1999'!#REF!</definedName>
    <definedName name="Summary_of_Off_system_Sales" localSheetId="2">'[1]Oregon Gas Costs - 1999'!#REF!</definedName>
    <definedName name="Summary_of_Off_system_Sales" localSheetId="4">'[1]Oregon Gas Costs - 1999'!#REF!</definedName>
    <definedName name="Summary_of_Off_system_Sales">'[1]Oregon Gas Costs - 1999'!#REF!</definedName>
    <definedName name="Transportation_Costs" localSheetId="7">#REF!</definedName>
    <definedName name="Transportation_Costs" localSheetId="3">#REF!</definedName>
    <definedName name="Transportation_Costs" localSheetId="1">#REF!</definedName>
    <definedName name="Transportation_Costs" localSheetId="5">#REF!</definedName>
    <definedName name="Transportation_Costs" localSheetId="2">#REF!</definedName>
    <definedName name="Transportation_Costs" localSheetId="4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41" l="1"/>
  <c r="C49" i="52" l="1"/>
  <c r="C50" i="52"/>
  <c r="C42" i="52"/>
  <c r="C21" i="52"/>
  <c r="C15" i="52"/>
  <c r="C12" i="52"/>
  <c r="C18" i="52"/>
  <c r="C6" i="52"/>
  <c r="C31" i="52" l="1"/>
  <c r="C48" i="52" s="1"/>
  <c r="B36" i="41"/>
  <c r="C1483" i="52"/>
  <c r="G42" i="52"/>
  <c r="C41" i="52"/>
  <c r="K40" i="52"/>
  <c r="K39" i="52"/>
  <c r="K43" i="52" s="1"/>
  <c r="K45" i="52" s="1"/>
  <c r="L37" i="52"/>
  <c r="M37" i="52" s="1"/>
  <c r="H37" i="52"/>
  <c r="H38" i="52" s="1"/>
  <c r="M36" i="52"/>
  <c r="I36" i="52"/>
  <c r="G32" i="52"/>
  <c r="G34" i="52" s="1"/>
  <c r="I31" i="52"/>
  <c r="I30" i="52"/>
  <c r="I29" i="52"/>
  <c r="K28" i="52"/>
  <c r="K30" i="52" s="1"/>
  <c r="I28" i="52"/>
  <c r="M27" i="52"/>
  <c r="I27" i="52"/>
  <c r="C27" i="52"/>
  <c r="M26" i="52"/>
  <c r="I26" i="52"/>
  <c r="I25" i="52"/>
  <c r="L24" i="52"/>
  <c r="M24" i="52" s="1"/>
  <c r="I24" i="52"/>
  <c r="M23" i="52"/>
  <c r="I23" i="52"/>
  <c r="C22" i="52"/>
  <c r="C20" i="52"/>
  <c r="C17" i="52"/>
  <c r="C14" i="52"/>
  <c r="H11" i="52"/>
  <c r="L11" i="52" s="1"/>
  <c r="C11" i="52"/>
  <c r="H10" i="52"/>
  <c r="K10" i="52" s="1"/>
  <c r="C7" i="52"/>
  <c r="F1" i="52"/>
  <c r="R36" i="41"/>
  <c r="I32" i="52" l="1"/>
  <c r="I52" i="52" s="1"/>
  <c r="L25" i="52"/>
  <c r="M25" i="52" s="1"/>
  <c r="M28" i="52" s="1"/>
  <c r="L38" i="52"/>
  <c r="L39" i="52" s="1"/>
  <c r="C52" i="52"/>
  <c r="H9" i="52" s="1"/>
  <c r="H39" i="52"/>
  <c r="I38" i="52"/>
  <c r="M39" i="52"/>
  <c r="L40" i="52"/>
  <c r="C30" i="52"/>
  <c r="C32" i="52" s="1"/>
  <c r="H7" i="52" s="1"/>
  <c r="I37" i="52"/>
  <c r="G44" i="52"/>
  <c r="M38" i="52"/>
  <c r="F35" i="41"/>
  <c r="C49" i="51"/>
  <c r="C47" i="51"/>
  <c r="C46" i="51"/>
  <c r="C50" i="51"/>
  <c r="C42" i="51"/>
  <c r="C15" i="51"/>
  <c r="C12" i="51"/>
  <c r="C18" i="51"/>
  <c r="C6" i="51"/>
  <c r="C21" i="51"/>
  <c r="I33" i="52" l="1"/>
  <c r="M29" i="52"/>
  <c r="K52" i="52"/>
  <c r="C56" i="52"/>
  <c r="C58" i="52" s="1"/>
  <c r="C61" i="52" s="1"/>
  <c r="L41" i="52"/>
  <c r="M40" i="52"/>
  <c r="G46" i="52"/>
  <c r="K5" i="52"/>
  <c r="L5" i="52" s="1"/>
  <c r="L9" i="52" s="1"/>
  <c r="L12" i="52" s="1"/>
  <c r="I39" i="52"/>
  <c r="H40" i="52"/>
  <c r="H12" i="52"/>
  <c r="J7" i="52"/>
  <c r="I7" i="52"/>
  <c r="I14" i="52" s="1"/>
  <c r="I51" i="52" s="1"/>
  <c r="I54" i="52" s="1"/>
  <c r="G36" i="39" s="1"/>
  <c r="B35" i="41"/>
  <c r="C1483" i="51"/>
  <c r="G42" i="51"/>
  <c r="G44" i="51" s="1"/>
  <c r="C41" i="51"/>
  <c r="K40" i="51"/>
  <c r="K39" i="51"/>
  <c r="L37" i="51"/>
  <c r="L38" i="51" s="1"/>
  <c r="H37" i="51"/>
  <c r="I37" i="51" s="1"/>
  <c r="M36" i="51"/>
  <c r="I36" i="51"/>
  <c r="G32" i="51"/>
  <c r="G34" i="51" s="1"/>
  <c r="I31" i="51"/>
  <c r="I30" i="51"/>
  <c r="I29" i="51"/>
  <c r="K28" i="51"/>
  <c r="K30" i="51" s="1"/>
  <c r="I28" i="51"/>
  <c r="M27" i="51"/>
  <c r="I27" i="51"/>
  <c r="C27" i="51"/>
  <c r="M26" i="51"/>
  <c r="I26" i="51"/>
  <c r="I25" i="51"/>
  <c r="L24" i="51"/>
  <c r="L25" i="51" s="1"/>
  <c r="M25" i="51" s="1"/>
  <c r="I24" i="51"/>
  <c r="M23" i="51"/>
  <c r="I23" i="51"/>
  <c r="C22" i="51"/>
  <c r="C20" i="51"/>
  <c r="C17" i="51"/>
  <c r="C14" i="51"/>
  <c r="H11" i="51"/>
  <c r="L11" i="51" s="1"/>
  <c r="C11" i="51"/>
  <c r="H10" i="51"/>
  <c r="K10" i="51" s="1"/>
  <c r="C7" i="51"/>
  <c r="F1" i="51"/>
  <c r="R35" i="41"/>
  <c r="K9" i="52" l="1"/>
  <c r="K12" i="52" s="1"/>
  <c r="K14" i="52" s="1"/>
  <c r="H41" i="52"/>
  <c r="I40" i="52"/>
  <c r="L42" i="52"/>
  <c r="M42" i="52" s="1"/>
  <c r="M43" i="52" s="1"/>
  <c r="M41" i="52"/>
  <c r="H14" i="52"/>
  <c r="H15" i="52" s="1"/>
  <c r="J51" i="52"/>
  <c r="L14" i="52"/>
  <c r="J15" i="52"/>
  <c r="J14" i="52"/>
  <c r="K51" i="52" s="1"/>
  <c r="K54" i="52" s="1"/>
  <c r="L39" i="51"/>
  <c r="L40" i="51" s="1"/>
  <c r="L41" i="51" s="1"/>
  <c r="M38" i="51"/>
  <c r="I32" i="51"/>
  <c r="I52" i="51" s="1"/>
  <c r="M37" i="51"/>
  <c r="H38" i="51"/>
  <c r="I38" i="51" s="1"/>
  <c r="K43" i="51"/>
  <c r="K45" i="51" s="1"/>
  <c r="C30" i="51"/>
  <c r="G46" i="51"/>
  <c r="C31" i="51"/>
  <c r="C48" i="51" s="1"/>
  <c r="C52" i="51" s="1"/>
  <c r="M24" i="51"/>
  <c r="M28" i="51" s="1"/>
  <c r="F34" i="41"/>
  <c r="C15" i="50"/>
  <c r="C12" i="50"/>
  <c r="C18" i="50"/>
  <c r="C6" i="50"/>
  <c r="C21" i="50"/>
  <c r="C5" i="50"/>
  <c r="H39" i="51" l="1"/>
  <c r="M39" i="51"/>
  <c r="H51" i="52"/>
  <c r="L51" i="52" s="1"/>
  <c r="L15" i="52"/>
  <c r="M44" i="52"/>
  <c r="J52" i="52"/>
  <c r="J54" i="52" s="1"/>
  <c r="H42" i="52"/>
  <c r="I41" i="52"/>
  <c r="K5" i="51"/>
  <c r="L5" i="51" s="1"/>
  <c r="I33" i="51"/>
  <c r="C32" i="51"/>
  <c r="H7" i="51" s="1"/>
  <c r="J7" i="51" s="1"/>
  <c r="M41" i="51"/>
  <c r="L42" i="51"/>
  <c r="M42" i="51" s="1"/>
  <c r="M29" i="51"/>
  <c r="K52" i="51"/>
  <c r="M40" i="51"/>
  <c r="H40" i="51"/>
  <c r="I39" i="51"/>
  <c r="H9" i="51"/>
  <c r="C56" i="51"/>
  <c r="B34" i="41"/>
  <c r="C1483" i="50"/>
  <c r="G42" i="50"/>
  <c r="C41" i="50"/>
  <c r="K40" i="50"/>
  <c r="K39" i="50"/>
  <c r="K43" i="50" s="1"/>
  <c r="K45" i="50" s="1"/>
  <c r="L37" i="50"/>
  <c r="L38" i="50" s="1"/>
  <c r="H37" i="50"/>
  <c r="H38" i="50" s="1"/>
  <c r="H39" i="50" s="1"/>
  <c r="M36" i="50"/>
  <c r="G44" i="50"/>
  <c r="G32" i="50"/>
  <c r="G34" i="50" s="1"/>
  <c r="I31" i="50"/>
  <c r="C31" i="50"/>
  <c r="C48" i="50" s="1"/>
  <c r="I30" i="50"/>
  <c r="I29" i="50"/>
  <c r="K28" i="50"/>
  <c r="K30" i="50" s="1"/>
  <c r="I28" i="50"/>
  <c r="M27" i="50"/>
  <c r="I27" i="50"/>
  <c r="C27" i="50"/>
  <c r="M26" i="50"/>
  <c r="I26" i="50"/>
  <c r="I25" i="50"/>
  <c r="L24" i="50"/>
  <c r="L25" i="50" s="1"/>
  <c r="M25" i="50" s="1"/>
  <c r="I24" i="50"/>
  <c r="M23" i="50"/>
  <c r="I23" i="50"/>
  <c r="C22" i="50"/>
  <c r="C20" i="50"/>
  <c r="C17" i="50"/>
  <c r="C14" i="50"/>
  <c r="H11" i="50"/>
  <c r="L11" i="50" s="1"/>
  <c r="C11" i="50"/>
  <c r="H10" i="50"/>
  <c r="K10" i="50" s="1"/>
  <c r="C7" i="50"/>
  <c r="F1" i="50"/>
  <c r="R34" i="41"/>
  <c r="I37" i="50" l="1"/>
  <c r="K55" i="52"/>
  <c r="H43" i="52"/>
  <c r="I43" i="52" s="1"/>
  <c r="I42" i="52"/>
  <c r="C58" i="51"/>
  <c r="C61" i="51" s="1"/>
  <c r="I7" i="51"/>
  <c r="I14" i="51" s="1"/>
  <c r="I51" i="51" s="1"/>
  <c r="I54" i="51" s="1"/>
  <c r="G35" i="39" s="1"/>
  <c r="K9" i="51"/>
  <c r="K12" i="51" s="1"/>
  <c r="H12" i="51"/>
  <c r="L9" i="51"/>
  <c r="L12" i="51" s="1"/>
  <c r="J14" i="51"/>
  <c r="K51" i="51" s="1"/>
  <c r="K54" i="51" s="1"/>
  <c r="I40" i="51"/>
  <c r="H41" i="51"/>
  <c r="M43" i="51"/>
  <c r="I32" i="50"/>
  <c r="I33" i="50" s="1"/>
  <c r="L39" i="50"/>
  <c r="L40" i="50" s="1"/>
  <c r="M40" i="50" s="1"/>
  <c r="M38" i="50"/>
  <c r="M24" i="50"/>
  <c r="M28" i="50" s="1"/>
  <c r="M37" i="50"/>
  <c r="I38" i="50"/>
  <c r="C52" i="50"/>
  <c r="C56" i="50" s="1"/>
  <c r="C30" i="50"/>
  <c r="C32" i="50" s="1"/>
  <c r="H7" i="50" s="1"/>
  <c r="I7" i="50" s="1"/>
  <c r="I14" i="50" s="1"/>
  <c r="I51" i="50" s="1"/>
  <c r="L41" i="50"/>
  <c r="I39" i="50"/>
  <c r="H40" i="50"/>
  <c r="H41" i="50" s="1"/>
  <c r="G46" i="50"/>
  <c r="K5" i="50"/>
  <c r="L5" i="50" s="1"/>
  <c r="I36" i="50"/>
  <c r="I62" i="49"/>
  <c r="H62" i="49"/>
  <c r="M39" i="50" l="1"/>
  <c r="I44" i="52"/>
  <c r="H52" i="52"/>
  <c r="I45" i="52"/>
  <c r="J15" i="51"/>
  <c r="H14" i="51"/>
  <c r="H15" i="51" s="1"/>
  <c r="H51" i="51"/>
  <c r="K14" i="51"/>
  <c r="J52" i="51"/>
  <c r="M44" i="51"/>
  <c r="I41" i="51"/>
  <c r="H42" i="51"/>
  <c r="J51" i="51"/>
  <c r="L14" i="51"/>
  <c r="I52" i="50"/>
  <c r="I54" i="50" s="1"/>
  <c r="G34" i="39" s="1"/>
  <c r="K52" i="50"/>
  <c r="M29" i="50"/>
  <c r="I40" i="50"/>
  <c r="H9" i="50"/>
  <c r="L9" i="50" s="1"/>
  <c r="L12" i="50" s="1"/>
  <c r="J51" i="50" s="1"/>
  <c r="J7" i="50"/>
  <c r="J15" i="50" s="1"/>
  <c r="C58" i="50"/>
  <c r="C61" i="50" s="1"/>
  <c r="M41" i="50"/>
  <c r="L42" i="50"/>
  <c r="M42" i="50" s="1"/>
  <c r="I41" i="50"/>
  <c r="H42" i="50"/>
  <c r="H11" i="49"/>
  <c r="L52" i="52" l="1"/>
  <c r="H54" i="52"/>
  <c r="F36" i="39" s="1"/>
  <c r="L15" i="51"/>
  <c r="H43" i="51"/>
  <c r="I43" i="51" s="1"/>
  <c r="I42" i="51"/>
  <c r="L51" i="51"/>
  <c r="J54" i="51"/>
  <c r="M43" i="50"/>
  <c r="M44" i="50" s="1"/>
  <c r="H12" i="50"/>
  <c r="H14" i="50" s="1"/>
  <c r="H15" i="50" s="1"/>
  <c r="K9" i="50"/>
  <c r="K12" i="50" s="1"/>
  <c r="H51" i="50" s="1"/>
  <c r="J14" i="50"/>
  <c r="K51" i="50" s="1"/>
  <c r="K54" i="50" s="1"/>
  <c r="L14" i="50"/>
  <c r="H43" i="50"/>
  <c r="I43" i="50" s="1"/>
  <c r="I42" i="50"/>
  <c r="I44" i="50" s="1"/>
  <c r="J52" i="50"/>
  <c r="J54" i="50" s="1"/>
  <c r="F33" i="41"/>
  <c r="R33" i="41"/>
  <c r="L54" i="52" l="1"/>
  <c r="I55" i="52"/>
  <c r="H67" i="52" s="1"/>
  <c r="I44" i="51"/>
  <c r="H52" i="51" s="1"/>
  <c r="K55" i="51"/>
  <c r="I45" i="51"/>
  <c r="K14" i="50"/>
  <c r="L15" i="50" s="1"/>
  <c r="L51" i="50"/>
  <c r="I45" i="50"/>
  <c r="H52" i="50"/>
  <c r="L52" i="50" s="1"/>
  <c r="C49" i="49"/>
  <c r="L52" i="51" l="1"/>
  <c r="H54" i="51"/>
  <c r="F35" i="39" s="1"/>
  <c r="H54" i="50"/>
  <c r="F34" i="39" s="1"/>
  <c r="K55" i="50"/>
  <c r="C50" i="49"/>
  <c r="C42" i="49"/>
  <c r="C15" i="49"/>
  <c r="C12" i="49"/>
  <c r="C18" i="49"/>
  <c r="C6" i="49"/>
  <c r="C21" i="49"/>
  <c r="L54" i="51" l="1"/>
  <c r="I55" i="51"/>
  <c r="H67" i="51" s="1"/>
  <c r="L54" i="50"/>
  <c r="I55" i="50"/>
  <c r="H67" i="50" s="1"/>
  <c r="B33" i="41"/>
  <c r="C7" i="49"/>
  <c r="C1483" i="49"/>
  <c r="G43" i="49"/>
  <c r="G42" i="49"/>
  <c r="G41" i="49"/>
  <c r="C41" i="49"/>
  <c r="K40" i="49"/>
  <c r="G40" i="49"/>
  <c r="K39" i="49"/>
  <c r="G39" i="49"/>
  <c r="G38" i="49"/>
  <c r="L37" i="49"/>
  <c r="L38" i="49" s="1"/>
  <c r="L39" i="49" s="1"/>
  <c r="M37" i="49"/>
  <c r="H37" i="49"/>
  <c r="H38" i="49" s="1"/>
  <c r="H39" i="49" s="1"/>
  <c r="G37" i="49"/>
  <c r="I37" i="49" s="1"/>
  <c r="G36" i="49"/>
  <c r="G32" i="49"/>
  <c r="G34" i="49" s="1"/>
  <c r="I31" i="49"/>
  <c r="C31" i="49"/>
  <c r="C48" i="49" s="1"/>
  <c r="I30" i="49"/>
  <c r="I29" i="49"/>
  <c r="K28" i="49"/>
  <c r="K30" i="49" s="1"/>
  <c r="I28" i="49"/>
  <c r="M27" i="49"/>
  <c r="I27" i="49"/>
  <c r="C27" i="49"/>
  <c r="M26" i="49"/>
  <c r="I26" i="49"/>
  <c r="I25" i="49"/>
  <c r="L24" i="49"/>
  <c r="L25" i="49" s="1"/>
  <c r="M25" i="49" s="1"/>
  <c r="I24" i="49"/>
  <c r="M23" i="49"/>
  <c r="I23" i="49"/>
  <c r="C22" i="49"/>
  <c r="C20" i="49"/>
  <c r="C17" i="49"/>
  <c r="C14" i="49"/>
  <c r="L11" i="49"/>
  <c r="C11" i="49"/>
  <c r="H10" i="49"/>
  <c r="K10" i="49" s="1"/>
  <c r="F1" i="49"/>
  <c r="R32" i="41"/>
  <c r="K43" i="49" l="1"/>
  <c r="K45" i="49" s="1"/>
  <c r="G44" i="49"/>
  <c r="G46" i="49" s="1"/>
  <c r="C52" i="49"/>
  <c r="I32" i="49"/>
  <c r="I52" i="49" s="1"/>
  <c r="M24" i="49"/>
  <c r="M28" i="49" s="1"/>
  <c r="I36" i="49"/>
  <c r="I38" i="49"/>
  <c r="M38" i="49"/>
  <c r="C30" i="49"/>
  <c r="C32" i="49" s="1"/>
  <c r="L40" i="49"/>
  <c r="L41" i="49" s="1"/>
  <c r="M39" i="49"/>
  <c r="I39" i="49"/>
  <c r="H40" i="49"/>
  <c r="H41" i="49" s="1"/>
  <c r="H42" i="49" s="1"/>
  <c r="H43" i="49" s="1"/>
  <c r="I43" i="49" s="1"/>
  <c r="M36" i="49"/>
  <c r="H7" i="49" l="1"/>
  <c r="J7" i="49" s="1"/>
  <c r="J14" i="49" s="1"/>
  <c r="K51" i="49" s="1"/>
  <c r="C56" i="49"/>
  <c r="C58" i="49" s="1"/>
  <c r="C61" i="49" s="1"/>
  <c r="H9" i="49"/>
  <c r="I33" i="49"/>
  <c r="K5" i="49"/>
  <c r="L5" i="49" s="1"/>
  <c r="K52" i="49"/>
  <c r="M29" i="49"/>
  <c r="I41" i="49"/>
  <c r="M40" i="49"/>
  <c r="I40" i="49"/>
  <c r="I7" i="49"/>
  <c r="I14" i="49" s="1"/>
  <c r="I51" i="49" s="1"/>
  <c r="I54" i="49" s="1"/>
  <c r="G33" i="39" s="1"/>
  <c r="M41" i="49"/>
  <c r="L42" i="49"/>
  <c r="M42" i="49" s="1"/>
  <c r="I42" i="49"/>
  <c r="I44" i="49" s="1"/>
  <c r="N31" i="41"/>
  <c r="K31" i="41"/>
  <c r="R29" i="41"/>
  <c r="K54" i="49" l="1"/>
  <c r="K9" i="49"/>
  <c r="K12" i="49" s="1"/>
  <c r="H51" i="49" s="1"/>
  <c r="H12" i="49"/>
  <c r="H14" i="49" s="1"/>
  <c r="H15" i="49" s="1"/>
  <c r="L9" i="49"/>
  <c r="M43" i="49"/>
  <c r="J52" i="49" s="1"/>
  <c r="J15" i="49"/>
  <c r="H52" i="49"/>
  <c r="I45" i="49"/>
  <c r="F32" i="41"/>
  <c r="L12" i="49" l="1"/>
  <c r="L14" i="49" s="1"/>
  <c r="K14" i="49"/>
  <c r="M44" i="49"/>
  <c r="J51" i="49"/>
  <c r="L51" i="49" s="1"/>
  <c r="L52" i="49"/>
  <c r="H54" i="49"/>
  <c r="F33" i="39" s="1"/>
  <c r="C15" i="48"/>
  <c r="C12" i="48"/>
  <c r="C18" i="48"/>
  <c r="C6" i="48"/>
  <c r="C21" i="48"/>
  <c r="L15" i="49" l="1"/>
  <c r="J54" i="49"/>
  <c r="K55" i="49" s="1"/>
  <c r="I55" i="49"/>
  <c r="G67" i="49" s="1"/>
  <c r="B32" i="41"/>
  <c r="C1482" i="48"/>
  <c r="G43" i="48"/>
  <c r="G42" i="48"/>
  <c r="G41" i="48"/>
  <c r="G40" i="48"/>
  <c r="C41" i="48"/>
  <c r="K40" i="48"/>
  <c r="G39" i="48"/>
  <c r="K39" i="48"/>
  <c r="G38" i="48"/>
  <c r="K38" i="48"/>
  <c r="H37" i="48"/>
  <c r="H38" i="48" s="1"/>
  <c r="H39" i="48" s="1"/>
  <c r="G37" i="48"/>
  <c r="L37" i="48"/>
  <c r="L38" i="48" s="1"/>
  <c r="K37" i="48"/>
  <c r="G36" i="48"/>
  <c r="I36" i="48" s="1"/>
  <c r="K36" i="48"/>
  <c r="M36" i="48" s="1"/>
  <c r="G32" i="48"/>
  <c r="G34" i="48" s="1"/>
  <c r="I31" i="48"/>
  <c r="I30" i="48"/>
  <c r="I29" i="48"/>
  <c r="K28" i="48"/>
  <c r="K30" i="48" s="1"/>
  <c r="I28" i="48"/>
  <c r="M27" i="48"/>
  <c r="I27" i="48"/>
  <c r="C27" i="48"/>
  <c r="M26" i="48"/>
  <c r="I26" i="48"/>
  <c r="I25" i="48"/>
  <c r="L24" i="48"/>
  <c r="L25" i="48" s="1"/>
  <c r="M25" i="48" s="1"/>
  <c r="I24" i="48"/>
  <c r="M23" i="48"/>
  <c r="I23" i="48"/>
  <c r="C22" i="48"/>
  <c r="C20" i="48"/>
  <c r="C17" i="48"/>
  <c r="C14" i="48"/>
  <c r="H11" i="48"/>
  <c r="L11" i="48" s="1"/>
  <c r="C11" i="48"/>
  <c r="H10" i="48"/>
  <c r="K10" i="48" s="1"/>
  <c r="C31" i="48"/>
  <c r="C48" i="48" s="1"/>
  <c r="C7" i="48"/>
  <c r="F1" i="48"/>
  <c r="L54" i="49" l="1"/>
  <c r="I38" i="48"/>
  <c r="M37" i="48"/>
  <c r="I39" i="48"/>
  <c r="I32" i="48"/>
  <c r="I33" i="48" s="1"/>
  <c r="G44" i="48"/>
  <c r="C52" i="48"/>
  <c r="H9" i="48" s="1"/>
  <c r="C30" i="48"/>
  <c r="C32" i="48" s="1"/>
  <c r="H7" i="48" s="1"/>
  <c r="M38" i="48"/>
  <c r="L39" i="48"/>
  <c r="L40" i="48" s="1"/>
  <c r="L41" i="48" s="1"/>
  <c r="M24" i="48"/>
  <c r="M28" i="48" s="1"/>
  <c r="K43" i="48"/>
  <c r="K45" i="48" s="1"/>
  <c r="I37" i="48"/>
  <c r="H40" i="48"/>
  <c r="C50" i="5"/>
  <c r="C42" i="5"/>
  <c r="I52" i="48" l="1"/>
  <c r="M40" i="48"/>
  <c r="K5" i="48"/>
  <c r="L5" i="48" s="1"/>
  <c r="L9" i="48" s="1"/>
  <c r="L12" i="48" s="1"/>
  <c r="G46" i="48"/>
  <c r="C55" i="48"/>
  <c r="C57" i="48" s="1"/>
  <c r="C60" i="48" s="1"/>
  <c r="K52" i="48"/>
  <c r="M29" i="48"/>
  <c r="H12" i="48"/>
  <c r="I7" i="48"/>
  <c r="I14" i="48" s="1"/>
  <c r="I51" i="48" s="1"/>
  <c r="J7" i="48"/>
  <c r="M41" i="48"/>
  <c r="L42" i="48"/>
  <c r="M42" i="48" s="1"/>
  <c r="I40" i="48"/>
  <c r="H41" i="48"/>
  <c r="M39" i="48"/>
  <c r="C49" i="5"/>
  <c r="C9" i="5"/>
  <c r="C15" i="5"/>
  <c r="C12" i="5"/>
  <c r="C18" i="5"/>
  <c r="C6" i="5"/>
  <c r="C21" i="5"/>
  <c r="I54" i="48" l="1"/>
  <c r="G32" i="39" s="1"/>
  <c r="K9" i="48"/>
  <c r="K12" i="48" s="1"/>
  <c r="K14" i="48" s="1"/>
  <c r="M43" i="48"/>
  <c r="M44" i="48" s="1"/>
  <c r="J14" i="48"/>
  <c r="K51" i="48" s="1"/>
  <c r="K54" i="48" s="1"/>
  <c r="J15" i="48"/>
  <c r="H14" i="48"/>
  <c r="H15" i="48" s="1"/>
  <c r="L14" i="48"/>
  <c r="J51" i="48"/>
  <c r="H42" i="48"/>
  <c r="I41" i="48"/>
  <c r="F30" i="39"/>
  <c r="F31" i="41"/>
  <c r="H31" i="41" s="1"/>
  <c r="H51" i="48" l="1"/>
  <c r="L51" i="48" s="1"/>
  <c r="J52" i="48"/>
  <c r="J54" i="48" s="1"/>
  <c r="K55" i="48" s="1"/>
  <c r="L15" i="48"/>
  <c r="H43" i="48"/>
  <c r="I43" i="48" s="1"/>
  <c r="I42" i="48"/>
  <c r="D43" i="41"/>
  <c r="B31" i="41"/>
  <c r="C41" i="41"/>
  <c r="N40" i="41"/>
  <c r="K40" i="41"/>
  <c r="H40" i="41"/>
  <c r="N39" i="41"/>
  <c r="K39" i="41"/>
  <c r="H39" i="41"/>
  <c r="N38" i="41"/>
  <c r="K38" i="41"/>
  <c r="H38" i="41"/>
  <c r="N37" i="41"/>
  <c r="K37" i="41"/>
  <c r="H37" i="41"/>
  <c r="N36" i="41"/>
  <c r="K36" i="41"/>
  <c r="K43" i="41" s="1"/>
  <c r="H36" i="41"/>
  <c r="N35" i="41"/>
  <c r="K35" i="41"/>
  <c r="H35" i="41"/>
  <c r="N34" i="41"/>
  <c r="K34" i="41"/>
  <c r="H34" i="41"/>
  <c r="N33" i="41"/>
  <c r="K33" i="41"/>
  <c r="H33" i="41"/>
  <c r="N32" i="41"/>
  <c r="K32" i="41"/>
  <c r="H32" i="41"/>
  <c r="N43" i="41"/>
  <c r="H43" i="41"/>
  <c r="R31" i="41"/>
  <c r="I44" i="48" l="1"/>
  <c r="H52" i="48" s="1"/>
  <c r="A32" i="39"/>
  <c r="A33" i="39" s="1"/>
  <c r="L37" i="5"/>
  <c r="L38" i="5" s="1"/>
  <c r="L39" i="5" s="1"/>
  <c r="L40" i="5" s="1"/>
  <c r="L41" i="5" s="1"/>
  <c r="L42" i="5" s="1"/>
  <c r="L24" i="5"/>
  <c r="L25" i="5" s="1"/>
  <c r="H38" i="5"/>
  <c r="H39" i="5" s="1"/>
  <c r="H40" i="5" s="1"/>
  <c r="H41" i="5" s="1"/>
  <c r="H42" i="5" s="1"/>
  <c r="H43" i="5" s="1"/>
  <c r="H44" i="5" s="1"/>
  <c r="K32" i="39"/>
  <c r="K31" i="39"/>
  <c r="I45" i="48" l="1"/>
  <c r="L52" i="48"/>
  <c r="H54" i="48"/>
  <c r="F32" i="39" s="1"/>
  <c r="M42" i="5"/>
  <c r="M41" i="5"/>
  <c r="M27" i="5"/>
  <c r="M26" i="5"/>
  <c r="M25" i="5"/>
  <c r="M24" i="5"/>
  <c r="M23" i="5"/>
  <c r="I31" i="5"/>
  <c r="I30" i="5"/>
  <c r="I29" i="5"/>
  <c r="I28" i="5"/>
  <c r="I27" i="5"/>
  <c r="I26" i="5"/>
  <c r="I25" i="5"/>
  <c r="I24" i="5"/>
  <c r="I23" i="5"/>
  <c r="K33" i="39"/>
  <c r="A34" i="39" l="1"/>
  <c r="I55" i="48"/>
  <c r="L54" i="48"/>
  <c r="M28" i="5"/>
  <c r="I32" i="5"/>
  <c r="H11" i="5"/>
  <c r="H10" i="5"/>
  <c r="C41" i="5"/>
  <c r="C31" i="5"/>
  <c r="C48" i="5" s="1"/>
  <c r="C27" i="5"/>
  <c r="K34" i="39"/>
  <c r="G58" i="48" l="1"/>
  <c r="H67" i="48"/>
  <c r="A35" i="39"/>
  <c r="K35" i="39"/>
  <c r="A36" i="39" l="1"/>
  <c r="K36" i="39"/>
  <c r="A37" i="39" l="1"/>
  <c r="A38" i="39" s="1"/>
  <c r="A39" i="39" s="1"/>
  <c r="A40" i="39" s="1"/>
  <c r="A41" i="39" s="1"/>
  <c r="A42" i="39" s="1"/>
  <c r="H56" i="41" l="1"/>
  <c r="H30" i="41"/>
  <c r="I57" i="41" l="1"/>
  <c r="H29" i="41"/>
  <c r="N28" i="41" l="1"/>
  <c r="N20" i="41"/>
  <c r="N21" i="41"/>
  <c r="N22" i="41"/>
  <c r="N23" i="41"/>
  <c r="N24" i="41"/>
  <c r="N25" i="41"/>
  <c r="N26" i="41"/>
  <c r="N27" i="41"/>
  <c r="N19" i="41"/>
  <c r="K20" i="41"/>
  <c r="K21" i="41"/>
  <c r="K22" i="41"/>
  <c r="K23" i="41"/>
  <c r="K24" i="41"/>
  <c r="K25" i="41"/>
  <c r="K26" i="41"/>
  <c r="K27" i="41"/>
  <c r="K28" i="41"/>
  <c r="K19" i="41"/>
  <c r="F30" i="41" l="1"/>
  <c r="F29" i="41"/>
  <c r="F28" i="41"/>
  <c r="H28" i="41" s="1"/>
  <c r="F27" i="41"/>
  <c r="H27" i="41" s="1"/>
  <c r="F26" i="41"/>
  <c r="H26" i="41" s="1"/>
  <c r="F25" i="41"/>
  <c r="H25" i="41" s="1"/>
  <c r="F24" i="41"/>
  <c r="H24" i="41" s="1"/>
  <c r="F23" i="41"/>
  <c r="H23" i="41" s="1"/>
  <c r="F22" i="41"/>
  <c r="H22" i="41" s="1"/>
  <c r="F21" i="41"/>
  <c r="H21" i="41" s="1"/>
  <c r="F20" i="41"/>
  <c r="H20" i="41" s="1"/>
  <c r="F19" i="41"/>
  <c r="H19" i="41" s="1"/>
  <c r="F18" i="41"/>
  <c r="N16" i="41"/>
  <c r="K16" i="41"/>
  <c r="H17" i="41"/>
  <c r="R30" i="41"/>
  <c r="R24" i="41"/>
  <c r="R19" i="41"/>
  <c r="R28" i="41"/>
  <c r="R20" i="41"/>
  <c r="R22" i="41"/>
  <c r="R27" i="41"/>
  <c r="R25" i="41"/>
  <c r="R26" i="41"/>
  <c r="R21" i="41"/>
  <c r="R23" i="41"/>
  <c r="H51" i="41" l="1"/>
  <c r="I51" i="41"/>
  <c r="H18" i="41"/>
  <c r="N8" i="41" l="1"/>
  <c r="N9" i="41"/>
  <c r="N10" i="41"/>
  <c r="N11" i="41"/>
  <c r="N12" i="41"/>
  <c r="N13" i="41"/>
  <c r="N14" i="41"/>
  <c r="N15" i="41"/>
  <c r="K8" i="41"/>
  <c r="K9" i="41"/>
  <c r="K10" i="41"/>
  <c r="K11" i="41"/>
  <c r="K12" i="41"/>
  <c r="K13" i="41"/>
  <c r="K14" i="41"/>
  <c r="K15" i="41"/>
  <c r="F17" i="4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F9" i="41"/>
  <c r="H9" i="41" s="1"/>
  <c r="F8" i="41"/>
  <c r="H8" i="41" s="1"/>
  <c r="R7" i="41"/>
  <c r="N7" i="41" l="1"/>
  <c r="K7" i="41"/>
  <c r="F7" i="41"/>
  <c r="H7" i="41" s="1"/>
  <c r="R18" i="41"/>
  <c r="R17" i="41"/>
  <c r="R15" i="41"/>
  <c r="R14" i="41"/>
  <c r="R13" i="41"/>
  <c r="R16" i="41"/>
  <c r="O7" i="41" l="1"/>
  <c r="P7" i="41" s="1"/>
  <c r="E8" i="41" s="1"/>
  <c r="O8" i="41" s="1"/>
  <c r="P8" i="41" l="1"/>
  <c r="H7" i="39" l="1"/>
  <c r="K11" i="39"/>
  <c r="K14" i="39"/>
  <c r="K9" i="39"/>
  <c r="K12" i="39"/>
  <c r="K7" i="39"/>
  <c r="K15" i="39"/>
  <c r="K10" i="39"/>
  <c r="K17" i="39"/>
  <c r="K13" i="39"/>
  <c r="K16" i="39"/>
  <c r="K8" i="39"/>
  <c r="I7" i="39" l="1"/>
  <c r="L7" i="39" l="1"/>
  <c r="E8" i="39"/>
  <c r="H8" i="39" s="1"/>
  <c r="I8" i="39" s="1"/>
  <c r="L8" i="39" l="1"/>
  <c r="E9" i="39"/>
  <c r="H9" i="39" s="1"/>
  <c r="I9" i="39" s="1"/>
  <c r="L9" i="39" l="1"/>
  <c r="E10" i="39"/>
  <c r="H10" i="39" s="1"/>
  <c r="I10" i="39" s="1"/>
  <c r="L10" i="39" l="1"/>
  <c r="E11" i="39"/>
  <c r="H11" i="39" s="1"/>
  <c r="I11" i="39" s="1"/>
  <c r="L11" i="39" l="1"/>
  <c r="E12" i="39"/>
  <c r="H12" i="39" s="1"/>
  <c r="I12" i="39" s="1"/>
  <c r="D17" i="39" l="1"/>
  <c r="L12" i="39"/>
  <c r="E13" i="39"/>
  <c r="H13" i="39"/>
  <c r="I13" i="39" s="1"/>
  <c r="C17" i="41" l="1"/>
  <c r="L13" i="39"/>
  <c r="E14" i="39"/>
  <c r="H14" i="39" s="1"/>
  <c r="I14" i="39" s="1"/>
  <c r="L14" i="39" l="1"/>
  <c r="E15" i="39"/>
  <c r="H15" i="39" s="1"/>
  <c r="I15" i="39" s="1"/>
  <c r="E16" i="39" s="1"/>
  <c r="L15" i="39" l="1"/>
  <c r="H16" i="39"/>
  <c r="I16" i="39" s="1"/>
  <c r="E17" i="39" l="1"/>
  <c r="H17" i="39" s="1"/>
  <c r="I17" i="39" s="1"/>
  <c r="E18" i="39" s="1"/>
  <c r="L16" i="39"/>
  <c r="L17" i="39" l="1"/>
  <c r="H18" i="39" l="1"/>
  <c r="I18" i="39" s="1"/>
  <c r="E19" i="39" s="1"/>
  <c r="A20" i="39" l="1"/>
  <c r="A21" i="39" l="1"/>
  <c r="A22" i="39" s="1"/>
  <c r="A23" i="39" s="1"/>
  <c r="A24" i="39" s="1"/>
  <c r="A25" i="39" s="1"/>
  <c r="A26" i="39" s="1"/>
  <c r="A27" i="39" s="1"/>
  <c r="A28" i="39" s="1"/>
  <c r="A29" i="39" s="1"/>
  <c r="A30" i="39" s="1"/>
  <c r="K18" i="39"/>
  <c r="D43" i="39" l="1"/>
  <c r="L18" i="39"/>
  <c r="C52" i="5" l="1"/>
  <c r="C55" i="5" s="1"/>
  <c r="H9" i="5" l="1"/>
  <c r="H12" i="5" s="1"/>
  <c r="K40" i="5"/>
  <c r="M40" i="5" s="1"/>
  <c r="K39" i="5"/>
  <c r="M39" i="5" s="1"/>
  <c r="K38" i="5"/>
  <c r="M38" i="5" s="1"/>
  <c r="K37" i="5"/>
  <c r="M37" i="5" s="1"/>
  <c r="K36" i="5"/>
  <c r="M36" i="5" s="1"/>
  <c r="G44" i="5"/>
  <c r="I44" i="5" s="1"/>
  <c r="G43" i="5"/>
  <c r="I43" i="5" s="1"/>
  <c r="G42" i="5"/>
  <c r="I42" i="5" s="1"/>
  <c r="G41" i="5"/>
  <c r="I41" i="5" s="1"/>
  <c r="G40" i="5"/>
  <c r="I40" i="5" s="1"/>
  <c r="G37" i="5"/>
  <c r="I37" i="5" s="1"/>
  <c r="G39" i="5"/>
  <c r="I39" i="5" s="1"/>
  <c r="G38" i="5"/>
  <c r="I38" i="5" s="1"/>
  <c r="M43" i="5" l="1"/>
  <c r="R8" i="41"/>
  <c r="K27" i="39"/>
  <c r="K20" i="39"/>
  <c r="K29" i="39"/>
  <c r="K23" i="39"/>
  <c r="R12" i="41"/>
  <c r="R9" i="41"/>
  <c r="K19" i="39"/>
  <c r="K25" i="39"/>
  <c r="R11" i="41"/>
  <c r="K28" i="39"/>
  <c r="K21" i="39"/>
  <c r="K30" i="39"/>
  <c r="K26" i="39"/>
  <c r="R10" i="41"/>
  <c r="K22" i="39"/>
  <c r="K24" i="39"/>
  <c r="S7" i="41" l="1"/>
  <c r="E9" i="41" l="1"/>
  <c r="O9" i="41" s="1"/>
  <c r="S8" i="41"/>
  <c r="P9" i="41" l="1"/>
  <c r="E10" i="41" l="1"/>
  <c r="O10" i="41" s="1"/>
  <c r="S9" i="41" l="1"/>
  <c r="P10" i="41"/>
  <c r="E11" i="41" l="1"/>
  <c r="O11" i="41" s="1"/>
  <c r="S10" i="41"/>
  <c r="P11" i="41" l="1"/>
  <c r="E12" i="41" s="1"/>
  <c r="O12" i="41" s="1"/>
  <c r="S11" i="41" l="1"/>
  <c r="P12" i="41"/>
  <c r="E13" i="41" l="1"/>
  <c r="O13" i="41" s="1"/>
  <c r="S12" i="41"/>
  <c r="P13" i="41" l="1"/>
  <c r="E14" i="41" l="1"/>
  <c r="O14" i="41" s="1"/>
  <c r="S13" i="41" l="1"/>
  <c r="P14" i="41"/>
  <c r="E15" i="41" l="1"/>
  <c r="O15" i="41" s="1"/>
  <c r="S14" i="41" l="1"/>
  <c r="P15" i="41"/>
  <c r="E16" i="41" l="1"/>
  <c r="O16" i="41" s="1"/>
  <c r="S15" i="41" l="1"/>
  <c r="P16" i="41"/>
  <c r="E17" i="41" s="1"/>
  <c r="O17" i="41" s="1"/>
  <c r="S16" i="41" l="1"/>
  <c r="P17" i="41"/>
  <c r="E18" i="41" l="1"/>
  <c r="O18" i="41" s="1"/>
  <c r="S17" i="41" l="1"/>
  <c r="P18" i="41"/>
  <c r="E19" i="41" s="1"/>
  <c r="O19" i="41" l="1"/>
  <c r="P19" i="41" s="1"/>
  <c r="S18" i="41"/>
  <c r="E20" i="41" l="1"/>
  <c r="O20" i="41" s="1"/>
  <c r="P20" i="41" s="1"/>
  <c r="S19" i="41"/>
  <c r="E21" i="41" l="1"/>
  <c r="O21" i="41" s="1"/>
  <c r="P21" i="41" s="1"/>
  <c r="S20" i="41"/>
  <c r="E22" i="41" l="1"/>
  <c r="O22" i="41" s="1"/>
  <c r="P22" i="41" s="1"/>
  <c r="S21" i="41"/>
  <c r="E23" i="41" l="1"/>
  <c r="O23" i="41" s="1"/>
  <c r="S22" i="41"/>
  <c r="P23" i="41" l="1"/>
  <c r="E24" i="41" l="1"/>
  <c r="O24" i="41" s="1"/>
  <c r="P24" i="41" s="1"/>
  <c r="S23" i="41"/>
  <c r="E25" i="41" l="1"/>
  <c r="O25" i="41" s="1"/>
  <c r="P25" i="41" s="1"/>
  <c r="S24" i="41"/>
  <c r="E26" i="41" l="1"/>
  <c r="O26" i="41" s="1"/>
  <c r="P26" i="41" s="1"/>
  <c r="S25" i="41"/>
  <c r="E27" i="41" l="1"/>
  <c r="O27" i="41" s="1"/>
  <c r="P27" i="41" s="1"/>
  <c r="S26" i="41"/>
  <c r="E28" i="41" l="1"/>
  <c r="S27" i="41"/>
  <c r="O28" i="41" l="1"/>
  <c r="P28" i="41" s="1"/>
  <c r="S28" i="41"/>
  <c r="G32" i="5" l="1"/>
  <c r="G34" i="5" l="1"/>
  <c r="I33" i="5"/>
  <c r="C20" i="5" l="1"/>
  <c r="C17" i="5"/>
  <c r="C14" i="5"/>
  <c r="C11" i="5"/>
  <c r="C7" i="5"/>
  <c r="K28" i="5" l="1"/>
  <c r="K30" i="5" s="1"/>
  <c r="C22" i="5"/>
  <c r="C30" i="5" s="1"/>
  <c r="C32" i="5" s="1"/>
  <c r="H7" i="5" l="1"/>
  <c r="H14" i="5" s="1"/>
  <c r="J7" i="5" l="1"/>
  <c r="I7" i="5"/>
  <c r="I14" i="5" s="1"/>
  <c r="C57" i="5"/>
  <c r="C60" i="5" l="1"/>
  <c r="H15" i="5"/>
  <c r="C1482" i="5" l="1"/>
  <c r="F1" i="5" l="1"/>
  <c r="I45" i="5" l="1"/>
  <c r="H53" i="5" s="1"/>
  <c r="G45" i="5"/>
  <c r="I53" i="5"/>
  <c r="I46" i="5" l="1"/>
  <c r="G47" i="5"/>
  <c r="M29" i="5" l="1"/>
  <c r="J53" i="5" l="1"/>
  <c r="K43" i="5"/>
  <c r="M44" i="5" s="1"/>
  <c r="K53" i="5"/>
  <c r="L53" i="5" l="1"/>
  <c r="K5" i="5"/>
  <c r="K9" i="5" s="1"/>
  <c r="K45" i="5"/>
  <c r="L5" i="5" l="1"/>
  <c r="L11" i="5"/>
  <c r="K10" i="5"/>
  <c r="K12" i="5" s="1"/>
  <c r="H52" i="5" s="1"/>
  <c r="H55" i="5" l="1"/>
  <c r="F31" i="39" s="1"/>
  <c r="F43" i="39" s="1"/>
  <c r="I52" i="5"/>
  <c r="I55" i="5" s="1"/>
  <c r="J14" i="5"/>
  <c r="G31" i="39" l="1"/>
  <c r="G43" i="39" s="1"/>
  <c r="F51" i="39" s="1"/>
  <c r="I56" i="5"/>
  <c r="K52" i="5"/>
  <c r="J15" i="5"/>
  <c r="E51" i="39" l="1"/>
  <c r="K55" i="5"/>
  <c r="H67" i="5" s="1"/>
  <c r="L9" i="5"/>
  <c r="L12" i="5" s="1"/>
  <c r="J52" i="5" s="1"/>
  <c r="J55" i="5" l="1"/>
  <c r="L52" i="5"/>
  <c r="L14" i="5"/>
  <c r="K14" i="5"/>
  <c r="L55" i="5" l="1"/>
  <c r="K56" i="5"/>
  <c r="G59" i="5" s="1"/>
  <c r="L15" i="5"/>
  <c r="H19" i="39" l="1"/>
  <c r="I19" i="39" s="1"/>
  <c r="E20" i="39" s="1"/>
  <c r="L19" i="39" l="1"/>
  <c r="H20" i="39"/>
  <c r="I20" i="39" s="1"/>
  <c r="E21" i="39" s="1"/>
  <c r="L20" i="39" l="1"/>
  <c r="H21" i="39"/>
  <c r="I21" i="39" s="1"/>
  <c r="E22" i="39" s="1"/>
  <c r="L21" i="39" l="1"/>
  <c r="H22" i="39"/>
  <c r="I22" i="39" s="1"/>
  <c r="E23" i="39" s="1"/>
  <c r="L22" i="39" l="1"/>
  <c r="H23" i="39"/>
  <c r="I23" i="39" s="1"/>
  <c r="E24" i="39" s="1"/>
  <c r="L23" i="39" l="1"/>
  <c r="H24" i="39"/>
  <c r="I24" i="39" s="1"/>
  <c r="E25" i="39" s="1"/>
  <c r="L24" i="39" l="1"/>
  <c r="H25" i="39"/>
  <c r="I25" i="39" s="1"/>
  <c r="E26" i="39" s="1"/>
  <c r="H26" i="39" l="1"/>
  <c r="I26" i="39" s="1"/>
  <c r="E27" i="39" s="1"/>
  <c r="L25" i="39"/>
  <c r="L26" i="39" l="1"/>
  <c r="H27" i="39"/>
  <c r="I27" i="39" s="1"/>
  <c r="E28" i="39" s="1"/>
  <c r="L27" i="39" l="1"/>
  <c r="H28" i="39"/>
  <c r="I28" i="39" s="1"/>
  <c r="D29" i="39" l="1"/>
  <c r="E29" i="39" s="1"/>
  <c r="H29" i="39" s="1"/>
  <c r="L28" i="39"/>
  <c r="I29" i="39" l="1"/>
  <c r="E30" i="39" s="1"/>
  <c r="H30" i="39" s="1"/>
  <c r="C29" i="41"/>
  <c r="E29" i="41" s="1"/>
  <c r="O29" i="41" s="1"/>
  <c r="P29" i="41" l="1"/>
  <c r="E30" i="41" s="1"/>
  <c r="O30" i="41" s="1"/>
  <c r="P30" i="41"/>
  <c r="E31" i="41" s="1"/>
  <c r="O31" i="41" s="1"/>
  <c r="E56" i="39"/>
  <c r="F57" i="39" s="1"/>
  <c r="I30" i="39"/>
  <c r="E31" i="39" s="1"/>
  <c r="H31" i="39" s="1"/>
  <c r="L29" i="39"/>
  <c r="S30" i="41" l="1"/>
  <c r="L30" i="39"/>
  <c r="S29" i="41"/>
  <c r="P31" i="41" l="1"/>
  <c r="E32" i="41" s="1"/>
  <c r="O32" i="41" s="1"/>
  <c r="I31" i="39"/>
  <c r="E32" i="39" s="1"/>
  <c r="S31" i="41" l="1"/>
  <c r="H32" i="39"/>
  <c r="L31" i="39"/>
  <c r="I32" i="39" l="1"/>
  <c r="E33" i="39" s="1"/>
  <c r="H33" i="39" s="1"/>
  <c r="P32" i="41" l="1"/>
  <c r="E33" i="41" s="1"/>
  <c r="O33" i="41" s="1"/>
  <c r="L32" i="39"/>
  <c r="S32" i="41" l="1"/>
  <c r="I33" i="39" l="1"/>
  <c r="P33" i="41"/>
  <c r="E34" i="41" l="1"/>
  <c r="O34" i="41" s="1"/>
  <c r="S33" i="41"/>
  <c r="E34" i="39"/>
  <c r="H34" i="39" s="1"/>
  <c r="L33" i="39"/>
  <c r="I34" i="39" l="1"/>
  <c r="P34" i="41"/>
  <c r="E35" i="41" l="1"/>
  <c r="O35" i="41" s="1"/>
  <c r="S34" i="41"/>
  <c r="E35" i="39"/>
  <c r="H35" i="39" s="1"/>
  <c r="L34" i="39"/>
  <c r="I35" i="39" l="1"/>
  <c r="P35" i="41"/>
  <c r="E36" i="41" l="1"/>
  <c r="O36" i="41" s="1"/>
  <c r="S35" i="41"/>
  <c r="E36" i="39"/>
  <c r="H36" i="39" s="1"/>
  <c r="L35" i="39"/>
  <c r="P36" i="41" l="1"/>
  <c r="O43" i="41"/>
  <c r="I36" i="39"/>
  <c r="H43" i="39"/>
  <c r="E37" i="41" l="1"/>
  <c r="S36" i="41"/>
  <c r="H49" i="41"/>
  <c r="I50" i="41"/>
  <c r="H50" i="41"/>
  <c r="I48" i="41"/>
  <c r="E49" i="39"/>
  <c r="F48" i="39"/>
  <c r="E50" i="39"/>
  <c r="F50" i="39"/>
  <c r="E37" i="39"/>
  <c r="H37" i="39" s="1"/>
  <c r="I37" i="39" s="1"/>
  <c r="E38" i="39" s="1"/>
  <c r="H38" i="39" s="1"/>
  <c r="I38" i="39" s="1"/>
  <c r="E39" i="39" s="1"/>
  <c r="H39" i="39" s="1"/>
  <c r="I39" i="39" s="1"/>
  <c r="E40" i="39" s="1"/>
  <c r="H40" i="39" s="1"/>
  <c r="I40" i="39" s="1"/>
  <c r="E41" i="39" s="1"/>
  <c r="H41" i="39" s="1"/>
  <c r="L36" i="39"/>
  <c r="O37" i="41" l="1"/>
  <c r="P37" i="41" s="1"/>
  <c r="E38" i="41" s="1"/>
  <c r="I53" i="41"/>
  <c r="F53" i="39"/>
  <c r="I41" i="39"/>
  <c r="E42" i="39" s="1"/>
  <c r="O38" i="41" l="1"/>
  <c r="P38" i="41" s="1"/>
  <c r="E39" i="41" s="1"/>
  <c r="H42" i="39"/>
  <c r="I42" i="39" s="1"/>
  <c r="O39" i="41" l="1"/>
  <c r="P39" i="41" s="1"/>
  <c r="E40" i="41" s="1"/>
  <c r="O40" i="41" l="1"/>
  <c r="P40" i="41" s="1"/>
  <c r="E41" i="41" s="1"/>
  <c r="O41" i="41" l="1"/>
  <c r="P41" i="41" s="1"/>
  <c r="E42" i="41" s="1"/>
  <c r="I60" i="51"/>
  <c r="I60" i="52"/>
  <c r="H60" i="51"/>
  <c r="I61" i="51" s="1"/>
  <c r="H60" i="52"/>
  <c r="I60" i="49"/>
  <c r="I63" i="49" s="1"/>
  <c r="I60" i="50"/>
  <c r="H60" i="49"/>
  <c r="H63" i="49" s="1"/>
  <c r="H60" i="50"/>
  <c r="I60" i="48"/>
  <c r="H60" i="48"/>
  <c r="I61" i="5"/>
  <c r="H61" i="5"/>
  <c r="O42" i="41" l="1"/>
  <c r="P42" i="41" s="1"/>
  <c r="I61" i="52"/>
  <c r="I61" i="49"/>
  <c r="I61" i="50"/>
  <c r="I61" i="48"/>
  <c r="I6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0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1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2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3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4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5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L21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2" authorId="0" shapeId="0" xr:uid="{00000000-0006-0000-0600-000002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3" authorId="0" shapeId="0" xr:uid="{00000000-0006-0000-0600-000003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4" authorId="0" shapeId="0" xr:uid="{00000000-0006-0000-0600-000004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5" authorId="0" shapeId="0" xr:uid="{00000000-0006-0000-0600-000005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  <comment ref="L26" authorId="0" shapeId="0" xr:uid="{00000000-0006-0000-0600-000006000000}">
      <text>
        <r>
          <rPr>
            <b/>
            <sz val="9"/>
            <color indexed="81"/>
            <rFont val="Tahoma"/>
            <charset val="1"/>
          </rPr>
          <t>KM:</t>
        </r>
        <r>
          <rPr>
            <sz val="9"/>
            <color indexed="81"/>
            <rFont val="Tahoma"/>
            <charset val="1"/>
          </rPr>
          <t xml:space="preserve">
Mar tab inadvertantly had plugged cells instead of calculated. Discovered and fixed in Sept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true up of large customer refund from 201712
</t>
        </r>
      </text>
    </comment>
    <comment ref="S29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Interest calc error on Large Customer Refund.
Corrected in 202003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<sst xmlns="http://schemas.openxmlformats.org/spreadsheetml/2006/main" count="1241" uniqueCount="225">
  <si>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</si>
  <si>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</si>
  <si>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</si>
  <si>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</si>
  <si>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</si>
  <si>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</si>
  <si>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</si>
  <si>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</si>
  <si>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</si>
  <si>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</si>
  <si>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</si>
  <si>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</si>
  <si>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</si>
  <si>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</si>
  <si>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</si>
  <si>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</si>
  <si>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</si>
  <si>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</si>
  <si>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</si>
  <si>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</si>
  <si>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</si>
  <si>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</si>
  <si>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</si>
  <si>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</si>
  <si>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</si>
  <si>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</si>
  <si>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</si>
  <si>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</si>
  <si>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</si>
  <si>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</si>
  <si>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</si>
  <si>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</si>
  <si>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</si>
  <si>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</si>
  <si>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</si>
  <si>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</si>
  <si>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</si>
  <si>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</si>
  <si>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</si>
  <si>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GTN Fixed</t>
  </si>
  <si>
    <t xml:space="preserve">GTN Variable </t>
  </si>
  <si>
    <t>GTN Capacity Release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</si>
  <si>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</si>
  <si>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</si>
  <si>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</si>
  <si>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</si>
  <si>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</si>
  <si>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</si>
  <si>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</si>
  <si>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</si>
  <si>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</si>
  <si>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</si>
  <si>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</si>
  <si>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</si>
  <si>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</si>
  <si>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</si>
  <si>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</si>
  <si>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</si>
  <si>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</si>
  <si>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</si>
  <si>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</si>
  <si>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</si>
  <si>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</si>
  <si>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</si>
  <si>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</si>
  <si>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</si>
  <si>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</si>
  <si>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</si>
  <si>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</si>
  <si>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</si>
  <si>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</si>
  <si>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</si>
  <si>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</si>
  <si>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</si>
  <si>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</si>
  <si>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</si>
  <si>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</si>
  <si>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</si>
  <si>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</si>
  <si>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</si>
  <si>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</si>
  <si>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</si>
  <si>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</si>
  <si>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</si>
  <si>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</si>
  <si>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</si>
  <si>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</si>
  <si>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</si>
  <si>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</si>
  <si>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</si>
  <si>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</si>
  <si>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</si>
  <si>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</si>
  <si>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</si>
  <si>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</si>
  <si>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</si>
  <si>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Pipeline Fixed charges</t>
  </si>
  <si>
    <t>495028 GD AN</t>
  </si>
  <si>
    <t>Mizuho Broker Fees</t>
  </si>
  <si>
    <t>Beginning Balance</t>
  </si>
  <si>
    <t>Interest Rate</t>
  </si>
  <si>
    <t>JET Entry</t>
  </si>
  <si>
    <t>483000/483600/483730</t>
  </si>
  <si>
    <t>Deferral Check</t>
  </si>
  <si>
    <t>M Chemical Accrual</t>
  </si>
  <si>
    <t>Schedule 102</t>
  </si>
  <si>
    <t>Wells Fargo Journal DJ 473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</si>
  <si>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</si>
  <si>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</si>
  <si>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</si>
  <si>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</si>
  <si>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</si>
  <si>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</si>
  <si>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201801</t>
  </si>
  <si>
    <t>201802</t>
  </si>
  <si>
    <t>201803</t>
  </si>
  <si>
    <t>Accounts 191000</t>
  </si>
  <si>
    <t>Annual xfer of balance per PGA to 191000</t>
  </si>
  <si>
    <t>201804</t>
  </si>
  <si>
    <t>201805</t>
  </si>
  <si>
    <t>201806</t>
  </si>
  <si>
    <t>804000 GD WA</t>
  </si>
  <si>
    <t>804000 GD ID</t>
  </si>
  <si>
    <t>201905</t>
  </si>
  <si>
    <t>Amort</t>
  </si>
  <si>
    <t>Questar Fixed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</si>
  <si>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</si>
  <si>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</si>
  <si>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</si>
  <si>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</si>
  <si>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</si>
  <si>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</si>
  <si>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</si>
  <si>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</si>
  <si>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</si>
  <si>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</si>
  <si>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</si>
  <si>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</si>
  <si>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</si>
  <si>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</si>
  <si>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</si>
  <si>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</si>
  <si>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</si>
  <si>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</si>
  <si>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</si>
  <si>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</si>
  <si>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</si>
  <si>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</si>
  <si>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</si>
  <si>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201807</t>
  </si>
  <si>
    <t>201808</t>
  </si>
  <si>
    <t>201809</t>
  </si>
  <si>
    <t>201810</t>
  </si>
  <si>
    <t>201811</t>
  </si>
  <si>
    <t>xferred 201807-201910 per PGA</t>
  </si>
  <si>
    <t>xferred 201707-201806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</si>
  <si>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</si>
  <si>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</si>
  <si>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</si>
  <si>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</si>
  <si>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</si>
  <si>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</si>
  <si>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</si>
  <si>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</si>
  <si>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</si>
  <si>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</si>
  <si>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</si>
  <si>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</si>
  <si>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</si>
  <si>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</si>
  <si>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</si>
  <si>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</si>
  <si>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</si>
  <si>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</si>
  <si>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</si>
  <si>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</si>
  <si>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</si>
  <si>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</si>
  <si>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</si>
  <si>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</si>
  <si>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</si>
  <si>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</si>
  <si>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</si>
  <si>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</si>
  <si>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</si>
  <si>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</si>
  <si>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</si>
  <si>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</si>
  <si>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</si>
  <si>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</si>
  <si>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NA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</si>
  <si>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</si>
  <si>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</si>
  <si>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</si>
  <si>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</si>
  <si>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</si>
  <si>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</si>
  <si>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</si>
  <si>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</si>
  <si>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</si>
  <si>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</si>
  <si>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</si>
  <si>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</si>
  <si>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</si>
  <si>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</si>
  <si>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</si>
  <si>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</si>
  <si>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</si>
  <si>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</si>
  <si>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</si>
  <si>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</si>
  <si>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</si>
  <si>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</si>
  <si>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</si>
  <si>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</si>
  <si>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KM 4/3/2020 - OK - (addition of ID Entitlement Penalty is skewing this deferral check this month)</t>
  </si>
  <si>
    <t>CORRECTIONS ADDED TO JE</t>
  </si>
  <si>
    <t>FINAL JET ENTRY TOTALS</t>
  </si>
  <si>
    <t>"shoulder month" - weather unpredictable and this check is usually off in April due to this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</si>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</sst>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5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03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3" xfId="137" applyFont="1" applyBorder="1" applyAlignment="1">
      <alignment horizontal="center" wrapText="1"/>
    </xf>
    <xf numFmtId="0" fontId="27" fillId="0" borderId="22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2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2" xfId="63" applyNumberFormat="1" applyFont="1" applyFill="1" applyBorder="1" applyAlignment="1">
      <alignment horizontal="left"/>
    </xf>
    <xf numFmtId="40" fontId="26" fillId="12" borderId="22" xfId="1" applyFont="1" applyFill="1" applyBorder="1"/>
    <xf numFmtId="40" fontId="26" fillId="0" borderId="22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2" xfId="138" applyFont="1" applyFill="1" applyBorder="1"/>
    <xf numFmtId="43" fontId="35" fillId="0" borderId="0" xfId="138" applyFont="1" applyFill="1" applyBorder="1"/>
    <xf numFmtId="43" fontId="26" fillId="10" borderId="22" xfId="138" applyFont="1" applyFill="1" applyBorder="1"/>
    <xf numFmtId="43" fontId="27" fillId="10" borderId="22" xfId="138" applyFont="1" applyFill="1" applyBorder="1"/>
    <xf numFmtId="10" fontId="35" fillId="8" borderId="22" xfId="4" applyNumberFormat="1" applyFont="1" applyFill="1" applyBorder="1"/>
    <xf numFmtId="43" fontId="35" fillId="8" borderId="22" xfId="138" applyFont="1" applyFill="1" applyBorder="1"/>
    <xf numFmtId="10" fontId="35" fillId="8" borderId="26" xfId="4" applyNumberFormat="1" applyFont="1" applyFill="1" applyBorder="1"/>
    <xf numFmtId="43" fontId="35" fillId="8" borderId="26" xfId="138" applyFont="1" applyFill="1" applyBorder="1"/>
    <xf numFmtId="43" fontId="26" fillId="0" borderId="26" xfId="138" applyFont="1" applyFill="1" applyBorder="1"/>
    <xf numFmtId="43" fontId="26" fillId="10" borderId="26" xfId="138" applyFont="1" applyFill="1" applyBorder="1"/>
    <xf numFmtId="43" fontId="27" fillId="10" borderId="26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3" xfId="137" quotePrefix="1" applyFont="1" applyBorder="1" applyAlignment="1">
      <alignment horizontal="center" wrapText="1"/>
    </xf>
    <xf numFmtId="0" fontId="27" fillId="0" borderId="26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4" xfId="137" quotePrefix="1" applyFont="1" applyBorder="1" applyAlignment="1">
      <alignment horizontal="center" wrapText="1"/>
    </xf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10" fontId="35" fillId="8" borderId="27" xfId="4" applyNumberFormat="1" applyFont="1" applyFill="1" applyBorder="1"/>
    <xf numFmtId="43" fontId="35" fillId="8" borderId="27" xfId="138" applyFont="1" applyFill="1" applyBorder="1"/>
    <xf numFmtId="43" fontId="26" fillId="0" borderId="27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2" xfId="24" applyNumberFormat="1" applyFont="1" applyFill="1" applyBorder="1" applyAlignment="1">
      <alignment horizontal="left"/>
    </xf>
    <xf numFmtId="43" fontId="26" fillId="0" borderId="22" xfId="9" applyFont="1" applyFill="1" applyBorder="1"/>
    <xf numFmtId="0" fontId="33" fillId="0" borderId="0" xfId="24" applyFont="1" applyFill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14" fontId="27" fillId="0" borderId="22" xfId="137" quotePrefix="1" applyNumberFormat="1" applyFont="1" applyFill="1" applyBorder="1" applyAlignment="1">
      <alignment horizontal="right"/>
    </xf>
    <xf numFmtId="14" fontId="27" fillId="0" borderId="26" xfId="137" quotePrefix="1" applyNumberFormat="1" applyFont="1" applyFill="1" applyBorder="1" applyAlignment="1">
      <alignment horizontal="right"/>
    </xf>
    <xf numFmtId="14" fontId="27" fillId="0" borderId="25" xfId="137" quotePrefix="1" applyNumberFormat="1" applyFont="1" applyFill="1" applyBorder="1" applyAlignment="1">
      <alignment horizontal="right"/>
    </xf>
    <xf numFmtId="164" fontId="27" fillId="0" borderId="0" xfId="92" applyNumberFormat="1" applyFont="1" applyAlignment="1">
      <alignment horizontal="left"/>
    </xf>
    <xf numFmtId="0" fontId="26" fillId="0" borderId="0" xfId="137" applyFont="1"/>
    <xf numFmtId="43" fontId="26" fillId="0" borderId="0" xfId="137" applyNumberFormat="1" applyFont="1"/>
    <xf numFmtId="164" fontId="38" fillId="0" borderId="0" xfId="92" applyNumberFormat="1" applyFont="1" applyAlignment="1">
      <alignment horizontal="left"/>
    </xf>
    <xf numFmtId="10" fontId="35" fillId="8" borderId="25" xfId="139" applyNumberFormat="1" applyFont="1" applyFill="1" applyBorder="1"/>
    <xf numFmtId="169" fontId="39" fillId="8" borderId="25" xfId="145" applyNumberFormat="1" applyFont="1" applyFill="1" applyBorder="1" applyAlignment="1">
      <alignment horizontal="center"/>
    </xf>
    <xf numFmtId="43" fontId="26" fillId="0" borderId="28" xfId="138" applyFont="1" applyFill="1" applyBorder="1"/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0" fontId="27" fillId="0" borderId="32" xfId="137" applyFont="1" applyBorder="1" applyAlignment="1">
      <alignment horizontal="center" wrapText="1"/>
    </xf>
    <xf numFmtId="43" fontId="35" fillId="8" borderId="34" xfId="138" applyFont="1" applyFill="1" applyBorder="1"/>
    <xf numFmtId="43" fontId="35" fillId="8" borderId="36" xfId="138" applyFont="1" applyFill="1" applyBorder="1"/>
    <xf numFmtId="43" fontId="26" fillId="0" borderId="29" xfId="138" applyFont="1" applyFill="1" applyBorder="1"/>
    <xf numFmtId="43" fontId="26" fillId="0" borderId="37" xfId="138" applyFont="1" applyFill="1" applyBorder="1"/>
    <xf numFmtId="173" fontId="35" fillId="8" borderId="33" xfId="138" applyNumberFormat="1" applyFont="1" applyFill="1" applyBorder="1"/>
    <xf numFmtId="38" fontId="35" fillId="8" borderId="33" xfId="1" applyNumberFormat="1" applyFont="1" applyFill="1" applyBorder="1"/>
    <xf numFmtId="38" fontId="35" fillId="8" borderId="33" xfId="138" applyNumberFormat="1" applyFont="1" applyFill="1" applyBorder="1"/>
    <xf numFmtId="0" fontId="27" fillId="0" borderId="38" xfId="137" applyFont="1" applyBorder="1" applyAlignment="1">
      <alignment horizontal="center" wrapText="1"/>
    </xf>
    <xf numFmtId="43" fontId="26" fillId="0" borderId="38" xfId="138" applyFont="1" applyFill="1" applyBorder="1"/>
    <xf numFmtId="43" fontId="26" fillId="0" borderId="34" xfId="138" applyFont="1" applyFill="1" applyBorder="1"/>
    <xf numFmtId="0" fontId="27" fillId="0" borderId="37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7" xfId="139" applyNumberFormat="1" applyFont="1" applyFill="1" applyBorder="1"/>
    <xf numFmtId="43" fontId="26" fillId="0" borderId="39" xfId="138" applyFont="1" applyFill="1" applyBorder="1"/>
    <xf numFmtId="173" fontId="35" fillId="8" borderId="35" xfId="138" applyNumberFormat="1" applyFont="1" applyFill="1" applyBorder="1"/>
    <xf numFmtId="38" fontId="35" fillId="8" borderId="35" xfId="138" applyNumberFormat="1" applyFont="1" applyFill="1" applyBorder="1"/>
    <xf numFmtId="43" fontId="26" fillId="0" borderId="40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3" fontId="26" fillId="0" borderId="41" xfId="138" applyFont="1" applyFill="1" applyBorder="1"/>
    <xf numFmtId="43" fontId="26" fillId="0" borderId="42" xfId="138" applyFont="1" applyFill="1" applyBorder="1"/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9" xfId="1" applyNumberFormat="1" applyFont="1" applyFill="1" applyBorder="1"/>
    <xf numFmtId="43" fontId="12" fillId="0" borderId="0" xfId="1" applyNumberFormat="1" applyFont="1" applyFill="1" applyBorder="1"/>
    <xf numFmtId="43" fontId="13" fillId="0" borderId="21" xfId="0" applyNumberFormat="1" applyFont="1" applyFill="1" applyBorder="1"/>
    <xf numFmtId="43" fontId="12" fillId="7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43" fontId="12" fillId="0" borderId="8" xfId="2" applyNumberFormat="1" applyFont="1" applyFill="1" applyBorder="1"/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37" fontId="12" fillId="9" borderId="5" xfId="0" applyNumberFormat="1" applyFont="1" applyFill="1" applyBorder="1" applyProtection="1"/>
    <xf numFmtId="174" fontId="12" fillId="0" borderId="43" xfId="0" applyNumberFormat="1" applyFont="1" applyFill="1" applyBorder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5" xfId="137" quotePrefix="1" applyNumberFormat="1" applyFont="1" applyFill="1" applyBorder="1" applyAlignment="1">
      <alignment horizontal="right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12" fillId="0" borderId="0" xfId="2" applyNumberFormat="1" applyFont="1" applyFill="1" applyBorder="1"/>
    <xf numFmtId="174" fontId="12" fillId="0" borderId="44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5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8" xfId="138" applyFont="1" applyFill="1" applyBorder="1"/>
    <xf numFmtId="43" fontId="35" fillId="8" borderId="38" xfId="138" applyFont="1" applyFill="1" applyBorder="1"/>
    <xf numFmtId="43" fontId="35" fillId="8" borderId="39" xfId="138" applyFont="1" applyFill="1" applyBorder="1"/>
    <xf numFmtId="43" fontId="26" fillId="0" borderId="23" xfId="138" applyFont="1" applyFill="1" applyBorder="1"/>
    <xf numFmtId="43" fontId="42" fillId="8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 applyFill="1" applyBorder="1"/>
    <xf numFmtId="39" fontId="12" fillId="6" borderId="0" xfId="0" applyFont="1" applyFill="1"/>
    <xf numFmtId="39" fontId="12" fillId="6" borderId="0" xfId="0" applyFont="1" applyFill="1" applyAlignment="1">
      <alignment horizontal="right"/>
    </xf>
    <xf numFmtId="43" fontId="12" fillId="6" borderId="9" xfId="1" applyNumberFormat="1" applyFont="1" applyFill="1" applyBorder="1" applyProtection="1">
      <protection locked="0"/>
    </xf>
    <xf numFmtId="39" fontId="12" fillId="0" borderId="17" xfId="0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0" fontId="12" fillId="0" borderId="0" xfId="0" applyNumberFormat="1" applyFont="1" applyFill="1"/>
    <xf numFmtId="170" fontId="14" fillId="0" borderId="0" xfId="0" applyNumberFormat="1" applyFont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U1482"/>
  <sheetViews>
    <sheetView showGridLines="0" zoomScale="70" zoomScaleNormal="70" workbookViewId="0"/>
  </sheetViews>
  <sheetFormatPr defaultColWidth="16" defaultRowHeight="15"/>
  <cols>
    <col min="1" max="1" width="55.21875" style="87" bestFit="1" customWidth="1"/>
    <col min="2" max="2" width="30.7773437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50.109375" style="87" bestFit="1" customWidth="1"/>
    <col min="7" max="7" width="13.44140625" style="87" bestFit="1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202001</v>
      </c>
      <c r="F1" s="92">
        <f>C1</f>
        <v>202001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31326.28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ROUND(G45/(G45+K43),4)</f>
        <v>0.68210000000000004</v>
      </c>
      <c r="L5" s="249">
        <f>1-K5</f>
        <v>0.31789999999999996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1387881.5099999998</v>
      </c>
      <c r="D7" s="17"/>
      <c r="F7" s="58" t="s">
        <v>187</v>
      </c>
      <c r="G7" s="58"/>
      <c r="H7" s="40">
        <f>C32</f>
        <v>2354378.3599999994</v>
      </c>
      <c r="I7" s="59">
        <f>H7*I5</f>
        <v>1616987.0576479996</v>
      </c>
      <c r="J7" s="59">
        <f>H7*J5</f>
        <v>737391.3023519998</v>
      </c>
      <c r="K7" s="59"/>
      <c r="L7" s="59"/>
      <c r="M7" s="88"/>
    </row>
    <row r="8" spans="1:13" ht="15.6" customHeight="1">
      <c r="A8" s="87" t="s">
        <v>39</v>
      </c>
      <c r="C8" s="238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f>12.08+9000.71</f>
        <v>9012.7899999999991</v>
      </c>
      <c r="D9" s="18"/>
      <c r="F9" s="58" t="s">
        <v>53</v>
      </c>
      <c r="G9" s="88"/>
      <c r="H9" s="250">
        <f>C52</f>
        <v>6964408.8299999963</v>
      </c>
      <c r="I9" s="59"/>
      <c r="J9" s="59"/>
      <c r="K9" s="252">
        <f>H9*K5</f>
        <v>4750423.2629429977</v>
      </c>
      <c r="L9" s="252">
        <f>H9*L5</f>
        <v>2213985.5670569986</v>
      </c>
      <c r="M9" s="88"/>
    </row>
    <row r="10" spans="1:13" ht="15.6" customHeight="1">
      <c r="A10" s="27" t="s">
        <v>41</v>
      </c>
      <c r="C10" s="239">
        <v>-2848.33</v>
      </c>
      <c r="D10" s="18"/>
      <c r="F10" s="61" t="s">
        <v>21</v>
      </c>
      <c r="G10" s="88"/>
      <c r="H10" s="250">
        <f>C53</f>
        <v>17497.73</v>
      </c>
      <c r="I10" s="59"/>
      <c r="J10" s="59"/>
      <c r="K10" s="252">
        <f>H10</f>
        <v>17497.73</v>
      </c>
      <c r="L10" s="252"/>
      <c r="M10" s="88"/>
    </row>
    <row r="11" spans="1:13" ht="15.6" customHeight="1">
      <c r="A11" s="30" t="s">
        <v>70</v>
      </c>
      <c r="C11" s="237">
        <f>SUM(C8:C10)</f>
        <v>216731.67</v>
      </c>
      <c r="D11" s="18"/>
      <c r="F11" s="61" t="s">
        <v>22</v>
      </c>
      <c r="G11" s="88"/>
      <c r="H11" s="251">
        <f>C54</f>
        <v>8209.7199999999993</v>
      </c>
      <c r="I11" s="59"/>
      <c r="J11" s="59"/>
      <c r="K11" s="253"/>
      <c r="L11" s="253">
        <f>H11</f>
        <v>8209.7199999999993</v>
      </c>
      <c r="M11" s="88"/>
    </row>
    <row r="12" spans="1:13" ht="15.6" customHeight="1">
      <c r="A12" s="87" t="s">
        <v>126</v>
      </c>
      <c r="C12" s="238">
        <f>-2959.06+231669.79</f>
        <v>228710.73</v>
      </c>
      <c r="D12" s="18"/>
      <c r="F12" s="61" t="s">
        <v>68</v>
      </c>
      <c r="G12" s="88"/>
      <c r="H12" s="236">
        <f>H9+H10+H11</f>
        <v>6990116.2799999965</v>
      </c>
      <c r="I12" s="59"/>
      <c r="J12" s="59"/>
      <c r="K12" s="59">
        <f>SUM(K9:K11)</f>
        <v>4767920.9929429982</v>
      </c>
      <c r="L12" s="59">
        <f>SUM(L9:L11)</f>
        <v>2222195.2870569988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228710.73</v>
      </c>
      <c r="D14" s="19"/>
      <c r="F14" s="88" t="s">
        <v>30</v>
      </c>
      <c r="G14" s="58"/>
      <c r="H14" s="40">
        <f>H12+H7</f>
        <v>9344494.6399999969</v>
      </c>
      <c r="I14" s="223">
        <f>SUM(I7:I13)</f>
        <v>1616987.0576479996</v>
      </c>
      <c r="J14" s="223">
        <f>SUM(J7:J13)</f>
        <v>737391.3023519998</v>
      </c>
      <c r="K14" s="223">
        <f>K12</f>
        <v>4767920.9929429982</v>
      </c>
      <c r="L14" s="223">
        <f>L12</f>
        <v>2222195.2870569988</v>
      </c>
      <c r="M14" s="88"/>
    </row>
    <row r="15" spans="1:13" ht="15.6" customHeight="1">
      <c r="A15" s="87" t="s">
        <v>92</v>
      </c>
      <c r="C15" s="238">
        <f>-5367.24+454549.89</f>
        <v>449182.65</v>
      </c>
      <c r="D15" s="18"/>
      <c r="F15" s="88"/>
      <c r="G15" s="30" t="s">
        <v>46</v>
      </c>
      <c r="H15" s="247">
        <f>H14-C57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449182.65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99088.53+9822.8-1795.34</f>
        <v>107115.99</v>
      </c>
      <c r="D18" s="18"/>
      <c r="F18" s="300" t="s">
        <v>64</v>
      </c>
      <c r="G18" s="301"/>
      <c r="H18" s="301"/>
      <c r="I18" s="302"/>
      <c r="J18" s="300" t="s">
        <v>65</v>
      </c>
      <c r="K18" s="301"/>
      <c r="L18" s="301"/>
      <c r="M18" s="302"/>
    </row>
    <row r="19" spans="1:13" ht="15.6" customHeight="1">
      <c r="A19" s="25" t="s">
        <v>80</v>
      </c>
      <c r="C19" s="239">
        <v>-2031.07</v>
      </c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160" t="s">
        <v>10</v>
      </c>
    </row>
    <row r="20" spans="1:13" ht="15.6" customHeight="1" thickBot="1">
      <c r="A20" s="31" t="s">
        <v>129</v>
      </c>
      <c r="C20" s="237">
        <f>SUM(C18:C19)</f>
        <v>105084.92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3244.88+1850</f>
        <v>5094.88</v>
      </c>
      <c r="D21" s="18"/>
      <c r="F21" s="51"/>
      <c r="G21" s="159"/>
      <c r="H21" s="159"/>
      <c r="I21" s="160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5094.88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2">
        <v>0</v>
      </c>
      <c r="D23" s="18"/>
      <c r="F23" s="74" t="s">
        <v>14</v>
      </c>
      <c r="G23" s="93">
        <v>19882002</v>
      </c>
      <c r="H23" s="228">
        <v>9.6509999999999999E-2</v>
      </c>
      <c r="I23" s="258">
        <f t="shared" ref="I23:I31" si="0">G23*H23</f>
        <v>1918812.01302</v>
      </c>
      <c r="J23" s="74" t="s">
        <v>14</v>
      </c>
      <c r="K23" s="93">
        <v>9871600</v>
      </c>
      <c r="L23" s="228">
        <v>9.2950000000000005E-2</v>
      </c>
      <c r="M23" s="258">
        <f>K23*L23</f>
        <v>917565.22000000009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20223</v>
      </c>
      <c r="H24" s="228">
        <v>9.6509999999999999E-2</v>
      </c>
      <c r="I24" s="258">
        <f t="shared" si="0"/>
        <v>1951.72173</v>
      </c>
      <c r="J24" s="74" t="s">
        <v>15</v>
      </c>
      <c r="K24" s="93">
        <v>3247879</v>
      </c>
      <c r="L24" s="228">
        <f>L23</f>
        <v>9.2950000000000005E-2</v>
      </c>
      <c r="M24" s="258">
        <f>K24*L24</f>
        <v>301890.35305000003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7441465</v>
      </c>
      <c r="H25" s="228">
        <v>8.727E-2</v>
      </c>
      <c r="I25" s="258">
        <f t="shared" si="0"/>
        <v>649416.65055000002</v>
      </c>
      <c r="J25" s="74" t="s">
        <v>16</v>
      </c>
      <c r="K25" s="93">
        <v>980</v>
      </c>
      <c r="L25" s="228">
        <f t="shared" ref="L25" si="1">L24</f>
        <v>9.2950000000000005E-2</v>
      </c>
      <c r="M25" s="258">
        <f>K25*L25</f>
        <v>91.091000000000008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18232</v>
      </c>
      <c r="H26" s="228">
        <v>8.727E-2</v>
      </c>
      <c r="I26" s="258">
        <f t="shared" si="0"/>
        <v>1591.10664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176036</v>
      </c>
      <c r="H27" s="228">
        <v>8.727E-2</v>
      </c>
      <c r="I27" s="258">
        <f t="shared" si="0"/>
        <v>15362.66172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412402</v>
      </c>
      <c r="H28" s="228">
        <v>8.727E-2</v>
      </c>
      <c r="I28" s="258">
        <f t="shared" si="0"/>
        <v>35990.322540000001</v>
      </c>
      <c r="J28" s="73" t="s">
        <v>58</v>
      </c>
      <c r="K28" s="256">
        <f>SUM(K23:K27)</f>
        <v>13120459</v>
      </c>
      <c r="L28" s="257"/>
      <c r="M28" s="71">
        <f>SUM(M23:M27)</f>
        <v>1219546.6640500003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13120459</v>
      </c>
      <c r="L29" s="65"/>
      <c r="M29" s="259">
        <f>M28/K28</f>
        <v>9.2950000000000019E-2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2392686.3599999994</v>
      </c>
      <c r="D30" s="19"/>
      <c r="F30" s="74" t="s">
        <v>20</v>
      </c>
      <c r="G30" s="93">
        <v>199430</v>
      </c>
      <c r="H30" s="228">
        <v>5.5910000000000001E-2</v>
      </c>
      <c r="I30" s="258">
        <f t="shared" si="0"/>
        <v>11150.131300000001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-38308</v>
      </c>
      <c r="D31" s="20"/>
      <c r="F31" s="74" t="s">
        <v>35</v>
      </c>
      <c r="G31" s="93">
        <v>3311586</v>
      </c>
      <c r="H31" s="228">
        <v>5.4000000000000001E-4</v>
      </c>
      <c r="I31" s="258">
        <f t="shared" si="0"/>
        <v>1788.2564400000001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2354378.3599999994</v>
      </c>
      <c r="D32" s="21"/>
      <c r="F32" s="73" t="s">
        <v>58</v>
      </c>
      <c r="G32" s="256">
        <f>SUM(G23:G31)</f>
        <v>31461376</v>
      </c>
      <c r="H32" s="6"/>
      <c r="I32" s="71">
        <f>SUM(I23:I31)</f>
        <v>2636062.8639400005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31461376</v>
      </c>
      <c r="H33" s="65"/>
      <c r="I33" s="259">
        <f>I32/G32</f>
        <v>8.3787271858039539E-2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68"/>
      <c r="L34" s="4"/>
      <c r="M34" s="36"/>
    </row>
    <row r="35" spans="1:17" ht="15.6" customHeight="1">
      <c r="A35" s="4" t="s">
        <v>60</v>
      </c>
      <c r="B35" s="29" t="s">
        <v>51</v>
      </c>
      <c r="C35" s="238">
        <v>10478070.119999999</v>
      </c>
      <c r="D35" s="18"/>
      <c r="F35" s="51"/>
      <c r="G35" s="159"/>
      <c r="H35" s="159"/>
      <c r="I35" s="160"/>
      <c r="J35" s="73" t="s">
        <v>59</v>
      </c>
      <c r="K35" s="298"/>
      <c r="L35" s="298"/>
      <c r="M35" s="299"/>
    </row>
    <row r="36" spans="1:17" ht="15.6" customHeight="1">
      <c r="A36" s="47" t="s">
        <v>5</v>
      </c>
      <c r="B36" s="29" t="s">
        <v>51</v>
      </c>
      <c r="C36" s="238"/>
      <c r="D36" s="18"/>
      <c r="F36" s="73" t="s">
        <v>59</v>
      </c>
      <c r="G36" s="4"/>
      <c r="H36" s="4"/>
      <c r="I36" s="36"/>
      <c r="J36" s="74" t="s">
        <v>14</v>
      </c>
      <c r="K36" s="93">
        <f>K23</f>
        <v>9871600</v>
      </c>
      <c r="L36" s="228">
        <v>0.15198999999999999</v>
      </c>
      <c r="M36" s="258">
        <f t="shared" ref="M36:M42" si="2">K36*L36</f>
        <v>1500384.4839999999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-30385.64</v>
      </c>
      <c r="D37" s="18"/>
      <c r="F37" s="74" t="s">
        <v>14</v>
      </c>
      <c r="G37" s="93">
        <f t="shared" ref="G37:G44" si="3">G23</f>
        <v>19882002</v>
      </c>
      <c r="H37" s="228">
        <v>0.15284</v>
      </c>
      <c r="I37" s="258">
        <f t="shared" ref="I37:I44" si="4">G37*H37</f>
        <v>3038765.1856800001</v>
      </c>
      <c r="J37" s="74" t="s">
        <v>15</v>
      </c>
      <c r="K37" s="93">
        <f>K24</f>
        <v>3247879</v>
      </c>
      <c r="L37" s="228">
        <f>L36</f>
        <v>0.15198999999999999</v>
      </c>
      <c r="M37" s="258">
        <f t="shared" si="2"/>
        <v>493645.12920999993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-500504.75</v>
      </c>
      <c r="D38" s="18"/>
      <c r="F38" s="74" t="s">
        <v>105</v>
      </c>
      <c r="G38" s="93">
        <f t="shared" si="3"/>
        <v>20223</v>
      </c>
      <c r="H38" s="228">
        <f>H37</f>
        <v>0.15284</v>
      </c>
      <c r="I38" s="258">
        <f t="shared" si="4"/>
        <v>3090.8833199999999</v>
      </c>
      <c r="J38" s="74" t="s">
        <v>16</v>
      </c>
      <c r="K38" s="93">
        <f>K25</f>
        <v>980</v>
      </c>
      <c r="L38" s="228">
        <f t="shared" ref="L38:L42" si="5">L37</f>
        <v>0.15198999999999999</v>
      </c>
      <c r="M38" s="258">
        <f t="shared" si="2"/>
        <v>148.9502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116900.62</v>
      </c>
      <c r="D39" s="18"/>
      <c r="F39" s="74" t="s">
        <v>15</v>
      </c>
      <c r="G39" s="93">
        <f t="shared" si="3"/>
        <v>7441465</v>
      </c>
      <c r="H39" s="228">
        <f t="shared" ref="H39:H44" si="6">H38</f>
        <v>0.15284</v>
      </c>
      <c r="I39" s="258">
        <f t="shared" si="4"/>
        <v>1137353.5105999999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2"/>
        <v>0</v>
      </c>
      <c r="P39" s="81"/>
      <c r="Q39" s="81"/>
    </row>
    <row r="40" spans="1:17" ht="15.6" customHeight="1" thickBot="1">
      <c r="A40" s="4" t="s">
        <v>87</v>
      </c>
      <c r="B40" s="29" t="s">
        <v>88</v>
      </c>
      <c r="C40" s="238">
        <v>1348322.43</v>
      </c>
      <c r="D40" s="18"/>
      <c r="F40" s="74" t="s">
        <v>16</v>
      </c>
      <c r="G40" s="93">
        <f t="shared" si="3"/>
        <v>18232</v>
      </c>
      <c r="H40" s="228">
        <f t="shared" si="6"/>
        <v>0.15284</v>
      </c>
      <c r="I40" s="258">
        <f t="shared" si="4"/>
        <v>2786.57888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2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11412402.779999997</v>
      </c>
      <c r="D41" s="18"/>
      <c r="F41" s="74" t="s">
        <v>17</v>
      </c>
      <c r="G41" s="93">
        <f t="shared" si="3"/>
        <v>176036</v>
      </c>
      <c r="H41" s="228">
        <f t="shared" si="6"/>
        <v>0.15284</v>
      </c>
      <c r="I41" s="258">
        <f t="shared" si="4"/>
        <v>26905.342240000002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2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4267253.61-353110.41+0.01</f>
        <v>3914143.21</v>
      </c>
      <c r="D42" s="19"/>
      <c r="F42" s="74" t="s">
        <v>18</v>
      </c>
      <c r="G42" s="93">
        <f t="shared" si="3"/>
        <v>412402</v>
      </c>
      <c r="H42" s="228">
        <f t="shared" si="6"/>
        <v>0.15284</v>
      </c>
      <c r="I42" s="258">
        <f t="shared" si="4"/>
        <v>63031.521679999998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2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2">
        <v>0</v>
      </c>
      <c r="D43" s="18"/>
      <c r="F43" s="74" t="s">
        <v>19</v>
      </c>
      <c r="G43" s="93">
        <f t="shared" si="3"/>
        <v>0</v>
      </c>
      <c r="H43" s="228">
        <f t="shared" si="6"/>
        <v>0.15284</v>
      </c>
      <c r="I43" s="258">
        <f t="shared" si="4"/>
        <v>0</v>
      </c>
      <c r="J43" s="73" t="s">
        <v>63</v>
      </c>
      <c r="K43" s="256">
        <f>SUM(K36:K42)</f>
        <v>13120459</v>
      </c>
      <c r="L43" s="257"/>
      <c r="M43" s="71">
        <f>SUM(M36:M42)</f>
        <v>1994178.5634099999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4" t="s">
        <v>20</v>
      </c>
      <c r="G44" s="93">
        <f t="shared" si="3"/>
        <v>199430</v>
      </c>
      <c r="H44" s="228">
        <f t="shared" si="6"/>
        <v>0.15284</v>
      </c>
      <c r="I44" s="258">
        <f t="shared" si="4"/>
        <v>30480.8812</v>
      </c>
      <c r="J44" s="66"/>
      <c r="K44" s="260">
        <v>13120459</v>
      </c>
      <c r="L44" s="67"/>
      <c r="M44" s="262">
        <f>M43/K43</f>
        <v>0.15198999999999999</v>
      </c>
    </row>
    <row r="45" spans="1:17" ht="15.6" customHeight="1" thickBot="1">
      <c r="A45" s="4" t="s">
        <v>207</v>
      </c>
      <c r="B45" s="29" t="s">
        <v>74</v>
      </c>
      <c r="C45" s="238">
        <v>18454.84</v>
      </c>
      <c r="D45" s="20"/>
      <c r="F45" s="73" t="s">
        <v>63</v>
      </c>
      <c r="G45" s="256">
        <f>SUM(G37:G44)</f>
        <v>28149790</v>
      </c>
      <c r="H45" s="257"/>
      <c r="I45" s="71">
        <f>SUM(I37:I44)</f>
        <v>4302413.9035999998</v>
      </c>
      <c r="J45" s="39"/>
      <c r="K45" s="247">
        <f>K43-K44</f>
        <v>0</v>
      </c>
      <c r="L45" s="65" t="s">
        <v>46</v>
      </c>
      <c r="M45" s="39"/>
    </row>
    <row r="46" spans="1:17" ht="15.6" customHeight="1" thickTop="1" thickBot="1">
      <c r="A46" s="4" t="s">
        <v>98</v>
      </c>
      <c r="B46" s="29" t="s">
        <v>74</v>
      </c>
      <c r="C46" s="238">
        <v>2978.03</v>
      </c>
      <c r="D46" s="21"/>
      <c r="F46" s="66"/>
      <c r="G46" s="261">
        <v>28149790</v>
      </c>
      <c r="H46" s="67"/>
      <c r="I46" s="262">
        <f>I45/G45</f>
        <v>0.15284</v>
      </c>
      <c r="J46" s="39"/>
      <c r="K46" s="95"/>
      <c r="L46" s="88"/>
      <c r="M46" s="39"/>
    </row>
    <row r="47" spans="1:17" ht="15.6" customHeight="1">
      <c r="A47" s="4" t="s">
        <v>106</v>
      </c>
      <c r="B47" s="29" t="s">
        <v>74</v>
      </c>
      <c r="C47" s="238">
        <v>3620.94</v>
      </c>
      <c r="D47" s="18"/>
      <c r="F47" s="88"/>
      <c r="G47" s="247">
        <f>G45-G46</f>
        <v>0</v>
      </c>
      <c r="H47" s="65" t="s">
        <v>46</v>
      </c>
      <c r="I47" s="88"/>
      <c r="J47" s="39"/>
      <c r="K47" s="95"/>
      <c r="L47" s="88"/>
      <c r="M47" s="39"/>
    </row>
    <row r="48" spans="1:17" ht="15.6" customHeight="1" thickBot="1">
      <c r="A48" s="10" t="s">
        <v>52</v>
      </c>
      <c r="B48" s="8"/>
      <c r="C48" s="242">
        <f>-C31</f>
        <v>38308</v>
      </c>
      <c r="D48" s="18"/>
      <c r="F48" s="88"/>
      <c r="G48" s="88"/>
      <c r="H48" s="88"/>
      <c r="I48" s="88"/>
      <c r="J48" s="39"/>
      <c r="K48" s="38"/>
      <c r="L48" s="88"/>
      <c r="M48" s="68"/>
    </row>
    <row r="49" spans="1:20" ht="15.6" customHeight="1">
      <c r="A49" s="88" t="s">
        <v>208</v>
      </c>
      <c r="B49" s="29" t="s">
        <v>109</v>
      </c>
      <c r="C49" s="238">
        <f>8220.36+4906.75</f>
        <v>13127.11</v>
      </c>
      <c r="D49" s="18"/>
      <c r="F49" s="88"/>
      <c r="G49" s="38"/>
      <c r="H49" s="44" t="s">
        <v>12</v>
      </c>
      <c r="I49" s="7" t="s">
        <v>12</v>
      </c>
      <c r="J49" s="7" t="s">
        <v>24</v>
      </c>
      <c r="K49" s="42" t="s">
        <v>31</v>
      </c>
      <c r="L49" s="39"/>
      <c r="M49" s="88"/>
    </row>
    <row r="50" spans="1:20" ht="15.6" customHeight="1" thickBot="1">
      <c r="A50" s="86" t="s">
        <v>56</v>
      </c>
      <c r="B50" s="94" t="s">
        <v>102</v>
      </c>
      <c r="C50" s="238">
        <f>707278.06-5504996.25-3272907.89</f>
        <v>-8070626.0800000001</v>
      </c>
      <c r="D50" s="19"/>
      <c r="F50" s="28" t="s">
        <v>34</v>
      </c>
      <c r="G50" s="88"/>
      <c r="H50" s="45" t="s">
        <v>1</v>
      </c>
      <c r="I50" s="46" t="s">
        <v>2</v>
      </c>
      <c r="J50" s="46" t="s">
        <v>1</v>
      </c>
      <c r="K50" s="43" t="s">
        <v>2</v>
      </c>
      <c r="L50" s="88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/>
      <c r="G51" s="88"/>
      <c r="H51" s="49"/>
      <c r="I51" s="50"/>
      <c r="J51" s="50"/>
      <c r="K51" s="50"/>
      <c r="L51" s="216"/>
      <c r="M51" s="88"/>
    </row>
    <row r="52" spans="1:20" ht="15.6" customHeight="1" thickBot="1">
      <c r="A52" s="32" t="s">
        <v>53</v>
      </c>
      <c r="B52" s="248"/>
      <c r="C52" s="53">
        <f>SUM(C41:C51)</f>
        <v>6964408.8299999963</v>
      </c>
      <c r="D52" s="219"/>
      <c r="F52" s="88" t="s">
        <v>66</v>
      </c>
      <c r="G52" s="88"/>
      <c r="H52" s="229">
        <f>K12</f>
        <v>4767920.9929429982</v>
      </c>
      <c r="I52" s="230">
        <f>I14</f>
        <v>1616987.0576479996</v>
      </c>
      <c r="J52" s="230">
        <f>L12</f>
        <v>2222195.2870569988</v>
      </c>
      <c r="K52" s="230">
        <f>J14</f>
        <v>737391.3023519998</v>
      </c>
      <c r="L52" s="231">
        <f>SUM(H52:K52)</f>
        <v>9344494.6399999969</v>
      </c>
      <c r="M52" s="88"/>
    </row>
    <row r="53" spans="1:20" ht="15.6" customHeight="1" thickTop="1" thickBot="1">
      <c r="A53" s="87" t="s">
        <v>205</v>
      </c>
      <c r="B53" s="8" t="s">
        <v>121</v>
      </c>
      <c r="C53" s="238">
        <v>17497.73</v>
      </c>
      <c r="D53" s="18"/>
      <c r="F53" s="87" t="s">
        <v>48</v>
      </c>
      <c r="H53" s="229">
        <f>-I45</f>
        <v>-4302413.9035999998</v>
      </c>
      <c r="I53" s="230">
        <f>-I32</f>
        <v>-2636062.8639400005</v>
      </c>
      <c r="J53" s="230">
        <f>-M43</f>
        <v>-1994178.5634099999</v>
      </c>
      <c r="K53" s="230">
        <f>-M28</f>
        <v>-1219546.6640500003</v>
      </c>
      <c r="L53" s="232">
        <f>SUM(H53:K53)</f>
        <v>-10152201.994999999</v>
      </c>
    </row>
    <row r="54" spans="1:20" ht="15.6" customHeight="1" thickBot="1">
      <c r="A54" s="87" t="s">
        <v>206</v>
      </c>
      <c r="B54" s="8" t="s">
        <v>122</v>
      </c>
      <c r="C54" s="238">
        <v>8209.7199999999993</v>
      </c>
      <c r="D54" s="18"/>
      <c r="F54" s="87" t="s">
        <v>37</v>
      </c>
      <c r="H54" s="233">
        <v>0</v>
      </c>
      <c r="I54" s="234">
        <v>0</v>
      </c>
      <c r="J54" s="234">
        <v>0</v>
      </c>
      <c r="K54" s="235">
        <v>0</v>
      </c>
      <c r="L54" s="80"/>
    </row>
    <row r="55" spans="1:20" ht="15.6" customHeight="1" thickBot="1">
      <c r="A55" s="1" t="s">
        <v>189</v>
      </c>
      <c r="C55" s="53">
        <f>SUM(C52:C54)</f>
        <v>6990116.2799999965</v>
      </c>
      <c r="D55" s="18"/>
      <c r="F55" s="1" t="s">
        <v>32</v>
      </c>
      <c r="H55" s="264">
        <f>H52+H53+H54</f>
        <v>465507.08934299834</v>
      </c>
      <c r="I55" s="264">
        <f>I52+I53+I54</f>
        <v>-1019075.8062920009</v>
      </c>
      <c r="J55" s="264">
        <f>J52+J53+J54</f>
        <v>228016.72364699887</v>
      </c>
      <c r="K55" s="264">
        <f>K52+K53+K54</f>
        <v>-482155.36169800046</v>
      </c>
      <c r="L55" s="26">
        <f>SUM(H55:K55)</f>
        <v>-807707.35500000417</v>
      </c>
    </row>
    <row r="56" spans="1:20" ht="15.6" customHeight="1" thickTop="1" thickBot="1">
      <c r="C56" s="245"/>
      <c r="D56" s="18"/>
      <c r="F56" s="87" t="s">
        <v>90</v>
      </c>
      <c r="H56" s="87" t="s">
        <v>82</v>
      </c>
      <c r="I56" s="2">
        <f>SUM(H55:I55)</f>
        <v>-553568.71694900258</v>
      </c>
      <c r="J56" s="8" t="s">
        <v>83</v>
      </c>
      <c r="K56" s="87">
        <f>SUM(J55:K55)</f>
        <v>-254138.63805100159</v>
      </c>
      <c r="L56"/>
      <c r="T56" s="22"/>
    </row>
    <row r="57" spans="1:20" ht="15.6" customHeight="1" thickBot="1">
      <c r="A57" s="8"/>
      <c r="B57" s="8" t="s">
        <v>43</v>
      </c>
      <c r="C57" s="40">
        <f>C55+C32</f>
        <v>9344494.6399999969</v>
      </c>
      <c r="D57" s="18"/>
      <c r="F57" s="210" t="s">
        <v>91</v>
      </c>
      <c r="H57" s="35"/>
    </row>
    <row r="58" spans="1:20" ht="15.6" customHeight="1" thickBot="1">
      <c r="A58" s="30"/>
      <c r="B58" s="30"/>
      <c r="C58" s="240"/>
      <c r="D58" s="18"/>
      <c r="F58" s="210"/>
      <c r="H58" s="52"/>
      <c r="I58" s="211"/>
      <c r="J58" s="211"/>
      <c r="K58" s="75"/>
      <c r="L58" s="211"/>
    </row>
    <row r="59" spans="1:20" ht="15.6" customHeight="1">
      <c r="B59" s="8" t="s">
        <v>188</v>
      </c>
      <c r="C59" s="238">
        <v>9344494.6400000006</v>
      </c>
      <c r="D59" s="18"/>
      <c r="F59" s="212" t="s">
        <v>103</v>
      </c>
      <c r="G59" s="87" t="str">
        <f>IF(OR(AND(I56&gt;0,K56&gt;0),AND(I56&lt;0,K56&lt;0)),"OK","ERROR")</f>
        <v>OK</v>
      </c>
      <c r="H59" s="89" t="s">
        <v>101</v>
      </c>
      <c r="I59" s="90"/>
    </row>
    <row r="60" spans="1:20" ht="15.6" customHeight="1" thickBot="1">
      <c r="A60" s="8"/>
      <c r="B60" s="8" t="s">
        <v>77</v>
      </c>
      <c r="C60" s="247">
        <f>ROUND(C57-C59,2)</f>
        <v>0</v>
      </c>
      <c r="D60" s="18"/>
      <c r="H60" s="82" t="s">
        <v>84</v>
      </c>
      <c r="I60" s="83" t="s">
        <v>85</v>
      </c>
      <c r="J60" s="2"/>
    </row>
    <row r="61" spans="1:20" ht="15.6" customHeight="1" thickBot="1">
      <c r="C61" s="85"/>
      <c r="D61" s="19"/>
      <c r="H61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1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2" spans="1:20" ht="15.6" customHeight="1">
      <c r="C62" s="5"/>
      <c r="G62" s="2"/>
      <c r="I62" s="263" t="e">
        <f>H61-I61</f>
        <v>#REF!</v>
      </c>
      <c r="N62" s="2"/>
      <c r="O62" s="2"/>
      <c r="P62" s="213"/>
    </row>
    <row r="63" spans="1:20" ht="15.6" customHeight="1">
      <c r="C63" s="5"/>
      <c r="D63" s="18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N65" s="10"/>
      <c r="S65" s="12"/>
    </row>
    <row r="66" spans="4:21" ht="15.6" customHeight="1">
      <c r="D66" s="18"/>
      <c r="H66" s="35"/>
      <c r="N66" s="10"/>
      <c r="S66" s="12"/>
    </row>
    <row r="67" spans="4:21" ht="15.6" customHeight="1">
      <c r="D67" s="18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N70" s="10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0 I62">
    <cfRule type="cellIs" dxfId="227" priority="57" stopIfTrue="1" operator="equal">
      <formula>0</formula>
    </cfRule>
    <cfRule type="cellIs" dxfId="226" priority="58" stopIfTrue="1" operator="notEqual">
      <formula>0</formula>
    </cfRule>
  </conditionalFormatting>
  <conditionalFormatting sqref="K46:K47">
    <cfRule type="cellIs" dxfId="225" priority="50" operator="notEqual">
      <formula>0</formula>
    </cfRule>
  </conditionalFormatting>
  <conditionalFormatting sqref="C60">
    <cfRule type="cellIs" dxfId="224" priority="44" stopIfTrue="1" operator="equal">
      <formula>0</formula>
    </cfRule>
    <cfRule type="cellIs" dxfId="223" priority="45" stopIfTrue="1" operator="notEqual">
      <formula>0</formula>
    </cfRule>
  </conditionalFormatting>
  <conditionalFormatting sqref="G59">
    <cfRule type="cellIs" dxfId="222" priority="32" operator="equal">
      <formula>"ERROR"</formula>
    </cfRule>
  </conditionalFormatting>
  <conditionalFormatting sqref="G59">
    <cfRule type="cellIs" dxfId="221" priority="31" operator="equal">
      <formula>"ERROR"</formula>
    </cfRule>
  </conditionalFormatting>
  <conditionalFormatting sqref="H15">
    <cfRule type="cellIs" dxfId="220" priority="29" stopIfTrue="1" operator="equal">
      <formula>0</formula>
    </cfRule>
    <cfRule type="cellIs" dxfId="219" priority="30" stopIfTrue="1" operator="notEqual">
      <formula>0</formula>
    </cfRule>
  </conditionalFormatting>
  <conditionalFormatting sqref="H15">
    <cfRule type="cellIs" dxfId="218" priority="27" stopIfTrue="1" operator="equal">
      <formula>0</formula>
    </cfRule>
    <cfRule type="cellIs" dxfId="217" priority="28" stopIfTrue="1" operator="notEqual">
      <formula>0</formula>
    </cfRule>
  </conditionalFormatting>
  <conditionalFormatting sqref="J15">
    <cfRule type="cellIs" dxfId="216" priority="25" stopIfTrue="1" operator="equal">
      <formula>0</formula>
    </cfRule>
    <cfRule type="cellIs" dxfId="215" priority="26" stopIfTrue="1" operator="notEqual">
      <formula>0</formula>
    </cfRule>
  </conditionalFormatting>
  <conditionalFormatting sqref="J15">
    <cfRule type="cellIs" dxfId="214" priority="23" stopIfTrue="1" operator="equal">
      <formula>0</formula>
    </cfRule>
    <cfRule type="cellIs" dxfId="213" priority="24" stopIfTrue="1" operator="notEqual">
      <formula>0</formula>
    </cfRule>
  </conditionalFormatting>
  <conditionalFormatting sqref="L15">
    <cfRule type="cellIs" dxfId="212" priority="21" stopIfTrue="1" operator="equal">
      <formula>0</formula>
    </cfRule>
    <cfRule type="cellIs" dxfId="211" priority="22" stopIfTrue="1" operator="notEqual">
      <formula>0</formula>
    </cfRule>
  </conditionalFormatting>
  <conditionalFormatting sqref="L15">
    <cfRule type="cellIs" dxfId="210" priority="19" stopIfTrue="1" operator="equal">
      <formula>0</formula>
    </cfRule>
    <cfRule type="cellIs" dxfId="209" priority="20" stopIfTrue="1" operator="notEqual">
      <formula>0</formula>
    </cfRule>
  </conditionalFormatting>
  <conditionalFormatting sqref="G34">
    <cfRule type="cellIs" dxfId="208" priority="17" stopIfTrue="1" operator="equal">
      <formula>0</formula>
    </cfRule>
    <cfRule type="cellIs" dxfId="207" priority="18" stopIfTrue="1" operator="notEqual">
      <formula>0</formula>
    </cfRule>
  </conditionalFormatting>
  <conditionalFormatting sqref="G34">
    <cfRule type="cellIs" dxfId="206" priority="15" stopIfTrue="1" operator="equal">
      <formula>0</formula>
    </cfRule>
    <cfRule type="cellIs" dxfId="205" priority="16" stopIfTrue="1" operator="notEqual">
      <formula>0</formula>
    </cfRule>
  </conditionalFormatting>
  <conditionalFormatting sqref="G47">
    <cfRule type="cellIs" dxfId="204" priority="13" stopIfTrue="1" operator="equal">
      <formula>0</formula>
    </cfRule>
    <cfRule type="cellIs" dxfId="203" priority="14" stopIfTrue="1" operator="notEqual">
      <formula>0</formula>
    </cfRule>
  </conditionalFormatting>
  <conditionalFormatting sqref="G47">
    <cfRule type="cellIs" dxfId="202" priority="11" stopIfTrue="1" operator="equal">
      <formula>0</formula>
    </cfRule>
    <cfRule type="cellIs" dxfId="201" priority="12" stopIfTrue="1" operator="notEqual">
      <formula>0</formula>
    </cfRule>
  </conditionalFormatting>
  <conditionalFormatting sqref="K30">
    <cfRule type="cellIs" dxfId="200" priority="9" stopIfTrue="1" operator="equal">
      <formula>0</formula>
    </cfRule>
    <cfRule type="cellIs" dxfId="199" priority="10" stopIfTrue="1" operator="notEqual">
      <formula>0</formula>
    </cfRule>
  </conditionalFormatting>
  <conditionalFormatting sqref="K30">
    <cfRule type="cellIs" dxfId="198" priority="7" stopIfTrue="1" operator="equal">
      <formula>0</formula>
    </cfRule>
    <cfRule type="cellIs" dxfId="197" priority="8" stopIfTrue="1" operator="notEqual">
      <formula>0</formula>
    </cfRule>
  </conditionalFormatting>
  <conditionalFormatting sqref="K45">
    <cfRule type="cellIs" dxfId="196" priority="5" stopIfTrue="1" operator="equal">
      <formula>0</formula>
    </cfRule>
    <cfRule type="cellIs" dxfId="195" priority="6" stopIfTrue="1" operator="notEqual">
      <formula>0</formula>
    </cfRule>
  </conditionalFormatting>
  <conditionalFormatting sqref="K45">
    <cfRule type="cellIs" dxfId="194" priority="3" stopIfTrue="1" operator="equal">
      <formula>0</formula>
    </cfRule>
    <cfRule type="cellIs" dxfId="193" priority="4" stopIfTrue="1" operator="notEqual">
      <formula>0</formula>
    </cfRule>
  </conditionalFormatting>
  <conditionalFormatting sqref="H67">
    <cfRule type="cellIs" dxfId="192" priority="2" operator="equal">
      <formula>"ERROR"</formula>
    </cfRule>
  </conditionalFormatting>
  <conditionalFormatting sqref="H67">
    <cfRule type="cellIs" dxfId="191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ignoredErrors>
    <ignoredError sqref="H9:L13 J7 I14:L1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U1482"/>
  <sheetViews>
    <sheetView showGridLines="0" zoomScale="70" zoomScaleNormal="70" workbookViewId="0"/>
  </sheetViews>
  <sheetFormatPr defaultColWidth="16" defaultRowHeight="15"/>
  <cols>
    <col min="1" max="1" width="55.21875" style="87" bestFit="1" customWidth="1"/>
    <col min="2" max="2" width="30.7773437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50.109375" style="87" bestFit="1" customWidth="1"/>
    <col min="7" max="7" width="13.44140625" style="87" bestFit="1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202002</v>
      </c>
      <c r="F1" s="92">
        <f>C1</f>
        <v>202002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3388075.13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25791.77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0.68510000000000004</v>
      </c>
      <c r="L5" s="249">
        <f>1-K5</f>
        <v>0.31489999999999996</v>
      </c>
      <c r="M5" s="88"/>
    </row>
    <row r="6" spans="1:13" ht="15.6" customHeight="1" thickBot="1">
      <c r="A6" s="27" t="s">
        <v>7</v>
      </c>
      <c r="C6" s="239">
        <f>-1385216.75-395098.89-112885.4-134898.06-90940.48</f>
        <v>-2119039.58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1294827.3199999998</v>
      </c>
      <c r="D7" s="17"/>
      <c r="F7" s="58" t="s">
        <v>187</v>
      </c>
      <c r="G7" s="58"/>
      <c r="H7" s="40">
        <f>C32</f>
        <v>2210964.1699999995</v>
      </c>
      <c r="I7" s="59">
        <f>H7*I5</f>
        <v>1518490.1919559995</v>
      </c>
      <c r="J7" s="59">
        <f>H7*J5</f>
        <v>692473.97804399976</v>
      </c>
      <c r="K7" s="59"/>
      <c r="L7" s="59"/>
      <c r="M7" s="88"/>
    </row>
    <row r="8" spans="1:13" ht="15.6" customHeight="1">
      <c r="A8" s="87" t="s">
        <v>39</v>
      </c>
      <c r="C8" s="238">
        <v>196982.21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8135.76</v>
      </c>
      <c r="D9" s="18"/>
      <c r="F9" s="58" t="s">
        <v>53</v>
      </c>
      <c r="G9" s="88"/>
      <c r="H9" s="250">
        <f>C52</f>
        <v>6405227.9699999997</v>
      </c>
      <c r="I9" s="59"/>
      <c r="J9" s="59"/>
      <c r="K9" s="252">
        <f>H9*K5</f>
        <v>4388221.6822469998</v>
      </c>
      <c r="L9" s="252">
        <f>H9*L5</f>
        <v>2017006.2877529997</v>
      </c>
      <c r="M9" s="88"/>
    </row>
    <row r="10" spans="1:13" ht="15.6" customHeight="1">
      <c r="A10" s="27" t="s">
        <v>41</v>
      </c>
      <c r="C10" s="239">
        <v>-2664.55</v>
      </c>
      <c r="D10" s="18"/>
      <c r="F10" s="61" t="s">
        <v>21</v>
      </c>
      <c r="G10" s="88"/>
      <c r="H10" s="250">
        <f>C53</f>
        <v>-33019.79</v>
      </c>
      <c r="I10" s="59"/>
      <c r="J10" s="59"/>
      <c r="K10" s="252">
        <f>H10</f>
        <v>-33019.79</v>
      </c>
      <c r="L10" s="252"/>
      <c r="M10" s="88"/>
    </row>
    <row r="11" spans="1:13" ht="15.6" customHeight="1">
      <c r="A11" s="30" t="s">
        <v>70</v>
      </c>
      <c r="C11" s="237">
        <f>SUM(C8:C10)</f>
        <v>202453.42</v>
      </c>
      <c r="D11" s="18"/>
      <c r="F11" s="61" t="s">
        <v>22</v>
      </c>
      <c r="G11" s="88"/>
      <c r="H11" s="251">
        <f>C54</f>
        <v>-15158.07</v>
      </c>
      <c r="I11" s="59"/>
      <c r="J11" s="59"/>
      <c r="K11" s="253"/>
      <c r="L11" s="253">
        <f>H11</f>
        <v>-15158.07</v>
      </c>
      <c r="M11" s="88"/>
    </row>
    <row r="12" spans="1:13" ht="15.6" customHeight="1">
      <c r="A12" s="87" t="s">
        <v>126</v>
      </c>
      <c r="C12" s="238">
        <f>206687.39-21885.68+876.03</f>
        <v>185677.74000000002</v>
      </c>
      <c r="D12" s="18"/>
      <c r="F12" s="61" t="s">
        <v>68</v>
      </c>
      <c r="G12" s="88"/>
      <c r="H12" s="236">
        <f>H9+H10+H11</f>
        <v>6357050.1099999994</v>
      </c>
      <c r="I12" s="59"/>
      <c r="J12" s="59"/>
      <c r="K12" s="59">
        <f>SUM(K9:K11)</f>
        <v>4355201.8922469998</v>
      </c>
      <c r="L12" s="59">
        <f>SUM(L9:L11)</f>
        <v>2001848.2177529996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185677.74000000002</v>
      </c>
      <c r="D14" s="19"/>
      <c r="F14" s="88" t="s">
        <v>30</v>
      </c>
      <c r="G14" s="58"/>
      <c r="H14" s="40">
        <f>H12+H7</f>
        <v>8568014.2799999993</v>
      </c>
      <c r="I14" s="223">
        <f>SUM(I7:I13)</f>
        <v>1518490.1919559995</v>
      </c>
      <c r="J14" s="223">
        <f>SUM(J7:J13)</f>
        <v>692473.97804399976</v>
      </c>
      <c r="K14" s="223">
        <f>K12</f>
        <v>4355201.8922469998</v>
      </c>
      <c r="L14" s="223">
        <f>L12</f>
        <v>2001848.2177529996</v>
      </c>
      <c r="M14" s="88"/>
    </row>
    <row r="15" spans="1:13" ht="15.6" customHeight="1">
      <c r="A15" s="87" t="s">
        <v>92</v>
      </c>
      <c r="C15" s="238">
        <f>448473.99+1037.72</f>
        <v>449511.70999999996</v>
      </c>
      <c r="D15" s="18"/>
      <c r="F15" s="88"/>
      <c r="G15" s="30" t="s">
        <v>46</v>
      </c>
      <c r="H15" s="247">
        <f>H14-C57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449511.70999999996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248.64+9691.5+97764.03</f>
        <v>107704.17</v>
      </c>
      <c r="D18" s="18"/>
      <c r="F18" s="300" t="s">
        <v>64</v>
      </c>
      <c r="G18" s="301"/>
      <c r="H18" s="301"/>
      <c r="I18" s="302"/>
      <c r="J18" s="300" t="s">
        <v>65</v>
      </c>
      <c r="K18" s="301"/>
      <c r="L18" s="301"/>
      <c r="M18" s="302"/>
    </row>
    <row r="19" spans="1:13" ht="15.6" customHeight="1">
      <c r="A19" s="25" t="s">
        <v>80</v>
      </c>
      <c r="C19" s="239">
        <v>5881.28</v>
      </c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67" t="s">
        <v>10</v>
      </c>
    </row>
    <row r="20" spans="1:13" ht="15.6" customHeight="1" thickBot="1">
      <c r="A20" s="31" t="s">
        <v>129</v>
      </c>
      <c r="C20" s="237">
        <f>SUM(C18:C19)</f>
        <v>113585.45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2867.34+1850</f>
        <v>4717.34</v>
      </c>
      <c r="D21" s="18"/>
      <c r="F21" s="51"/>
      <c r="G21" s="266"/>
      <c r="H21" s="266"/>
      <c r="I21" s="267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4717.34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2">
        <v>0</v>
      </c>
      <c r="D23" s="18"/>
      <c r="F23" s="74" t="s">
        <v>14</v>
      </c>
      <c r="G23" s="93">
        <v>18132989</v>
      </c>
      <c r="H23" s="228">
        <v>9.6509999999999999E-2</v>
      </c>
      <c r="I23" s="258">
        <f t="shared" ref="I23:I31" si="0">G23*H23</f>
        <v>1750014.7683899999</v>
      </c>
      <c r="J23" s="74" t="s">
        <v>14</v>
      </c>
      <c r="K23" s="93">
        <v>9052000</v>
      </c>
      <c r="L23" s="228">
        <v>9.2950000000000005E-2</v>
      </c>
      <c r="M23" s="258">
        <f>K23*L23</f>
        <v>841383.4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23546</v>
      </c>
      <c r="H24" s="228">
        <v>9.6509999999999999E-2</v>
      </c>
      <c r="I24" s="258">
        <f t="shared" si="0"/>
        <v>2272.4244600000002</v>
      </c>
      <c r="J24" s="74" t="s">
        <v>15</v>
      </c>
      <c r="K24" s="93">
        <v>2971899</v>
      </c>
      <c r="L24" s="228">
        <f>L23</f>
        <v>9.2950000000000005E-2</v>
      </c>
      <c r="M24" s="258">
        <f>K24*L24</f>
        <v>276238.01205000002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7239397</v>
      </c>
      <c r="H25" s="228">
        <v>8.727E-2</v>
      </c>
      <c r="I25" s="258">
        <f t="shared" si="0"/>
        <v>631782.17619000003</v>
      </c>
      <c r="J25" s="74" t="s">
        <v>16</v>
      </c>
      <c r="K25" s="93">
        <v>815</v>
      </c>
      <c r="L25" s="228">
        <f t="shared" ref="L25" si="1">L24</f>
        <v>9.2950000000000005E-2</v>
      </c>
      <c r="M25" s="258">
        <f>K25*L25</f>
        <v>75.754249999999999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17022</v>
      </c>
      <c r="H26" s="228">
        <v>8.727E-2</v>
      </c>
      <c r="I26" s="258">
        <f t="shared" si="0"/>
        <v>1485.5099399999999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155563</v>
      </c>
      <c r="H27" s="228">
        <v>8.727E-2</v>
      </c>
      <c r="I27" s="258">
        <f t="shared" si="0"/>
        <v>13575.98301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474268</v>
      </c>
      <c r="H28" s="228">
        <v>8.727E-2</v>
      </c>
      <c r="I28" s="258">
        <f t="shared" si="0"/>
        <v>41389.36836</v>
      </c>
      <c r="J28" s="73" t="s">
        <v>58</v>
      </c>
      <c r="K28" s="256">
        <f>SUM(K23:K27)</f>
        <v>12024714</v>
      </c>
      <c r="L28" s="257"/>
      <c r="M28" s="71">
        <f>SUM(M23:M27)</f>
        <v>1117697.1662999999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12024714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2250772.9799999995</v>
      </c>
      <c r="D30" s="19"/>
      <c r="F30" s="74" t="s">
        <v>20</v>
      </c>
      <c r="G30" s="93">
        <v>115028</v>
      </c>
      <c r="H30" s="228">
        <v>5.5910000000000001E-2</v>
      </c>
      <c r="I30" s="258">
        <f t="shared" si="0"/>
        <v>6431.2154799999998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-39808.81</v>
      </c>
      <c r="D31" s="20"/>
      <c r="F31" s="74" t="s">
        <v>35</v>
      </c>
      <c r="G31" s="93">
        <v>3147559</v>
      </c>
      <c r="H31" s="228">
        <v>5.4000000000000001E-4</v>
      </c>
      <c r="I31" s="258">
        <f t="shared" si="0"/>
        <v>1699.6818599999999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2210964.1699999995</v>
      </c>
      <c r="D32" s="21"/>
      <c r="F32" s="73" t="s">
        <v>58</v>
      </c>
      <c r="G32" s="256">
        <f>SUM(G23:G31)</f>
        <v>29305372</v>
      </c>
      <c r="H32" s="6"/>
      <c r="I32" s="71">
        <f>SUM(I23:I31)</f>
        <v>2448651.1276899995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29305372</v>
      </c>
      <c r="H33" s="65"/>
      <c r="I33" s="259">
        <f>I32/G32</f>
        <v>8.3556391220353715E-2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7194740.5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f t="shared" ref="G36:G43" si="2">G23</f>
        <v>18132989</v>
      </c>
      <c r="H36" s="228">
        <v>0.15284</v>
      </c>
      <c r="I36" s="258">
        <f t="shared" ref="I36:I43" si="3">G36*H36</f>
        <v>2771446.0387599999</v>
      </c>
      <c r="J36" s="74" t="s">
        <v>14</v>
      </c>
      <c r="K36" s="93">
        <f>K23</f>
        <v>9052000</v>
      </c>
      <c r="L36" s="228">
        <v>0.15198999999999999</v>
      </c>
      <c r="M36" s="258">
        <f t="shared" ref="M36:M42" si="4">K36*L36</f>
        <v>1375813.48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-27718.82</v>
      </c>
      <c r="D37" s="18"/>
      <c r="F37" s="74" t="s">
        <v>105</v>
      </c>
      <c r="G37" s="93">
        <f t="shared" si="2"/>
        <v>23546</v>
      </c>
      <c r="H37" s="228">
        <f>H36</f>
        <v>0.15284</v>
      </c>
      <c r="I37" s="258">
        <f t="shared" si="3"/>
        <v>3598.7706400000002</v>
      </c>
      <c r="J37" s="74" t="s">
        <v>15</v>
      </c>
      <c r="K37" s="93">
        <f>K24</f>
        <v>2971899</v>
      </c>
      <c r="L37" s="228">
        <f>L36</f>
        <v>0.15198999999999999</v>
      </c>
      <c r="M37" s="258">
        <f t="shared" si="4"/>
        <v>451698.92900999996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532999.37</v>
      </c>
      <c r="D38" s="18"/>
      <c r="F38" s="74" t="s">
        <v>15</v>
      </c>
      <c r="G38" s="93">
        <f t="shared" si="2"/>
        <v>7239397</v>
      </c>
      <c r="H38" s="228">
        <f t="shared" ref="H38:H43" si="5">H37</f>
        <v>0.15284</v>
      </c>
      <c r="I38" s="258">
        <f t="shared" si="3"/>
        <v>1106469.4374800001</v>
      </c>
      <c r="J38" s="74" t="s">
        <v>16</v>
      </c>
      <c r="K38" s="93">
        <f>K25</f>
        <v>815</v>
      </c>
      <c r="L38" s="228">
        <f t="shared" ref="L38:L42" si="6">L37</f>
        <v>0.15198999999999999</v>
      </c>
      <c r="M38" s="258">
        <f t="shared" si="4"/>
        <v>123.87184999999999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-28257.52</v>
      </c>
      <c r="D39" s="18"/>
      <c r="F39" s="74" t="s">
        <v>16</v>
      </c>
      <c r="G39" s="93">
        <f t="shared" si="2"/>
        <v>17022</v>
      </c>
      <c r="H39" s="228">
        <f t="shared" si="5"/>
        <v>0.15284</v>
      </c>
      <c r="I39" s="258">
        <f t="shared" si="3"/>
        <v>2601.64248</v>
      </c>
      <c r="J39" s="74" t="s">
        <v>17</v>
      </c>
      <c r="K39" s="93">
        <f>K26</f>
        <v>0</v>
      </c>
      <c r="L39" s="228">
        <f t="shared" si="6"/>
        <v>0.15198999999999999</v>
      </c>
      <c r="M39" s="258">
        <f t="shared" si="4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285815.55</v>
      </c>
      <c r="D40" s="18"/>
      <c r="F40" s="74" t="s">
        <v>17</v>
      </c>
      <c r="G40" s="93">
        <f t="shared" si="2"/>
        <v>155563</v>
      </c>
      <c r="H40" s="228">
        <f t="shared" si="5"/>
        <v>0.15284</v>
      </c>
      <c r="I40" s="258">
        <f t="shared" si="3"/>
        <v>23776.248920000002</v>
      </c>
      <c r="J40" s="74" t="s">
        <v>18</v>
      </c>
      <c r="K40" s="93">
        <f>K27</f>
        <v>0</v>
      </c>
      <c r="L40" s="228">
        <f t="shared" si="6"/>
        <v>0.15198999999999999</v>
      </c>
      <c r="M40" s="258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7957579.0800000001</v>
      </c>
      <c r="D41" s="18"/>
      <c r="F41" s="74" t="s">
        <v>18</v>
      </c>
      <c r="G41" s="93">
        <f t="shared" si="2"/>
        <v>474268</v>
      </c>
      <c r="H41" s="228">
        <f t="shared" si="5"/>
        <v>0.15284</v>
      </c>
      <c r="I41" s="258">
        <f t="shared" si="3"/>
        <v>72487.121119999996</v>
      </c>
      <c r="J41" s="74" t="s">
        <v>19</v>
      </c>
      <c r="K41" s="93">
        <v>0</v>
      </c>
      <c r="L41" s="228">
        <f t="shared" si="6"/>
        <v>0.15198999999999999</v>
      </c>
      <c r="M41" s="258">
        <f t="shared" si="4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v>4384558.7699999996</v>
      </c>
      <c r="D42" s="19"/>
      <c r="F42" s="74" t="s">
        <v>19</v>
      </c>
      <c r="G42" s="93">
        <f t="shared" si="2"/>
        <v>0</v>
      </c>
      <c r="H42" s="228">
        <f t="shared" si="5"/>
        <v>0.15284</v>
      </c>
      <c r="I42" s="258">
        <f t="shared" si="3"/>
        <v>0</v>
      </c>
      <c r="J42" s="74" t="s">
        <v>20</v>
      </c>
      <c r="K42" s="93">
        <v>0</v>
      </c>
      <c r="L42" s="228">
        <f t="shared" si="6"/>
        <v>0.15198999999999999</v>
      </c>
      <c r="M42" s="258">
        <f t="shared" si="4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2">
        <v>0</v>
      </c>
      <c r="D43" s="18"/>
      <c r="F43" s="74" t="s">
        <v>20</v>
      </c>
      <c r="G43" s="93">
        <f t="shared" si="2"/>
        <v>115028</v>
      </c>
      <c r="H43" s="228">
        <f t="shared" si="5"/>
        <v>0.15284</v>
      </c>
      <c r="I43" s="268">
        <f t="shared" si="3"/>
        <v>17580.879520000002</v>
      </c>
      <c r="J43" s="73" t="s">
        <v>63</v>
      </c>
      <c r="K43" s="256">
        <f>SUM(K36:K42)</f>
        <v>12024714</v>
      </c>
      <c r="L43" s="257"/>
      <c r="M43" s="71">
        <f>SUM(M36:M42)</f>
        <v>1827636.2808600001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26157813</v>
      </c>
      <c r="H44" s="257"/>
      <c r="I44" s="272">
        <f>SUM(I36:I43)</f>
        <v>3997960.1389199994</v>
      </c>
      <c r="J44" s="73"/>
      <c r="K44" s="260">
        <v>12024714</v>
      </c>
      <c r="L44" s="65"/>
      <c r="M44" s="269">
        <f>M43/K43</f>
        <v>0.15199000000000001</v>
      </c>
    </row>
    <row r="45" spans="1:17" ht="15.6" customHeight="1" thickTop="1">
      <c r="A45" s="4" t="s">
        <v>207</v>
      </c>
      <c r="B45" s="29" t="s">
        <v>74</v>
      </c>
      <c r="C45" s="238">
        <v>18426.669999999998</v>
      </c>
      <c r="D45" s="20"/>
      <c r="F45" s="64"/>
      <c r="G45" s="260">
        <v>26157813</v>
      </c>
      <c r="H45" s="65"/>
      <c r="I45" s="273">
        <f>I44/G44</f>
        <v>0.15283999999999998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98</v>
      </c>
      <c r="B46" s="29" t="s">
        <v>74</v>
      </c>
      <c r="C46" s="238">
        <v>3881.55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106</v>
      </c>
      <c r="B47" s="29" t="s">
        <v>74</v>
      </c>
      <c r="C47" s="238">
        <v>1855.29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39808.81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6252.27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v>-5639134.4699999997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4355201.8922469998</v>
      </c>
      <c r="I51" s="230">
        <f>I14</f>
        <v>1518490.1919559995</v>
      </c>
      <c r="J51" s="230">
        <f>L12</f>
        <v>2001848.2177529996</v>
      </c>
      <c r="K51" s="230">
        <f>J14</f>
        <v>692473.97804399976</v>
      </c>
      <c r="L51" s="231">
        <f>SUM(H51:K51)</f>
        <v>8568014.2799999993</v>
      </c>
      <c r="M51" s="88"/>
    </row>
    <row r="52" spans="1:20" ht="15.6" customHeight="1" thickBot="1">
      <c r="A52" s="32" t="s">
        <v>53</v>
      </c>
      <c r="B52" s="248"/>
      <c r="C52" s="53">
        <f>SUM(C41:C51)</f>
        <v>6405227.9699999997</v>
      </c>
      <c r="D52" s="219"/>
      <c r="F52" s="87" t="s">
        <v>48</v>
      </c>
      <c r="H52" s="229">
        <f>-I44</f>
        <v>-3997960.1389199994</v>
      </c>
      <c r="I52" s="230">
        <f>-I32</f>
        <v>-2448651.1276899995</v>
      </c>
      <c r="J52" s="230">
        <f>-M43</f>
        <v>-1827636.2808600001</v>
      </c>
      <c r="K52" s="230">
        <f>-M28</f>
        <v>-1117697.1662999999</v>
      </c>
      <c r="L52" s="232">
        <f>SUM(H52:K52)</f>
        <v>-9391944.7137699984</v>
      </c>
    </row>
    <row r="53" spans="1:20" ht="15.6" customHeight="1" thickTop="1" thickBot="1">
      <c r="A53" s="87" t="s">
        <v>205</v>
      </c>
      <c r="B53" s="8" t="s">
        <v>121</v>
      </c>
      <c r="C53" s="238">
        <v>-33019.79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206</v>
      </c>
      <c r="B54" s="8" t="s">
        <v>122</v>
      </c>
      <c r="C54" s="238">
        <v>-15158.07</v>
      </c>
      <c r="D54" s="18"/>
      <c r="F54" s="1" t="s">
        <v>32</v>
      </c>
      <c r="H54" s="264">
        <f>H51+H52+H53</f>
        <v>357241.75332700042</v>
      </c>
      <c r="I54" s="264">
        <f>I51+I52+I53</f>
        <v>-930160.93573400006</v>
      </c>
      <c r="J54" s="264">
        <f>J51+J52+J53</f>
        <v>174211.93689299957</v>
      </c>
      <c r="K54" s="264">
        <f>K51+K52+K53</f>
        <v>-425223.18825600017</v>
      </c>
      <c r="L54" s="26">
        <f>SUM(H54:K54)</f>
        <v>-823930.43377000024</v>
      </c>
    </row>
    <row r="55" spans="1:20" ht="15.6" customHeight="1" thickBot="1">
      <c r="A55" s="1" t="s">
        <v>189</v>
      </c>
      <c r="C55" s="53">
        <f>SUM(C52:C54)</f>
        <v>6357050.1099999994</v>
      </c>
      <c r="D55" s="18"/>
      <c r="F55" s="87" t="s">
        <v>90</v>
      </c>
      <c r="H55" s="87" t="s">
        <v>82</v>
      </c>
      <c r="I55" s="2">
        <f>SUM(H54:I54)</f>
        <v>-572919.18240699964</v>
      </c>
      <c r="J55" s="8" t="s">
        <v>83</v>
      </c>
      <c r="K55" s="87">
        <f>SUM(J54:K54)</f>
        <v>-251011.2513630006</v>
      </c>
      <c r="L55"/>
    </row>
    <row r="56" spans="1:20" ht="15.6" customHeight="1" thickTop="1" thickBot="1">
      <c r="C56" s="245"/>
      <c r="D56" s="18"/>
      <c r="F56" s="210" t="s">
        <v>91</v>
      </c>
      <c r="H56" s="35"/>
      <c r="T56" s="22"/>
    </row>
    <row r="57" spans="1:20" ht="15.6" customHeight="1" thickBot="1">
      <c r="A57" s="8"/>
      <c r="B57" s="8" t="s">
        <v>43</v>
      </c>
      <c r="C57" s="40">
        <f>C55+C32</f>
        <v>8568014.2799999993</v>
      </c>
      <c r="D57" s="18"/>
      <c r="F57" s="210"/>
      <c r="H57" s="52"/>
      <c r="I57" s="211"/>
      <c r="J57" s="211"/>
      <c r="K57" s="75"/>
      <c r="L57" s="211"/>
    </row>
    <row r="58" spans="1:20" ht="15.6" customHeight="1">
      <c r="A58" s="30"/>
      <c r="B58" s="30"/>
      <c r="C58" s="240"/>
      <c r="D58" s="18"/>
      <c r="F58" s="212" t="s">
        <v>103</v>
      </c>
      <c r="G58" s="87" t="str">
        <f>IF(OR(AND(I55&gt;0,K55&gt;0),AND(I55&lt;0,K55&lt;0)),"OK","ERROR")</f>
        <v>OK</v>
      </c>
      <c r="H58" s="89" t="s">
        <v>101</v>
      </c>
      <c r="I58" s="90"/>
    </row>
    <row r="59" spans="1:20" ht="15.6" customHeight="1" thickBot="1">
      <c r="B59" s="8" t="s">
        <v>188</v>
      </c>
      <c r="C59" s="238">
        <v>8568014.2799999993</v>
      </c>
      <c r="D59" s="18"/>
      <c r="H59" s="82" t="s">
        <v>84</v>
      </c>
      <c r="I59" s="83" t="s">
        <v>85</v>
      </c>
      <c r="J59" s="2"/>
    </row>
    <row r="60" spans="1:20" ht="15.6" customHeight="1" thickBot="1">
      <c r="A60" s="8"/>
      <c r="B60" s="8" t="s">
        <v>77</v>
      </c>
      <c r="C60" s="247">
        <f>ROUND(C57-C59,2)</f>
        <v>0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C61" s="85"/>
      <c r="D61" s="19"/>
      <c r="G61" s="2"/>
      <c r="I61" s="263" t="e">
        <f>H60-I60</f>
        <v>#REF!</v>
      </c>
      <c r="N61" s="2"/>
    </row>
    <row r="62" spans="1:20" ht="15.6" customHeight="1">
      <c r="C62" s="5"/>
      <c r="O62" s="2"/>
      <c r="P62" s="213"/>
    </row>
    <row r="63" spans="1:20" ht="15.6" customHeight="1">
      <c r="C63" s="5"/>
      <c r="D63" s="18"/>
      <c r="N63" s="10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H65" s="35"/>
      <c r="N65" s="10"/>
      <c r="S65" s="12"/>
    </row>
    <row r="66" spans="4:21" ht="15.6" customHeight="1">
      <c r="D66" s="18"/>
      <c r="N66" s="10"/>
      <c r="S66" s="12"/>
    </row>
    <row r="67" spans="4:21" ht="15.6" customHeight="1">
      <c r="D67" s="18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2">
    <mergeCell ref="F18:I18"/>
    <mergeCell ref="J18:M18"/>
  </mergeCells>
  <conditionalFormatting sqref="C60 I61">
    <cfRule type="cellIs" dxfId="190" priority="36" stopIfTrue="1" operator="equal">
      <formula>0</formula>
    </cfRule>
    <cfRule type="cellIs" dxfId="189" priority="37" stopIfTrue="1" operator="notEqual">
      <formula>0</formula>
    </cfRule>
  </conditionalFormatting>
  <conditionalFormatting sqref="K46">
    <cfRule type="cellIs" dxfId="188" priority="35" operator="notEqual">
      <formula>0</formula>
    </cfRule>
  </conditionalFormatting>
  <conditionalFormatting sqref="C60">
    <cfRule type="cellIs" dxfId="187" priority="33" stopIfTrue="1" operator="equal">
      <formula>0</formula>
    </cfRule>
    <cfRule type="cellIs" dxfId="186" priority="34" stopIfTrue="1" operator="notEqual">
      <formula>0</formula>
    </cfRule>
  </conditionalFormatting>
  <conditionalFormatting sqref="G58">
    <cfRule type="cellIs" dxfId="185" priority="32" operator="equal">
      <formula>"ERROR"</formula>
    </cfRule>
  </conditionalFormatting>
  <conditionalFormatting sqref="G58">
    <cfRule type="cellIs" dxfId="184" priority="31" operator="equal">
      <formula>"ERROR"</formula>
    </cfRule>
  </conditionalFormatting>
  <conditionalFormatting sqref="H15">
    <cfRule type="cellIs" dxfId="183" priority="29" stopIfTrue="1" operator="equal">
      <formula>0</formula>
    </cfRule>
    <cfRule type="cellIs" dxfId="182" priority="30" stopIfTrue="1" operator="notEqual">
      <formula>0</formula>
    </cfRule>
  </conditionalFormatting>
  <conditionalFormatting sqref="H15">
    <cfRule type="cellIs" dxfId="181" priority="27" stopIfTrue="1" operator="equal">
      <formula>0</formula>
    </cfRule>
    <cfRule type="cellIs" dxfId="180" priority="28" stopIfTrue="1" operator="notEqual">
      <formula>0</formula>
    </cfRule>
  </conditionalFormatting>
  <conditionalFormatting sqref="J15">
    <cfRule type="cellIs" dxfId="179" priority="25" stopIfTrue="1" operator="equal">
      <formula>0</formula>
    </cfRule>
    <cfRule type="cellIs" dxfId="178" priority="26" stopIfTrue="1" operator="notEqual">
      <formula>0</formula>
    </cfRule>
  </conditionalFormatting>
  <conditionalFormatting sqref="J15">
    <cfRule type="cellIs" dxfId="177" priority="23" stopIfTrue="1" operator="equal">
      <formula>0</formula>
    </cfRule>
    <cfRule type="cellIs" dxfId="176" priority="24" stopIfTrue="1" operator="notEqual">
      <formula>0</formula>
    </cfRule>
  </conditionalFormatting>
  <conditionalFormatting sqref="L15">
    <cfRule type="cellIs" dxfId="175" priority="21" stopIfTrue="1" operator="equal">
      <formula>0</formula>
    </cfRule>
    <cfRule type="cellIs" dxfId="174" priority="22" stopIfTrue="1" operator="notEqual">
      <formula>0</formula>
    </cfRule>
  </conditionalFormatting>
  <conditionalFormatting sqref="L15">
    <cfRule type="cellIs" dxfId="173" priority="19" stopIfTrue="1" operator="equal">
      <formula>0</formula>
    </cfRule>
    <cfRule type="cellIs" dxfId="172" priority="20" stopIfTrue="1" operator="notEqual">
      <formula>0</formula>
    </cfRule>
  </conditionalFormatting>
  <conditionalFormatting sqref="G34">
    <cfRule type="cellIs" dxfId="171" priority="17" stopIfTrue="1" operator="equal">
      <formula>0</formula>
    </cfRule>
    <cfRule type="cellIs" dxfId="170" priority="18" stopIfTrue="1" operator="notEqual">
      <formula>0</formula>
    </cfRule>
  </conditionalFormatting>
  <conditionalFormatting sqref="G34">
    <cfRule type="cellIs" dxfId="169" priority="15" stopIfTrue="1" operator="equal">
      <formula>0</formula>
    </cfRule>
    <cfRule type="cellIs" dxfId="168" priority="16" stopIfTrue="1" operator="notEqual">
      <formula>0</formula>
    </cfRule>
  </conditionalFormatting>
  <conditionalFormatting sqref="G46">
    <cfRule type="cellIs" dxfId="167" priority="13" stopIfTrue="1" operator="equal">
      <formula>0</formula>
    </cfRule>
    <cfRule type="cellIs" dxfId="166" priority="14" stopIfTrue="1" operator="notEqual">
      <formula>0</formula>
    </cfRule>
  </conditionalFormatting>
  <conditionalFormatting sqref="G46">
    <cfRule type="cellIs" dxfId="165" priority="11" stopIfTrue="1" operator="equal">
      <formula>0</formula>
    </cfRule>
    <cfRule type="cellIs" dxfId="164" priority="12" stopIfTrue="1" operator="notEqual">
      <formula>0</formula>
    </cfRule>
  </conditionalFormatting>
  <conditionalFormatting sqref="K30">
    <cfRule type="cellIs" dxfId="163" priority="9" stopIfTrue="1" operator="equal">
      <formula>0</formula>
    </cfRule>
    <cfRule type="cellIs" dxfId="162" priority="10" stopIfTrue="1" operator="notEqual">
      <formula>0</formula>
    </cfRule>
  </conditionalFormatting>
  <conditionalFormatting sqref="K30">
    <cfRule type="cellIs" dxfId="161" priority="7" stopIfTrue="1" operator="equal">
      <formula>0</formula>
    </cfRule>
    <cfRule type="cellIs" dxfId="160" priority="8" stopIfTrue="1" operator="notEqual">
      <formula>0</formula>
    </cfRule>
  </conditionalFormatting>
  <conditionalFormatting sqref="K45">
    <cfRule type="cellIs" dxfId="159" priority="5" stopIfTrue="1" operator="equal">
      <formula>0</formula>
    </cfRule>
    <cfRule type="cellIs" dxfId="158" priority="6" stopIfTrue="1" operator="notEqual">
      <formula>0</formula>
    </cfRule>
  </conditionalFormatting>
  <conditionalFormatting sqref="K45">
    <cfRule type="cellIs" dxfId="157" priority="3" stopIfTrue="1" operator="equal">
      <formula>0</formula>
    </cfRule>
    <cfRule type="cellIs" dxfId="156" priority="4" stopIfTrue="1" operator="notEqual">
      <formula>0</formula>
    </cfRule>
  </conditionalFormatting>
  <conditionalFormatting sqref="H67">
    <cfRule type="cellIs" dxfId="155" priority="2" operator="equal">
      <formula>"ERROR"</formula>
    </cfRule>
  </conditionalFormatting>
  <conditionalFormatting sqref="H67">
    <cfRule type="cellIs" dxfId="154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21875" style="87" bestFit="1" customWidth="1"/>
    <col min="2" max="2" width="30.7773437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202003</v>
      </c>
      <c r="F1" s="92">
        <f>C1</f>
        <v>202003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25725.64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0.69569999999999999</v>
      </c>
      <c r="L5" s="249">
        <f>1-K5</f>
        <v>0.30430000000000001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1382280.87</v>
      </c>
      <c r="D7" s="17"/>
      <c r="F7" s="58" t="s">
        <v>187</v>
      </c>
      <c r="G7" s="58"/>
      <c r="H7" s="40">
        <f>C32</f>
        <v>2251525.13</v>
      </c>
      <c r="I7" s="59">
        <f>H7*I5</f>
        <v>1546347.4592839999</v>
      </c>
      <c r="J7" s="59">
        <f>H7*J5</f>
        <v>705177.67071599991</v>
      </c>
      <c r="K7" s="59"/>
      <c r="L7" s="59"/>
      <c r="M7" s="88"/>
    </row>
    <row r="8" spans="1:13" ht="15.6" customHeight="1">
      <c r="A8" s="87" t="s">
        <v>39</v>
      </c>
      <c r="C8" s="238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8850.2099999999991</v>
      </c>
      <c r="D9" s="18"/>
      <c r="F9" s="58" t="s">
        <v>53</v>
      </c>
      <c r="G9" s="88"/>
      <c r="H9" s="250">
        <f>C52</f>
        <v>5262986.089999998</v>
      </c>
      <c r="I9" s="59"/>
      <c r="J9" s="59"/>
      <c r="K9" s="252">
        <f>H9*K5</f>
        <v>3661459.4228129983</v>
      </c>
      <c r="L9" s="252">
        <f>H9*L5</f>
        <v>1601526.6671869995</v>
      </c>
      <c r="M9" s="88"/>
    </row>
    <row r="10" spans="1:13" ht="15.6" customHeight="1">
      <c r="A10" s="27" t="s">
        <v>41</v>
      </c>
      <c r="C10" s="239">
        <v>-2848.33</v>
      </c>
      <c r="D10" s="18"/>
      <c r="F10" s="61" t="s">
        <v>21</v>
      </c>
      <c r="G10" s="88"/>
      <c r="H10" s="250">
        <f>C54</f>
        <v>-5743.18</v>
      </c>
      <c r="I10" s="59"/>
      <c r="J10" s="59"/>
      <c r="K10" s="252">
        <f>H10</f>
        <v>-5743.18</v>
      </c>
      <c r="L10" s="252"/>
      <c r="M10" s="88"/>
    </row>
    <row r="11" spans="1:13" ht="15.6" customHeight="1">
      <c r="A11" s="30" t="s">
        <v>70</v>
      </c>
      <c r="C11" s="237">
        <f>SUM(C8:C10)</f>
        <v>216569.09</v>
      </c>
      <c r="D11" s="18"/>
      <c r="F11" s="61" t="s">
        <v>22</v>
      </c>
      <c r="G11" s="88"/>
      <c r="H11" s="288">
        <f>C55+C53</f>
        <v>423683.98</v>
      </c>
      <c r="I11" s="59"/>
      <c r="J11" s="59"/>
      <c r="K11" s="253"/>
      <c r="L11" s="253">
        <f>H11</f>
        <v>423683.98</v>
      </c>
      <c r="M11" s="88"/>
    </row>
    <row r="12" spans="1:13" ht="15.6" customHeight="1">
      <c r="A12" s="87" t="s">
        <v>126</v>
      </c>
      <c r="C12" s="238">
        <f>197011.5-14184</f>
        <v>182827.5</v>
      </c>
      <c r="D12" s="18"/>
      <c r="F12" s="61" t="s">
        <v>68</v>
      </c>
      <c r="G12" s="88"/>
      <c r="H12" s="236">
        <f>H9+H10+H11</f>
        <v>5680926.8899999987</v>
      </c>
      <c r="I12" s="59"/>
      <c r="J12" s="59"/>
      <c r="K12" s="59">
        <f>SUM(K9:K11)</f>
        <v>3655716.2428129981</v>
      </c>
      <c r="L12" s="59">
        <f>SUM(L9:L11)</f>
        <v>2025210.6471869994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182827.5</v>
      </c>
      <c r="D14" s="19"/>
      <c r="F14" s="88" t="s">
        <v>30</v>
      </c>
      <c r="G14" s="58"/>
      <c r="H14" s="40">
        <f>H12+H7</f>
        <v>7932452.0199999986</v>
      </c>
      <c r="I14" s="223">
        <f>SUM(I7:I13)</f>
        <v>1546347.4592839999</v>
      </c>
      <c r="J14" s="223">
        <f>SUM(J7:J13)</f>
        <v>705177.67071599991</v>
      </c>
      <c r="K14" s="223">
        <f>K12</f>
        <v>3655716.2428129981</v>
      </c>
      <c r="L14" s="223">
        <f>L12</f>
        <v>2025210.6471869994</v>
      </c>
      <c r="M14" s="88"/>
    </row>
    <row r="15" spans="1:13" ht="15.6" customHeight="1">
      <c r="A15" s="87" t="s">
        <v>92</v>
      </c>
      <c r="C15" s="238">
        <f>427479.04-29270.23</f>
        <v>398208.81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398208.81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9237.8-1425.9+93187.28</f>
        <v>100999.18</v>
      </c>
      <c r="D18" s="18"/>
      <c r="F18" s="300" t="s">
        <v>64</v>
      </c>
      <c r="G18" s="301"/>
      <c r="H18" s="301"/>
      <c r="I18" s="302"/>
      <c r="J18" s="300" t="s">
        <v>65</v>
      </c>
      <c r="K18" s="301"/>
      <c r="L18" s="301"/>
      <c r="M18" s="302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84" t="s">
        <v>10</v>
      </c>
    </row>
    <row r="20" spans="1:13" ht="15.6" customHeight="1" thickBot="1">
      <c r="A20" s="31" t="s">
        <v>129</v>
      </c>
      <c r="C20" s="237">
        <f>SUM(C18:C19)</f>
        <v>100999.18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3365.53+1850</f>
        <v>5215.5300000000007</v>
      </c>
      <c r="D21" s="18"/>
      <c r="F21" s="51"/>
      <c r="G21" s="283"/>
      <c r="H21" s="283"/>
      <c r="I21" s="284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5215.5300000000007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2">
        <v>0</v>
      </c>
      <c r="D23" s="18"/>
      <c r="F23" s="74" t="s">
        <v>14</v>
      </c>
      <c r="G23" s="93">
        <v>16716589</v>
      </c>
      <c r="H23" s="228">
        <v>9.6509999999999999E-2</v>
      </c>
      <c r="I23" s="258">
        <f t="shared" ref="I23:I31" si="0">G23*H23</f>
        <v>1613318.0043899999</v>
      </c>
      <c r="J23" s="74" t="s">
        <v>14</v>
      </c>
      <c r="K23" s="93">
        <v>7773497</v>
      </c>
      <c r="L23" s="228">
        <v>9.2950000000000005E-2</v>
      </c>
      <c r="M23" s="258">
        <f>K23*L23</f>
        <v>722546.54615000007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20495</v>
      </c>
      <c r="H24" s="228">
        <v>9.6509999999999999E-2</v>
      </c>
      <c r="I24" s="258">
        <f t="shared" si="0"/>
        <v>1977.97245</v>
      </c>
      <c r="J24" s="74" t="s">
        <v>15</v>
      </c>
      <c r="K24" s="93">
        <v>2732609</v>
      </c>
      <c r="L24" s="228">
        <f>L23</f>
        <v>9.2950000000000005E-2</v>
      </c>
      <c r="M24" s="258">
        <f>K24*L24</f>
        <v>253996.00655000002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6588074</v>
      </c>
      <c r="H25" s="228">
        <v>8.727E-2</v>
      </c>
      <c r="I25" s="258">
        <f t="shared" si="0"/>
        <v>574941.21797999996</v>
      </c>
      <c r="J25" s="74" t="s">
        <v>16</v>
      </c>
      <c r="K25" s="93">
        <v>828</v>
      </c>
      <c r="L25" s="228">
        <f t="shared" ref="L25" si="1">L24</f>
        <v>9.2950000000000005E-2</v>
      </c>
      <c r="M25" s="258">
        <f>K25*L25</f>
        <v>76.962600000000009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14942</v>
      </c>
      <c r="H26" s="228">
        <v>8.727E-2</v>
      </c>
      <c r="I26" s="258">
        <f t="shared" si="0"/>
        <v>1303.9883400000001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135456</v>
      </c>
      <c r="H27" s="228">
        <v>8.727E-2</v>
      </c>
      <c r="I27" s="258">
        <f t="shared" si="0"/>
        <v>11821.24512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429840</v>
      </c>
      <c r="H28" s="228">
        <v>8.727E-2</v>
      </c>
      <c r="I28" s="258">
        <f t="shared" si="0"/>
        <v>37512.1368</v>
      </c>
      <c r="J28" s="73" t="s">
        <v>58</v>
      </c>
      <c r="K28" s="256">
        <f>SUM(K23:K27)</f>
        <v>10506934</v>
      </c>
      <c r="L28" s="257"/>
      <c r="M28" s="71">
        <f>SUM(M23:M27)</f>
        <v>976619.51530000009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10506934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2286100.98</v>
      </c>
      <c r="D30" s="19"/>
      <c r="F30" s="74" t="s">
        <v>20</v>
      </c>
      <c r="G30" s="93">
        <v>118162</v>
      </c>
      <c r="H30" s="228">
        <v>5.5910000000000001E-2</v>
      </c>
      <c r="I30" s="258">
        <f t="shared" si="0"/>
        <v>6606.4374200000002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-34575.85</v>
      </c>
      <c r="D31" s="20"/>
      <c r="F31" s="74" t="s">
        <v>35</v>
      </c>
      <c r="G31" s="93">
        <v>3149805</v>
      </c>
      <c r="H31" s="228">
        <v>5.4000000000000001E-4</v>
      </c>
      <c r="I31" s="258">
        <f t="shared" si="0"/>
        <v>1700.8947000000001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2251525.13</v>
      </c>
      <c r="D32" s="21"/>
      <c r="F32" s="73" t="s">
        <v>58</v>
      </c>
      <c r="G32" s="256">
        <f>SUM(G23:G31)</f>
        <v>27173363</v>
      </c>
      <c r="H32" s="6"/>
      <c r="I32" s="71">
        <f>SUM(I23:I31)</f>
        <v>2249181.8972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27173363</v>
      </c>
      <c r="H33" s="65"/>
      <c r="I33" s="259">
        <f>I32/G32</f>
        <v>8.277156924595605E-2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8030050.8499999996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f t="shared" ref="G36:G43" si="2">G23</f>
        <v>16716589</v>
      </c>
      <c r="H36" s="228">
        <v>0.15284</v>
      </c>
      <c r="I36" s="258">
        <f t="shared" ref="I36:I43" si="3">G36*H36</f>
        <v>2554963.46276</v>
      </c>
      <c r="J36" s="74" t="s">
        <v>14</v>
      </c>
      <c r="K36" s="93">
        <v>7773497</v>
      </c>
      <c r="L36" s="228">
        <v>0.15198999999999999</v>
      </c>
      <c r="M36" s="258">
        <f t="shared" ref="M36:M42" si="4">K36*L36</f>
        <v>1181493.8090299999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-21973.119999999999</v>
      </c>
      <c r="D37" s="18"/>
      <c r="F37" s="74" t="s">
        <v>105</v>
      </c>
      <c r="G37" s="93">
        <f t="shared" si="2"/>
        <v>20495</v>
      </c>
      <c r="H37" s="228">
        <f>H36</f>
        <v>0.15284</v>
      </c>
      <c r="I37" s="258">
        <f t="shared" si="3"/>
        <v>3132.4558000000002</v>
      </c>
      <c r="J37" s="74" t="s">
        <v>15</v>
      </c>
      <c r="K37" s="93">
        <v>2732609</v>
      </c>
      <c r="L37" s="228">
        <f>L36</f>
        <v>0.15198999999999999</v>
      </c>
      <c r="M37" s="258">
        <f t="shared" si="4"/>
        <v>415329.24190999998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1011648.33</v>
      </c>
      <c r="D38" s="18"/>
      <c r="F38" s="74" t="s">
        <v>15</v>
      </c>
      <c r="G38" s="93">
        <f t="shared" si="2"/>
        <v>6588074</v>
      </c>
      <c r="H38" s="228">
        <f t="shared" ref="H38:H43" si="5">H37</f>
        <v>0.15284</v>
      </c>
      <c r="I38" s="258">
        <f t="shared" si="3"/>
        <v>1006921.23016</v>
      </c>
      <c r="J38" s="74" t="s">
        <v>16</v>
      </c>
      <c r="K38" s="93">
        <v>828</v>
      </c>
      <c r="L38" s="228">
        <f t="shared" ref="L38:L42" si="6">L37</f>
        <v>0.15198999999999999</v>
      </c>
      <c r="M38" s="258">
        <f t="shared" si="4"/>
        <v>125.84772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8984.9500000000007</v>
      </c>
      <c r="D39" s="18"/>
      <c r="F39" s="74" t="s">
        <v>16</v>
      </c>
      <c r="G39" s="93">
        <f t="shared" si="2"/>
        <v>14942</v>
      </c>
      <c r="H39" s="228">
        <f t="shared" si="5"/>
        <v>0.15284</v>
      </c>
      <c r="I39" s="258">
        <f t="shared" si="3"/>
        <v>2283.7352799999999</v>
      </c>
      <c r="J39" s="74" t="s">
        <v>17</v>
      </c>
      <c r="K39" s="93">
        <f>K26</f>
        <v>0</v>
      </c>
      <c r="L39" s="228">
        <f t="shared" si="6"/>
        <v>0.15198999999999999</v>
      </c>
      <c r="M39" s="258">
        <f t="shared" si="4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765529.58</v>
      </c>
      <c r="D40" s="18"/>
      <c r="F40" s="74" t="s">
        <v>17</v>
      </c>
      <c r="G40" s="93">
        <f t="shared" si="2"/>
        <v>135456</v>
      </c>
      <c r="H40" s="228">
        <f t="shared" si="5"/>
        <v>0.15284</v>
      </c>
      <c r="I40" s="258">
        <f t="shared" si="3"/>
        <v>20703.09504</v>
      </c>
      <c r="J40" s="74" t="s">
        <v>18</v>
      </c>
      <c r="K40" s="93">
        <f>K27</f>
        <v>0</v>
      </c>
      <c r="L40" s="228">
        <f t="shared" si="6"/>
        <v>0.15198999999999999</v>
      </c>
      <c r="M40" s="258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9794240.589999998</v>
      </c>
      <c r="D41" s="18"/>
      <c r="F41" s="74" t="s">
        <v>18</v>
      </c>
      <c r="G41" s="93">
        <f t="shared" si="2"/>
        <v>429840</v>
      </c>
      <c r="H41" s="228">
        <f t="shared" si="5"/>
        <v>0.15284</v>
      </c>
      <c r="I41" s="258">
        <f t="shared" si="3"/>
        <v>65696.745599999995</v>
      </c>
      <c r="J41" s="74" t="s">
        <v>19</v>
      </c>
      <c r="K41" s="93">
        <v>0</v>
      </c>
      <c r="L41" s="228">
        <f t="shared" si="6"/>
        <v>0.15198999999999999</v>
      </c>
      <c r="M41" s="258">
        <f t="shared" si="4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1940486.11-80424.68</f>
        <v>1860061.4300000002</v>
      </c>
      <c r="D42" s="19"/>
      <c r="F42" s="74" t="s">
        <v>19</v>
      </c>
      <c r="G42" s="93">
        <f t="shared" si="2"/>
        <v>0</v>
      </c>
      <c r="H42" s="228">
        <f t="shared" si="5"/>
        <v>0.15284</v>
      </c>
      <c r="I42" s="258">
        <f t="shared" si="3"/>
        <v>0</v>
      </c>
      <c r="J42" s="74" t="s">
        <v>20</v>
      </c>
      <c r="K42" s="93">
        <v>0</v>
      </c>
      <c r="L42" s="228">
        <f t="shared" si="6"/>
        <v>0.15198999999999999</v>
      </c>
      <c r="M42" s="258">
        <f t="shared" si="4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14428.21</v>
      </c>
      <c r="D43" s="18"/>
      <c r="F43" s="74" t="s">
        <v>20</v>
      </c>
      <c r="G43" s="93">
        <f t="shared" si="2"/>
        <v>118162</v>
      </c>
      <c r="H43" s="228">
        <f t="shared" si="5"/>
        <v>0.15284</v>
      </c>
      <c r="I43" s="268">
        <f t="shared" si="3"/>
        <v>18059.880079999999</v>
      </c>
      <c r="J43" s="73" t="s">
        <v>63</v>
      </c>
      <c r="K43" s="256">
        <f>SUM(K36:K42)</f>
        <v>10506934</v>
      </c>
      <c r="L43" s="257"/>
      <c r="M43" s="71">
        <f>SUM(M36:M42)</f>
        <v>1596948.8986599999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24023558</v>
      </c>
      <c r="H44" s="257"/>
      <c r="I44" s="272">
        <f>SUM(I36:I43)</f>
        <v>3671760.6047200002</v>
      </c>
      <c r="J44" s="73"/>
      <c r="K44" s="260">
        <v>10506934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22333.57</v>
      </c>
      <c r="D45" s="20"/>
      <c r="F45" s="64"/>
      <c r="G45" s="260">
        <v>24023558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4072.61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4166.1099999999997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34575.85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7665.89-2381.17</f>
        <v>5284.72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-1147589.76-1409196.46-3551390.78</f>
        <v>-6108177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3655716.2428129981</v>
      </c>
      <c r="I51" s="230">
        <f>I14</f>
        <v>1546347.4592839999</v>
      </c>
      <c r="J51" s="230">
        <f>L12</f>
        <v>2025210.6471869994</v>
      </c>
      <c r="K51" s="230">
        <f>J14</f>
        <v>705177.67071599991</v>
      </c>
      <c r="L51" s="231">
        <f>SUM(H51:K51)</f>
        <v>7932452.0199999968</v>
      </c>
      <c r="M51" s="88"/>
    </row>
    <row r="52" spans="1:20" ht="15.6" customHeight="1" thickBot="1">
      <c r="A52" s="32" t="s">
        <v>53</v>
      </c>
      <c r="B52" s="248"/>
      <c r="C52" s="53">
        <f>SUM(C41:C51)</f>
        <v>5262986.089999998</v>
      </c>
      <c r="D52" s="219"/>
      <c r="F52" s="87" t="s">
        <v>48</v>
      </c>
      <c r="H52" s="229">
        <f>-I44</f>
        <v>-3671760.6047200002</v>
      </c>
      <c r="I52" s="230">
        <f>-I32</f>
        <v>-2249181.8972</v>
      </c>
      <c r="J52" s="230">
        <f>-M43</f>
        <v>-1596948.8986599999</v>
      </c>
      <c r="K52" s="230">
        <f>-M28</f>
        <v>-976619.51530000009</v>
      </c>
      <c r="L52" s="232">
        <f>SUM(H52:K52)</f>
        <v>-8494510.9158800002</v>
      </c>
    </row>
    <row r="53" spans="1:20" ht="15.6" customHeight="1" thickTop="1" thickBot="1">
      <c r="A53" s="286" t="s">
        <v>213</v>
      </c>
      <c r="B53" s="287" t="s">
        <v>214</v>
      </c>
      <c r="C53" s="238">
        <v>426202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-5743.18</v>
      </c>
      <c r="D54" s="18"/>
      <c r="F54" s="1" t="s">
        <v>32</v>
      </c>
      <c r="H54" s="264">
        <f>H51+H52+H53</f>
        <v>-16044.36190700205</v>
      </c>
      <c r="I54" s="264">
        <f>I51+I52+I53</f>
        <v>-702834.43791600014</v>
      </c>
      <c r="J54" s="264">
        <f>J51+J52+J53</f>
        <v>428261.74852699949</v>
      </c>
      <c r="K54" s="264">
        <f>K51+K52+K53</f>
        <v>-271441.84458400018</v>
      </c>
      <c r="L54" s="26">
        <f>SUM(H54:K54)</f>
        <v>-562058.89588000288</v>
      </c>
    </row>
    <row r="55" spans="1:20" ht="15.6" customHeight="1">
      <c r="A55" s="87" t="s">
        <v>206</v>
      </c>
      <c r="B55" s="8" t="s">
        <v>122</v>
      </c>
      <c r="C55" s="238">
        <v>-2518.02</v>
      </c>
      <c r="D55" s="18"/>
      <c r="F55" s="87" t="s">
        <v>90</v>
      </c>
      <c r="H55" s="87" t="s">
        <v>82</v>
      </c>
      <c r="I55" s="2">
        <f>SUM(H54:I54)</f>
        <v>-718878.79982300219</v>
      </c>
      <c r="J55" s="8" t="s">
        <v>83</v>
      </c>
      <c r="K55" s="87">
        <f>SUM(J54:K54)</f>
        <v>156819.90394299931</v>
      </c>
      <c r="L55"/>
    </row>
    <row r="56" spans="1:20" ht="15.6" customHeight="1" thickBot="1">
      <c r="A56" s="1" t="s">
        <v>189</v>
      </c>
      <c r="C56" s="53">
        <f>SUM(C52:C55)</f>
        <v>5680926.8899999987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7932452.0199999986</v>
      </c>
      <c r="D58" s="18"/>
      <c r="F58" s="212"/>
      <c r="G58" s="88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7932452.0199999996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87">
        <f>855+4.99+278.92</f>
        <v>1138.9100000000001</v>
      </c>
      <c r="I62" s="87">
        <f>859.99+278.92</f>
        <v>1138.9100000000001</v>
      </c>
      <c r="J62" s="87" t="s">
        <v>216</v>
      </c>
      <c r="O62" s="2"/>
      <c r="P62" s="213"/>
    </row>
    <row r="63" spans="1:20" ht="15.6" customHeight="1" thickBot="1">
      <c r="C63" s="5"/>
      <c r="D63" s="18"/>
      <c r="H63" s="289" t="e">
        <f>H60+H62</f>
        <v>#REF!</v>
      </c>
      <c r="I63" s="289" t="e">
        <f>I60+I62</f>
        <v>#REF!</v>
      </c>
      <c r="J63" s="87" t="s">
        <v>217</v>
      </c>
      <c r="N63" s="10"/>
      <c r="S63" s="3"/>
    </row>
    <row r="64" spans="1:20" ht="15.6" customHeight="1" thickTop="1">
      <c r="C64" s="5"/>
      <c r="D64" s="23"/>
      <c r="N64" s="10"/>
    </row>
    <row r="65" spans="3:21" ht="15.6" customHeight="1">
      <c r="C65" s="37"/>
      <c r="D65" s="18"/>
      <c r="H65" s="35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 t="s">
        <v>103</v>
      </c>
      <c r="G67" s="88" t="str">
        <f>IF(OR(AND(I55&gt;0,K55&gt;0),AND(I55&lt;0,K55&lt;0)),"OK","ERROR")</f>
        <v>ERROR</v>
      </c>
      <c r="H67" s="87" t="s">
        <v>215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53" priority="36" stopIfTrue="1" operator="equal">
      <formula>0</formula>
    </cfRule>
    <cfRule type="cellIs" dxfId="152" priority="37" stopIfTrue="1" operator="notEqual">
      <formula>0</formula>
    </cfRule>
  </conditionalFormatting>
  <conditionalFormatting sqref="K46">
    <cfRule type="cellIs" dxfId="151" priority="35" operator="notEqual">
      <formula>0</formula>
    </cfRule>
  </conditionalFormatting>
  <conditionalFormatting sqref="C61">
    <cfRule type="cellIs" dxfId="150" priority="33" stopIfTrue="1" operator="equal">
      <formula>0</formula>
    </cfRule>
    <cfRule type="cellIs" dxfId="149" priority="34" stopIfTrue="1" operator="notEqual">
      <formula>0</formula>
    </cfRule>
  </conditionalFormatting>
  <conditionalFormatting sqref="G58">
    <cfRule type="cellIs" dxfId="148" priority="32" operator="equal">
      <formula>"ERROR"</formula>
    </cfRule>
  </conditionalFormatting>
  <conditionalFormatting sqref="G58">
    <cfRule type="cellIs" dxfId="147" priority="31" operator="equal">
      <formula>"ERROR"</formula>
    </cfRule>
  </conditionalFormatting>
  <conditionalFormatting sqref="H15">
    <cfRule type="cellIs" dxfId="146" priority="29" stopIfTrue="1" operator="equal">
      <formula>0</formula>
    </cfRule>
    <cfRule type="cellIs" dxfId="145" priority="30" stopIfTrue="1" operator="notEqual">
      <formula>0</formula>
    </cfRule>
  </conditionalFormatting>
  <conditionalFormatting sqref="H15">
    <cfRule type="cellIs" dxfId="144" priority="27" stopIfTrue="1" operator="equal">
      <formula>0</formula>
    </cfRule>
    <cfRule type="cellIs" dxfId="143" priority="28" stopIfTrue="1" operator="notEqual">
      <formula>0</formula>
    </cfRule>
  </conditionalFormatting>
  <conditionalFormatting sqref="J15">
    <cfRule type="cellIs" dxfId="142" priority="25" stopIfTrue="1" operator="equal">
      <formula>0</formula>
    </cfRule>
    <cfRule type="cellIs" dxfId="141" priority="26" stopIfTrue="1" operator="notEqual">
      <formula>0</formula>
    </cfRule>
  </conditionalFormatting>
  <conditionalFormatting sqref="J15">
    <cfRule type="cellIs" dxfId="140" priority="23" stopIfTrue="1" operator="equal">
      <formula>0</formula>
    </cfRule>
    <cfRule type="cellIs" dxfId="139" priority="24" stopIfTrue="1" operator="notEqual">
      <formula>0</formula>
    </cfRule>
  </conditionalFormatting>
  <conditionalFormatting sqref="L15">
    <cfRule type="cellIs" dxfId="138" priority="21" stopIfTrue="1" operator="equal">
      <formula>0</formula>
    </cfRule>
    <cfRule type="cellIs" dxfId="137" priority="22" stopIfTrue="1" operator="notEqual">
      <formula>0</formula>
    </cfRule>
  </conditionalFormatting>
  <conditionalFormatting sqref="L15">
    <cfRule type="cellIs" dxfId="136" priority="19" stopIfTrue="1" operator="equal">
      <formula>0</formula>
    </cfRule>
    <cfRule type="cellIs" dxfId="135" priority="20" stopIfTrue="1" operator="notEqual">
      <formula>0</formula>
    </cfRule>
  </conditionalFormatting>
  <conditionalFormatting sqref="G34">
    <cfRule type="cellIs" dxfId="134" priority="17" stopIfTrue="1" operator="equal">
      <formula>0</formula>
    </cfRule>
    <cfRule type="cellIs" dxfId="133" priority="18" stopIfTrue="1" operator="notEqual">
      <formula>0</formula>
    </cfRule>
  </conditionalFormatting>
  <conditionalFormatting sqref="G34">
    <cfRule type="cellIs" dxfId="132" priority="15" stopIfTrue="1" operator="equal">
      <formula>0</formula>
    </cfRule>
    <cfRule type="cellIs" dxfId="131" priority="16" stopIfTrue="1" operator="notEqual">
      <formula>0</formula>
    </cfRule>
  </conditionalFormatting>
  <conditionalFormatting sqref="G46">
    <cfRule type="cellIs" dxfId="130" priority="13" stopIfTrue="1" operator="equal">
      <formula>0</formula>
    </cfRule>
    <cfRule type="cellIs" dxfId="129" priority="14" stopIfTrue="1" operator="notEqual">
      <formula>0</formula>
    </cfRule>
  </conditionalFormatting>
  <conditionalFormatting sqref="G46">
    <cfRule type="cellIs" dxfId="128" priority="11" stopIfTrue="1" operator="equal">
      <formula>0</formula>
    </cfRule>
    <cfRule type="cellIs" dxfId="127" priority="12" stopIfTrue="1" operator="notEqual">
      <formula>0</formula>
    </cfRule>
  </conditionalFormatting>
  <conditionalFormatting sqref="K30">
    <cfRule type="cellIs" dxfId="126" priority="9" stopIfTrue="1" operator="equal">
      <formula>0</formula>
    </cfRule>
    <cfRule type="cellIs" dxfId="125" priority="10" stopIfTrue="1" operator="notEqual">
      <formula>0</formula>
    </cfRule>
  </conditionalFormatting>
  <conditionalFormatting sqref="K30">
    <cfRule type="cellIs" dxfId="124" priority="7" stopIfTrue="1" operator="equal">
      <formula>0</formula>
    </cfRule>
    <cfRule type="cellIs" dxfId="123" priority="8" stopIfTrue="1" operator="notEqual">
      <formula>0</formula>
    </cfRule>
  </conditionalFormatting>
  <conditionalFormatting sqref="K45">
    <cfRule type="cellIs" dxfId="122" priority="5" stopIfTrue="1" operator="equal">
      <formula>0</formula>
    </cfRule>
    <cfRule type="cellIs" dxfId="121" priority="6" stopIfTrue="1" operator="notEqual">
      <formula>0</formula>
    </cfRule>
  </conditionalFormatting>
  <conditionalFormatting sqref="K45">
    <cfRule type="cellIs" dxfId="120" priority="3" stopIfTrue="1" operator="equal">
      <formula>0</formula>
    </cfRule>
    <cfRule type="cellIs" dxfId="119" priority="4" stopIfTrue="1" operator="notEqual">
      <formula>0</formula>
    </cfRule>
  </conditionalFormatting>
  <conditionalFormatting sqref="G67">
    <cfRule type="cellIs" dxfId="118" priority="2" operator="equal">
      <formula>"ERROR"</formula>
    </cfRule>
  </conditionalFormatting>
  <conditionalFormatting sqref="G67">
    <cfRule type="cellIs" dxfId="117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21875" style="87" bestFit="1" customWidth="1"/>
    <col min="2" max="2" width="30.7773437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202004</v>
      </c>
      <c r="F1" s="92">
        <f>C1</f>
        <v>202004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3504905.29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f>23175.23-97.75</f>
        <v>23077.48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0.64929999999999999</v>
      </c>
      <c r="L5" s="249">
        <f>1-K5</f>
        <v>0.35070000000000001</v>
      </c>
      <c r="M5" s="88"/>
    </row>
    <row r="6" spans="1:13" ht="15.6" customHeight="1" thickBot="1">
      <c r="A6" s="27" t="s">
        <v>7</v>
      </c>
      <c r="C6" s="239">
        <f>-1432982.84-408723-116778-139549.71-94076.36</f>
        <v>-2192109.91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1335872.8599999999</v>
      </c>
      <c r="D7" s="17"/>
      <c r="F7" s="58" t="s">
        <v>187</v>
      </c>
      <c r="G7" s="58"/>
      <c r="H7" s="40">
        <f>C32</f>
        <v>2208501.87</v>
      </c>
      <c r="I7" s="59">
        <f>H7*I5</f>
        <v>1516799.0843160001</v>
      </c>
      <c r="J7" s="59">
        <f>H7*J5</f>
        <v>691702.785684</v>
      </c>
      <c r="K7" s="59"/>
      <c r="L7" s="59"/>
      <c r="M7" s="88"/>
    </row>
    <row r="8" spans="1:13" ht="15.6" customHeight="1">
      <c r="A8" s="87" t="s">
        <v>39</v>
      </c>
      <c r="C8" s="238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6297.17</v>
      </c>
      <c r="D9" s="18"/>
      <c r="F9" s="58" t="s">
        <v>53</v>
      </c>
      <c r="G9" s="88"/>
      <c r="H9" s="250">
        <f>C52</f>
        <v>2475800.3400000026</v>
      </c>
      <c r="I9" s="59"/>
      <c r="J9" s="59"/>
      <c r="K9" s="252">
        <f>H9*K5</f>
        <v>1607537.1607620018</v>
      </c>
      <c r="L9" s="252">
        <f>H9*L5</f>
        <v>868263.179238001</v>
      </c>
      <c r="M9" s="88"/>
    </row>
    <row r="10" spans="1:13" ht="15.6" customHeight="1">
      <c r="A10" s="27" t="s">
        <v>41</v>
      </c>
      <c r="C10" s="239">
        <v>-2756.43</v>
      </c>
      <c r="D10" s="18"/>
      <c r="F10" s="61" t="s">
        <v>21</v>
      </c>
      <c r="G10" s="88"/>
      <c r="H10" s="250">
        <f>C54</f>
        <v>3266.46</v>
      </c>
      <c r="I10" s="59"/>
      <c r="J10" s="59"/>
      <c r="K10" s="252">
        <f>H10</f>
        <v>3266.46</v>
      </c>
      <c r="L10" s="252"/>
      <c r="M10" s="88"/>
    </row>
    <row r="11" spans="1:13" ht="15.6" customHeight="1">
      <c r="A11" s="30" t="s">
        <v>70</v>
      </c>
      <c r="C11" s="237">
        <f>SUM(C8:C10)</f>
        <v>157957.76000000001</v>
      </c>
      <c r="D11" s="18"/>
      <c r="F11" s="61" t="s">
        <v>22</v>
      </c>
      <c r="G11" s="88"/>
      <c r="H11" s="251">
        <f>C55+C53</f>
        <v>1205.6099999999999</v>
      </c>
      <c r="I11" s="59"/>
      <c r="J11" s="59"/>
      <c r="K11" s="253"/>
      <c r="L11" s="253">
        <f>H11</f>
        <v>1205.6099999999999</v>
      </c>
      <c r="M11" s="88"/>
    </row>
    <row r="12" spans="1:13" ht="15.6" customHeight="1">
      <c r="A12" s="87" t="s">
        <v>126</v>
      </c>
      <c r="C12" s="238">
        <f>-1711.73+199146.29</f>
        <v>197434.56</v>
      </c>
      <c r="D12" s="18"/>
      <c r="F12" s="61" t="s">
        <v>68</v>
      </c>
      <c r="G12" s="88"/>
      <c r="H12" s="236">
        <f>H9+H10+H11</f>
        <v>2480272.4100000025</v>
      </c>
      <c r="I12" s="59"/>
      <c r="J12" s="59"/>
      <c r="K12" s="59">
        <f>SUM(K9:K11)</f>
        <v>1610803.6207620017</v>
      </c>
      <c r="L12" s="59">
        <f>SUM(L9:L11)</f>
        <v>869468.78923800099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197434.56</v>
      </c>
      <c r="D14" s="19"/>
      <c r="F14" s="88" t="s">
        <v>30</v>
      </c>
      <c r="G14" s="58"/>
      <c r="H14" s="40">
        <f>H12+H7</f>
        <v>4688774.2800000031</v>
      </c>
      <c r="I14" s="223">
        <f>SUM(I7:I13)</f>
        <v>1516799.0843160001</v>
      </c>
      <c r="J14" s="223">
        <f>SUM(J7:J13)</f>
        <v>691702.785684</v>
      </c>
      <c r="K14" s="223">
        <f>K12</f>
        <v>1610803.6207620017</v>
      </c>
      <c r="L14" s="223">
        <f>L12</f>
        <v>869468.78923800099</v>
      </c>
      <c r="M14" s="88"/>
    </row>
    <row r="15" spans="1:13" ht="15.6" customHeight="1">
      <c r="A15" s="87" t="s">
        <v>92</v>
      </c>
      <c r="C15" s="238">
        <f>-3714.13+432111.14</f>
        <v>428397.01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428397.01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14366+94197.05+5835.43</f>
        <v>114398.48000000001</v>
      </c>
      <c r="D18" s="18"/>
      <c r="F18" s="300" t="s">
        <v>64</v>
      </c>
      <c r="G18" s="301"/>
      <c r="H18" s="301"/>
      <c r="I18" s="302"/>
      <c r="J18" s="300" t="s">
        <v>65</v>
      </c>
      <c r="K18" s="301"/>
      <c r="L18" s="301"/>
      <c r="M18" s="302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1" t="s">
        <v>10</v>
      </c>
    </row>
    <row r="20" spans="1:13" ht="15.6" customHeight="1" thickBot="1">
      <c r="A20" s="31" t="s">
        <v>129</v>
      </c>
      <c r="C20" s="237">
        <f>SUM(C18:C19)</f>
        <v>114398.48000000001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1965.85+1850</f>
        <v>3815.85</v>
      </c>
      <c r="D21" s="18"/>
      <c r="F21" s="51"/>
      <c r="G21" s="290"/>
      <c r="H21" s="290"/>
      <c r="I21" s="291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3815.85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8669321</v>
      </c>
      <c r="H23" s="228">
        <v>9.6509999999999999E-2</v>
      </c>
      <c r="I23" s="258">
        <f t="shared" ref="I23:I31" si="0">G23*H23</f>
        <v>836676.16971000005</v>
      </c>
      <c r="J23" s="74" t="s">
        <v>14</v>
      </c>
      <c r="K23" s="93">
        <v>5024136</v>
      </c>
      <c r="L23" s="228">
        <v>9.2950000000000005E-2</v>
      </c>
      <c r="M23" s="258">
        <f>K23*L23</f>
        <v>466993.4412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11194</v>
      </c>
      <c r="H24" s="228">
        <v>9.6509999999999999E-2</v>
      </c>
      <c r="I24" s="258">
        <f t="shared" si="0"/>
        <v>1080.33294</v>
      </c>
      <c r="J24" s="74" t="s">
        <v>15</v>
      </c>
      <c r="K24" s="93">
        <v>1669164</v>
      </c>
      <c r="L24" s="228">
        <f>L23</f>
        <v>9.2950000000000005E-2</v>
      </c>
      <c r="M24" s="258">
        <f>K24*L24</f>
        <v>155148.79380000001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3389688</v>
      </c>
      <c r="H25" s="228">
        <v>8.727E-2</v>
      </c>
      <c r="I25" s="258">
        <f t="shared" si="0"/>
        <v>295818.07176000002</v>
      </c>
      <c r="J25" s="74" t="s">
        <v>16</v>
      </c>
      <c r="K25" s="93">
        <v>11671</v>
      </c>
      <c r="L25" s="228">
        <f t="shared" ref="L25" si="1">L24</f>
        <v>9.2950000000000005E-2</v>
      </c>
      <c r="M25" s="258">
        <f>K25*L25</f>
        <v>1084.81945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57592</v>
      </c>
      <c r="H26" s="228">
        <v>8.727E-2</v>
      </c>
      <c r="I26" s="258">
        <f t="shared" si="0"/>
        <v>5026.0538399999996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-28206</v>
      </c>
      <c r="H27" s="228">
        <v>8.727E-2</v>
      </c>
      <c r="I27" s="258">
        <f t="shared" si="0"/>
        <v>-2461.5376200000001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215308</v>
      </c>
      <c r="H28" s="228">
        <v>8.727E-2</v>
      </c>
      <c r="I28" s="258">
        <f t="shared" si="0"/>
        <v>18789.92916</v>
      </c>
      <c r="J28" s="73" t="s">
        <v>58</v>
      </c>
      <c r="K28" s="256">
        <f>SUM(K23:K27)</f>
        <v>6704971</v>
      </c>
      <c r="L28" s="257"/>
      <c r="M28" s="71">
        <f>SUM(M23:M27)</f>
        <v>623227.05444999994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6704971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2237876.52</v>
      </c>
      <c r="D30" s="19"/>
      <c r="F30" s="74" t="s">
        <v>20</v>
      </c>
      <c r="G30" s="93">
        <v>99236</v>
      </c>
      <c r="H30" s="228">
        <v>5.5910000000000001E-2</v>
      </c>
      <c r="I30" s="258">
        <f t="shared" si="0"/>
        <v>5548.2847600000005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-29374.65</v>
      </c>
      <c r="D31" s="20"/>
      <c r="F31" s="74" t="s">
        <v>35</v>
      </c>
      <c r="G31" s="93">
        <v>2512230</v>
      </c>
      <c r="H31" s="228">
        <v>5.4000000000000001E-4</v>
      </c>
      <c r="I31" s="258">
        <f t="shared" si="0"/>
        <v>1356.6042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2208501.87</v>
      </c>
      <c r="D32" s="21"/>
      <c r="F32" s="73" t="s">
        <v>58</v>
      </c>
      <c r="G32" s="256">
        <f>SUM(G23:G31)</f>
        <v>14926363</v>
      </c>
      <c r="H32" s="6"/>
      <c r="I32" s="71">
        <f>SUM(I23:I31)</f>
        <v>1161833.9087499999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14926363</v>
      </c>
      <c r="H33" s="65"/>
      <c r="I33" s="259">
        <f>I32/G32</f>
        <v>7.7837709611510847E-2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8142563.4500000002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8669321</v>
      </c>
      <c r="H36" s="228">
        <v>0.15284</v>
      </c>
      <c r="I36" s="258">
        <f t="shared" ref="I36:I43" si="2">G36*H36</f>
        <v>1325019.0216399999</v>
      </c>
      <c r="J36" s="74" t="s">
        <v>14</v>
      </c>
      <c r="K36" s="93">
        <v>5024136</v>
      </c>
      <c r="L36" s="228">
        <v>0.15198999999999999</v>
      </c>
      <c r="M36" s="258">
        <f t="shared" ref="M36:M42" si="3">K36*L36</f>
        <v>763618.43063999992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-9512.27</v>
      </c>
      <c r="D37" s="18"/>
      <c r="F37" s="74" t="s">
        <v>105</v>
      </c>
      <c r="G37" s="93">
        <v>11194</v>
      </c>
      <c r="H37" s="228">
        <f>H36</f>
        <v>0.15284</v>
      </c>
      <c r="I37" s="258">
        <f t="shared" si="2"/>
        <v>1710.89096</v>
      </c>
      <c r="J37" s="74" t="s">
        <v>15</v>
      </c>
      <c r="K37" s="93">
        <v>1669164</v>
      </c>
      <c r="L37" s="228">
        <f>L36</f>
        <v>0.15198999999999999</v>
      </c>
      <c r="M37" s="258">
        <f t="shared" si="3"/>
        <v>253696.23635999998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181696.44</v>
      </c>
      <c r="D38" s="18"/>
      <c r="F38" s="74" t="s">
        <v>15</v>
      </c>
      <c r="G38" s="93">
        <v>3389688</v>
      </c>
      <c r="H38" s="228">
        <f t="shared" ref="H38:H43" si="4">H37</f>
        <v>0.15284</v>
      </c>
      <c r="I38" s="258">
        <f t="shared" si="2"/>
        <v>518079.91392000002</v>
      </c>
      <c r="J38" s="74" t="s">
        <v>16</v>
      </c>
      <c r="K38" s="93">
        <v>11671</v>
      </c>
      <c r="L38" s="228">
        <f t="shared" ref="L38:L42" si="5">L37</f>
        <v>0.15198999999999999</v>
      </c>
      <c r="M38" s="258">
        <f t="shared" si="3"/>
        <v>1773.8752899999999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-84719.4</v>
      </c>
      <c r="D39" s="18"/>
      <c r="F39" s="74" t="s">
        <v>16</v>
      </c>
      <c r="G39" s="93">
        <v>57592</v>
      </c>
      <c r="H39" s="228">
        <f t="shared" si="4"/>
        <v>0.15284</v>
      </c>
      <c r="I39" s="258">
        <f t="shared" si="2"/>
        <v>8802.361280000001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1002844.98</v>
      </c>
      <c r="D40" s="18"/>
      <c r="F40" s="74" t="s">
        <v>17</v>
      </c>
      <c r="G40" s="93">
        <v>-28206</v>
      </c>
      <c r="H40" s="228">
        <f t="shared" si="4"/>
        <v>0.15284</v>
      </c>
      <c r="I40" s="258">
        <f t="shared" si="2"/>
        <v>-4311.00504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9232873.2000000011</v>
      </c>
      <c r="D41" s="18"/>
      <c r="F41" s="74" t="s">
        <v>18</v>
      </c>
      <c r="G41" s="93">
        <v>215308</v>
      </c>
      <c r="H41" s="228">
        <f t="shared" si="4"/>
        <v>0.15284</v>
      </c>
      <c r="I41" s="258">
        <f t="shared" si="2"/>
        <v>32907.674720000003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v>-1237411.94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/>
      <c r="D43" s="18"/>
      <c r="F43" s="74" t="s">
        <v>20</v>
      </c>
      <c r="G43" s="93">
        <v>99236</v>
      </c>
      <c r="H43" s="228">
        <f t="shared" si="4"/>
        <v>0.15284</v>
      </c>
      <c r="I43" s="268">
        <f t="shared" si="2"/>
        <v>15167.230240000001</v>
      </c>
      <c r="J43" s="73" t="s">
        <v>63</v>
      </c>
      <c r="K43" s="256">
        <f>SUM(K36:K42)</f>
        <v>6704971</v>
      </c>
      <c r="L43" s="257"/>
      <c r="M43" s="71">
        <f>SUM(M36:M42)</f>
        <v>1019088.5422899999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12414133</v>
      </c>
      <c r="H44" s="257"/>
      <c r="I44" s="272">
        <f>SUM(I36:I43)</f>
        <v>1897376.08772</v>
      </c>
      <c r="J44" s="73"/>
      <c r="K44" s="260">
        <v>6704971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28331.96</v>
      </c>
      <c r="D45" s="20"/>
      <c r="F45" s="64"/>
      <c r="G45" s="260">
        <v>12414133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9320.98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4902.74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29374.65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7665.61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v>-5231256.8600000003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1610803.6207620017</v>
      </c>
      <c r="I51" s="230">
        <f>I14</f>
        <v>1516799.0843160001</v>
      </c>
      <c r="J51" s="230">
        <f>L12</f>
        <v>869468.78923800099</v>
      </c>
      <c r="K51" s="230">
        <f>J14</f>
        <v>691702.785684</v>
      </c>
      <c r="L51" s="231">
        <f>SUM(H51:K51)</f>
        <v>4688774.2800000031</v>
      </c>
      <c r="M51" s="88"/>
    </row>
    <row r="52" spans="1:20" ht="15.6" customHeight="1" thickBot="1">
      <c r="A52" s="32" t="s">
        <v>53</v>
      </c>
      <c r="B52" s="248"/>
      <c r="C52" s="53">
        <f>SUM(C41:C51)</f>
        <v>2475800.3400000026</v>
      </c>
      <c r="D52" s="219"/>
      <c r="F52" s="87" t="s">
        <v>48</v>
      </c>
      <c r="H52" s="229">
        <f>-I44</f>
        <v>-1897376.08772</v>
      </c>
      <c r="I52" s="230">
        <f>-I32</f>
        <v>-1161833.9087499999</v>
      </c>
      <c r="J52" s="230">
        <f>-M43</f>
        <v>-1019088.5422899999</v>
      </c>
      <c r="K52" s="230">
        <f>-M28</f>
        <v>-623227.05444999994</v>
      </c>
      <c r="L52" s="232">
        <f>SUM(H52:K52)</f>
        <v>-4701525.5932099996</v>
      </c>
    </row>
    <row r="53" spans="1:20" ht="15.6" customHeight="1" thickTop="1" thickBot="1">
      <c r="A53" s="88" t="s">
        <v>213</v>
      </c>
      <c r="B53" s="30" t="s">
        <v>214</v>
      </c>
      <c r="C53" s="238"/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3266.46</v>
      </c>
      <c r="D54" s="18"/>
      <c r="F54" s="1" t="s">
        <v>32</v>
      </c>
      <c r="H54" s="264">
        <f>H51+H52+H53</f>
        <v>-286572.46695799823</v>
      </c>
      <c r="I54" s="264">
        <f>I51+I52+I53</f>
        <v>354965.17556600017</v>
      </c>
      <c r="J54" s="264">
        <f>J51+J52+J53</f>
        <v>-149619.75305199891</v>
      </c>
      <c r="K54" s="264">
        <f>K51+K52+K53</f>
        <v>68475.731234000064</v>
      </c>
      <c r="L54" s="26">
        <f>SUM(H54:K54)</f>
        <v>-12751.313209996908</v>
      </c>
    </row>
    <row r="55" spans="1:20" ht="15.6" customHeight="1">
      <c r="A55" s="87" t="s">
        <v>206</v>
      </c>
      <c r="B55" s="8" t="s">
        <v>122</v>
      </c>
      <c r="C55" s="238">
        <v>1205.6099999999999</v>
      </c>
      <c r="D55" s="18"/>
      <c r="F55" s="87" t="s">
        <v>90</v>
      </c>
      <c r="H55" s="87" t="s">
        <v>82</v>
      </c>
      <c r="I55" s="2">
        <f>SUM(H54:I54)</f>
        <v>68392.708608001936</v>
      </c>
      <c r="J55" s="8" t="s">
        <v>83</v>
      </c>
      <c r="K55" s="87">
        <f>SUM(J54:K54)</f>
        <v>-81144.021817998844</v>
      </c>
      <c r="L55"/>
    </row>
    <row r="56" spans="1:20" ht="15.6" customHeight="1" thickBot="1">
      <c r="A56" s="1" t="s">
        <v>189</v>
      </c>
      <c r="C56" s="53">
        <f>SUM(C52:C55)</f>
        <v>2480272.4100000025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4688774.2800000031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4688774.28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ERROR</v>
      </c>
      <c r="I67" s="87" t="s">
        <v>218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16" priority="42" stopIfTrue="1" operator="equal">
      <formula>0</formula>
    </cfRule>
    <cfRule type="cellIs" dxfId="115" priority="43" stopIfTrue="1" operator="notEqual">
      <formula>0</formula>
    </cfRule>
  </conditionalFormatting>
  <conditionalFormatting sqref="K46">
    <cfRule type="cellIs" dxfId="114" priority="41" operator="notEqual">
      <formula>0</formula>
    </cfRule>
  </conditionalFormatting>
  <conditionalFormatting sqref="C61">
    <cfRule type="cellIs" dxfId="113" priority="39" stopIfTrue="1" operator="equal">
      <formula>0</formula>
    </cfRule>
    <cfRule type="cellIs" dxfId="112" priority="40" stopIfTrue="1" operator="notEqual">
      <formula>0</formula>
    </cfRule>
  </conditionalFormatting>
  <conditionalFormatting sqref="H15">
    <cfRule type="cellIs" dxfId="111" priority="35" stopIfTrue="1" operator="equal">
      <formula>0</formula>
    </cfRule>
    <cfRule type="cellIs" dxfId="110" priority="36" stopIfTrue="1" operator="notEqual">
      <formula>0</formula>
    </cfRule>
  </conditionalFormatting>
  <conditionalFormatting sqref="H15">
    <cfRule type="cellIs" dxfId="109" priority="33" stopIfTrue="1" operator="equal">
      <formula>0</formula>
    </cfRule>
    <cfRule type="cellIs" dxfId="108" priority="34" stopIfTrue="1" operator="notEqual">
      <formula>0</formula>
    </cfRule>
  </conditionalFormatting>
  <conditionalFormatting sqref="J15">
    <cfRule type="cellIs" dxfId="107" priority="31" stopIfTrue="1" operator="equal">
      <formula>0</formula>
    </cfRule>
    <cfRule type="cellIs" dxfId="106" priority="32" stopIfTrue="1" operator="notEqual">
      <formula>0</formula>
    </cfRule>
  </conditionalFormatting>
  <conditionalFormatting sqref="J15">
    <cfRule type="cellIs" dxfId="105" priority="29" stopIfTrue="1" operator="equal">
      <formula>0</formula>
    </cfRule>
    <cfRule type="cellIs" dxfId="104" priority="30" stopIfTrue="1" operator="notEqual">
      <formula>0</formula>
    </cfRule>
  </conditionalFormatting>
  <conditionalFormatting sqref="L15">
    <cfRule type="cellIs" dxfId="103" priority="27" stopIfTrue="1" operator="equal">
      <formula>0</formula>
    </cfRule>
    <cfRule type="cellIs" dxfId="102" priority="28" stopIfTrue="1" operator="notEqual">
      <formula>0</formula>
    </cfRule>
  </conditionalFormatting>
  <conditionalFormatting sqref="L15">
    <cfRule type="cellIs" dxfId="101" priority="25" stopIfTrue="1" operator="equal">
      <formula>0</formula>
    </cfRule>
    <cfRule type="cellIs" dxfId="100" priority="26" stopIfTrue="1" operator="notEqual">
      <formula>0</formula>
    </cfRule>
  </conditionalFormatting>
  <conditionalFormatting sqref="G34">
    <cfRule type="cellIs" dxfId="99" priority="23" stopIfTrue="1" operator="equal">
      <formula>0</formula>
    </cfRule>
    <cfRule type="cellIs" dxfId="98" priority="24" stopIfTrue="1" operator="notEqual">
      <formula>0</formula>
    </cfRule>
  </conditionalFormatting>
  <conditionalFormatting sqref="G34">
    <cfRule type="cellIs" dxfId="97" priority="21" stopIfTrue="1" operator="equal">
      <formula>0</formula>
    </cfRule>
    <cfRule type="cellIs" dxfId="96" priority="22" stopIfTrue="1" operator="notEqual">
      <formula>0</formula>
    </cfRule>
  </conditionalFormatting>
  <conditionalFormatting sqref="G46">
    <cfRule type="cellIs" dxfId="95" priority="19" stopIfTrue="1" operator="equal">
      <formula>0</formula>
    </cfRule>
    <cfRule type="cellIs" dxfId="94" priority="20" stopIfTrue="1" operator="notEqual">
      <formula>0</formula>
    </cfRule>
  </conditionalFormatting>
  <conditionalFormatting sqref="G46">
    <cfRule type="cellIs" dxfId="93" priority="17" stopIfTrue="1" operator="equal">
      <formula>0</formula>
    </cfRule>
    <cfRule type="cellIs" dxfId="92" priority="18" stopIfTrue="1" operator="notEqual">
      <formula>0</formula>
    </cfRule>
  </conditionalFormatting>
  <conditionalFormatting sqref="K30">
    <cfRule type="cellIs" dxfId="91" priority="15" stopIfTrue="1" operator="equal">
      <formula>0</formula>
    </cfRule>
    <cfRule type="cellIs" dxfId="90" priority="16" stopIfTrue="1" operator="notEqual">
      <formula>0</formula>
    </cfRule>
  </conditionalFormatting>
  <conditionalFormatting sqref="K30">
    <cfRule type="cellIs" dxfId="89" priority="13" stopIfTrue="1" operator="equal">
      <formula>0</formula>
    </cfRule>
    <cfRule type="cellIs" dxfId="88" priority="14" stopIfTrue="1" operator="notEqual">
      <formula>0</formula>
    </cfRule>
  </conditionalFormatting>
  <conditionalFormatting sqref="K45">
    <cfRule type="cellIs" dxfId="87" priority="11" stopIfTrue="1" operator="equal">
      <formula>0</formula>
    </cfRule>
    <cfRule type="cellIs" dxfId="86" priority="12" stopIfTrue="1" operator="notEqual">
      <formula>0</formula>
    </cfRule>
  </conditionalFormatting>
  <conditionalFormatting sqref="K45">
    <cfRule type="cellIs" dxfId="85" priority="9" stopIfTrue="1" operator="equal">
      <formula>0</formula>
    </cfRule>
    <cfRule type="cellIs" dxfId="84" priority="10" stopIfTrue="1" operator="notEqual">
      <formula>0</formula>
    </cfRule>
  </conditionalFormatting>
  <conditionalFormatting sqref="G58">
    <cfRule type="cellIs" dxfId="83" priority="6" operator="equal">
      <formula>"ERROR"</formula>
    </cfRule>
  </conditionalFormatting>
  <conditionalFormatting sqref="G58">
    <cfRule type="cellIs" dxfId="82" priority="5" operator="equal">
      <formula>"ERROR"</formula>
    </cfRule>
  </conditionalFormatting>
  <conditionalFormatting sqref="G65">
    <cfRule type="cellIs" dxfId="81" priority="4" operator="equal">
      <formula>"ERROR"</formula>
    </cfRule>
  </conditionalFormatting>
  <conditionalFormatting sqref="G65">
    <cfRule type="cellIs" dxfId="80" priority="3" operator="equal">
      <formula>"ERROR"</formula>
    </cfRule>
  </conditionalFormatting>
  <conditionalFormatting sqref="H67">
    <cfRule type="cellIs" dxfId="79" priority="2" operator="equal">
      <formula>"ERROR"</formula>
    </cfRule>
  </conditionalFormatting>
  <conditionalFormatting sqref="H67">
    <cfRule type="cellIs" dxfId="78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21875" style="87" bestFit="1" customWidth="1"/>
    <col min="2" max="2" width="30.7773437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202005</v>
      </c>
      <c r="F1" s="92">
        <f>C1</f>
        <v>202005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26555.11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0.66820000000000002</v>
      </c>
      <c r="L5" s="249">
        <f>1-K5</f>
        <v>0.33179999999999998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1383110.3399999999</v>
      </c>
      <c r="D7" s="17"/>
      <c r="F7" s="58" t="s">
        <v>187</v>
      </c>
      <c r="G7" s="58"/>
      <c r="H7" s="40">
        <f>C32</f>
        <v>2255483.0799999996</v>
      </c>
      <c r="I7" s="59">
        <f>H7*I5</f>
        <v>1549065.7793439997</v>
      </c>
      <c r="J7" s="59">
        <f>H7*J5</f>
        <v>706417.3006559998</v>
      </c>
      <c r="K7" s="59"/>
      <c r="L7" s="59"/>
      <c r="M7" s="88"/>
    </row>
    <row r="8" spans="1:13" ht="15.6" customHeight="1">
      <c r="A8" s="87" t="s">
        <v>219</v>
      </c>
      <c r="C8" s="238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4546.21</v>
      </c>
      <c r="D9" s="18"/>
      <c r="F9" s="58" t="s">
        <v>53</v>
      </c>
      <c r="G9" s="88"/>
      <c r="H9" s="250">
        <f>C52</f>
        <v>1269023.2100000004</v>
      </c>
      <c r="I9" s="59"/>
      <c r="J9" s="59"/>
      <c r="K9" s="252">
        <f>H9*K5</f>
        <v>847961.30892200035</v>
      </c>
      <c r="L9" s="252">
        <f>H9*L5</f>
        <v>421061.90107800014</v>
      </c>
      <c r="M9" s="88"/>
    </row>
    <row r="10" spans="1:13" ht="15.6" customHeight="1">
      <c r="A10" s="27" t="s">
        <v>221</v>
      </c>
      <c r="C10" s="239">
        <v>-2848.33</v>
      </c>
      <c r="D10" s="18"/>
      <c r="F10" s="61" t="s">
        <v>21</v>
      </c>
      <c r="G10" s="88"/>
      <c r="H10" s="250">
        <f>C54</f>
        <v>49101.279999999999</v>
      </c>
      <c r="I10" s="59"/>
      <c r="J10" s="59"/>
      <c r="K10" s="252">
        <f>H10</f>
        <v>49101.279999999999</v>
      </c>
      <c r="L10" s="252"/>
      <c r="M10" s="88"/>
    </row>
    <row r="11" spans="1:13" ht="15.6" customHeight="1">
      <c r="A11" s="30" t="s">
        <v>70</v>
      </c>
      <c r="C11" s="237">
        <f>SUM(C8:C10)</f>
        <v>161262.16</v>
      </c>
      <c r="D11" s="18"/>
      <c r="F11" s="61" t="s">
        <v>22</v>
      </c>
      <c r="G11" s="88"/>
      <c r="H11" s="251">
        <f>C55+C53</f>
        <v>24331.65</v>
      </c>
      <c r="I11" s="59"/>
      <c r="J11" s="59"/>
      <c r="K11" s="253"/>
      <c r="L11" s="253">
        <f>H11</f>
        <v>24331.65</v>
      </c>
      <c r="M11" s="88"/>
    </row>
    <row r="12" spans="1:13" ht="15.6" customHeight="1">
      <c r="A12" s="87" t="s">
        <v>126</v>
      </c>
      <c r="C12" s="238">
        <f>201308.8-502.1</f>
        <v>200806.69999999998</v>
      </c>
      <c r="D12" s="18"/>
      <c r="F12" s="61" t="s">
        <v>68</v>
      </c>
      <c r="G12" s="88"/>
      <c r="H12" s="236">
        <f>H9+H10+H11</f>
        <v>1342456.1400000004</v>
      </c>
      <c r="I12" s="59"/>
      <c r="J12" s="59"/>
      <c r="K12" s="59">
        <f>SUM(K9:K11)</f>
        <v>897062.58892200037</v>
      </c>
      <c r="L12" s="59">
        <f>SUM(L9:L11)</f>
        <v>445393.55107800016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200806.69999999998</v>
      </c>
      <c r="D14" s="19"/>
      <c r="F14" s="88" t="s">
        <v>30</v>
      </c>
      <c r="G14" s="58"/>
      <c r="H14" s="40">
        <f>H12+H7</f>
        <v>3597939.2199999997</v>
      </c>
      <c r="I14" s="223">
        <f>SUM(I7:I13)</f>
        <v>1549065.7793439997</v>
      </c>
      <c r="J14" s="223">
        <f>SUM(J7:J13)</f>
        <v>706417.3006559998</v>
      </c>
      <c r="K14" s="223">
        <f>K12</f>
        <v>897062.58892200037</v>
      </c>
      <c r="L14" s="223">
        <f>L12</f>
        <v>445393.55107800016</v>
      </c>
      <c r="M14" s="88"/>
    </row>
    <row r="15" spans="1:13" ht="15.6" customHeight="1">
      <c r="A15" s="87" t="s">
        <v>223</v>
      </c>
      <c r="C15" s="238">
        <f>-1089.44+436803.43</f>
        <v>435713.99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435713.99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95219.93-7562.93+14522</f>
        <v>102179</v>
      </c>
      <c r="D18" s="18"/>
      <c r="F18" s="300" t="s">
        <v>64</v>
      </c>
      <c r="G18" s="301"/>
      <c r="H18" s="301"/>
      <c r="I18" s="302"/>
      <c r="J18" s="300" t="s">
        <v>65</v>
      </c>
      <c r="K18" s="301"/>
      <c r="L18" s="301"/>
      <c r="M18" s="302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5" t="s">
        <v>10</v>
      </c>
    </row>
    <row r="20" spans="1:13" ht="15.6" customHeight="1" thickBot="1">
      <c r="A20" s="31" t="s">
        <v>129</v>
      </c>
      <c r="C20" s="237">
        <f>SUM(C18:C19)</f>
        <v>102179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1662.21+1850</f>
        <v>3512.21</v>
      </c>
      <c r="D21" s="18"/>
      <c r="F21" s="51"/>
      <c r="G21" s="294"/>
      <c r="H21" s="294"/>
      <c r="I21" s="295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3512.21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5170311</v>
      </c>
      <c r="H23" s="228">
        <v>9.6509999999999999E-2</v>
      </c>
      <c r="I23" s="258">
        <f t="shared" ref="I23:I31" si="0">G23*H23</f>
        <v>498986.71460999997</v>
      </c>
      <c r="J23" s="74" t="s">
        <v>14</v>
      </c>
      <c r="K23" s="93">
        <v>2757628</v>
      </c>
      <c r="L23" s="228">
        <v>9.2950000000000005E-2</v>
      </c>
      <c r="M23" s="258">
        <f>K23*L23</f>
        <v>256321.52260000003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6951</v>
      </c>
      <c r="H24" s="228">
        <v>9.6509999999999999E-2</v>
      </c>
      <c r="I24" s="258">
        <f t="shared" si="0"/>
        <v>670.84100999999998</v>
      </c>
      <c r="J24" s="74" t="s">
        <v>15</v>
      </c>
      <c r="K24" s="93">
        <v>1225202</v>
      </c>
      <c r="L24" s="228">
        <f>L23</f>
        <v>9.2950000000000005E-2</v>
      </c>
      <c r="M24" s="258">
        <f>K24*L24</f>
        <v>113882.52590000001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2662302</v>
      </c>
      <c r="H25" s="228">
        <v>8.727E-2</v>
      </c>
      <c r="I25" s="258">
        <f t="shared" si="0"/>
        <v>232339.09554000001</v>
      </c>
      <c r="J25" s="74" t="s">
        <v>16</v>
      </c>
      <c r="K25" s="93">
        <v>67372</v>
      </c>
      <c r="L25" s="228">
        <f t="shared" ref="L25" si="1">L24</f>
        <v>9.2950000000000005E-2</v>
      </c>
      <c r="M25" s="258">
        <f>K25*L25</f>
        <v>6262.2274000000007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352537</v>
      </c>
      <c r="H26" s="228">
        <v>8.727E-2</v>
      </c>
      <c r="I26" s="258">
        <f t="shared" si="0"/>
        <v>30765.903989999999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-9438</v>
      </c>
      <c r="H27" s="228">
        <v>8.727E-2</v>
      </c>
      <c r="I27" s="258">
        <f t="shared" si="0"/>
        <v>-823.65426000000002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-100434</v>
      </c>
      <c r="H28" s="228">
        <v>8.727E-2</v>
      </c>
      <c r="I28" s="258">
        <f t="shared" si="0"/>
        <v>-8764.8751800000009</v>
      </c>
      <c r="J28" s="73" t="s">
        <v>58</v>
      </c>
      <c r="K28" s="256">
        <f>SUM(K23:K27)</f>
        <v>4050202</v>
      </c>
      <c r="L28" s="257"/>
      <c r="M28" s="71">
        <f>SUM(M23:M27)</f>
        <v>376466.27590000001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4050202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2286584.3999999994</v>
      </c>
      <c r="D30" s="19"/>
      <c r="F30" s="74" t="s">
        <v>20</v>
      </c>
      <c r="G30" s="93">
        <v>73987</v>
      </c>
      <c r="H30" s="228">
        <v>5.5910000000000001E-2</v>
      </c>
      <c r="I30" s="258">
        <f t="shared" si="0"/>
        <v>4136.6131700000005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-31101.32</v>
      </c>
      <c r="D31" s="20"/>
      <c r="F31" s="74" t="s">
        <v>35</v>
      </c>
      <c r="G31" s="93">
        <v>1754036</v>
      </c>
      <c r="H31" s="228">
        <v>5.4000000000000001E-4</v>
      </c>
      <c r="I31" s="258">
        <f t="shared" si="0"/>
        <v>947.17944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2255483.0799999996</v>
      </c>
      <c r="D32" s="21"/>
      <c r="F32" s="73" t="s">
        <v>58</v>
      </c>
      <c r="G32" s="256">
        <f>SUM(G23:G31)</f>
        <v>9910252</v>
      </c>
      <c r="H32" s="6"/>
      <c r="I32" s="71">
        <f>SUM(I23:I31)</f>
        <v>758257.81831999996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9910252</v>
      </c>
      <c r="H33" s="65"/>
      <c r="I33" s="259">
        <f>I32/G32</f>
        <v>7.6512465911058564E-2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8140463.8300000001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5170311</v>
      </c>
      <c r="H36" s="228">
        <v>0.15284</v>
      </c>
      <c r="I36" s="258">
        <f t="shared" ref="I36:I43" si="2">G36*H36</f>
        <v>790230.33324000007</v>
      </c>
      <c r="J36" s="74" t="s">
        <v>14</v>
      </c>
      <c r="K36" s="93">
        <v>2757628</v>
      </c>
      <c r="L36" s="228">
        <v>0.15198999999999999</v>
      </c>
      <c r="M36" s="258">
        <f t="shared" ref="M36:M42" si="3">K36*L36</f>
        <v>419131.87971999997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-7965.46</v>
      </c>
      <c r="D37" s="18"/>
      <c r="F37" s="74" t="s">
        <v>105</v>
      </c>
      <c r="G37" s="93">
        <v>6951</v>
      </c>
      <c r="H37" s="228">
        <f>H36</f>
        <v>0.15284</v>
      </c>
      <c r="I37" s="258">
        <f t="shared" si="2"/>
        <v>1062.39084</v>
      </c>
      <c r="J37" s="74" t="s">
        <v>15</v>
      </c>
      <c r="K37" s="93">
        <v>1225202</v>
      </c>
      <c r="L37" s="228">
        <f>L36</f>
        <v>0.15198999999999999</v>
      </c>
      <c r="M37" s="258">
        <f t="shared" si="3"/>
        <v>186218.45197999998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-150549.56</v>
      </c>
      <c r="D38" s="18"/>
      <c r="F38" s="74" t="s">
        <v>15</v>
      </c>
      <c r="G38" s="93">
        <v>2662302</v>
      </c>
      <c r="H38" s="228">
        <f t="shared" ref="H38:H43" si="4">H37</f>
        <v>0.15284</v>
      </c>
      <c r="I38" s="258">
        <f t="shared" si="2"/>
        <v>406906.23768000002</v>
      </c>
      <c r="J38" s="74" t="s">
        <v>16</v>
      </c>
      <c r="K38" s="93">
        <v>67372</v>
      </c>
      <c r="L38" s="228">
        <f t="shared" ref="L38:L42" si="5">L37</f>
        <v>0.15198999999999999</v>
      </c>
      <c r="M38" s="258">
        <f t="shared" si="3"/>
        <v>10239.870279999999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-20913.009999999998</v>
      </c>
      <c r="D39" s="18"/>
      <c r="F39" s="74" t="s">
        <v>16</v>
      </c>
      <c r="G39" s="93">
        <v>352537</v>
      </c>
      <c r="H39" s="228">
        <f t="shared" si="4"/>
        <v>0.15284</v>
      </c>
      <c r="I39" s="258">
        <f t="shared" si="2"/>
        <v>53881.755080000003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855354.43</v>
      </c>
      <c r="D40" s="18"/>
      <c r="F40" s="74" t="s">
        <v>17</v>
      </c>
      <c r="G40" s="93">
        <v>-9438</v>
      </c>
      <c r="H40" s="228">
        <f t="shared" si="4"/>
        <v>0.15284</v>
      </c>
      <c r="I40" s="258">
        <f t="shared" si="2"/>
        <v>-1442.5039200000001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8816390.2300000004</v>
      </c>
      <c r="D41" s="18"/>
      <c r="F41" s="74" t="s">
        <v>18</v>
      </c>
      <c r="G41" s="93">
        <v>-100434</v>
      </c>
      <c r="H41" s="228">
        <f t="shared" si="4"/>
        <v>0.15284</v>
      </c>
      <c r="I41" s="258">
        <f t="shared" si="2"/>
        <v>-15350.332560000001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58145.67-4081731.4</f>
        <v>-4023585.73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0</v>
      </c>
      <c r="D43" s="18"/>
      <c r="F43" s="74" t="s">
        <v>20</v>
      </c>
      <c r="G43" s="93">
        <v>73987</v>
      </c>
      <c r="H43" s="228">
        <f t="shared" si="4"/>
        <v>0.15284</v>
      </c>
      <c r="I43" s="268">
        <f t="shared" si="2"/>
        <v>11308.17308</v>
      </c>
      <c r="J43" s="73" t="s">
        <v>63</v>
      </c>
      <c r="K43" s="256">
        <f>SUM(K36:K42)</f>
        <v>4050202</v>
      </c>
      <c r="L43" s="257"/>
      <c r="M43" s="71">
        <f>SUM(M36:M42)</f>
        <v>615590.20198000001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8156216</v>
      </c>
      <c r="H44" s="257"/>
      <c r="I44" s="272">
        <f>SUM(I36:I43)</f>
        <v>1246596.0534400002</v>
      </c>
      <c r="J44" s="73"/>
      <c r="K44" s="260">
        <v>4050202</v>
      </c>
      <c r="L44" s="65"/>
      <c r="M44" s="269">
        <f>M43/K43</f>
        <v>0.15199000000000001</v>
      </c>
    </row>
    <row r="45" spans="1:17" ht="15.6" customHeight="1" thickTop="1">
      <c r="A45" s="4" t="s">
        <v>207</v>
      </c>
      <c r="B45" s="29" t="s">
        <v>74</v>
      </c>
      <c r="C45" s="238">
        <v>24008.240000000002</v>
      </c>
      <c r="D45" s="20"/>
      <c r="F45" s="64"/>
      <c r="G45" s="260">
        <v>8156216</v>
      </c>
      <c r="H45" s="65"/>
      <c r="I45" s="273">
        <f>I44/G44</f>
        <v>0.15284000000000003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f>3250.5</f>
        <v>3250.5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f>2964.04</f>
        <v>2964.04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31101.32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8095.45+2695.35</f>
        <v>10790.8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-41954.62-179823.93-3006117.64</f>
        <v>-3227896.19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897062.58892200037</v>
      </c>
      <c r="I51" s="230">
        <f>I14</f>
        <v>1549065.7793439997</v>
      </c>
      <c r="J51" s="230">
        <f>L12</f>
        <v>445393.55107800016</v>
      </c>
      <c r="K51" s="230">
        <f>J14</f>
        <v>706417.3006559998</v>
      </c>
      <c r="L51" s="231">
        <f>SUM(H51:K51)</f>
        <v>3597939.2199999997</v>
      </c>
      <c r="M51" s="88"/>
    </row>
    <row r="52" spans="1:20" ht="15.6" customHeight="1" thickBot="1">
      <c r="A52" s="32" t="s">
        <v>53</v>
      </c>
      <c r="B52" s="248"/>
      <c r="C52" s="53">
        <f>SUM(C41:C51)</f>
        <v>1269023.2100000004</v>
      </c>
      <c r="D52" s="219"/>
      <c r="F52" s="87" t="s">
        <v>48</v>
      </c>
      <c r="H52" s="229">
        <f>-I44</f>
        <v>-1246596.0534400002</v>
      </c>
      <c r="I52" s="230">
        <f>-I32</f>
        <v>-758257.81831999996</v>
      </c>
      <c r="J52" s="230">
        <f>-M43</f>
        <v>-615590.20198000001</v>
      </c>
      <c r="K52" s="230">
        <f>-M28</f>
        <v>-376466.27590000001</v>
      </c>
      <c r="L52" s="232">
        <f>SUM(H52:K52)</f>
        <v>-2996910.3496399997</v>
      </c>
    </row>
    <row r="53" spans="1:20" ht="15.6" customHeight="1" thickTop="1" thickBot="1">
      <c r="A53" s="88" t="s">
        <v>213</v>
      </c>
      <c r="B53" s="30" t="s">
        <v>214</v>
      </c>
      <c r="C53" s="238">
        <v>0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49101.279999999999</v>
      </c>
      <c r="D54" s="18"/>
      <c r="F54" s="1" t="s">
        <v>32</v>
      </c>
      <c r="H54" s="264">
        <f>H51+H52+H53</f>
        <v>-349533.46451799979</v>
      </c>
      <c r="I54" s="264">
        <f>I51+I52+I53</f>
        <v>790807.96102399973</v>
      </c>
      <c r="J54" s="264">
        <f>J51+J52+J53</f>
        <v>-170196.65090199985</v>
      </c>
      <c r="K54" s="264">
        <f>K51+K52+K53</f>
        <v>329951.0247559998</v>
      </c>
      <c r="L54" s="26">
        <f>SUM(H54:K54)</f>
        <v>601028.87035999983</v>
      </c>
    </row>
    <row r="55" spans="1:20" ht="15.6" customHeight="1">
      <c r="A55" s="87" t="s">
        <v>206</v>
      </c>
      <c r="B55" s="8" t="s">
        <v>122</v>
      </c>
      <c r="C55" s="238">
        <v>24331.65</v>
      </c>
      <c r="D55" s="18"/>
      <c r="F55" s="87" t="s">
        <v>90</v>
      </c>
      <c r="H55" s="87" t="s">
        <v>82</v>
      </c>
      <c r="I55" s="2">
        <f>SUM(H54:I54)</f>
        <v>441274.49650599994</v>
      </c>
      <c r="J55" s="8" t="s">
        <v>83</v>
      </c>
      <c r="K55" s="87">
        <f>SUM(J54:K54)</f>
        <v>159754.37385399995</v>
      </c>
      <c r="L55"/>
    </row>
    <row r="56" spans="1:20" ht="15.6" customHeight="1" thickBot="1">
      <c r="A56" s="1" t="s">
        <v>189</v>
      </c>
      <c r="C56" s="53">
        <f>SUM(C52:C55)</f>
        <v>1342456.1400000004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3597939.2199999997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3597939.22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77" priority="38" stopIfTrue="1" operator="equal">
      <formula>0</formula>
    </cfRule>
    <cfRule type="cellIs" dxfId="76" priority="39" stopIfTrue="1" operator="notEqual">
      <formula>0</formula>
    </cfRule>
  </conditionalFormatting>
  <conditionalFormatting sqref="K46">
    <cfRule type="cellIs" dxfId="75" priority="37" operator="notEqual">
      <formula>0</formula>
    </cfRule>
  </conditionalFormatting>
  <conditionalFormatting sqref="C61">
    <cfRule type="cellIs" dxfId="74" priority="35" stopIfTrue="1" operator="equal">
      <formula>0</formula>
    </cfRule>
    <cfRule type="cellIs" dxfId="73" priority="36" stopIfTrue="1" operator="notEqual">
      <formula>0</formula>
    </cfRule>
  </conditionalFormatting>
  <conditionalFormatting sqref="H15">
    <cfRule type="cellIs" dxfId="72" priority="33" stopIfTrue="1" operator="equal">
      <formula>0</formula>
    </cfRule>
    <cfRule type="cellIs" dxfId="71" priority="34" stopIfTrue="1" operator="notEqual">
      <formula>0</formula>
    </cfRule>
  </conditionalFormatting>
  <conditionalFormatting sqref="H15">
    <cfRule type="cellIs" dxfId="70" priority="31" stopIfTrue="1" operator="equal">
      <formula>0</formula>
    </cfRule>
    <cfRule type="cellIs" dxfId="69" priority="32" stopIfTrue="1" operator="notEqual">
      <formula>0</formula>
    </cfRule>
  </conditionalFormatting>
  <conditionalFormatting sqref="J15">
    <cfRule type="cellIs" dxfId="68" priority="29" stopIfTrue="1" operator="equal">
      <formula>0</formula>
    </cfRule>
    <cfRule type="cellIs" dxfId="67" priority="30" stopIfTrue="1" operator="notEqual">
      <formula>0</formula>
    </cfRule>
  </conditionalFormatting>
  <conditionalFormatting sqref="J15">
    <cfRule type="cellIs" dxfId="66" priority="27" stopIfTrue="1" operator="equal">
      <formula>0</formula>
    </cfRule>
    <cfRule type="cellIs" dxfId="65" priority="28" stopIfTrue="1" operator="notEqual">
      <formula>0</formula>
    </cfRule>
  </conditionalFormatting>
  <conditionalFormatting sqref="L15">
    <cfRule type="cellIs" dxfId="64" priority="25" stopIfTrue="1" operator="equal">
      <formula>0</formula>
    </cfRule>
    <cfRule type="cellIs" dxfId="63" priority="26" stopIfTrue="1" operator="notEqual">
      <formula>0</formula>
    </cfRule>
  </conditionalFormatting>
  <conditionalFormatting sqref="L15">
    <cfRule type="cellIs" dxfId="62" priority="23" stopIfTrue="1" operator="equal">
      <formula>0</formula>
    </cfRule>
    <cfRule type="cellIs" dxfId="61" priority="24" stopIfTrue="1" operator="notEqual">
      <formula>0</formula>
    </cfRule>
  </conditionalFormatting>
  <conditionalFormatting sqref="G34">
    <cfRule type="cellIs" dxfId="60" priority="21" stopIfTrue="1" operator="equal">
      <formula>0</formula>
    </cfRule>
    <cfRule type="cellIs" dxfId="59" priority="22" stopIfTrue="1" operator="notEqual">
      <formula>0</formula>
    </cfRule>
  </conditionalFormatting>
  <conditionalFormatting sqref="G34">
    <cfRule type="cellIs" dxfId="58" priority="19" stopIfTrue="1" operator="equal">
      <formula>0</formula>
    </cfRule>
    <cfRule type="cellIs" dxfId="57" priority="20" stopIfTrue="1" operator="notEqual">
      <formula>0</formula>
    </cfRule>
  </conditionalFormatting>
  <conditionalFormatting sqref="G46">
    <cfRule type="cellIs" dxfId="56" priority="17" stopIfTrue="1" operator="equal">
      <formula>0</formula>
    </cfRule>
    <cfRule type="cellIs" dxfId="55" priority="18" stopIfTrue="1" operator="notEqual">
      <formula>0</formula>
    </cfRule>
  </conditionalFormatting>
  <conditionalFormatting sqref="G46">
    <cfRule type="cellIs" dxfId="54" priority="15" stopIfTrue="1" operator="equal">
      <formula>0</formula>
    </cfRule>
    <cfRule type="cellIs" dxfId="53" priority="16" stopIfTrue="1" operator="notEqual">
      <formula>0</formula>
    </cfRule>
  </conditionalFormatting>
  <conditionalFormatting sqref="K30">
    <cfRule type="cellIs" dxfId="52" priority="13" stopIfTrue="1" operator="equal">
      <formula>0</formula>
    </cfRule>
    <cfRule type="cellIs" dxfId="51" priority="14" stopIfTrue="1" operator="notEqual">
      <formula>0</formula>
    </cfRule>
  </conditionalFormatting>
  <conditionalFormatting sqref="K30">
    <cfRule type="cellIs" dxfId="50" priority="11" stopIfTrue="1" operator="equal">
      <formula>0</formula>
    </cfRule>
    <cfRule type="cellIs" dxfId="49" priority="12" stopIfTrue="1" operator="notEqual">
      <formula>0</formula>
    </cfRule>
  </conditionalFormatting>
  <conditionalFormatting sqref="K45">
    <cfRule type="cellIs" dxfId="48" priority="9" stopIfTrue="1" operator="equal">
      <formula>0</formula>
    </cfRule>
    <cfRule type="cellIs" dxfId="47" priority="10" stopIfTrue="1" operator="notEqual">
      <formula>0</formula>
    </cfRule>
  </conditionalFormatting>
  <conditionalFormatting sqref="K45">
    <cfRule type="cellIs" dxfId="46" priority="7" stopIfTrue="1" operator="equal">
      <formula>0</formula>
    </cfRule>
    <cfRule type="cellIs" dxfId="45" priority="8" stopIfTrue="1" operator="notEqual">
      <formula>0</formula>
    </cfRule>
  </conditionalFormatting>
  <conditionalFormatting sqref="G58">
    <cfRule type="cellIs" dxfId="44" priority="6" operator="equal">
      <formula>"ERROR"</formula>
    </cfRule>
  </conditionalFormatting>
  <conditionalFormatting sqref="G58">
    <cfRule type="cellIs" dxfId="43" priority="5" operator="equal">
      <formula>"ERROR"</formula>
    </cfRule>
  </conditionalFormatting>
  <conditionalFormatting sqref="G65">
    <cfRule type="cellIs" dxfId="42" priority="4" operator="equal">
      <formula>"ERROR"</formula>
    </cfRule>
  </conditionalFormatting>
  <conditionalFormatting sqref="G65">
    <cfRule type="cellIs" dxfId="41" priority="3" operator="equal">
      <formula>"ERROR"</formula>
    </cfRule>
  </conditionalFormatting>
  <conditionalFormatting sqref="H67">
    <cfRule type="cellIs" dxfId="40" priority="2" operator="equal">
      <formula>"ERROR"</formula>
    </cfRule>
  </conditionalFormatting>
  <conditionalFormatting sqref="H67">
    <cfRule type="cellIs" dxfId="39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21875" style="87" bestFit="1" customWidth="1"/>
    <col min="2" max="2" width="30.7773437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202006</v>
      </c>
      <c r="F1" s="92">
        <f>C1</f>
        <v>202006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3504905.29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26703.06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0.61170000000000002</v>
      </c>
      <c r="L5" s="249">
        <f>1-K5</f>
        <v>0.38829999999999998</v>
      </c>
      <c r="M5" s="88"/>
    </row>
    <row r="6" spans="1:13" ht="15.6" customHeight="1" thickBot="1">
      <c r="A6" s="27" t="s">
        <v>7</v>
      </c>
      <c r="C6" s="239">
        <f>-1432982.84-408723-116778-139549.71-94076.36</f>
        <v>-2192109.91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1339498.44</v>
      </c>
      <c r="D7" s="17"/>
      <c r="F7" s="58" t="s">
        <v>187</v>
      </c>
      <c r="G7" s="58"/>
      <c r="H7" s="40">
        <f>C32</f>
        <v>2161601.79</v>
      </c>
      <c r="I7" s="59">
        <f>H7*I5</f>
        <v>1484588.109372</v>
      </c>
      <c r="J7" s="59">
        <f>H7*J5</f>
        <v>677013.68062799994</v>
      </c>
      <c r="K7" s="59"/>
      <c r="L7" s="59"/>
      <c r="M7" s="88"/>
    </row>
    <row r="8" spans="1:13" ht="15.6" customHeight="1">
      <c r="A8" s="87" t="s">
        <v>219</v>
      </c>
      <c r="C8" s="238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3692.67</v>
      </c>
      <c r="D9" s="18"/>
      <c r="F9" s="58" t="s">
        <v>53</v>
      </c>
      <c r="G9" s="88"/>
      <c r="H9" s="250">
        <f>C52</f>
        <v>993986.84000000032</v>
      </c>
      <c r="I9" s="59"/>
      <c r="J9" s="59"/>
      <c r="K9" s="252">
        <f>H9*K5</f>
        <v>608021.75002800021</v>
      </c>
      <c r="L9" s="252">
        <f>H9*L5</f>
        <v>385965.0899720001</v>
      </c>
      <c r="M9" s="88"/>
    </row>
    <row r="10" spans="1:13" ht="15.6" customHeight="1">
      <c r="A10" s="27" t="s">
        <v>221</v>
      </c>
      <c r="C10" s="239">
        <v>-2756.43</v>
      </c>
      <c r="D10" s="18"/>
      <c r="F10" s="61" t="s">
        <v>21</v>
      </c>
      <c r="G10" s="88"/>
      <c r="H10" s="250">
        <f>C54</f>
        <v>-25488.46</v>
      </c>
      <c r="I10" s="59"/>
      <c r="J10" s="59"/>
      <c r="K10" s="252">
        <f>H10</f>
        <v>-25488.46</v>
      </c>
      <c r="L10" s="252"/>
      <c r="M10" s="88"/>
    </row>
    <row r="11" spans="1:13" ht="15.6" customHeight="1">
      <c r="A11" s="30" t="s">
        <v>70</v>
      </c>
      <c r="C11" s="237">
        <f>SUM(C8:C10)</f>
        <v>155353.26</v>
      </c>
      <c r="D11" s="18"/>
      <c r="F11" s="61" t="s">
        <v>22</v>
      </c>
      <c r="G11" s="88"/>
      <c r="H11" s="251">
        <f>C55+C53</f>
        <v>-11153.87</v>
      </c>
      <c r="I11" s="59"/>
      <c r="J11" s="59"/>
      <c r="K11" s="253"/>
      <c r="L11" s="253">
        <f>H11</f>
        <v>-11153.87</v>
      </c>
      <c r="M11" s="88"/>
    </row>
    <row r="12" spans="1:13" ht="15.6" customHeight="1">
      <c r="A12" s="87" t="s">
        <v>126</v>
      </c>
      <c r="C12" s="238">
        <f>202584.14+2997.33</f>
        <v>205581.47</v>
      </c>
      <c r="D12" s="18"/>
      <c r="F12" s="61" t="s">
        <v>68</v>
      </c>
      <c r="G12" s="88"/>
      <c r="H12" s="236">
        <f>H9+H10+H11</f>
        <v>957344.51000000036</v>
      </c>
      <c r="I12" s="59"/>
      <c r="J12" s="59"/>
      <c r="K12" s="59">
        <f>SUM(K9:K11)</f>
        <v>582533.29002800025</v>
      </c>
      <c r="L12" s="59">
        <f>SUM(L9:L11)</f>
        <v>374811.21997200011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205581.47</v>
      </c>
      <c r="D14" s="19"/>
      <c r="F14" s="88" t="s">
        <v>30</v>
      </c>
      <c r="G14" s="58"/>
      <c r="H14" s="40">
        <f>H12+H7</f>
        <v>3118946.3000000003</v>
      </c>
      <c r="I14" s="223">
        <f>SUM(I7:I13)</f>
        <v>1484588.109372</v>
      </c>
      <c r="J14" s="223">
        <f>SUM(J7:J13)</f>
        <v>677013.68062799994</v>
      </c>
      <c r="K14" s="223">
        <f>K12</f>
        <v>582533.29002800025</v>
      </c>
      <c r="L14" s="223">
        <f>L12</f>
        <v>374811.21997200011</v>
      </c>
      <c r="M14" s="88"/>
    </row>
    <row r="15" spans="1:13" ht="15.6" customHeight="1">
      <c r="A15" s="87" t="s">
        <v>223</v>
      </c>
      <c r="C15" s="238">
        <f>6503.63+385019.64</f>
        <v>391523.27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391523.27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14614-8993.71+91740.52</f>
        <v>97360.81</v>
      </c>
      <c r="D18" s="18"/>
      <c r="F18" s="300" t="s">
        <v>64</v>
      </c>
      <c r="G18" s="301"/>
      <c r="H18" s="301"/>
      <c r="I18" s="302"/>
      <c r="J18" s="300" t="s">
        <v>65</v>
      </c>
      <c r="K18" s="301"/>
      <c r="L18" s="301"/>
      <c r="M18" s="302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7" t="s">
        <v>10</v>
      </c>
    </row>
    <row r="20" spans="1:13" ht="15.6" customHeight="1" thickBot="1">
      <c r="A20" s="31" t="s">
        <v>129</v>
      </c>
      <c r="C20" s="237">
        <f>SUM(C18:C19)</f>
        <v>97360.81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1850+830.27</f>
        <v>2680.27</v>
      </c>
      <c r="D21" s="18"/>
      <c r="F21" s="51"/>
      <c r="G21" s="296"/>
      <c r="H21" s="296"/>
      <c r="I21" s="297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2680.27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3317015</v>
      </c>
      <c r="H23" s="228">
        <v>9.6509999999999999E-2</v>
      </c>
      <c r="I23" s="258">
        <f t="shared" ref="I23:I31" si="0">G23*H23</f>
        <v>320125.11764999997</v>
      </c>
      <c r="J23" s="74" t="s">
        <v>14</v>
      </c>
      <c r="K23" s="93">
        <v>1756365</v>
      </c>
      <c r="L23" s="228">
        <v>9.2950000000000005E-2</v>
      </c>
      <c r="M23" s="258">
        <f>K23*L23</f>
        <v>163254.12675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4575</v>
      </c>
      <c r="H24" s="228">
        <v>9.6509999999999999E-2</v>
      </c>
      <c r="I24" s="258">
        <f t="shared" si="0"/>
        <v>441.53325000000001</v>
      </c>
      <c r="J24" s="74" t="s">
        <v>15</v>
      </c>
      <c r="K24" s="93">
        <v>1525556</v>
      </c>
      <c r="L24" s="228">
        <f>L23</f>
        <v>9.2950000000000005E-2</v>
      </c>
      <c r="M24" s="258">
        <f>K24*L24</f>
        <v>141800.4302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1746909</v>
      </c>
      <c r="H25" s="228">
        <v>8.727E-2</v>
      </c>
      <c r="I25" s="258">
        <f t="shared" si="0"/>
        <v>152452.74843000001</v>
      </c>
      <c r="J25" s="74" t="s">
        <v>16</v>
      </c>
      <c r="K25" s="93">
        <v>59680</v>
      </c>
      <c r="L25" s="228">
        <f t="shared" ref="L25" si="1">L24</f>
        <v>9.2950000000000005E-2</v>
      </c>
      <c r="M25" s="258">
        <f>K25*L25</f>
        <v>5547.2560000000003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135667</v>
      </c>
      <c r="H26" s="228">
        <v>8.727E-2</v>
      </c>
      <c r="I26" s="258">
        <f t="shared" si="0"/>
        <v>11839.659089999999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0</v>
      </c>
      <c r="H27" s="228">
        <v>8.727E-2</v>
      </c>
      <c r="I27" s="258">
        <f t="shared" si="0"/>
        <v>0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0</v>
      </c>
      <c r="H28" s="228">
        <v>8.727E-2</v>
      </c>
      <c r="I28" s="258">
        <f t="shared" si="0"/>
        <v>0</v>
      </c>
      <c r="J28" s="73" t="s">
        <v>58</v>
      </c>
      <c r="K28" s="256">
        <f>SUM(K23:K27)</f>
        <v>3341601</v>
      </c>
      <c r="L28" s="257"/>
      <c r="M28" s="71">
        <f>SUM(M23:M27)</f>
        <v>310601.81294999999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3341601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2191997.52</v>
      </c>
      <c r="D30" s="19"/>
      <c r="F30" s="74" t="s">
        <v>20</v>
      </c>
      <c r="G30" s="93">
        <v>59165</v>
      </c>
      <c r="H30" s="228">
        <v>5.5910000000000001E-2</v>
      </c>
      <c r="I30" s="258">
        <f t="shared" si="0"/>
        <v>3307.9151500000003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-30395.730000000003</v>
      </c>
      <c r="D31" s="20"/>
      <c r="F31" s="74" t="s">
        <v>35</v>
      </c>
      <c r="G31" s="93">
        <v>1813194</v>
      </c>
      <c r="H31" s="228">
        <v>5.4000000000000001E-4</v>
      </c>
      <c r="I31" s="258">
        <f t="shared" si="0"/>
        <v>979.12476000000004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2161601.79</v>
      </c>
      <c r="D32" s="21"/>
      <c r="F32" s="73" t="s">
        <v>58</v>
      </c>
      <c r="G32" s="256">
        <f>SUM(G23:G31)</f>
        <v>7076525</v>
      </c>
      <c r="H32" s="6"/>
      <c r="I32" s="71">
        <f>SUM(I23:I31)</f>
        <v>489146.09832999989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7076525</v>
      </c>
      <c r="H33" s="65"/>
      <c r="I33" s="259">
        <f>I32/G32</f>
        <v>6.9122358548864005E-2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6511923.9000000004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3317015</v>
      </c>
      <c r="H36" s="228">
        <v>0.15284</v>
      </c>
      <c r="I36" s="258">
        <f t="shared" ref="I36:I43" si="2">G36*H36</f>
        <v>506972.57260000001</v>
      </c>
      <c r="J36" s="74" t="s">
        <v>14</v>
      </c>
      <c r="K36" s="93">
        <v>1756365</v>
      </c>
      <c r="L36" s="228">
        <v>0.15198999999999999</v>
      </c>
      <c r="M36" s="258">
        <f t="shared" ref="M36:M42" si="3">K36*L36</f>
        <v>266949.91634999996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-10356.18</v>
      </c>
      <c r="D37" s="18"/>
      <c r="F37" s="74" t="s">
        <v>105</v>
      </c>
      <c r="G37" s="93">
        <v>4575</v>
      </c>
      <c r="H37" s="228">
        <f>H36</f>
        <v>0.15284</v>
      </c>
      <c r="I37" s="258">
        <f t="shared" si="2"/>
        <v>699.24300000000005</v>
      </c>
      <c r="J37" s="74" t="s">
        <v>15</v>
      </c>
      <c r="K37" s="93">
        <v>1525556</v>
      </c>
      <c r="L37" s="228">
        <f>L36</f>
        <v>0.15198999999999999</v>
      </c>
      <c r="M37" s="258">
        <f t="shared" si="3"/>
        <v>231869.25643999997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-115120.13</v>
      </c>
      <c r="D38" s="18"/>
      <c r="F38" s="74" t="s">
        <v>15</v>
      </c>
      <c r="G38" s="93">
        <v>1746909</v>
      </c>
      <c r="H38" s="228">
        <f t="shared" ref="H38:H43" si="4">H37</f>
        <v>0.15284</v>
      </c>
      <c r="I38" s="258">
        <f t="shared" si="2"/>
        <v>266997.57156000001</v>
      </c>
      <c r="J38" s="74" t="s">
        <v>16</v>
      </c>
      <c r="K38" s="93">
        <v>59680</v>
      </c>
      <c r="L38" s="228">
        <f t="shared" ref="L38:L42" si="5">L37</f>
        <v>0.15198999999999999</v>
      </c>
      <c r="M38" s="258">
        <f t="shared" si="3"/>
        <v>9070.7631999999994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80162.67</v>
      </c>
      <c r="D39" s="18"/>
      <c r="F39" s="74" t="s">
        <v>16</v>
      </c>
      <c r="G39" s="93">
        <v>135667</v>
      </c>
      <c r="H39" s="228">
        <f t="shared" si="4"/>
        <v>0.15284</v>
      </c>
      <c r="I39" s="258">
        <f t="shared" si="2"/>
        <v>20735.344280000001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1134575.8</v>
      </c>
      <c r="D40" s="18"/>
      <c r="F40" s="74" t="s">
        <v>17</v>
      </c>
      <c r="G40" s="93">
        <v>0</v>
      </c>
      <c r="H40" s="228">
        <f t="shared" si="4"/>
        <v>0.15284</v>
      </c>
      <c r="I40" s="258">
        <f t="shared" si="2"/>
        <v>0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7601186.0600000005</v>
      </c>
      <c r="D41" s="18"/>
      <c r="F41" s="74" t="s">
        <v>18</v>
      </c>
      <c r="G41" s="93">
        <v>0</v>
      </c>
      <c r="H41" s="228">
        <f t="shared" si="4"/>
        <v>0.15284</v>
      </c>
      <c r="I41" s="258">
        <f t="shared" si="2"/>
        <v>0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4812.81-3978028.73</f>
        <v>-3973215.92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2965.52</v>
      </c>
      <c r="D43" s="18"/>
      <c r="F43" s="74" t="s">
        <v>20</v>
      </c>
      <c r="G43" s="93">
        <v>59165</v>
      </c>
      <c r="H43" s="228">
        <f t="shared" si="4"/>
        <v>0.15284</v>
      </c>
      <c r="I43" s="268">
        <f t="shared" si="2"/>
        <v>9042.7785999999996</v>
      </c>
      <c r="J43" s="73" t="s">
        <v>63</v>
      </c>
      <c r="K43" s="256">
        <f>SUM(K36:K42)</f>
        <v>3341601</v>
      </c>
      <c r="L43" s="257"/>
      <c r="M43" s="71">
        <f>SUM(M36:M42)</f>
        <v>507889.93598999991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5263331</v>
      </c>
      <c r="H44" s="257"/>
      <c r="I44" s="272">
        <f>SUM(I36:I43)</f>
        <v>804447.51003999996</v>
      </c>
      <c r="J44" s="73"/>
      <c r="K44" s="260">
        <v>3341601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22248.53</v>
      </c>
      <c r="D45" s="20"/>
      <c r="F45" s="64"/>
      <c r="G45" s="260">
        <v>5263331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2030.6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2851.29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30395.730000000003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8789.73+6537.79</f>
        <v>15327.52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-30955.5-249964.45-2060882.54</f>
        <v>-2341802.4900000002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582533.29002800025</v>
      </c>
      <c r="I51" s="230">
        <f>I14</f>
        <v>1484588.109372</v>
      </c>
      <c r="J51" s="230">
        <f>L12</f>
        <v>374811.21997200011</v>
      </c>
      <c r="K51" s="230">
        <f>J14</f>
        <v>677013.68062799994</v>
      </c>
      <c r="L51" s="231">
        <f>SUM(H51:K51)</f>
        <v>3118946.3000000003</v>
      </c>
      <c r="M51" s="88"/>
    </row>
    <row r="52" spans="1:20" ht="15.6" customHeight="1" thickBot="1">
      <c r="A52" s="32" t="s">
        <v>53</v>
      </c>
      <c r="B52" s="248"/>
      <c r="C52" s="53">
        <f>SUM(C41:C51)</f>
        <v>993986.84000000032</v>
      </c>
      <c r="D52" s="219"/>
      <c r="F52" s="87" t="s">
        <v>48</v>
      </c>
      <c r="H52" s="229">
        <f>-I44</f>
        <v>-804447.51003999996</v>
      </c>
      <c r="I52" s="230">
        <f>-I32</f>
        <v>-489146.09832999989</v>
      </c>
      <c r="J52" s="230">
        <f>-M43</f>
        <v>-507889.93598999991</v>
      </c>
      <c r="K52" s="230">
        <f>-M28</f>
        <v>-310601.81294999999</v>
      </c>
      <c r="L52" s="232">
        <f>SUM(H52:K52)</f>
        <v>-2112085.3573099999</v>
      </c>
    </row>
    <row r="53" spans="1:20" ht="15.6" customHeight="1" thickTop="1" thickBot="1">
      <c r="A53" s="88" t="s">
        <v>213</v>
      </c>
      <c r="B53" s="30" t="s">
        <v>214</v>
      </c>
      <c r="C53" s="238">
        <v>0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-25488.46</v>
      </c>
      <c r="D54" s="18"/>
      <c r="F54" s="1" t="s">
        <v>32</v>
      </c>
      <c r="H54" s="264">
        <f>H51+H52+H53</f>
        <v>-221914.22001199971</v>
      </c>
      <c r="I54" s="264">
        <f>I51+I52+I53</f>
        <v>995442.01104200003</v>
      </c>
      <c r="J54" s="264">
        <f>J51+J52+J53</f>
        <v>-133078.7160179998</v>
      </c>
      <c r="K54" s="264">
        <f>K51+K52+K53</f>
        <v>366411.86767799995</v>
      </c>
      <c r="L54" s="26">
        <f>SUM(H54:K54)</f>
        <v>1006860.9426900004</v>
      </c>
    </row>
    <row r="55" spans="1:20" ht="15.6" customHeight="1">
      <c r="A55" s="87" t="s">
        <v>206</v>
      </c>
      <c r="B55" s="8" t="s">
        <v>122</v>
      </c>
      <c r="C55" s="238">
        <v>-11153.87</v>
      </c>
      <c r="D55" s="18"/>
      <c r="F55" s="87" t="s">
        <v>90</v>
      </c>
      <c r="H55" s="87" t="s">
        <v>82</v>
      </c>
      <c r="I55" s="2">
        <f>SUM(H54:I54)</f>
        <v>773527.79103000031</v>
      </c>
      <c r="J55" s="8" t="s">
        <v>83</v>
      </c>
      <c r="K55" s="87">
        <f>SUM(J54:K54)</f>
        <v>233333.15166000015</v>
      </c>
      <c r="L55"/>
    </row>
    <row r="56" spans="1:20" ht="15.6" customHeight="1" thickBot="1">
      <c r="A56" s="1" t="s">
        <v>189</v>
      </c>
      <c r="C56" s="53">
        <f>SUM(C52:C55)</f>
        <v>957344.51000000036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3118946.3000000003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3118946.3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K46">
    <cfRule type="cellIs" dxfId="36" priority="37" operator="notEqual">
      <formula>0</formula>
    </cfRule>
  </conditionalFormatting>
  <conditionalFormatting sqref="C61">
    <cfRule type="cellIs" dxfId="35" priority="35" stopIfTrue="1" operator="equal">
      <formula>0</formula>
    </cfRule>
    <cfRule type="cellIs" dxfId="34" priority="36" stopIfTrue="1" operator="notEqual">
      <formula>0</formula>
    </cfRule>
  </conditionalFormatting>
  <conditionalFormatting sqref="H15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H15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J15">
    <cfRule type="cellIs" dxfId="29" priority="29" stopIfTrue="1" operator="equal">
      <formula>0</formula>
    </cfRule>
    <cfRule type="cellIs" dxfId="28" priority="30" stopIfTrue="1" operator="notEqual">
      <formula>0</formula>
    </cfRule>
  </conditionalFormatting>
  <conditionalFormatting sqref="J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L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L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G3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G34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G46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46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K30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K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K45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45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G58">
    <cfRule type="cellIs" dxfId="5" priority="6" operator="equal">
      <formula>"ERROR"</formula>
    </cfRule>
  </conditionalFormatting>
  <conditionalFormatting sqref="G58">
    <cfRule type="cellIs" dxfId="4" priority="5" operator="equal">
      <formula>"ERROR"</formula>
    </cfRule>
  </conditionalFormatting>
  <conditionalFormatting sqref="G65">
    <cfRule type="cellIs" dxfId="3" priority="4" operator="equal">
      <formula>"ERROR"</formula>
    </cfRule>
  </conditionalFormatting>
  <conditionalFormatting sqref="G65">
    <cfRule type="cellIs" dxfId="2" priority="3" operator="equal">
      <formula>"ERROR"</formula>
    </cfRule>
  </conditionalFormatting>
  <conditionalFormatting sqref="H67">
    <cfRule type="cellIs" dxfId="1" priority="2" operator="equal">
      <formula>"ERROR"</formula>
    </cfRule>
  </conditionalFormatting>
  <conditionalFormatting sqref="H67">
    <cfRule type="cellIs" dxfId="0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57"/>
  <sheetViews>
    <sheetView tabSelected="1" zoomScale="90" zoomScaleNormal="90" workbookViewId="0">
      <pane ySplit="6" topLeftCell="A30" activePane="bottomLeft" state="frozen"/>
      <selection activeCell="B51" sqref="B51"/>
      <selection pane="bottomLeft"/>
    </sheetView>
  </sheetViews>
  <sheetFormatPr defaultColWidth="8.88671875" defaultRowHeight="14.4" outlineLevelRow="1"/>
  <cols>
    <col min="1" max="1" width="9.109375" style="96" customWidth="1"/>
    <col min="2" max="2" width="8.88671875" style="96"/>
    <col min="3" max="3" width="1.6640625" style="97" customWidth="1"/>
    <col min="4" max="4" width="13.6640625" style="96" customWidth="1"/>
    <col min="5" max="6" width="14.33203125" style="96" customWidth="1"/>
    <col min="7" max="7" width="14.6640625" style="96" bestFit="1" customWidth="1"/>
    <col min="8" max="8" width="12.109375" style="96" customWidth="1"/>
    <col min="9" max="9" width="15.33203125" style="96" bestFit="1" customWidth="1"/>
    <col min="10" max="10" width="1.6640625" style="97" customWidth="1"/>
    <col min="11" max="11" width="14.21875" style="96" bestFit="1" customWidth="1"/>
    <col min="12" max="12" width="13.88671875" style="96" bestFit="1" customWidth="1"/>
    <col min="13" max="13" width="6.109375" style="140" customWidth="1"/>
    <col min="14" max="16" width="8.88671875" style="96"/>
    <col min="17" max="17" width="12.6640625" style="96" customWidth="1"/>
    <col min="18" max="19" width="13.109375" style="96" bestFit="1" customWidth="1"/>
    <col min="20" max="16384" width="8.88671875" style="96"/>
  </cols>
  <sheetData>
    <row r="1" spans="1:13" s="100" customFormat="1" ht="15.6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6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6">
      <c r="A3" s="98" t="s">
        <v>181</v>
      </c>
      <c r="B3" s="99"/>
      <c r="C3" s="99"/>
      <c r="D3" s="99"/>
      <c r="E3" s="99"/>
      <c r="F3" s="99"/>
      <c r="G3" s="99"/>
    </row>
    <row r="4" spans="1:13" s="100" customFormat="1" ht="15.6">
      <c r="A4" s="98" t="s">
        <v>182</v>
      </c>
      <c r="B4" s="99"/>
      <c r="C4" s="99"/>
      <c r="D4" s="99"/>
      <c r="E4" s="99"/>
      <c r="F4" s="99"/>
      <c r="G4" s="99"/>
    </row>
    <row r="5" spans="1:13" s="103" customFormat="1" ht="18">
      <c r="A5" s="101"/>
      <c r="B5" s="102"/>
      <c r="C5" s="102"/>
      <c r="D5" s="102"/>
      <c r="E5" s="102"/>
      <c r="F5" s="102"/>
      <c r="G5" s="102"/>
    </row>
    <row r="6" spans="1:13" s="104" customFormat="1" ht="56.4" customHeight="1">
      <c r="A6" s="105" t="s">
        <v>110</v>
      </c>
      <c r="B6" s="106" t="s">
        <v>100</v>
      </c>
      <c r="C6" s="107"/>
      <c r="D6" s="106" t="s">
        <v>117</v>
      </c>
      <c r="E6" s="106" t="s">
        <v>99</v>
      </c>
      <c r="F6" s="106" t="s">
        <v>1</v>
      </c>
      <c r="G6" s="106" t="s">
        <v>2</v>
      </c>
      <c r="H6" s="106" t="s">
        <v>3</v>
      </c>
      <c r="I6" s="106" t="s">
        <v>23</v>
      </c>
      <c r="J6" s="107"/>
      <c r="K6" s="108" t="s">
        <v>111</v>
      </c>
      <c r="L6" s="108" t="s">
        <v>112</v>
      </c>
      <c r="M6" s="107"/>
    </row>
    <row r="7" spans="1:13" s="104" customFormat="1" ht="15.6" hidden="1" customHeight="1" outlineLevel="1">
      <c r="A7" s="141" t="s">
        <v>113</v>
      </c>
      <c r="B7" s="146">
        <v>4.2500000000000003E-2</v>
      </c>
      <c r="C7" s="121"/>
      <c r="D7" s="147"/>
      <c r="E7" s="148">
        <v>-11107523.789999999</v>
      </c>
      <c r="F7" s="147">
        <v>-743591.9</v>
      </c>
      <c r="G7" s="147">
        <v>-1331000.46</v>
      </c>
      <c r="H7" s="148">
        <f t="shared" ref="H7:H28" si="0">ROUND(((E7)*(B7/12))+((SUM(F7:G7)/2)*(B7/12)),2)</f>
        <v>-43012.9</v>
      </c>
      <c r="I7" s="148">
        <f t="shared" ref="I7:I16" si="1">SUM(E7:H7)</f>
        <v>-13225129.049999999</v>
      </c>
      <c r="J7" s="107"/>
      <c r="K7" s="124" t="str">
        <f>_xll.Get_Balance(A7,"YTD","USD","Total","A","","001","191010","GD","WA","DL")</f>
        <v>Error (Logon)</v>
      </c>
      <c r="L7" s="125" t="e">
        <f t="shared" ref="L7:L17" si="2">K7-I7</f>
        <v>#VALUE!</v>
      </c>
      <c r="M7" s="107"/>
    </row>
    <row r="8" spans="1:13" s="104" customFormat="1" ht="15.6" hidden="1" customHeight="1" outlineLevel="1">
      <c r="A8" s="141" t="s">
        <v>114</v>
      </c>
      <c r="B8" s="146">
        <v>4.2500000000000003E-2</v>
      </c>
      <c r="C8" s="121"/>
      <c r="D8" s="147"/>
      <c r="E8" s="148">
        <f>I7</f>
        <v>-13225129.049999999</v>
      </c>
      <c r="F8" s="147">
        <v>1500599.24</v>
      </c>
      <c r="G8" s="147">
        <v>-1492728.86</v>
      </c>
      <c r="H8" s="148">
        <f t="shared" si="0"/>
        <v>-46825.06</v>
      </c>
      <c r="I8" s="148">
        <f t="shared" si="1"/>
        <v>-13264083.729999999</v>
      </c>
      <c r="J8" s="107"/>
      <c r="K8" s="124" t="str">
        <f>_xll.Get_Balance(A8,"YTD","USD","Total","A","","001","191010","GD","WA","DL")</f>
        <v>Error (Logon)</v>
      </c>
      <c r="L8" s="125" t="e">
        <f t="shared" si="2"/>
        <v>#VALUE!</v>
      </c>
      <c r="M8" s="107"/>
    </row>
    <row r="9" spans="1:13" s="104" customFormat="1" ht="15.6" hidden="1" customHeight="1" outlineLevel="1">
      <c r="A9" s="141" t="s">
        <v>115</v>
      </c>
      <c r="B9" s="146">
        <v>4.2500000000000003E-2</v>
      </c>
      <c r="C9" s="121"/>
      <c r="D9" s="147"/>
      <c r="E9" s="148">
        <f t="shared" ref="E9:E15" si="3">I8</f>
        <v>-13264083.729999999</v>
      </c>
      <c r="F9" s="147">
        <v>262271.12</v>
      </c>
      <c r="G9" s="147">
        <v>-772819.74</v>
      </c>
      <c r="H9" s="148">
        <f t="shared" si="0"/>
        <v>-47881.06</v>
      </c>
      <c r="I9" s="148">
        <f t="shared" si="1"/>
        <v>-13822513.41</v>
      </c>
      <c r="J9" s="107"/>
      <c r="K9" s="124" t="str">
        <f>_xll.Get_Balance(A9,"YTD","USD","Total","A","","001","191010","GD","WA","DL")</f>
        <v>Error (Logon)</v>
      </c>
      <c r="L9" s="125" t="e">
        <f t="shared" si="2"/>
        <v>#VALUE!</v>
      </c>
      <c r="M9" s="107"/>
    </row>
    <row r="10" spans="1:13" s="104" customFormat="1" ht="15.6" hidden="1" customHeight="1" outlineLevel="1">
      <c r="A10" s="141" t="s">
        <v>118</v>
      </c>
      <c r="B10" s="146">
        <v>4.4699999999999997E-2</v>
      </c>
      <c r="C10" s="121"/>
      <c r="D10" s="147"/>
      <c r="E10" s="148">
        <f t="shared" si="3"/>
        <v>-13822513.41</v>
      </c>
      <c r="F10" s="147">
        <v>-1287451.4099999999</v>
      </c>
      <c r="G10" s="147">
        <v>-46824.41</v>
      </c>
      <c r="H10" s="148">
        <f t="shared" si="0"/>
        <v>-53973.95</v>
      </c>
      <c r="I10" s="148">
        <f t="shared" si="1"/>
        <v>-15210763.18</v>
      </c>
      <c r="J10" s="107"/>
      <c r="K10" s="124" t="str">
        <f>_xll.Get_Balance(A10,"YTD","USD","Total","A","","001","191010","GD","WA","DL")</f>
        <v>Error (Logon)</v>
      </c>
      <c r="L10" s="125" t="e">
        <f t="shared" si="2"/>
        <v>#VALUE!</v>
      </c>
      <c r="M10" s="107"/>
    </row>
    <row r="11" spans="1:13" s="104" customFormat="1" ht="15.6" hidden="1" customHeight="1" outlineLevel="1">
      <c r="A11" s="141" t="s">
        <v>119</v>
      </c>
      <c r="B11" s="146">
        <v>4.4699999999999997E-2</v>
      </c>
      <c r="C11" s="121"/>
      <c r="D11" s="147"/>
      <c r="E11" s="148">
        <f t="shared" si="3"/>
        <v>-15210763.18</v>
      </c>
      <c r="F11" s="147">
        <v>-1208166.99</v>
      </c>
      <c r="G11" s="147">
        <v>890572.34</v>
      </c>
      <c r="H11" s="148">
        <f t="shared" si="0"/>
        <v>-57251.61</v>
      </c>
      <c r="I11" s="148">
        <f t="shared" si="1"/>
        <v>-15585609.439999999</v>
      </c>
      <c r="J11" s="107"/>
      <c r="K11" s="124" t="str">
        <f>_xll.Get_Balance(A11,"YTD","USD","Total","A","","001","191010","GD","WA","DL")</f>
        <v>Error (Logon)</v>
      </c>
      <c r="L11" s="125" t="e">
        <f t="shared" si="2"/>
        <v>#VALUE!</v>
      </c>
      <c r="M11" s="107"/>
    </row>
    <row r="12" spans="1:13" s="104" customFormat="1" ht="15.6" hidden="1" customHeight="1" outlineLevel="1">
      <c r="A12" s="141" t="s">
        <v>120</v>
      </c>
      <c r="B12" s="146">
        <v>4.4699999999999997E-2</v>
      </c>
      <c r="C12" s="121"/>
      <c r="D12" s="147"/>
      <c r="E12" s="148">
        <f t="shared" si="3"/>
        <v>-15585609.439999999</v>
      </c>
      <c r="F12" s="147">
        <v>-914700.4</v>
      </c>
      <c r="G12" s="147">
        <v>938461.95</v>
      </c>
      <c r="H12" s="148">
        <f t="shared" si="0"/>
        <v>-58012.14</v>
      </c>
      <c r="I12" s="148">
        <f t="shared" si="1"/>
        <v>-15619860.030000001</v>
      </c>
      <c r="J12" s="107"/>
      <c r="K12" s="124" t="str">
        <f>_xll.Get_Balance(A12,"YTD","USD","Total","A","","001","191010","GD","WA","DL")</f>
        <v>Error (Logon)</v>
      </c>
      <c r="L12" s="125" t="e">
        <f t="shared" si="2"/>
        <v>#VALUE!</v>
      </c>
      <c r="M12" s="107"/>
    </row>
    <row r="13" spans="1:13" s="104" customFormat="1" ht="15.6" hidden="1" customHeight="1" outlineLevel="1">
      <c r="A13" s="141" t="s">
        <v>149</v>
      </c>
      <c r="B13" s="146">
        <v>4.6899999999999997E-2</v>
      </c>
      <c r="C13" s="121"/>
      <c r="D13" s="147"/>
      <c r="E13" s="148">
        <f t="shared" si="3"/>
        <v>-15619860.030000001</v>
      </c>
      <c r="F13" s="147">
        <v>-2116989.4300000002</v>
      </c>
      <c r="G13" s="147">
        <v>1054475.72</v>
      </c>
      <c r="H13" s="148">
        <f t="shared" si="0"/>
        <v>-63123.95</v>
      </c>
      <c r="I13" s="148">
        <f t="shared" si="1"/>
        <v>-16745497.689999999</v>
      </c>
      <c r="J13" s="107"/>
      <c r="K13" s="124" t="str">
        <f>_xll.Get_Balance(A13,"YTD","USD","Total","A","","001","191010","GD","WA","DL")</f>
        <v>Error (Logon)</v>
      </c>
      <c r="L13" s="125" t="e">
        <f t="shared" si="2"/>
        <v>#VALUE!</v>
      </c>
      <c r="M13" s="107"/>
    </row>
    <row r="14" spans="1:13" s="104" customFormat="1" ht="15.6" hidden="1" customHeight="1" outlineLevel="1">
      <c r="A14" s="141" t="s">
        <v>150</v>
      </c>
      <c r="B14" s="146">
        <v>4.6899999999999997E-2</v>
      </c>
      <c r="C14" s="121"/>
      <c r="D14" s="147"/>
      <c r="E14" s="148">
        <f t="shared" si="3"/>
        <v>-16745497.689999999</v>
      </c>
      <c r="F14" s="147">
        <v>-2914665.41</v>
      </c>
      <c r="G14" s="147">
        <v>1052086.5</v>
      </c>
      <c r="H14" s="148">
        <f t="shared" si="0"/>
        <v>-69086.78</v>
      </c>
      <c r="I14" s="148">
        <f t="shared" si="1"/>
        <v>-18677163.380000003</v>
      </c>
      <c r="J14" s="107"/>
      <c r="K14" s="124" t="str">
        <f>_xll.Get_Balance(A14,"YTD","USD","Total","A","","001","191010","GD","WA","DL")</f>
        <v>Error (Logon)</v>
      </c>
      <c r="L14" s="125" t="e">
        <f t="shared" si="2"/>
        <v>#VALUE!</v>
      </c>
      <c r="M14" s="107"/>
    </row>
    <row r="15" spans="1:13" s="104" customFormat="1" ht="15.6" hidden="1" customHeight="1" outlineLevel="1">
      <c r="A15" s="141" t="s">
        <v>151</v>
      </c>
      <c r="B15" s="146">
        <v>4.6899999999999997E-2</v>
      </c>
      <c r="C15" s="121"/>
      <c r="D15" s="147"/>
      <c r="E15" s="148">
        <f t="shared" si="3"/>
        <v>-18677163.380000003</v>
      </c>
      <c r="F15" s="147">
        <v>-1246615.21</v>
      </c>
      <c r="G15" s="147">
        <v>901834.01</v>
      </c>
      <c r="H15" s="148">
        <f t="shared" si="0"/>
        <v>-73670.34</v>
      </c>
      <c r="I15" s="148">
        <f t="shared" si="1"/>
        <v>-19095614.920000002</v>
      </c>
      <c r="J15" s="107"/>
      <c r="K15" s="124" t="str">
        <f>_xll.Get_Balance(A15,"YTD","USD","Total","A","","001","191010","GD","WA","DL")</f>
        <v>Error (Logon)</v>
      </c>
      <c r="L15" s="125" t="e">
        <f t="shared" si="2"/>
        <v>#VALUE!</v>
      </c>
      <c r="M15" s="107"/>
    </row>
    <row r="16" spans="1:13" s="104" customFormat="1" ht="15.6" hidden="1" customHeight="1" outlineLevel="1">
      <c r="A16" s="141" t="s">
        <v>152</v>
      </c>
      <c r="B16" s="146">
        <v>4.9599999999999998E-2</v>
      </c>
      <c r="C16" s="121"/>
      <c r="D16" s="147"/>
      <c r="E16" s="148">
        <f>I15</f>
        <v>-19095614.920000002</v>
      </c>
      <c r="F16" s="147">
        <v>-3845502.55</v>
      </c>
      <c r="G16" s="147">
        <v>139618.94</v>
      </c>
      <c r="H16" s="148">
        <f t="shared" si="0"/>
        <v>-86587.37</v>
      </c>
      <c r="I16" s="148">
        <f t="shared" si="1"/>
        <v>-22888085.900000002</v>
      </c>
      <c r="J16" s="107"/>
      <c r="K16" s="124" t="str">
        <f>_xll.Get_Balance(A16,"YTD","USD","Total","A","","001","191010","GD","WA","DL")</f>
        <v>Error (Logon)</v>
      </c>
      <c r="L16" s="125" t="e">
        <f t="shared" si="2"/>
        <v>#VALUE!</v>
      </c>
      <c r="M16" s="107"/>
    </row>
    <row r="17" spans="1:13" s="104" customFormat="1" ht="15.6" hidden="1" customHeight="1" outlineLevel="1">
      <c r="A17" s="141" t="s">
        <v>153</v>
      </c>
      <c r="B17" s="146">
        <v>4.9599999999999998E-2</v>
      </c>
      <c r="C17" s="121"/>
      <c r="D17" s="147">
        <f>-I12</f>
        <v>15619860.030000001</v>
      </c>
      <c r="E17" s="148">
        <f>I16+D17</f>
        <v>-7268225.870000001</v>
      </c>
      <c r="F17" s="147">
        <v>-3344640.68</v>
      </c>
      <c r="G17" s="147">
        <v>-647678.44999999995</v>
      </c>
      <c r="H17" s="148">
        <f t="shared" si="0"/>
        <v>-38292.79</v>
      </c>
      <c r="I17" s="148">
        <f>SUM(E17:H17)</f>
        <v>-11298837.789999999</v>
      </c>
      <c r="J17" s="107"/>
      <c r="K17" s="124" t="str">
        <f>_xll.Get_Balance(A17,"YTD","USD","Total","A","","001","191010","GD","WA","DL")</f>
        <v>Error (Logon)</v>
      </c>
      <c r="L17" s="125" t="e">
        <f t="shared" si="2"/>
        <v>#VALUE!</v>
      </c>
      <c r="M17" s="110" t="s">
        <v>155</v>
      </c>
    </row>
    <row r="18" spans="1:13" s="104" customFormat="1" ht="16.2" collapsed="1" thickBot="1">
      <c r="A18" s="142" t="s">
        <v>142</v>
      </c>
      <c r="B18" s="151">
        <v>4.9599999999999998E-2</v>
      </c>
      <c r="C18" s="143"/>
      <c r="D18" s="152"/>
      <c r="E18" s="130">
        <f t="shared" ref="E18:E28" si="4">I17+D18</f>
        <v>-11298837.789999999</v>
      </c>
      <c r="F18" s="152">
        <v>63791.75</v>
      </c>
      <c r="G18" s="152">
        <v>-1317734.47</v>
      </c>
      <c r="H18" s="153">
        <f t="shared" si="0"/>
        <v>-49293.34</v>
      </c>
      <c r="I18" s="153">
        <f>SUM(E18:H18)</f>
        <v>-12602073.85</v>
      </c>
      <c r="J18" s="144"/>
      <c r="K18" s="131" t="str">
        <f>_xll.Get_Balance(A18,"YTD","USD","Total","A","","001","191010","GD","WA","DL")</f>
        <v>Error (Logon)</v>
      </c>
      <c r="L18" s="132" t="e">
        <f t="shared" ref="L18" si="5">K18-I18</f>
        <v>#VALUE!</v>
      </c>
      <c r="M18" s="139"/>
    </row>
    <row r="19" spans="1:13" s="104" customFormat="1" ht="15.6">
      <c r="A19" s="145">
        <v>201901</v>
      </c>
      <c r="B19" s="146">
        <v>5.1799999999999999E-2</v>
      </c>
      <c r="C19" s="121"/>
      <c r="D19" s="147">
        <v>0</v>
      </c>
      <c r="E19" s="148">
        <f t="shared" si="4"/>
        <v>-12602073.85</v>
      </c>
      <c r="F19" s="147">
        <v>873899.58</v>
      </c>
      <c r="G19" s="147">
        <v>-1334486.6000000001</v>
      </c>
      <c r="H19" s="148">
        <f t="shared" si="0"/>
        <v>-55393.05</v>
      </c>
      <c r="I19" s="148">
        <f>SUM(E19:H19)</f>
        <v>-13118053.92</v>
      </c>
      <c r="J19" s="123"/>
      <c r="K19" s="149" t="str">
        <f>_xll.Get_Balance(A19,"YTD","USD","Total","A","","001","191010","GD","WA","DL")</f>
        <v>Error (Logon)</v>
      </c>
      <c r="L19" s="150" t="e">
        <f>K19-I19</f>
        <v>#VALUE!</v>
      </c>
      <c r="M19" s="139"/>
    </row>
    <row r="20" spans="1:13" s="104" customFormat="1" ht="15.6">
      <c r="A20" s="141">
        <f>A19+1</f>
        <v>201902</v>
      </c>
      <c r="B20" s="126">
        <v>5.1799999999999999E-2</v>
      </c>
      <c r="C20" s="121"/>
      <c r="D20" s="127">
        <v>0</v>
      </c>
      <c r="E20" s="148">
        <f t="shared" si="4"/>
        <v>-13118053.92</v>
      </c>
      <c r="F20" s="127">
        <v>7465399.5499999998</v>
      </c>
      <c r="G20" s="127">
        <v>-1785534.75</v>
      </c>
      <c r="H20" s="122">
        <f t="shared" si="0"/>
        <v>-44367.22</v>
      </c>
      <c r="I20" s="122">
        <f t="shared" ref="I20:I30" si="6">SUM(E20:H20)</f>
        <v>-7482556.3399999999</v>
      </c>
      <c r="J20" s="123"/>
      <c r="K20" s="124" t="str">
        <f>_xll.Get_Balance(A20,"YTD","USD","Total","A","","001","191010","GD","WA","DL")</f>
        <v>Error (Logon)</v>
      </c>
      <c r="L20" s="125" t="e">
        <f t="shared" ref="L20:L30" si="7">K20-I20</f>
        <v>#VALUE!</v>
      </c>
      <c r="M20" s="139"/>
    </row>
    <row r="21" spans="1:13" s="104" customFormat="1" ht="15.6">
      <c r="A21" s="141">
        <f t="shared" ref="A21:A30" si="8">A20+1</f>
        <v>201903</v>
      </c>
      <c r="B21" s="126">
        <v>5.1799999999999999E-2</v>
      </c>
      <c r="C21" s="121"/>
      <c r="D21" s="127">
        <v>0</v>
      </c>
      <c r="E21" s="148">
        <f t="shared" si="4"/>
        <v>-7482556.3399999999</v>
      </c>
      <c r="F21" s="127">
        <v>11814911.9</v>
      </c>
      <c r="G21" s="127">
        <v>-985772.65448000049</v>
      </c>
      <c r="H21" s="122">
        <f t="shared" si="0"/>
        <v>-8926.81</v>
      </c>
      <c r="I21" s="122">
        <f t="shared" si="6"/>
        <v>3337656.09552</v>
      </c>
      <c r="J21" s="123"/>
      <c r="K21" s="124" t="str">
        <f>_xll.Get_Balance(A21,"YTD","USD","Total","A","","001","191010","GD","WA","DL")</f>
        <v>Error (Logon)</v>
      </c>
      <c r="L21" s="125" t="e">
        <f t="shared" si="7"/>
        <v>#VALUE!</v>
      </c>
      <c r="M21" s="139"/>
    </row>
    <row r="22" spans="1:13" s="104" customFormat="1" ht="15.6">
      <c r="A22" s="141">
        <f t="shared" si="8"/>
        <v>201904</v>
      </c>
      <c r="B22" s="126">
        <v>5.45E-2</v>
      </c>
      <c r="C22" s="121"/>
      <c r="D22" s="127">
        <v>0</v>
      </c>
      <c r="E22" s="148">
        <f t="shared" si="4"/>
        <v>3337656.09552</v>
      </c>
      <c r="F22" s="127">
        <v>-11480.7391099995</v>
      </c>
      <c r="G22" s="127">
        <v>186719.40449999948</v>
      </c>
      <c r="H22" s="122">
        <f t="shared" si="0"/>
        <v>15556.46</v>
      </c>
      <c r="I22" s="122">
        <f t="shared" si="6"/>
        <v>3528451.2209099997</v>
      </c>
      <c r="J22" s="123"/>
      <c r="K22" s="124" t="str">
        <f>_xll.Get_Balance(A22,"YTD","USD","Total","A","","001","191010","GD","WA","DL")</f>
        <v>Error (Logon)</v>
      </c>
      <c r="L22" s="125" t="e">
        <f t="shared" si="7"/>
        <v>#VALUE!</v>
      </c>
      <c r="M22" s="139"/>
    </row>
    <row r="23" spans="1:13" s="104" customFormat="1" ht="15.6">
      <c r="A23" s="141">
        <f t="shared" si="8"/>
        <v>201905</v>
      </c>
      <c r="B23" s="126">
        <v>5.45E-2</v>
      </c>
      <c r="C23" s="121"/>
      <c r="D23" s="127">
        <v>0</v>
      </c>
      <c r="E23" s="148">
        <f t="shared" si="4"/>
        <v>3528451.2209099997</v>
      </c>
      <c r="F23" s="127">
        <v>-952607.0659879999</v>
      </c>
      <c r="G23" s="127">
        <v>818163.24584600015</v>
      </c>
      <c r="H23" s="122">
        <f t="shared" si="0"/>
        <v>15719.75</v>
      </c>
      <c r="I23" s="122">
        <f t="shared" si="6"/>
        <v>3409727.1507679997</v>
      </c>
      <c r="J23" s="123"/>
      <c r="K23" s="124" t="str">
        <f>_xll.Get_Balance(A23,"YTD","USD","Total","A","","001","191010","GD","WA","DL")</f>
        <v>Error (Logon)</v>
      </c>
      <c r="L23" s="125" t="e">
        <f t="shared" si="7"/>
        <v>#VALUE!</v>
      </c>
      <c r="M23" s="139"/>
    </row>
    <row r="24" spans="1:13" s="104" customFormat="1" ht="15.6">
      <c r="A24" s="141">
        <f t="shared" si="8"/>
        <v>201906</v>
      </c>
      <c r="B24" s="126">
        <v>5.45E-2</v>
      </c>
      <c r="C24" s="121"/>
      <c r="D24" s="127">
        <v>0</v>
      </c>
      <c r="E24" s="148">
        <f t="shared" si="4"/>
        <v>3409727.1507679997</v>
      </c>
      <c r="F24" s="127">
        <v>-1677072.7479539998</v>
      </c>
      <c r="G24" s="127">
        <v>1035638.2793719999</v>
      </c>
      <c r="H24" s="122">
        <f t="shared" si="0"/>
        <v>14029.25</v>
      </c>
      <c r="I24" s="122">
        <f t="shared" si="6"/>
        <v>2782321.932186</v>
      </c>
      <c r="J24" s="123"/>
      <c r="K24" s="124" t="str">
        <f>_xll.Get_Balance(A24,"YTD","USD","Total","A","","001","191010","GD","WA","DL")</f>
        <v>Error (Logon)</v>
      </c>
      <c r="L24" s="125" t="e">
        <f t="shared" si="7"/>
        <v>#VALUE!</v>
      </c>
      <c r="M24" s="139"/>
    </row>
    <row r="25" spans="1:13" s="104" customFormat="1" ht="15.6">
      <c r="A25" s="141">
        <f t="shared" si="8"/>
        <v>201907</v>
      </c>
      <c r="B25" s="126">
        <v>5.5E-2</v>
      </c>
      <c r="C25" s="121"/>
      <c r="D25" s="127">
        <v>0</v>
      </c>
      <c r="E25" s="148">
        <f t="shared" si="4"/>
        <v>2782321.932186</v>
      </c>
      <c r="F25" s="127">
        <v>-2084272.6869100002</v>
      </c>
      <c r="G25" s="127">
        <v>1097771.3497720002</v>
      </c>
      <c r="H25" s="122">
        <f t="shared" si="0"/>
        <v>10491.58</v>
      </c>
      <c r="I25" s="122">
        <f>SUM(E25:H25)</f>
        <v>1806312.1750480002</v>
      </c>
      <c r="J25" s="123"/>
      <c r="K25" s="124" t="str">
        <f>_xll.Get_Balance(A25,"YTD","USD","Total","A","","001","191010","GD","WA","DL")</f>
        <v>Error (Logon)</v>
      </c>
      <c r="L25" s="125" t="e">
        <f t="shared" si="7"/>
        <v>#VALUE!</v>
      </c>
      <c r="M25" s="139"/>
    </row>
    <row r="26" spans="1:13" s="104" customFormat="1" ht="15.6">
      <c r="A26" s="141">
        <f t="shared" si="8"/>
        <v>201908</v>
      </c>
      <c r="B26" s="126">
        <v>5.5E-2</v>
      </c>
      <c r="C26" s="121"/>
      <c r="D26" s="127">
        <v>0</v>
      </c>
      <c r="E26" s="148">
        <f t="shared" si="4"/>
        <v>1806312.1750480002</v>
      </c>
      <c r="F26" s="127">
        <v>-2084597.87659</v>
      </c>
      <c r="G26" s="127">
        <v>1090213.9985399998</v>
      </c>
      <c r="H26" s="122">
        <f t="shared" si="0"/>
        <v>6000.13</v>
      </c>
      <c r="I26" s="122">
        <f>SUM(E26:H26)</f>
        <v>817928.42699800001</v>
      </c>
      <c r="J26" s="123"/>
      <c r="K26" s="124" t="str">
        <f>_xll.Get_Balance(A26,"YTD","USD","Total","A","","001","191010","GD","WA","DL")</f>
        <v>Error (Logon)</v>
      </c>
      <c r="L26" s="125" t="e">
        <f t="shared" si="7"/>
        <v>#VALUE!</v>
      </c>
      <c r="M26" s="139"/>
    </row>
    <row r="27" spans="1:13" s="104" customFormat="1" ht="15.6">
      <c r="A27" s="141">
        <f t="shared" si="8"/>
        <v>201909</v>
      </c>
      <c r="B27" s="126">
        <v>5.5E-2</v>
      </c>
      <c r="C27" s="121"/>
      <c r="D27" s="127">
        <v>0</v>
      </c>
      <c r="E27" s="148">
        <f t="shared" si="4"/>
        <v>817928.42699800001</v>
      </c>
      <c r="F27" s="127">
        <v>-2896604.7876560003</v>
      </c>
      <c r="G27" s="127">
        <v>822291.11362599931</v>
      </c>
      <c r="H27" s="122">
        <f t="shared" si="0"/>
        <v>-1004.8</v>
      </c>
      <c r="I27" s="122">
        <f t="shared" si="6"/>
        <v>-1257390.047032001</v>
      </c>
      <c r="J27" s="123"/>
      <c r="K27" s="124" t="str">
        <f>_xll.Get_Balance(A27,"YTD","USD","Total","A","","001","191010","GD","WA","DL")</f>
        <v>Error (Logon)</v>
      </c>
      <c r="L27" s="125" t="e">
        <f t="shared" si="7"/>
        <v>#VALUE!</v>
      </c>
      <c r="M27" s="139"/>
    </row>
    <row r="28" spans="1:13" s="104" customFormat="1" ht="15.6">
      <c r="A28" s="141">
        <f t="shared" si="8"/>
        <v>201910</v>
      </c>
      <c r="B28" s="126">
        <v>5.4199999999999998E-2</v>
      </c>
      <c r="C28" s="121"/>
      <c r="D28" s="127">
        <v>0</v>
      </c>
      <c r="E28" s="148">
        <f t="shared" si="4"/>
        <v>-1257390.047032001</v>
      </c>
      <c r="F28" s="127">
        <v>-678463.68177200016</v>
      </c>
      <c r="G28" s="127">
        <v>-250377.6643440004</v>
      </c>
      <c r="H28" s="122">
        <f t="shared" si="0"/>
        <v>-7776.85</v>
      </c>
      <c r="I28" s="122">
        <f t="shared" si="6"/>
        <v>-2194008.2431480014</v>
      </c>
      <c r="J28" s="123"/>
      <c r="K28" s="124" t="str">
        <f>_xll.Get_Balance(A28,"YTD","USD","Total","A","","001","191010","GD","WA","DL")</f>
        <v>Error (Logon)</v>
      </c>
      <c r="L28" s="125" t="e">
        <f t="shared" si="7"/>
        <v>#VALUE!</v>
      </c>
      <c r="M28" s="139"/>
    </row>
    <row r="29" spans="1:13" s="104" customFormat="1" ht="15.6">
      <c r="A29" s="141">
        <f t="shared" si="8"/>
        <v>201911</v>
      </c>
      <c r="B29" s="126">
        <v>5.4199999999999998E-2</v>
      </c>
      <c r="C29" s="121"/>
      <c r="D29" s="127">
        <f>-I28</f>
        <v>2194008.2431480014</v>
      </c>
      <c r="E29" s="148">
        <f>I28+D29</f>
        <v>0</v>
      </c>
      <c r="F29" s="127">
        <v>149111.48603400169</v>
      </c>
      <c r="G29" s="127">
        <v>-807237.82280400023</v>
      </c>
      <c r="H29" s="122">
        <f>ROUND((E29*(B29/12))+((SUM(F29:G29)/2)*(B29/12)),2)</f>
        <v>-1486.27</v>
      </c>
      <c r="I29" s="122">
        <f>SUM(E29:H29)</f>
        <v>-659612.60676999856</v>
      </c>
      <c r="J29" s="123"/>
      <c r="K29" s="124" t="str">
        <f>_xll.Get_Balance(A29,"YTD","USD","Total","A","","001","191010","GD","WA","DL")</f>
        <v>Error (Logon)</v>
      </c>
      <c r="L29" s="125" t="e">
        <f t="shared" si="7"/>
        <v>#VALUE!</v>
      </c>
      <c r="M29" s="110" t="s">
        <v>154</v>
      </c>
    </row>
    <row r="30" spans="1:13" s="104" customFormat="1" ht="16.2" thickBot="1">
      <c r="A30" s="142">
        <f t="shared" si="8"/>
        <v>201912</v>
      </c>
      <c r="B30" s="128">
        <v>5.4199999999999998E-2</v>
      </c>
      <c r="C30" s="143"/>
      <c r="D30" s="129">
        <v>0</v>
      </c>
      <c r="E30" s="130">
        <f>I29+D30</f>
        <v>-659612.60676999856</v>
      </c>
      <c r="F30" s="129">
        <f>821729.862943999-0.02</f>
        <v>821729.84294399898</v>
      </c>
      <c r="G30" s="129">
        <v>-964290.51430800045</v>
      </c>
      <c r="H30" s="130">
        <f>ROUND(((E30)*(B30/12))+((SUM(F30:G30)/2)*(B30/12)),2)</f>
        <v>-3301.2</v>
      </c>
      <c r="I30" s="130">
        <f t="shared" si="6"/>
        <v>-805474.47813399998</v>
      </c>
      <c r="J30" s="144"/>
      <c r="K30" s="131" t="str">
        <f>_xll.Get_Balance(A30,"YTD","USD","Total","A","","001","191010","GD","WA","DL")</f>
        <v>Error (Logon)</v>
      </c>
      <c r="L30" s="132" t="e">
        <f t="shared" si="7"/>
        <v>#VALUE!</v>
      </c>
      <c r="M30" s="139"/>
    </row>
    <row r="31" spans="1:13" s="104" customFormat="1" ht="15.6">
      <c r="A31" s="145">
        <v>202001</v>
      </c>
      <c r="B31" s="146">
        <v>4.9599999999999998E-2</v>
      </c>
      <c r="C31" s="121"/>
      <c r="D31" s="147">
        <v>0</v>
      </c>
      <c r="E31" s="148">
        <f>I30+D31</f>
        <v>-805474.47813399998</v>
      </c>
      <c r="F31" s="147">
        <f>Jan!$H$55</f>
        <v>465507.08934299834</v>
      </c>
      <c r="G31" s="147">
        <f>Jan!$I$55</f>
        <v>-1019075.8062920009</v>
      </c>
      <c r="H31" s="281">
        <f t="shared" ref="H31:H42" si="9">ROUND(((E31)*(B31/12))+((SUM(F31:G31)/2)*(B31/12)),2)</f>
        <v>-4473.34</v>
      </c>
      <c r="I31" s="148">
        <f>SUM(E31:H31)</f>
        <v>-1363516.5350830026</v>
      </c>
      <c r="J31" s="123"/>
      <c r="K31" s="149" t="str">
        <f>_xll.Get_Balance(A31,"YTD","USD","Total","A","","001","191010","GD","WA","DL")</f>
        <v>Error (Logon)</v>
      </c>
      <c r="L31" s="150" t="e">
        <f t="shared" ref="L31:L36" si="10">K31-I31</f>
        <v>#VALUE!</v>
      </c>
      <c r="M31" s="139"/>
    </row>
    <row r="32" spans="1:13" s="104" customFormat="1" ht="15.6">
      <c r="A32" s="141">
        <f>A31+1</f>
        <v>202002</v>
      </c>
      <c r="B32" s="146">
        <v>4.9599999999999998E-2</v>
      </c>
      <c r="C32" s="121"/>
      <c r="D32" s="127">
        <v>0</v>
      </c>
      <c r="E32" s="148">
        <f>I31+D32</f>
        <v>-1363516.5350830026</v>
      </c>
      <c r="F32" s="147">
        <f>Feb!$H$54</f>
        <v>357241.75332700042</v>
      </c>
      <c r="G32" s="278">
        <f>Feb!$I$54</f>
        <v>-930160.93573400006</v>
      </c>
      <c r="H32" s="122">
        <f t="shared" si="9"/>
        <v>-6819.9</v>
      </c>
      <c r="I32" s="177">
        <f t="shared" ref="I32:I36" si="11">SUM(E32:H32)</f>
        <v>-1943255.6174900022</v>
      </c>
      <c r="J32" s="123"/>
      <c r="K32" s="149" t="str">
        <f>_xll.Get_Balance(A32,"YTD","USD","Total","A","","001","191010","GD","WA","DL")</f>
        <v>Error (Logon)</v>
      </c>
      <c r="L32" s="150" t="e">
        <f t="shared" si="10"/>
        <v>#VALUE!</v>
      </c>
      <c r="M32" s="139"/>
    </row>
    <row r="33" spans="1:23" s="104" customFormat="1" ht="15.6">
      <c r="A33" s="141">
        <f t="shared" ref="A33:A42" si="12">A32+1</f>
        <v>202003</v>
      </c>
      <c r="B33" s="146">
        <v>4.9599999999999998E-2</v>
      </c>
      <c r="C33" s="121"/>
      <c r="D33" s="127">
        <v>0</v>
      </c>
      <c r="E33" s="148">
        <f>I32+D33</f>
        <v>-1943255.6174900022</v>
      </c>
      <c r="F33" s="147">
        <f>Mar!$H$54</f>
        <v>-16044.36190700205</v>
      </c>
      <c r="G33" s="278">
        <f>Mar!$I$54</f>
        <v>-702834.43791600014</v>
      </c>
      <c r="H33" s="122">
        <f>ROUND(((E33)*(B33/12))+((SUM(F33:G33)/2)*(B33/12)),2)</f>
        <v>-9517.81</v>
      </c>
      <c r="I33" s="177">
        <f t="shared" si="11"/>
        <v>-2671652.2273130044</v>
      </c>
      <c r="J33" s="123"/>
      <c r="K33" s="149" t="str">
        <f>_xll.Get_Balance(A33,"YTD","USD","Total","A","","001","191010","GD","WA","DL")</f>
        <v>Error (Logon)</v>
      </c>
      <c r="L33" s="150" t="e">
        <f t="shared" si="10"/>
        <v>#VALUE!</v>
      </c>
      <c r="M33" s="139"/>
    </row>
    <row r="34" spans="1:23" s="104" customFormat="1" ht="15.6">
      <c r="A34" s="141">
        <f t="shared" si="12"/>
        <v>202004</v>
      </c>
      <c r="B34" s="146">
        <v>4.7500000000000001E-2</v>
      </c>
      <c r="C34" s="121"/>
      <c r="D34" s="127">
        <v>0</v>
      </c>
      <c r="E34" s="148">
        <f t="shared" ref="E34:E42" si="13">I33+D34</f>
        <v>-2671652.2273130044</v>
      </c>
      <c r="F34" s="147">
        <f>Apr!$H$54</f>
        <v>-286572.46695799823</v>
      </c>
      <c r="G34" s="278">
        <f>Apr!$I$54</f>
        <v>354965.17556600017</v>
      </c>
      <c r="H34" s="122">
        <f t="shared" si="9"/>
        <v>-10439.93</v>
      </c>
      <c r="I34" s="177">
        <f t="shared" si="11"/>
        <v>-2613699.4487050031</v>
      </c>
      <c r="J34" s="123"/>
      <c r="K34" s="149" t="str">
        <f>_xll.Get_Balance(A34,"YTD","USD","Total","A","","001","191010","GD","WA","DL")</f>
        <v>Error (Logon)</v>
      </c>
      <c r="L34" s="150" t="e">
        <f t="shared" si="10"/>
        <v>#VALUE!</v>
      </c>
      <c r="M34" s="139"/>
    </row>
    <row r="35" spans="1:23" s="104" customFormat="1" ht="15.6">
      <c r="A35" s="141">
        <f t="shared" si="12"/>
        <v>202005</v>
      </c>
      <c r="B35" s="146">
        <v>4.7500000000000001E-2</v>
      </c>
      <c r="C35" s="121"/>
      <c r="D35" s="127">
        <v>0</v>
      </c>
      <c r="E35" s="148">
        <f t="shared" si="13"/>
        <v>-2613699.4487050031</v>
      </c>
      <c r="F35" s="147">
        <f>May!$H$54</f>
        <v>-349533.46451799979</v>
      </c>
      <c r="G35" s="278">
        <f>May!$I$54</f>
        <v>790807.96102399973</v>
      </c>
      <c r="H35" s="122">
        <f t="shared" si="9"/>
        <v>-9472.5400000000009</v>
      </c>
      <c r="I35" s="177">
        <f t="shared" si="11"/>
        <v>-2181897.4921990032</v>
      </c>
      <c r="J35" s="123"/>
      <c r="K35" s="149" t="str">
        <f>_xll.Get_Balance(A35,"YTD","USD","Total","A","","001","191010","GD","WA","DL")</f>
        <v>Error (Logon)</v>
      </c>
      <c r="L35" s="150" t="e">
        <f t="shared" si="10"/>
        <v>#VALUE!</v>
      </c>
      <c r="M35" s="139"/>
    </row>
    <row r="36" spans="1:23" s="104" customFormat="1" ht="15.6">
      <c r="A36" s="141">
        <f t="shared" si="12"/>
        <v>202006</v>
      </c>
      <c r="B36" s="146">
        <v>4.7500000000000001E-2</v>
      </c>
      <c r="C36" s="121"/>
      <c r="D36" s="127">
        <v>0</v>
      </c>
      <c r="E36" s="148">
        <f t="shared" si="13"/>
        <v>-2181897.4921990032</v>
      </c>
      <c r="F36" s="147">
        <f>June!$H$54</f>
        <v>-221914.22001199971</v>
      </c>
      <c r="G36" s="278">
        <f>June!$I$54</f>
        <v>995442.01104200003</v>
      </c>
      <c r="H36" s="122">
        <f t="shared" si="9"/>
        <v>-7105.74</v>
      </c>
      <c r="I36" s="177">
        <f t="shared" si="11"/>
        <v>-1415475.441169003</v>
      </c>
      <c r="J36" s="123"/>
      <c r="K36" s="149" t="str">
        <f>_xll.Get_Balance(A36,"YTD","USD","Total","A","","001","191010","GD","WA","DL")</f>
        <v>Error (Logon)</v>
      </c>
      <c r="L36" s="150" t="e">
        <f t="shared" si="10"/>
        <v>#VALUE!</v>
      </c>
      <c r="M36" s="139"/>
    </row>
    <row r="37" spans="1:23" s="104" customFormat="1" ht="15.6">
      <c r="A37" s="141">
        <f t="shared" si="12"/>
        <v>202007</v>
      </c>
      <c r="B37" s="126"/>
      <c r="C37" s="121"/>
      <c r="D37" s="127">
        <v>0</v>
      </c>
      <c r="E37" s="148">
        <f t="shared" si="13"/>
        <v>-1415475.441169003</v>
      </c>
      <c r="F37" s="127"/>
      <c r="G37" s="279"/>
      <c r="H37" s="122">
        <f t="shared" si="9"/>
        <v>0</v>
      </c>
      <c r="I37" s="177">
        <f>SUM(E37:H37)</f>
        <v>-1415475.441169003</v>
      </c>
      <c r="J37" s="123"/>
      <c r="K37" s="124"/>
      <c r="L37" s="125"/>
      <c r="M37" s="139"/>
    </row>
    <row r="38" spans="1:23" s="104" customFormat="1" ht="15.6">
      <c r="A38" s="141">
        <f t="shared" si="12"/>
        <v>202008</v>
      </c>
      <c r="B38" s="126"/>
      <c r="C38" s="121"/>
      <c r="D38" s="127">
        <v>0</v>
      </c>
      <c r="E38" s="148">
        <f t="shared" si="13"/>
        <v>-1415475.441169003</v>
      </c>
      <c r="F38" s="127"/>
      <c r="G38" s="279"/>
      <c r="H38" s="122">
        <f t="shared" si="9"/>
        <v>0</v>
      </c>
      <c r="I38" s="177">
        <f>SUM(E38:H38)</f>
        <v>-1415475.441169003</v>
      </c>
      <c r="J38" s="123"/>
      <c r="K38" s="124"/>
      <c r="L38" s="125"/>
      <c r="M38" s="139"/>
    </row>
    <row r="39" spans="1:23" s="104" customFormat="1" ht="15.6">
      <c r="A39" s="141">
        <f t="shared" si="12"/>
        <v>202009</v>
      </c>
      <c r="B39" s="126"/>
      <c r="C39" s="121"/>
      <c r="D39" s="127">
        <v>0</v>
      </c>
      <c r="E39" s="148">
        <f t="shared" si="13"/>
        <v>-1415475.441169003</v>
      </c>
      <c r="F39" s="127"/>
      <c r="G39" s="279"/>
      <c r="H39" s="122">
        <f t="shared" si="9"/>
        <v>0</v>
      </c>
      <c r="I39" s="177">
        <f t="shared" ref="I39:I40" si="14">SUM(E39:H39)</f>
        <v>-1415475.441169003</v>
      </c>
      <c r="J39" s="123"/>
      <c r="K39" s="124"/>
      <c r="L39" s="125"/>
      <c r="M39" s="139"/>
    </row>
    <row r="40" spans="1:23" s="104" customFormat="1" ht="15.6">
      <c r="A40" s="141">
        <f t="shared" si="12"/>
        <v>202010</v>
      </c>
      <c r="B40" s="126"/>
      <c r="C40" s="121"/>
      <c r="D40" s="127">
        <v>0</v>
      </c>
      <c r="E40" s="148">
        <f t="shared" si="13"/>
        <v>-1415475.441169003</v>
      </c>
      <c r="F40" s="127"/>
      <c r="G40" s="279"/>
      <c r="H40" s="122">
        <f t="shared" si="9"/>
        <v>0</v>
      </c>
      <c r="I40" s="177">
        <f t="shared" si="14"/>
        <v>-1415475.441169003</v>
      </c>
      <c r="J40" s="123"/>
      <c r="K40" s="124"/>
      <c r="L40" s="125"/>
      <c r="M40" s="139"/>
    </row>
    <row r="41" spans="1:23" s="104" customFormat="1" ht="15.6">
      <c r="A41" s="141">
        <f t="shared" si="12"/>
        <v>202011</v>
      </c>
      <c r="B41" s="126"/>
      <c r="C41" s="121"/>
      <c r="D41" s="127"/>
      <c r="E41" s="148">
        <f t="shared" si="13"/>
        <v>-1415475.441169003</v>
      </c>
      <c r="F41" s="127"/>
      <c r="G41" s="279"/>
      <c r="H41" s="122">
        <f t="shared" si="9"/>
        <v>0</v>
      </c>
      <c r="I41" s="177">
        <f>SUM(E41:H41)</f>
        <v>-1415475.441169003</v>
      </c>
      <c r="J41" s="123"/>
      <c r="K41" s="124"/>
      <c r="L41" s="125"/>
      <c r="M41" s="110"/>
    </row>
    <row r="42" spans="1:23" s="104" customFormat="1" ht="16.2" thickBot="1">
      <c r="A42" s="142">
        <f t="shared" si="12"/>
        <v>202012</v>
      </c>
      <c r="B42" s="128"/>
      <c r="C42" s="143"/>
      <c r="D42" s="129">
        <v>0</v>
      </c>
      <c r="E42" s="130">
        <f t="shared" si="13"/>
        <v>-1415475.441169003</v>
      </c>
      <c r="F42" s="129"/>
      <c r="G42" s="280"/>
      <c r="H42" s="130">
        <f t="shared" si="9"/>
        <v>0</v>
      </c>
      <c r="I42" s="191">
        <f t="shared" ref="I42" si="15">SUM(E42:H42)</f>
        <v>-1415475.441169003</v>
      </c>
      <c r="J42" s="144"/>
      <c r="K42" s="131"/>
      <c r="L42" s="132"/>
      <c r="M42" s="139"/>
    </row>
    <row r="43" spans="1:23" ht="15.6">
      <c r="A43" s="119"/>
      <c r="B43" s="119"/>
      <c r="C43" s="120"/>
      <c r="D43" s="133">
        <f>SUMIF($A$19:$A$42,$D46,D$19:D$42)</f>
        <v>0</v>
      </c>
      <c r="E43" s="119"/>
      <c r="F43" s="133">
        <f>SUMIF($A$19:$A$42,$D46,F$19:F$42)</f>
        <v>-221914.22001199971</v>
      </c>
      <c r="G43" s="133">
        <f>SUMIF($A$19:$A$42,$D46,G$19:G$42)</f>
        <v>995442.01104200003</v>
      </c>
      <c r="H43" s="133">
        <f>SUMIF($A$19:$A$42,$D46,H$19:H$42)</f>
        <v>-7105.74</v>
      </c>
      <c r="I43" s="134" t="s">
        <v>131</v>
      </c>
      <c r="J43" s="120"/>
      <c r="K43" s="119"/>
      <c r="L43" s="119"/>
      <c r="M43" s="138"/>
      <c r="Q43" s="109"/>
      <c r="R43" s="110"/>
      <c r="S43" s="110"/>
      <c r="T43" s="111"/>
      <c r="U43" s="97"/>
      <c r="V43" s="97"/>
      <c r="W43" s="97"/>
    </row>
    <row r="44" spans="1:23" s="196" customFormat="1">
      <c r="A44" s="137"/>
      <c r="B44" s="137"/>
      <c r="C44" s="193"/>
      <c r="D44" s="194" t="s">
        <v>157</v>
      </c>
      <c r="E44" s="137"/>
      <c r="F44" s="194" t="s">
        <v>143</v>
      </c>
      <c r="G44" s="194" t="s">
        <v>144</v>
      </c>
      <c r="H44" s="194" t="s">
        <v>145</v>
      </c>
      <c r="I44" s="137"/>
      <c r="J44" s="193"/>
      <c r="K44" s="137"/>
      <c r="L44" s="137"/>
      <c r="M44" s="195"/>
      <c r="Q44" s="197"/>
      <c r="R44" s="197"/>
      <c r="S44" s="197"/>
      <c r="T44" s="197"/>
      <c r="U44" s="197"/>
      <c r="V44" s="197"/>
      <c r="W44" s="197"/>
    </row>
    <row r="45" spans="1:23">
      <c r="A45" s="119"/>
      <c r="B45" s="119"/>
      <c r="C45" s="120"/>
      <c r="D45" s="119"/>
      <c r="E45" s="119"/>
      <c r="F45" s="119"/>
      <c r="G45" s="119"/>
      <c r="H45" s="119"/>
      <c r="I45" s="119"/>
      <c r="J45" s="120"/>
      <c r="K45" s="119"/>
      <c r="L45" s="119"/>
      <c r="M45" s="138"/>
      <c r="Q45" s="97"/>
      <c r="R45" s="97"/>
      <c r="S45" s="97"/>
      <c r="T45" s="97"/>
      <c r="U45" s="97"/>
      <c r="V45" s="97"/>
      <c r="W45" s="97"/>
    </row>
    <row r="46" spans="1:23">
      <c r="A46" s="119"/>
      <c r="B46" s="119"/>
      <c r="C46" s="120"/>
      <c r="D46" s="112">
        <v>202006</v>
      </c>
      <c r="E46" s="113" t="s">
        <v>132</v>
      </c>
      <c r="F46" s="114"/>
      <c r="G46" s="119"/>
      <c r="H46" s="119"/>
      <c r="I46" s="119"/>
      <c r="J46" s="120"/>
      <c r="K46" s="119"/>
      <c r="L46" s="119"/>
      <c r="M46" s="138"/>
    </row>
    <row r="47" spans="1:23">
      <c r="A47" s="119"/>
      <c r="B47" s="119"/>
      <c r="C47" s="120"/>
      <c r="D47" s="115" t="s">
        <v>133</v>
      </c>
      <c r="E47" s="115" t="s">
        <v>134</v>
      </c>
      <c r="F47" s="115" t="s">
        <v>135</v>
      </c>
      <c r="G47" s="119"/>
      <c r="H47" s="119"/>
      <c r="I47" s="119"/>
      <c r="J47" s="120"/>
      <c r="K47" s="119"/>
      <c r="L47" s="119"/>
      <c r="M47" s="138"/>
    </row>
    <row r="48" spans="1:23">
      <c r="A48" s="119"/>
      <c r="B48" s="119"/>
      <c r="C48" s="135" t="s">
        <v>36</v>
      </c>
      <c r="D48" s="116" t="s">
        <v>136</v>
      </c>
      <c r="E48" s="117"/>
      <c r="F48" s="118" t="str">
        <f>IF($H$43&gt;0,ABS($H$43),"")</f>
        <v/>
      </c>
      <c r="G48" s="137" t="s">
        <v>145</v>
      </c>
      <c r="H48" s="119"/>
      <c r="I48" s="119"/>
      <c r="J48" s="120"/>
      <c r="K48" s="119"/>
      <c r="L48" s="119"/>
      <c r="M48" s="138"/>
    </row>
    <row r="49" spans="1:13">
      <c r="A49" s="119"/>
      <c r="B49" s="119"/>
      <c r="C49" s="135" t="s">
        <v>140</v>
      </c>
      <c r="D49" s="116" t="s">
        <v>137</v>
      </c>
      <c r="E49" s="118">
        <f>IF($H$43&lt;0,ABS($H$43),"")</f>
        <v>7105.74</v>
      </c>
      <c r="F49" s="117"/>
      <c r="G49" s="137" t="s">
        <v>145</v>
      </c>
      <c r="H49" s="119"/>
      <c r="I49" s="119"/>
      <c r="J49" s="120"/>
      <c r="K49" s="119"/>
      <c r="L49" s="119"/>
      <c r="M49" s="138"/>
    </row>
    <row r="50" spans="1:13">
      <c r="A50" s="119"/>
      <c r="B50" s="119"/>
      <c r="C50" s="135" t="s">
        <v>184</v>
      </c>
      <c r="D50" s="116" t="s">
        <v>138</v>
      </c>
      <c r="E50" s="118">
        <f>IF($F$43+$G$43+H43&gt;0,ABS($F$43+$G$43+H43),"")</f>
        <v>766422.05103000032</v>
      </c>
      <c r="F50" s="118" t="str">
        <f>IF($F$43+$G$43+H43&lt;0,ABS($F$43+$G$43+H43),"")</f>
        <v/>
      </c>
      <c r="G50" s="137" t="s">
        <v>146</v>
      </c>
      <c r="H50" s="119"/>
      <c r="I50" s="119"/>
      <c r="J50" s="120"/>
      <c r="K50" s="119"/>
      <c r="L50" s="119"/>
      <c r="M50" s="138"/>
    </row>
    <row r="51" spans="1:13">
      <c r="A51" s="119"/>
      <c r="B51" s="119"/>
      <c r="C51" s="135" t="s">
        <v>141</v>
      </c>
      <c r="D51" s="116" t="s">
        <v>139</v>
      </c>
      <c r="E51" s="118" t="str">
        <f>IF($F$43+$G$43&lt;0,ABS($F$43+$G$43),"")</f>
        <v/>
      </c>
      <c r="F51" s="118">
        <f>IF($F$43+$G$43&gt;0,ABS($F$43+$G$43),"")</f>
        <v>773527.79103000031</v>
      </c>
      <c r="G51" s="137" t="s">
        <v>147</v>
      </c>
      <c r="H51" s="119"/>
      <c r="I51" s="119"/>
      <c r="J51" s="120"/>
      <c r="K51" s="119"/>
      <c r="L51" s="119"/>
      <c r="M51" s="138"/>
    </row>
    <row r="52" spans="1:13">
      <c r="A52" s="119"/>
      <c r="B52" s="119"/>
      <c r="C52" s="120"/>
      <c r="D52" s="119"/>
      <c r="E52" s="119"/>
      <c r="F52" s="119"/>
      <c r="G52" s="137"/>
      <c r="H52" s="119"/>
      <c r="I52" s="119"/>
      <c r="J52" s="120"/>
      <c r="K52" s="119"/>
      <c r="L52" s="119"/>
      <c r="M52" s="138"/>
    </row>
    <row r="53" spans="1:13">
      <c r="A53" s="119"/>
      <c r="B53" s="119"/>
      <c r="C53" s="120"/>
      <c r="D53" s="119"/>
      <c r="E53" s="119"/>
      <c r="F53" s="136">
        <f>SUM(E48:E51)-SUM(F48:F51)</f>
        <v>0</v>
      </c>
      <c r="G53" s="137" t="s">
        <v>148</v>
      </c>
      <c r="H53" s="119"/>
      <c r="I53" s="119"/>
      <c r="J53" s="120"/>
      <c r="K53" s="119"/>
      <c r="L53" s="119"/>
      <c r="M53" s="138"/>
    </row>
    <row r="54" spans="1:13">
      <c r="G54" s="196"/>
    </row>
    <row r="55" spans="1:13" ht="15.6">
      <c r="D55" s="115" t="s">
        <v>156</v>
      </c>
      <c r="E55" s="154"/>
      <c r="F55" s="155"/>
      <c r="G55" s="198"/>
    </row>
    <row r="56" spans="1:13">
      <c r="D56" s="116" t="s">
        <v>138</v>
      </c>
      <c r="E56" s="118" t="str">
        <f>IF($D$43&gt;0,ABS($D$43),"")</f>
        <v/>
      </c>
      <c r="F56" s="157"/>
      <c r="G56" s="137" t="s">
        <v>157</v>
      </c>
    </row>
    <row r="57" spans="1:13">
      <c r="D57" s="156" t="s">
        <v>158</v>
      </c>
      <c r="E57" s="157"/>
      <c r="F57" s="118" t="str">
        <f>E56</f>
        <v/>
      </c>
      <c r="G57" s="158"/>
    </row>
  </sheetData>
  <pageMargins left="1" right="0" top="0.75" bottom="0.75" header="0.3" footer="0.3"/>
  <pageSetup scale="73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59"/>
  <sheetViews>
    <sheetView zoomScale="90" zoomScaleNormal="90" workbookViewId="0">
      <pane ySplit="6" topLeftCell="A33" activePane="bottomLeft" state="frozen"/>
      <selection activeCell="H72" sqref="H72"/>
      <selection pane="bottomLeft"/>
    </sheetView>
  </sheetViews>
  <sheetFormatPr defaultColWidth="8.88671875" defaultRowHeight="13.8" outlineLevelRow="1"/>
  <cols>
    <col min="1" max="1" width="9.109375" style="119" customWidth="1"/>
    <col min="2" max="2" width="9" style="119" bestFit="1" customWidth="1"/>
    <col min="3" max="3" width="14.109375" style="119" bestFit="1" customWidth="1"/>
    <col min="4" max="4" width="12.88671875" style="119" bestFit="1" customWidth="1"/>
    <col min="5" max="5" width="14.109375" style="119" bestFit="1" customWidth="1"/>
    <col min="6" max="6" width="14.21875" style="119" bestFit="1" customWidth="1"/>
    <col min="7" max="7" width="12.44140625" style="119" customWidth="1"/>
    <col min="8" max="8" width="13.109375" style="119" bestFit="1" customWidth="1"/>
    <col min="9" max="9" width="11.5546875" style="119" bestFit="1" customWidth="1"/>
    <col min="10" max="10" width="10.109375" style="119" bestFit="1" customWidth="1"/>
    <col min="11" max="11" width="12.44140625" style="119" bestFit="1" customWidth="1"/>
    <col min="12" max="12" width="11.5546875" style="119" bestFit="1" customWidth="1"/>
    <col min="13" max="13" width="11" style="119" bestFit="1" customWidth="1"/>
    <col min="14" max="14" width="11.5546875" style="119" bestFit="1" customWidth="1"/>
    <col min="15" max="15" width="11.21875" style="119" bestFit="1" customWidth="1"/>
    <col min="16" max="16" width="14.109375" style="119" bestFit="1" customWidth="1"/>
    <col min="17" max="17" width="1.6640625" style="186" customWidth="1"/>
    <col min="18" max="18" width="14.109375" style="119" bestFit="1" customWidth="1"/>
    <col min="19" max="19" width="11.109375" style="120" bestFit="1" customWidth="1"/>
    <col min="20" max="20" width="13.5546875" style="119" customWidth="1"/>
    <col min="21" max="21" width="13.88671875" style="119" bestFit="1" customWidth="1"/>
    <col min="22" max="24" width="8.88671875" style="119"/>
    <col min="25" max="25" width="12.6640625" style="119" customWidth="1"/>
    <col min="26" max="27" width="13.109375" style="119" bestFit="1" customWidth="1"/>
    <col min="28" max="16384" width="8.88671875" style="119"/>
  </cols>
  <sheetData>
    <row r="1" spans="1:21" s="100" customFormat="1" ht="15.6">
      <c r="A1" s="167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s="100" customFormat="1" ht="15.6">
      <c r="A2" s="167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1" s="100" customFormat="1" ht="15.6">
      <c r="A3" s="167" t="s">
        <v>183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1" s="100" customFormat="1" ht="15.6">
      <c r="A4" s="167" t="s">
        <v>116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1" s="103" customFormat="1" ht="14.4" thickBot="1">
      <c r="A5" s="16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21" s="165" customFormat="1" ht="56.4" customHeight="1">
      <c r="A6" s="106" t="s">
        <v>110</v>
      </c>
      <c r="B6" s="106" t="s">
        <v>100</v>
      </c>
      <c r="C6" s="106" t="s">
        <v>159</v>
      </c>
      <c r="D6" s="106" t="s">
        <v>162</v>
      </c>
      <c r="E6" s="181" t="s">
        <v>99</v>
      </c>
      <c r="F6" s="171" t="s">
        <v>178</v>
      </c>
      <c r="G6" s="172" t="s">
        <v>160</v>
      </c>
      <c r="H6" s="173" t="s">
        <v>124</v>
      </c>
      <c r="I6" s="171" t="s">
        <v>179</v>
      </c>
      <c r="J6" s="172" t="s">
        <v>160</v>
      </c>
      <c r="K6" s="173" t="s">
        <v>124</v>
      </c>
      <c r="L6" s="171" t="s">
        <v>180</v>
      </c>
      <c r="M6" s="172" t="s">
        <v>160</v>
      </c>
      <c r="N6" s="173" t="s">
        <v>124</v>
      </c>
      <c r="O6" s="184" t="s">
        <v>3</v>
      </c>
      <c r="P6" s="106" t="s">
        <v>23</v>
      </c>
      <c r="Q6" s="185"/>
      <c r="R6" s="108" t="s">
        <v>111</v>
      </c>
      <c r="S6" s="108" t="s">
        <v>112</v>
      </c>
    </row>
    <row r="7" spans="1:21" s="165" customFormat="1" hidden="1" outlineLevel="1" collapsed="1">
      <c r="A7" s="161" t="s">
        <v>113</v>
      </c>
      <c r="B7" s="168">
        <v>4.2500000000000003E-2</v>
      </c>
      <c r="C7" s="122">
        <v>0</v>
      </c>
      <c r="D7" s="122">
        <v>0</v>
      </c>
      <c r="E7" s="182">
        <v>-8772939.4499999993</v>
      </c>
      <c r="F7" s="178">
        <f>20257484+22671</f>
        <v>20280155</v>
      </c>
      <c r="G7" s="169">
        <v>9.0670000000000001E-2</v>
      </c>
      <c r="H7" s="183">
        <f>F7*G7</f>
        <v>1838801.6538500001</v>
      </c>
      <c r="I7" s="179">
        <v>6608892</v>
      </c>
      <c r="J7" s="169">
        <v>7.4749999999999997E-2</v>
      </c>
      <c r="K7" s="183">
        <f>I7*J7</f>
        <v>494014.67699999997</v>
      </c>
      <c r="L7" s="179">
        <v>362835</v>
      </c>
      <c r="M7" s="169">
        <v>4.7449999999999999E-2</v>
      </c>
      <c r="N7" s="183">
        <f>L7*M7</f>
        <v>17216.52075</v>
      </c>
      <c r="O7" s="177">
        <f t="shared" ref="O7:O28" si="0">ROUND(((E7*B7/12)+(D7+H7+K7+N7)/2*B7/12),2)</f>
        <v>-26909.31</v>
      </c>
      <c r="P7" s="122">
        <f>E7+H7+K7+N7+O7</f>
        <v>-6449815.9083999982</v>
      </c>
      <c r="Q7" s="110"/>
      <c r="R7" s="124" t="str">
        <f>_xll.Get_Balance(A7,"YTD","USD","Total","A","","001","191000","GD","WA","DL")</f>
        <v>Error (Logon)</v>
      </c>
      <c r="S7" s="125" t="e">
        <f>R7-P7</f>
        <v>#VALUE!</v>
      </c>
    </row>
    <row r="8" spans="1:21" s="165" customFormat="1" hidden="1" outlineLevel="1">
      <c r="A8" s="161" t="s">
        <v>114</v>
      </c>
      <c r="B8" s="168">
        <v>4.2500000000000003E-2</v>
      </c>
      <c r="C8" s="122">
        <v>0</v>
      </c>
      <c r="D8" s="122">
        <v>-370.51</v>
      </c>
      <c r="E8" s="182">
        <f t="shared" ref="E8:E28" si="1">P7+C8</f>
        <v>-6449815.9083999982</v>
      </c>
      <c r="F8" s="178">
        <f>18179866+21014</f>
        <v>18200880</v>
      </c>
      <c r="G8" s="169">
        <v>9.0670000000000001E-2</v>
      </c>
      <c r="H8" s="183">
        <f t="shared" ref="H8:H15" si="2">F8*G8</f>
        <v>1650273.7896</v>
      </c>
      <c r="I8" s="180">
        <v>7202971</v>
      </c>
      <c r="J8" s="169">
        <v>7.4749999999999997E-2</v>
      </c>
      <c r="K8" s="183">
        <f t="shared" ref="K8:K15" si="3">I8*J8</f>
        <v>538422.08224999998</v>
      </c>
      <c r="L8" s="180">
        <v>448875</v>
      </c>
      <c r="M8" s="169">
        <v>4.7449999999999999E-2</v>
      </c>
      <c r="N8" s="183">
        <f t="shared" ref="N8:N15" si="4">L8*M8</f>
        <v>21299.118749999998</v>
      </c>
      <c r="O8" s="177">
        <f t="shared" si="0"/>
        <v>-18930.22</v>
      </c>
      <c r="P8" s="122">
        <f t="shared" ref="P8:P27" si="5">E8+D8+H8+K8+N8+O8</f>
        <v>-4259121.6477999976</v>
      </c>
      <c r="Q8" s="110"/>
      <c r="R8" s="124" t="str">
        <f>_xll.Get_Balance(A8,"YTD","USD","Total","A","","001","191000","GD","WA","DL")</f>
        <v>Error (Logon)</v>
      </c>
      <c r="S8" s="125" t="e">
        <f t="shared" ref="S8:S9" si="6">R8-P8</f>
        <v>#VALUE!</v>
      </c>
    </row>
    <row r="9" spans="1:21" s="165" customFormat="1" hidden="1" outlineLevel="1">
      <c r="A9" s="161" t="s">
        <v>115</v>
      </c>
      <c r="B9" s="168">
        <v>4.2500000000000003E-2</v>
      </c>
      <c r="C9" s="122">
        <v>0</v>
      </c>
      <c r="D9" s="122">
        <v>0</v>
      </c>
      <c r="E9" s="182">
        <f t="shared" si="1"/>
        <v>-4259121.6477999976</v>
      </c>
      <c r="F9" s="178">
        <f>15771469+19043</f>
        <v>15790512</v>
      </c>
      <c r="G9" s="169">
        <v>9.0670000000000001E-2</v>
      </c>
      <c r="H9" s="183">
        <f t="shared" si="2"/>
        <v>1431725.7230400001</v>
      </c>
      <c r="I9" s="180">
        <v>5606266</v>
      </c>
      <c r="J9" s="169">
        <v>7.4749999999999997E-2</v>
      </c>
      <c r="K9" s="183">
        <f t="shared" si="3"/>
        <v>419068.3835</v>
      </c>
      <c r="L9" s="180">
        <v>345298</v>
      </c>
      <c r="M9" s="169">
        <v>4.7449999999999999E-2</v>
      </c>
      <c r="N9" s="183">
        <f t="shared" si="4"/>
        <v>16384.390100000001</v>
      </c>
      <c r="O9" s="177">
        <f t="shared" si="0"/>
        <v>-11777.93</v>
      </c>
      <c r="P9" s="122">
        <f t="shared" si="5"/>
        <v>-2403721.0811599977</v>
      </c>
      <c r="Q9" s="110"/>
      <c r="R9" s="124" t="str">
        <f>_xll.Get_Balance(A9,"YTD","USD","Total","A","","001","191000","GD","WA","DL")</f>
        <v>Error (Logon)</v>
      </c>
      <c r="S9" s="125" t="e">
        <f t="shared" si="6"/>
        <v>#VALUE!</v>
      </c>
      <c r="U9" s="166"/>
    </row>
    <row r="10" spans="1:21" s="165" customFormat="1" hidden="1" outlineLevel="1" collapsed="1">
      <c r="A10" s="161" t="s">
        <v>118</v>
      </c>
      <c r="B10" s="168">
        <v>4.4699999999999997E-2</v>
      </c>
      <c r="C10" s="122">
        <v>0</v>
      </c>
      <c r="D10" s="122">
        <v>0</v>
      </c>
      <c r="E10" s="182">
        <f t="shared" si="1"/>
        <v>-2403721.0811599977</v>
      </c>
      <c r="F10" s="178">
        <f>9759881+11770</f>
        <v>9771651</v>
      </c>
      <c r="G10" s="169">
        <v>9.0670000000000001E-2</v>
      </c>
      <c r="H10" s="183">
        <f t="shared" si="2"/>
        <v>885995.59617000003</v>
      </c>
      <c r="I10" s="180">
        <v>4266905</v>
      </c>
      <c r="J10" s="169">
        <v>7.4749999999999997E-2</v>
      </c>
      <c r="K10" s="183">
        <f t="shared" si="3"/>
        <v>318951.14874999999</v>
      </c>
      <c r="L10" s="180">
        <v>305691</v>
      </c>
      <c r="M10" s="169">
        <v>4.7449999999999999E-2</v>
      </c>
      <c r="N10" s="183">
        <f t="shared" si="4"/>
        <v>14505.03795</v>
      </c>
      <c r="O10" s="177">
        <f t="shared" si="0"/>
        <v>-6682.63</v>
      </c>
      <c r="P10" s="122">
        <f t="shared" si="5"/>
        <v>-1190951.9282899976</v>
      </c>
      <c r="Q10" s="110"/>
      <c r="R10" s="124" t="str">
        <f>_xll.Get_Balance(A10,"YTD","USD","Total","A","","001","191000","GD","WA","DL")</f>
        <v>Error (Logon)</v>
      </c>
      <c r="S10" s="125" t="e">
        <f t="shared" ref="S10:S12" si="7">R10-P10</f>
        <v>#VALUE!</v>
      </c>
    </row>
    <row r="11" spans="1:21" s="165" customFormat="1" hidden="1" outlineLevel="1">
      <c r="A11" s="161" t="s">
        <v>119</v>
      </c>
      <c r="B11" s="168">
        <v>4.4699999999999997E-2</v>
      </c>
      <c r="C11" s="122">
        <v>0</v>
      </c>
      <c r="D11" s="122">
        <v>0</v>
      </c>
      <c r="E11" s="182">
        <f t="shared" si="1"/>
        <v>-1190951.9282899976</v>
      </c>
      <c r="F11" s="178">
        <f>3286813+4240</f>
        <v>3291053</v>
      </c>
      <c r="G11" s="169">
        <v>9.0670000000000001E-2</v>
      </c>
      <c r="H11" s="183">
        <f t="shared" si="2"/>
        <v>298399.77551000001</v>
      </c>
      <c r="I11" s="180">
        <v>2210506</v>
      </c>
      <c r="J11" s="169">
        <v>7.4749999999999997E-2</v>
      </c>
      <c r="K11" s="183">
        <f t="shared" si="3"/>
        <v>165235.3235</v>
      </c>
      <c r="L11" s="180">
        <v>234262</v>
      </c>
      <c r="M11" s="169">
        <v>4.7449999999999999E-2</v>
      </c>
      <c r="N11" s="183">
        <f t="shared" si="4"/>
        <v>11115.731900000001</v>
      </c>
      <c r="O11" s="177">
        <f t="shared" si="0"/>
        <v>-3552.07</v>
      </c>
      <c r="P11" s="122">
        <f t="shared" si="5"/>
        <v>-719753.16737999755</v>
      </c>
      <c r="Q11" s="110"/>
      <c r="R11" s="124" t="str">
        <f>_xll.Get_Balance(A11,"YTD","USD","Total","A","","001","191000","GD","WA","DL")</f>
        <v>Error (Logon)</v>
      </c>
      <c r="S11" s="125" t="e">
        <f t="shared" si="7"/>
        <v>#VALUE!</v>
      </c>
    </row>
    <row r="12" spans="1:21" s="165" customFormat="1" hidden="1" outlineLevel="1">
      <c r="A12" s="161" t="s">
        <v>120</v>
      </c>
      <c r="B12" s="168">
        <v>4.4699999999999997E-2</v>
      </c>
      <c r="C12" s="122">
        <v>0</v>
      </c>
      <c r="D12" s="122">
        <v>0</v>
      </c>
      <c r="E12" s="182">
        <f t="shared" si="1"/>
        <v>-719753.16737999755</v>
      </c>
      <c r="F12" s="178">
        <f>2630854+2604</f>
        <v>2633458</v>
      </c>
      <c r="G12" s="169">
        <v>9.0670000000000001E-2</v>
      </c>
      <c r="H12" s="183">
        <f t="shared" si="2"/>
        <v>238775.63686</v>
      </c>
      <c r="I12" s="180">
        <v>1922676</v>
      </c>
      <c r="J12" s="169">
        <v>7.4749999999999997E-2</v>
      </c>
      <c r="K12" s="183">
        <f t="shared" si="3"/>
        <v>143720.03099999999</v>
      </c>
      <c r="L12" s="180">
        <v>318982</v>
      </c>
      <c r="M12" s="169">
        <v>4.7449999999999999E-2</v>
      </c>
      <c r="N12" s="183">
        <f t="shared" si="4"/>
        <v>15135.695900000001</v>
      </c>
      <c r="O12" s="177">
        <f t="shared" si="0"/>
        <v>-1940.49</v>
      </c>
      <c r="P12" s="122">
        <f t="shared" si="5"/>
        <v>-324062.29361999762</v>
      </c>
      <c r="Q12" s="110"/>
      <c r="R12" s="124" t="str">
        <f>_xll.Get_Balance(A12,"YTD","USD","Total","A","","001","191000","GD","WA","DL")</f>
        <v>Error (Logon)</v>
      </c>
      <c r="S12" s="125" t="e">
        <f t="shared" si="7"/>
        <v>#VALUE!</v>
      </c>
      <c r="U12" s="166"/>
    </row>
    <row r="13" spans="1:21" hidden="1" outlineLevel="1">
      <c r="A13" s="161" t="s">
        <v>149</v>
      </c>
      <c r="B13" s="168">
        <v>4.6899999999999997E-2</v>
      </c>
      <c r="C13" s="122">
        <v>0</v>
      </c>
      <c r="D13" s="122">
        <v>0</v>
      </c>
      <c r="E13" s="182">
        <f t="shared" si="1"/>
        <v>-324062.29361999762</v>
      </c>
      <c r="F13" s="178">
        <f>2294066+2356</f>
        <v>2296422</v>
      </c>
      <c r="G13" s="169">
        <v>9.0670000000000001E-2</v>
      </c>
      <c r="H13" s="183">
        <f t="shared" si="2"/>
        <v>208216.58274000001</v>
      </c>
      <c r="I13" s="180">
        <v>1476772</v>
      </c>
      <c r="J13" s="169">
        <v>7.4749999999999997E-2</v>
      </c>
      <c r="K13" s="183">
        <f t="shared" si="3"/>
        <v>110388.70699999999</v>
      </c>
      <c r="L13" s="180">
        <v>256335</v>
      </c>
      <c r="M13" s="169">
        <v>4.7449999999999999E-2</v>
      </c>
      <c r="N13" s="183">
        <f t="shared" si="4"/>
        <v>12163.09575</v>
      </c>
      <c r="O13" s="177">
        <f t="shared" si="0"/>
        <v>-620.16999999999996</v>
      </c>
      <c r="P13" s="122">
        <f t="shared" si="5"/>
        <v>6085.921870002383</v>
      </c>
      <c r="Q13" s="110"/>
      <c r="R13" s="124" t="str">
        <f>_xll.Get_Balance(A13,"YTD","USD","Total","A","","001","191000","GD","WA","DL")</f>
        <v>Error (Logon)</v>
      </c>
      <c r="S13" s="125" t="e">
        <f t="shared" ref="S13:S18" si="8">R13-P13</f>
        <v>#VALUE!</v>
      </c>
    </row>
    <row r="14" spans="1:21" hidden="1" outlineLevel="1">
      <c r="A14" s="161" t="s">
        <v>150</v>
      </c>
      <c r="B14" s="168">
        <v>4.6899999999999997E-2</v>
      </c>
      <c r="C14" s="122">
        <v>0</v>
      </c>
      <c r="D14" s="122">
        <v>0</v>
      </c>
      <c r="E14" s="182">
        <f t="shared" si="1"/>
        <v>6085.921870002383</v>
      </c>
      <c r="F14" s="178">
        <f>2214130+1944</f>
        <v>2216074</v>
      </c>
      <c r="G14" s="169">
        <v>9.0670000000000001E-2</v>
      </c>
      <c r="H14" s="183">
        <f t="shared" si="2"/>
        <v>200931.42958</v>
      </c>
      <c r="I14" s="180">
        <v>1588311</v>
      </c>
      <c r="J14" s="169">
        <v>7.4749999999999997E-2</v>
      </c>
      <c r="K14" s="183">
        <f t="shared" si="3"/>
        <v>118726.24725</v>
      </c>
      <c r="L14" s="180">
        <v>306054</v>
      </c>
      <c r="M14" s="169">
        <v>4.7449999999999999E-2</v>
      </c>
      <c r="N14" s="183">
        <f t="shared" si="4"/>
        <v>14522.2623</v>
      </c>
      <c r="O14" s="177">
        <f t="shared" si="0"/>
        <v>676.83</v>
      </c>
      <c r="P14" s="122">
        <f t="shared" si="5"/>
        <v>340942.69100000238</v>
      </c>
      <c r="Q14" s="110"/>
      <c r="R14" s="124" t="str">
        <f>_xll.Get_Balance(A14,"YTD","USD","Total","A","","001","191000","GD","WA","DL")</f>
        <v>Error (Logon)</v>
      </c>
      <c r="S14" s="125" t="e">
        <f t="shared" si="8"/>
        <v>#VALUE!</v>
      </c>
    </row>
    <row r="15" spans="1:21" hidden="1" outlineLevel="1">
      <c r="A15" s="161" t="s">
        <v>151</v>
      </c>
      <c r="B15" s="168">
        <v>4.6899999999999997E-2</v>
      </c>
      <c r="C15" s="122">
        <v>0</v>
      </c>
      <c r="D15" s="122">
        <v>0</v>
      </c>
      <c r="E15" s="182">
        <f t="shared" si="1"/>
        <v>340942.69100000238</v>
      </c>
      <c r="F15" s="178">
        <f>3077139+3129</f>
        <v>3080268</v>
      </c>
      <c r="G15" s="169">
        <v>9.0670000000000001E-2</v>
      </c>
      <c r="H15" s="183">
        <f t="shared" si="2"/>
        <v>279287.89955999999</v>
      </c>
      <c r="I15" s="180">
        <v>1948398</v>
      </c>
      <c r="J15" s="169">
        <v>7.4749999999999997E-2</v>
      </c>
      <c r="K15" s="183">
        <f t="shared" si="3"/>
        <v>145642.75049999999</v>
      </c>
      <c r="L15" s="180">
        <v>302898</v>
      </c>
      <c r="M15" s="169">
        <v>4.7449999999999999E-2</v>
      </c>
      <c r="N15" s="183">
        <f t="shared" si="4"/>
        <v>14372.5101</v>
      </c>
      <c r="O15" s="177">
        <f t="shared" si="0"/>
        <v>2190.9899999999998</v>
      </c>
      <c r="P15" s="122">
        <f t="shared" si="5"/>
        <v>782436.84116000228</v>
      </c>
      <c r="Q15" s="110"/>
      <c r="R15" s="124" t="str">
        <f>_xll.Get_Balance(A15,"YTD","USD","Total","A","","001","191000","GD","WA","DL")</f>
        <v>Error (Logon)</v>
      </c>
      <c r="S15" s="125" t="e">
        <f t="shared" si="8"/>
        <v>#VALUE!</v>
      </c>
    </row>
    <row r="16" spans="1:21" hidden="1" outlineLevel="1">
      <c r="A16" s="161" t="s">
        <v>152</v>
      </c>
      <c r="B16" s="168">
        <v>4.9599999999999998E-2</v>
      </c>
      <c r="C16" s="122">
        <v>0</v>
      </c>
      <c r="D16" s="122">
        <v>0</v>
      </c>
      <c r="E16" s="182">
        <f t="shared" si="1"/>
        <v>782436.84116000228</v>
      </c>
      <c r="F16" s="178">
        <f>8390464+10239</f>
        <v>8400703</v>
      </c>
      <c r="G16" s="169">
        <v>9.0670000000000001E-2</v>
      </c>
      <c r="H16" s="183">
        <f>F16*G16</f>
        <v>761691.74101</v>
      </c>
      <c r="I16" s="180">
        <v>3674467</v>
      </c>
      <c r="J16" s="169">
        <v>7.4749999999999997E-2</v>
      </c>
      <c r="K16" s="183">
        <f>I16*J16</f>
        <v>274666.40824999998</v>
      </c>
      <c r="L16" s="180">
        <v>398880</v>
      </c>
      <c r="M16" s="169">
        <v>4.7449999999999999E-2</v>
      </c>
      <c r="N16" s="183">
        <f>L16*M16</f>
        <v>18926.856</v>
      </c>
      <c r="O16" s="177">
        <f t="shared" si="0"/>
        <v>5414.99</v>
      </c>
      <c r="P16" s="122">
        <f t="shared" si="5"/>
        <v>1843136.8364200019</v>
      </c>
      <c r="Q16" s="110"/>
      <c r="R16" s="124" t="str">
        <f>_xll.Get_Balance(A16,"YTD","USD","Total","A","","001","191000","GD","WA","DL")</f>
        <v>Error (Logon)</v>
      </c>
      <c r="S16" s="125" t="e">
        <f t="shared" si="8"/>
        <v>#VALUE!</v>
      </c>
    </row>
    <row r="17" spans="1:19" hidden="1" outlineLevel="1">
      <c r="A17" s="161" t="s">
        <v>153</v>
      </c>
      <c r="B17" s="168">
        <v>4.9599999999999998E-2</v>
      </c>
      <c r="C17" s="127">
        <f>-'191010 WA DEF'!D17</f>
        <v>-15619860.030000001</v>
      </c>
      <c r="D17" s="127">
        <v>193448.89</v>
      </c>
      <c r="E17" s="182">
        <f t="shared" si="1"/>
        <v>-13776723.19358</v>
      </c>
      <c r="F17" s="178">
        <f>15558764+17080</f>
        <v>15575844</v>
      </c>
      <c r="G17" s="147" t="s">
        <v>161</v>
      </c>
      <c r="H17" s="174">
        <f>1422577+1562</f>
        <v>1424139</v>
      </c>
      <c r="I17" s="180">
        <v>5726364</v>
      </c>
      <c r="J17" s="147" t="s">
        <v>161</v>
      </c>
      <c r="K17" s="174">
        <v>435855</v>
      </c>
      <c r="L17" s="180">
        <v>420845</v>
      </c>
      <c r="M17" s="147" t="s">
        <v>161</v>
      </c>
      <c r="N17" s="174">
        <v>20101</v>
      </c>
      <c r="O17" s="177">
        <f t="shared" si="0"/>
        <v>-52658.47</v>
      </c>
      <c r="P17" s="122">
        <f t="shared" si="5"/>
        <v>-11755837.77358</v>
      </c>
      <c r="Q17" s="110"/>
      <c r="R17" s="124" t="str">
        <f>_xll.Get_Balance(A17,"YTD","USD","Total","A","","001","191000","GD","WA","DL")</f>
        <v>Error (Logon)</v>
      </c>
      <c r="S17" s="125" t="e">
        <f t="shared" si="8"/>
        <v>#VALUE!</v>
      </c>
    </row>
    <row r="18" spans="1:19" ht="14.4" collapsed="1" thickBot="1">
      <c r="A18" s="162" t="s">
        <v>142</v>
      </c>
      <c r="B18" s="187">
        <v>4.9599999999999998E-2</v>
      </c>
      <c r="C18" s="130">
        <v>0</v>
      </c>
      <c r="D18" s="130">
        <v>0</v>
      </c>
      <c r="E18" s="188">
        <f t="shared" si="1"/>
        <v>-11755837.77358</v>
      </c>
      <c r="F18" s="189">
        <f>20570424+21435</f>
        <v>20591859</v>
      </c>
      <c r="G18" s="152" t="s">
        <v>161</v>
      </c>
      <c r="H18" s="175">
        <f>1881352+1961</f>
        <v>1883313</v>
      </c>
      <c r="I18" s="190">
        <v>18064862</v>
      </c>
      <c r="J18" s="152" t="s">
        <v>161</v>
      </c>
      <c r="K18" s="175">
        <v>1229205</v>
      </c>
      <c r="L18" s="190">
        <v>-10914823</v>
      </c>
      <c r="M18" s="152" t="s">
        <v>161</v>
      </c>
      <c r="N18" s="175">
        <v>-399712</v>
      </c>
      <c r="O18" s="191">
        <f t="shared" si="0"/>
        <v>-42984.33</v>
      </c>
      <c r="P18" s="130">
        <f t="shared" si="5"/>
        <v>-9086016.1035799999</v>
      </c>
      <c r="Q18" s="192"/>
      <c r="R18" s="131" t="str">
        <f>_xll.Get_Balance(A18,"YTD","USD","Total","A","","001","191000","GD","WA","DL")</f>
        <v>Error (Logon)</v>
      </c>
      <c r="S18" s="132" t="e">
        <f t="shared" si="8"/>
        <v>#VALUE!</v>
      </c>
    </row>
    <row r="19" spans="1:19">
      <c r="A19" s="163" t="s">
        <v>163</v>
      </c>
      <c r="B19" s="168">
        <v>5.1799999999999999E-2</v>
      </c>
      <c r="C19" s="148">
        <v>0</v>
      </c>
      <c r="D19" s="148">
        <v>0</v>
      </c>
      <c r="E19" s="170">
        <f t="shared" si="1"/>
        <v>-9086016.1035799999</v>
      </c>
      <c r="F19" s="178">
        <f>21076213+21566</f>
        <v>21097779</v>
      </c>
      <c r="G19" s="169">
        <v>9.1660000000000005E-2</v>
      </c>
      <c r="H19" s="183">
        <f>F19*G19</f>
        <v>1933822.4231400001</v>
      </c>
      <c r="I19" s="180">
        <v>4326716</v>
      </c>
      <c r="J19" s="169">
        <v>7.6249999999999998E-2</v>
      </c>
      <c r="K19" s="183">
        <f>I19*J19</f>
        <v>329912.09499999997</v>
      </c>
      <c r="L19" s="180">
        <v>3809625</v>
      </c>
      <c r="M19" s="169">
        <v>4.7800000000000002E-2</v>
      </c>
      <c r="N19" s="183">
        <f>L19*M19</f>
        <v>182100.07500000001</v>
      </c>
      <c r="O19" s="176">
        <f t="shared" si="0"/>
        <v>-33942.379999999997</v>
      </c>
      <c r="P19" s="148">
        <f t="shared" si="5"/>
        <v>-6674123.8904399993</v>
      </c>
      <c r="Q19" s="110"/>
      <c r="R19" s="149" t="str">
        <f>_xll.Get_Balance(A19,"YTD","USD","Total","A","","001","191000","GD","WA","DL")</f>
        <v>Error (Logon)</v>
      </c>
      <c r="S19" s="150" t="e">
        <f t="shared" ref="S19:S26" si="9">R19-P19</f>
        <v>#VALUE!</v>
      </c>
    </row>
    <row r="20" spans="1:19">
      <c r="A20" s="161" t="s">
        <v>164</v>
      </c>
      <c r="B20" s="168">
        <v>5.1799999999999999E-2</v>
      </c>
      <c r="C20" s="122">
        <v>0</v>
      </c>
      <c r="D20" s="122">
        <v>0</v>
      </c>
      <c r="E20" s="182">
        <f t="shared" si="1"/>
        <v>-6674123.8904399993</v>
      </c>
      <c r="F20" s="178">
        <f>23394682+23936</f>
        <v>23418618</v>
      </c>
      <c r="G20" s="169">
        <v>9.1660000000000005E-2</v>
      </c>
      <c r="H20" s="183">
        <f t="shared" ref="H20:H28" si="10">F20*G20</f>
        <v>2146550.5258800001</v>
      </c>
      <c r="I20" s="180">
        <v>8977809</v>
      </c>
      <c r="J20" s="169">
        <v>7.6249999999999998E-2</v>
      </c>
      <c r="K20" s="183">
        <f t="shared" ref="K20:K28" si="11">I20*J20</f>
        <v>684557.93625000003</v>
      </c>
      <c r="L20" s="180">
        <v>177522</v>
      </c>
      <c r="M20" s="169">
        <v>4.7800000000000002E-2</v>
      </c>
      <c r="N20" s="183">
        <f t="shared" ref="N20:N28" si="12">L20*M20</f>
        <v>8485.5516000000007</v>
      </c>
      <c r="O20" s="177">
        <f t="shared" si="0"/>
        <v>-22681.18</v>
      </c>
      <c r="P20" s="122">
        <f t="shared" si="5"/>
        <v>-3857211.0567099988</v>
      </c>
      <c r="Q20" s="110"/>
      <c r="R20" s="124" t="str">
        <f>_xll.Get_Balance(A20,"YTD","USD","Total","A","","001","191000","GD","WA","DL")</f>
        <v>Error (Logon)</v>
      </c>
      <c r="S20" s="125" t="e">
        <f t="shared" si="9"/>
        <v>#VALUE!</v>
      </c>
    </row>
    <row r="21" spans="1:19">
      <c r="A21" s="161" t="s">
        <v>165</v>
      </c>
      <c r="B21" s="168">
        <v>5.1799999999999999E-2</v>
      </c>
      <c r="C21" s="122">
        <v>0</v>
      </c>
      <c r="D21" s="122">
        <v>0</v>
      </c>
      <c r="E21" s="182">
        <f t="shared" si="1"/>
        <v>-3857211.0567099988</v>
      </c>
      <c r="F21" s="178">
        <f>18476572+18913</f>
        <v>18495485</v>
      </c>
      <c r="G21" s="169">
        <v>9.1660000000000005E-2</v>
      </c>
      <c r="H21" s="183">
        <f t="shared" si="10"/>
        <v>1695296.1551000001</v>
      </c>
      <c r="I21" s="180">
        <v>6826624</v>
      </c>
      <c r="J21" s="169">
        <v>7.6249999999999998E-2</v>
      </c>
      <c r="K21" s="183">
        <f t="shared" si="11"/>
        <v>520530.08</v>
      </c>
      <c r="L21" s="180">
        <v>115935</v>
      </c>
      <c r="M21" s="169">
        <v>4.7800000000000002E-2</v>
      </c>
      <c r="N21" s="183">
        <f t="shared" si="12"/>
        <v>5541.6930000000002</v>
      </c>
      <c r="O21" s="177">
        <f t="shared" si="0"/>
        <v>-11855.84</v>
      </c>
      <c r="P21" s="122">
        <f t="shared" si="5"/>
        <v>-1647698.9686099987</v>
      </c>
      <c r="Q21" s="110"/>
      <c r="R21" s="124" t="str">
        <f>_xll.Get_Balance(A21,"YTD","USD","Total","A","","001","191000","GD","WA","DL")</f>
        <v>Error (Logon)</v>
      </c>
      <c r="S21" s="125" t="e">
        <f t="shared" si="9"/>
        <v>#VALUE!</v>
      </c>
    </row>
    <row r="22" spans="1:19">
      <c r="A22" s="161" t="s">
        <v>166</v>
      </c>
      <c r="B22" s="168">
        <v>5.45E-2</v>
      </c>
      <c r="C22" s="122">
        <v>0</v>
      </c>
      <c r="D22" s="122">
        <v>0</v>
      </c>
      <c r="E22" s="182">
        <f t="shared" si="1"/>
        <v>-1647698.9686099987</v>
      </c>
      <c r="F22" s="178">
        <f>8678511+9640</f>
        <v>8688151</v>
      </c>
      <c r="G22" s="169">
        <v>9.1660000000000005E-2</v>
      </c>
      <c r="H22" s="183">
        <f t="shared" si="10"/>
        <v>796355.92066000006</v>
      </c>
      <c r="I22" s="180">
        <v>4528915</v>
      </c>
      <c r="J22" s="169">
        <v>7.6249999999999998E-2</v>
      </c>
      <c r="K22" s="183">
        <f t="shared" si="11"/>
        <v>345329.76874999999</v>
      </c>
      <c r="L22" s="180">
        <v>108923</v>
      </c>
      <c r="M22" s="169">
        <v>4.7800000000000002E-2</v>
      </c>
      <c r="N22" s="183">
        <f t="shared" si="12"/>
        <v>5206.5194000000001</v>
      </c>
      <c r="O22" s="177">
        <f t="shared" si="0"/>
        <v>-4878.8999999999996</v>
      </c>
      <c r="P22" s="122">
        <f t="shared" si="5"/>
        <v>-505685.65979999868</v>
      </c>
      <c r="Q22" s="110"/>
      <c r="R22" s="124" t="str">
        <f>_xll.Get_Balance(A22,"YTD","USD","Total","A","","001","191000","GD","WA","DL")</f>
        <v>Error (Logon)</v>
      </c>
      <c r="S22" s="125" t="e">
        <f t="shared" si="9"/>
        <v>#VALUE!</v>
      </c>
    </row>
    <row r="23" spans="1:19">
      <c r="A23" s="161" t="s">
        <v>123</v>
      </c>
      <c r="B23" s="168">
        <v>5.45E-2</v>
      </c>
      <c r="C23" s="122">
        <v>0</v>
      </c>
      <c r="D23" s="122">
        <v>0</v>
      </c>
      <c r="E23" s="182">
        <f t="shared" si="1"/>
        <v>-505685.65979999868</v>
      </c>
      <c r="F23" s="178">
        <f>4312435+4874</f>
        <v>4317309</v>
      </c>
      <c r="G23" s="169">
        <v>9.1660000000000005E-2</v>
      </c>
      <c r="H23" s="183">
        <f t="shared" si="10"/>
        <v>395724.54294000001</v>
      </c>
      <c r="I23" s="180">
        <v>2394969</v>
      </c>
      <c r="J23" s="169">
        <v>7.6249999999999998E-2</v>
      </c>
      <c r="K23" s="183">
        <f t="shared" si="11"/>
        <v>182616.38625000001</v>
      </c>
      <c r="L23" s="180">
        <v>97867</v>
      </c>
      <c r="M23" s="169">
        <v>4.7800000000000002E-2</v>
      </c>
      <c r="N23" s="183">
        <f t="shared" si="12"/>
        <v>4678.0425999999998</v>
      </c>
      <c r="O23" s="177">
        <f t="shared" si="0"/>
        <v>-972.72</v>
      </c>
      <c r="P23" s="122">
        <f t="shared" si="5"/>
        <v>76360.59199000134</v>
      </c>
      <c r="Q23" s="110"/>
      <c r="R23" s="124" t="str">
        <f>_xll.Get_Balance(A23,"YTD","USD","Total","A","","001","191000","GD","WA","DL")</f>
        <v>Error (Logon)</v>
      </c>
      <c r="S23" s="125" t="e">
        <f t="shared" si="9"/>
        <v>#VALUE!</v>
      </c>
    </row>
    <row r="24" spans="1:19">
      <c r="A24" s="161" t="s">
        <v>167</v>
      </c>
      <c r="B24" s="168">
        <v>5.45E-2</v>
      </c>
      <c r="C24" s="122">
        <v>0</v>
      </c>
      <c r="D24" s="122">
        <v>0</v>
      </c>
      <c r="E24" s="182">
        <f t="shared" si="1"/>
        <v>76360.59199000134</v>
      </c>
      <c r="F24" s="178">
        <f>2497712+2253</f>
        <v>2499965</v>
      </c>
      <c r="G24" s="169">
        <v>9.1660000000000005E-2</v>
      </c>
      <c r="H24" s="183">
        <f t="shared" si="10"/>
        <v>229146.79190000001</v>
      </c>
      <c r="I24" s="180">
        <v>2410231</v>
      </c>
      <c r="J24" s="169">
        <v>7.6249999999999998E-2</v>
      </c>
      <c r="K24" s="183">
        <f t="shared" si="11"/>
        <v>183780.11374999999</v>
      </c>
      <c r="L24" s="180">
        <v>-90738</v>
      </c>
      <c r="M24" s="169">
        <v>4.7800000000000002E-2</v>
      </c>
      <c r="N24" s="183">
        <f t="shared" si="12"/>
        <v>-4337.2764000000006</v>
      </c>
      <c r="O24" s="177">
        <f t="shared" si="0"/>
        <v>1274.6400000000001</v>
      </c>
      <c r="P24" s="122">
        <f t="shared" si="5"/>
        <v>486224.8612400014</v>
      </c>
      <c r="Q24" s="110"/>
      <c r="R24" s="124" t="str">
        <f>_xll.Get_Balance(A24,"YTD","USD","Total","A","","001","191000","GD","WA","DL")</f>
        <v>Error (Logon)</v>
      </c>
      <c r="S24" s="125" t="e">
        <f t="shared" si="9"/>
        <v>#VALUE!</v>
      </c>
    </row>
    <row r="25" spans="1:19">
      <c r="A25" s="161" t="s">
        <v>168</v>
      </c>
      <c r="B25" s="168">
        <v>5.5E-2</v>
      </c>
      <c r="C25" s="122">
        <v>0</v>
      </c>
      <c r="D25" s="122">
        <v>0</v>
      </c>
      <c r="E25" s="182">
        <f t="shared" si="1"/>
        <v>486224.8612400014</v>
      </c>
      <c r="F25" s="178">
        <f>2393172+1928</f>
        <v>2395100</v>
      </c>
      <c r="G25" s="169">
        <v>9.1660000000000005E-2</v>
      </c>
      <c r="H25" s="183">
        <f t="shared" si="10"/>
        <v>219534.86600000001</v>
      </c>
      <c r="I25" s="180">
        <v>1815710</v>
      </c>
      <c r="J25" s="169">
        <v>7.6249999999999998E-2</v>
      </c>
      <c r="K25" s="183">
        <f t="shared" si="11"/>
        <v>138447.88749999998</v>
      </c>
      <c r="L25" s="180">
        <v>133593</v>
      </c>
      <c r="M25" s="169">
        <v>4.7800000000000002E-2</v>
      </c>
      <c r="N25" s="183">
        <f t="shared" si="12"/>
        <v>6385.7454000000007</v>
      </c>
      <c r="O25" s="177">
        <f t="shared" si="0"/>
        <v>3063.54</v>
      </c>
      <c r="P25" s="122">
        <f t="shared" si="5"/>
        <v>853656.90014000144</v>
      </c>
      <c r="Q25" s="110"/>
      <c r="R25" s="124" t="str">
        <f>_xll.Get_Balance(A25,"YTD","USD","Total","A","","001","191000","GD","WA","DL")</f>
        <v>Error (Logon)</v>
      </c>
      <c r="S25" s="125" t="e">
        <f t="shared" si="9"/>
        <v>#VALUE!</v>
      </c>
    </row>
    <row r="26" spans="1:19">
      <c r="A26" s="161" t="s">
        <v>169</v>
      </c>
      <c r="B26" s="168">
        <v>5.5E-2</v>
      </c>
      <c r="C26" s="122">
        <v>0</v>
      </c>
      <c r="D26" s="122">
        <v>0</v>
      </c>
      <c r="E26" s="182">
        <f t="shared" si="1"/>
        <v>853656.90014000144</v>
      </c>
      <c r="F26" s="178">
        <f>2217255+1943</f>
        <v>2219198</v>
      </c>
      <c r="G26" s="169">
        <v>9.1660000000000005E-2</v>
      </c>
      <c r="H26" s="183">
        <f t="shared" si="10"/>
        <v>203411.68868000002</v>
      </c>
      <c r="I26" s="180">
        <v>1827018</v>
      </c>
      <c r="J26" s="169">
        <v>7.6249999999999998E-2</v>
      </c>
      <c r="K26" s="183">
        <f t="shared" si="11"/>
        <v>139310.1225</v>
      </c>
      <c r="L26" s="180">
        <v>137205</v>
      </c>
      <c r="M26" s="169">
        <v>4.7800000000000002E-2</v>
      </c>
      <c r="N26" s="183">
        <f t="shared" si="12"/>
        <v>6558.3990000000003</v>
      </c>
      <c r="O26" s="177">
        <f t="shared" si="0"/>
        <v>4713.03</v>
      </c>
      <c r="P26" s="122">
        <f t="shared" si="5"/>
        <v>1207650.1403200016</v>
      </c>
      <c r="Q26" s="110"/>
      <c r="R26" s="124" t="str">
        <f>_xll.Get_Balance(A26,"YTD","USD","Total","A","","001","191000","GD","WA","DL")</f>
        <v>Error (Logon)</v>
      </c>
      <c r="S26" s="125" t="e">
        <f t="shared" si="9"/>
        <v>#VALUE!</v>
      </c>
    </row>
    <row r="27" spans="1:19">
      <c r="A27" s="161" t="s">
        <v>170</v>
      </c>
      <c r="B27" s="168">
        <v>5.5E-2</v>
      </c>
      <c r="C27" s="122">
        <v>0</v>
      </c>
      <c r="D27" s="122">
        <v>0</v>
      </c>
      <c r="E27" s="182">
        <f t="shared" si="1"/>
        <v>1207650.1403200016</v>
      </c>
      <c r="F27" s="178">
        <f>3669449+3444</f>
        <v>3672893</v>
      </c>
      <c r="G27" s="169">
        <v>9.1660000000000005E-2</v>
      </c>
      <c r="H27" s="183">
        <f t="shared" si="10"/>
        <v>336657.37238000002</v>
      </c>
      <c r="I27" s="180">
        <v>2844010</v>
      </c>
      <c r="J27" s="169">
        <v>7.6249999999999998E-2</v>
      </c>
      <c r="K27" s="183">
        <f t="shared" si="11"/>
        <v>216855.76249999998</v>
      </c>
      <c r="L27" s="180">
        <v>110085</v>
      </c>
      <c r="M27" s="169">
        <v>4.7800000000000002E-2</v>
      </c>
      <c r="N27" s="183">
        <f t="shared" si="12"/>
        <v>5262.0630000000001</v>
      </c>
      <c r="O27" s="177">
        <f t="shared" si="0"/>
        <v>6815.59</v>
      </c>
      <c r="P27" s="122">
        <f t="shared" si="5"/>
        <v>1773240.9282000018</v>
      </c>
      <c r="Q27" s="110"/>
      <c r="R27" s="124" t="str">
        <f>_xll.Get_Balance(A27,"YTD","USD","Total","A","","001","191000","GD","WA","DL")</f>
        <v>Error (Logon)</v>
      </c>
      <c r="S27" s="125" t="e">
        <f t="shared" ref="S27:S33" si="13">R27-P27</f>
        <v>#VALUE!</v>
      </c>
    </row>
    <row r="28" spans="1:19">
      <c r="A28" s="161" t="s">
        <v>171</v>
      </c>
      <c r="B28" s="168">
        <v>5.4199999999999998E-2</v>
      </c>
      <c r="C28" s="122">
        <v>0</v>
      </c>
      <c r="D28" s="122">
        <v>0</v>
      </c>
      <c r="E28" s="182">
        <f t="shared" si="1"/>
        <v>1773240.9282000018</v>
      </c>
      <c r="F28" s="178">
        <f>12751665+10264</f>
        <v>12761929</v>
      </c>
      <c r="G28" s="169">
        <v>9.1660000000000005E-2</v>
      </c>
      <c r="H28" s="183">
        <f t="shared" si="10"/>
        <v>1169758.4121400001</v>
      </c>
      <c r="I28" s="180">
        <v>5304408</v>
      </c>
      <c r="J28" s="169">
        <v>7.6249999999999998E-2</v>
      </c>
      <c r="K28" s="183">
        <f t="shared" si="11"/>
        <v>404461.11</v>
      </c>
      <c r="L28" s="180">
        <v>187475</v>
      </c>
      <c r="M28" s="169">
        <v>4.7800000000000002E-2</v>
      </c>
      <c r="N28" s="183">
        <f t="shared" si="12"/>
        <v>8961.3050000000003</v>
      </c>
      <c r="O28" s="177">
        <f t="shared" si="0"/>
        <v>11584.49</v>
      </c>
      <c r="P28" s="122">
        <f>E28+D28+H28+K28+N28+O28</f>
        <v>3368006.2453400022</v>
      </c>
      <c r="Q28" s="110"/>
      <c r="R28" s="124" t="str">
        <f>_xll.Get_Balance(A28,"YTD","USD","Total","A","","001","191000","GD","WA","DL")</f>
        <v>Error (Logon)</v>
      </c>
      <c r="S28" s="125" t="e">
        <f t="shared" si="13"/>
        <v>#VALUE!</v>
      </c>
    </row>
    <row r="29" spans="1:19">
      <c r="A29" s="161" t="s">
        <v>172</v>
      </c>
      <c r="B29" s="168">
        <v>5.4199999999999998E-2</v>
      </c>
      <c r="C29" s="282">
        <f>-'191010 WA DEF'!D29</f>
        <v>-2194008.2431480014</v>
      </c>
      <c r="D29" s="282">
        <v>121937.23</v>
      </c>
      <c r="E29" s="182">
        <f>P28+C29+D29</f>
        <v>1295935.2321920008</v>
      </c>
      <c r="F29" s="178">
        <f>17314620+14846</f>
        <v>17329466</v>
      </c>
      <c r="G29" s="147" t="s">
        <v>161</v>
      </c>
      <c r="H29" s="174">
        <f>-74799-51</f>
        <v>-74850</v>
      </c>
      <c r="I29" s="180">
        <v>6504463</v>
      </c>
      <c r="J29" s="147" t="s">
        <v>161</v>
      </c>
      <c r="K29" s="174">
        <v>-104887</v>
      </c>
      <c r="L29" s="180">
        <v>195352</v>
      </c>
      <c r="M29" s="147" t="s">
        <v>161</v>
      </c>
      <c r="N29" s="174">
        <v>-7404</v>
      </c>
      <c r="O29" s="177">
        <f>ROUND(((E29*(B29/12))+(H29+K29+N29)/2*(B29/12)),2)</f>
        <v>5430.68</v>
      </c>
      <c r="P29" s="122">
        <f>E29+H29+K29+N29+O29</f>
        <v>1114224.9121920008</v>
      </c>
      <c r="Q29" s="110"/>
      <c r="R29" s="124" t="str">
        <f>_xll.Get_Balance(A29,"YTD","USD","Total","A","","001","191000","GD","WA","DL")</f>
        <v>Error (Logon)</v>
      </c>
      <c r="S29" s="125" t="e">
        <f t="shared" si="13"/>
        <v>#VALUE!</v>
      </c>
    </row>
    <row r="30" spans="1:19" ht="14.4" thickBot="1">
      <c r="A30" s="162" t="s">
        <v>173</v>
      </c>
      <c r="B30" s="187">
        <v>5.4199999999999998E-2</v>
      </c>
      <c r="C30" s="130">
        <v>0</v>
      </c>
      <c r="D30" s="130">
        <v>0</v>
      </c>
      <c r="E30" s="203">
        <f t="shared" ref="E30:E42" si="14">P29+C30+D30</f>
        <v>1114224.9121920008</v>
      </c>
      <c r="F30" s="189">
        <f>19606500+18755</f>
        <v>19625255</v>
      </c>
      <c r="G30" s="152" t="s">
        <v>161</v>
      </c>
      <c r="H30" s="175">
        <f>-73713-65</f>
        <v>-73778</v>
      </c>
      <c r="I30" s="190">
        <v>7275662</v>
      </c>
      <c r="J30" s="152" t="s">
        <v>161</v>
      </c>
      <c r="K30" s="175">
        <v>-63487</v>
      </c>
      <c r="L30" s="190">
        <v>161699</v>
      </c>
      <c r="M30" s="152" t="s">
        <v>161</v>
      </c>
      <c r="N30" s="175">
        <v>-1668</v>
      </c>
      <c r="O30" s="204">
        <f>ROUND(((E30*(B30/12))+(H30+K30+N30)/2*(B30/12)),2)</f>
        <v>4718.83</v>
      </c>
      <c r="P30" s="130">
        <f t="shared" ref="P30:P42" si="15">E30+H30+K30+N30+O30</f>
        <v>980010.74219200073</v>
      </c>
      <c r="Q30" s="192"/>
      <c r="R30" s="131" t="str">
        <f>_xll.Get_Balance(A30,"YTD","USD","Total","A","","001","191000","GD","WA","DL")</f>
        <v>Error (Logon)</v>
      </c>
      <c r="S30" s="132" t="e">
        <f t="shared" si="13"/>
        <v>#VALUE!</v>
      </c>
    </row>
    <row r="31" spans="1:19">
      <c r="A31" s="265" t="s">
        <v>191</v>
      </c>
      <c r="B31" s="168">
        <f>'191010 WA DEF'!B31</f>
        <v>4.9599999999999998E-2</v>
      </c>
      <c r="C31" s="148">
        <v>0</v>
      </c>
      <c r="D31" s="148">
        <v>0</v>
      </c>
      <c r="E31" s="170">
        <f t="shared" si="14"/>
        <v>980010.74219200073</v>
      </c>
      <c r="F31" s="178">
        <f>19882002+20223</f>
        <v>19902225</v>
      </c>
      <c r="G31" s="169">
        <v>-4.0899999999999999E-3</v>
      </c>
      <c r="H31" s="183">
        <f>F31*G31</f>
        <v>-81400.100250000003</v>
      </c>
      <c r="I31" s="180">
        <v>7441465</v>
      </c>
      <c r="J31" s="169">
        <v>-1.035E-2</v>
      </c>
      <c r="K31" s="183">
        <f>I31*J31</f>
        <v>-77019.162750000003</v>
      </c>
      <c r="L31" s="180">
        <v>176036</v>
      </c>
      <c r="M31" s="169">
        <v>-1.035E-2</v>
      </c>
      <c r="N31" s="183">
        <f>L31*M31</f>
        <v>-1821.9726000000001</v>
      </c>
      <c r="O31" s="176">
        <f t="shared" ref="O31:O42" si="16">ROUND(((E31*(B31/12))+(H31+K31+N31)/2*(B31/12)),2)</f>
        <v>3719.55</v>
      </c>
      <c r="P31" s="148">
        <f t="shared" si="15"/>
        <v>823489.05659200076</v>
      </c>
      <c r="Q31" s="110"/>
      <c r="R31" s="149" t="str">
        <f>_xll.Get_Balance(A31,"YTD","USD","Total","A","","001","191000","GD","WA","DL")</f>
        <v>Error (Logon)</v>
      </c>
      <c r="S31" s="150" t="e">
        <f t="shared" si="13"/>
        <v>#VALUE!</v>
      </c>
    </row>
    <row r="32" spans="1:19">
      <c r="A32" s="265" t="s">
        <v>192</v>
      </c>
      <c r="B32" s="168">
        <f>'191010 WA DEF'!B32</f>
        <v>4.9599999999999998E-2</v>
      </c>
      <c r="C32" s="122">
        <v>0</v>
      </c>
      <c r="D32" s="122">
        <v>0</v>
      </c>
      <c r="E32" s="182">
        <f t="shared" si="14"/>
        <v>823489.05659200076</v>
      </c>
      <c r="F32" s="178">
        <f>18132989+23546</f>
        <v>18156535</v>
      </c>
      <c r="G32" s="169">
        <v>-4.0899999999999999E-3</v>
      </c>
      <c r="H32" s="183">
        <f t="shared" ref="H32:H40" si="17">F32*G32</f>
        <v>-74260.228149999995</v>
      </c>
      <c r="I32" s="180">
        <v>7239397</v>
      </c>
      <c r="J32" s="169">
        <v>-1.035E-2</v>
      </c>
      <c r="K32" s="183">
        <f t="shared" ref="K32:K40" si="18">I32*J32</f>
        <v>-74927.758950000003</v>
      </c>
      <c r="L32" s="180">
        <v>155563</v>
      </c>
      <c r="M32" s="169">
        <v>-1.035E-2</v>
      </c>
      <c r="N32" s="183">
        <f t="shared" ref="N32:N40" si="19">L32*M32</f>
        <v>-1610.0770499999999</v>
      </c>
      <c r="O32" s="177">
        <f t="shared" si="16"/>
        <v>3092.11</v>
      </c>
      <c r="P32" s="122">
        <f t="shared" si="15"/>
        <v>675783.10244200076</v>
      </c>
      <c r="Q32" s="110"/>
      <c r="R32" s="149" t="str">
        <f>_xll.Get_Balance(A32,"YTD","USD","Total","A","","001","191000","GD","WA","DL")</f>
        <v>Error (Logon)</v>
      </c>
      <c r="S32" s="150" t="e">
        <f t="shared" si="13"/>
        <v>#VALUE!</v>
      </c>
    </row>
    <row r="33" spans="1:26">
      <c r="A33" s="265" t="s">
        <v>193</v>
      </c>
      <c r="B33" s="168">
        <f>'191010 WA DEF'!B33</f>
        <v>4.9599999999999998E-2</v>
      </c>
      <c r="C33" s="122">
        <v>0</v>
      </c>
      <c r="D33" s="122">
        <v>0</v>
      </c>
      <c r="E33" s="182">
        <f t="shared" si="14"/>
        <v>675783.10244200076</v>
      </c>
      <c r="F33" s="178">
        <f>16716589+20495</f>
        <v>16737084</v>
      </c>
      <c r="G33" s="169">
        <v>-4.0899999999999999E-3</v>
      </c>
      <c r="H33" s="183">
        <f t="shared" si="17"/>
        <v>-68454.673559999996</v>
      </c>
      <c r="I33" s="180">
        <v>6588074</v>
      </c>
      <c r="J33" s="169">
        <v>-1.035E-2</v>
      </c>
      <c r="K33" s="183">
        <f t="shared" si="18"/>
        <v>-68186.565900000001</v>
      </c>
      <c r="L33" s="180">
        <v>135456</v>
      </c>
      <c r="M33" s="169">
        <v>-1.035E-2</v>
      </c>
      <c r="N33" s="183">
        <f t="shared" si="19"/>
        <v>-1401.9695999999999</v>
      </c>
      <c r="O33" s="177">
        <f t="shared" si="16"/>
        <v>2507.9499999999998</v>
      </c>
      <c r="P33" s="122">
        <f t="shared" si="15"/>
        <v>540247.84338200069</v>
      </c>
      <c r="Q33" s="110"/>
      <c r="R33" s="149" t="str">
        <f>_xll.Get_Balance(A33,"YTD","USD","Total","A","","001","191000","GD","WA","DL")</f>
        <v>Error (Logon)</v>
      </c>
      <c r="S33" s="150" t="e">
        <f t="shared" si="13"/>
        <v>#VALUE!</v>
      </c>
    </row>
    <row r="34" spans="1:26">
      <c r="A34" s="265" t="s">
        <v>194</v>
      </c>
      <c r="B34" s="168">
        <f>'191010 WA DEF'!B34</f>
        <v>4.7500000000000001E-2</v>
      </c>
      <c r="C34" s="122">
        <v>0</v>
      </c>
      <c r="D34" s="122">
        <v>0</v>
      </c>
      <c r="E34" s="182">
        <f t="shared" si="14"/>
        <v>540247.84338200069</v>
      </c>
      <c r="F34" s="178">
        <f>8669321+11194</f>
        <v>8680515</v>
      </c>
      <c r="G34" s="169">
        <v>-4.0899999999999999E-3</v>
      </c>
      <c r="H34" s="183">
        <f t="shared" si="17"/>
        <v>-35503.306349999999</v>
      </c>
      <c r="I34" s="180">
        <v>3389688</v>
      </c>
      <c r="J34" s="169">
        <v>-1.035E-2</v>
      </c>
      <c r="K34" s="183">
        <f t="shared" si="18"/>
        <v>-35083.270799999998</v>
      </c>
      <c r="L34" s="180">
        <v>-28206</v>
      </c>
      <c r="M34" s="169">
        <v>-1.035E-2</v>
      </c>
      <c r="N34" s="183">
        <f t="shared" si="19"/>
        <v>291.93209999999999</v>
      </c>
      <c r="O34" s="177">
        <f t="shared" si="16"/>
        <v>1999.36</v>
      </c>
      <c r="P34" s="122">
        <f t="shared" si="15"/>
        <v>471952.55833200068</v>
      </c>
      <c r="Q34" s="110"/>
      <c r="R34" s="149" t="str">
        <f>_xll.Get_Balance(A34,"YTD","USD","Total","A","","001","191000","GD","WA","DL")</f>
        <v>Error (Logon)</v>
      </c>
      <c r="S34" s="150" t="e">
        <f t="shared" ref="S34" si="20">R34-P34</f>
        <v>#VALUE!</v>
      </c>
    </row>
    <row r="35" spans="1:26">
      <c r="A35" s="265" t="s">
        <v>195</v>
      </c>
      <c r="B35" s="168">
        <f>'191010 WA DEF'!B35</f>
        <v>4.7500000000000001E-2</v>
      </c>
      <c r="C35" s="122">
        <v>0</v>
      </c>
      <c r="D35" s="122">
        <v>0</v>
      </c>
      <c r="E35" s="182">
        <f t="shared" si="14"/>
        <v>471952.55833200068</v>
      </c>
      <c r="F35" s="178">
        <f>5170311+6951</f>
        <v>5177262</v>
      </c>
      <c r="G35" s="169">
        <v>-4.0899999999999999E-3</v>
      </c>
      <c r="H35" s="183">
        <f t="shared" si="17"/>
        <v>-21175.00158</v>
      </c>
      <c r="I35" s="180">
        <v>2662302</v>
      </c>
      <c r="J35" s="169">
        <v>-1.035E-2</v>
      </c>
      <c r="K35" s="183">
        <f t="shared" si="18"/>
        <v>-27554.825700000001</v>
      </c>
      <c r="L35" s="180">
        <v>-100434</v>
      </c>
      <c r="M35" s="169">
        <v>-1.035E-2</v>
      </c>
      <c r="N35" s="183">
        <f t="shared" si="19"/>
        <v>1039.4919</v>
      </c>
      <c r="O35" s="177">
        <f t="shared" si="16"/>
        <v>1773.76</v>
      </c>
      <c r="P35" s="122">
        <f t="shared" si="15"/>
        <v>426035.98295200075</v>
      </c>
      <c r="Q35" s="110"/>
      <c r="R35" s="149" t="str">
        <f>_xll.Get_Balance(A35,"YTD","USD","Total","A","","001","191000","GD","WA","DL")</f>
        <v>Error (Logon)</v>
      </c>
      <c r="S35" s="150" t="e">
        <f t="shared" ref="S35" si="21">R35-P35</f>
        <v>#VALUE!</v>
      </c>
    </row>
    <row r="36" spans="1:26">
      <c r="A36" s="265" t="s">
        <v>196</v>
      </c>
      <c r="B36" s="168">
        <f>'191010 WA DEF'!B36</f>
        <v>4.7500000000000001E-2</v>
      </c>
      <c r="C36" s="122">
        <v>0</v>
      </c>
      <c r="D36" s="122">
        <v>0</v>
      </c>
      <c r="E36" s="182">
        <f t="shared" si="14"/>
        <v>426035.98295200075</v>
      </c>
      <c r="F36" s="178">
        <f>3317015+4575</f>
        <v>3321590</v>
      </c>
      <c r="G36" s="169">
        <v>-4.0899999999999999E-3</v>
      </c>
      <c r="H36" s="183">
        <f t="shared" si="17"/>
        <v>-13585.303099999999</v>
      </c>
      <c r="I36" s="180">
        <v>1746909</v>
      </c>
      <c r="J36" s="169">
        <v>-1.035E-2</v>
      </c>
      <c r="K36" s="183">
        <f t="shared" si="18"/>
        <v>-18080.508150000001</v>
      </c>
      <c r="L36" s="180">
        <v>0</v>
      </c>
      <c r="M36" s="169">
        <v>-1.035E-2</v>
      </c>
      <c r="N36" s="183">
        <f t="shared" si="19"/>
        <v>0</v>
      </c>
      <c r="O36" s="177">
        <f>ROUND(((E36*(B36/12))+(H36+K36+N36)/2*(B36/12)),2)</f>
        <v>1623.72</v>
      </c>
      <c r="P36" s="122">
        <f t="shared" si="15"/>
        <v>395993.89170200069</v>
      </c>
      <c r="Q36" s="110"/>
      <c r="R36" s="149" t="str">
        <f>_xll.Get_Balance(A36,"YTD","USD","Total","A","","001","191000","GD","WA","DL")</f>
        <v>Error (Logon)</v>
      </c>
      <c r="S36" s="150" t="e">
        <f t="shared" ref="S36" si="22">R36-P36</f>
        <v>#VALUE!</v>
      </c>
    </row>
    <row r="37" spans="1:26">
      <c r="A37" s="265" t="s">
        <v>197</v>
      </c>
      <c r="B37" s="168"/>
      <c r="C37" s="122">
        <v>0</v>
      </c>
      <c r="D37" s="122">
        <v>0</v>
      </c>
      <c r="E37" s="182">
        <f t="shared" si="14"/>
        <v>395993.89170200069</v>
      </c>
      <c r="F37" s="178"/>
      <c r="G37" s="169"/>
      <c r="H37" s="183">
        <f t="shared" si="17"/>
        <v>0</v>
      </c>
      <c r="I37" s="180"/>
      <c r="J37" s="169"/>
      <c r="K37" s="183">
        <f t="shared" si="18"/>
        <v>0</v>
      </c>
      <c r="L37" s="180"/>
      <c r="M37" s="169"/>
      <c r="N37" s="183">
        <f t="shared" si="19"/>
        <v>0</v>
      </c>
      <c r="O37" s="177">
        <f t="shared" si="16"/>
        <v>0</v>
      </c>
      <c r="P37" s="122">
        <f t="shared" si="15"/>
        <v>395993.89170200069</v>
      </c>
      <c r="Q37" s="110"/>
      <c r="R37" s="124"/>
      <c r="S37" s="125"/>
    </row>
    <row r="38" spans="1:26">
      <c r="A38" s="265" t="s">
        <v>198</v>
      </c>
      <c r="B38" s="168"/>
      <c r="C38" s="122">
        <v>0</v>
      </c>
      <c r="D38" s="122">
        <v>0</v>
      </c>
      <c r="E38" s="182">
        <f t="shared" si="14"/>
        <v>395993.89170200069</v>
      </c>
      <c r="F38" s="178"/>
      <c r="G38" s="169"/>
      <c r="H38" s="183">
        <f t="shared" si="17"/>
        <v>0</v>
      </c>
      <c r="I38" s="180"/>
      <c r="J38" s="169"/>
      <c r="K38" s="183">
        <f t="shared" si="18"/>
        <v>0</v>
      </c>
      <c r="L38" s="180"/>
      <c r="M38" s="169"/>
      <c r="N38" s="183">
        <f t="shared" si="19"/>
        <v>0</v>
      </c>
      <c r="O38" s="177">
        <f t="shared" si="16"/>
        <v>0</v>
      </c>
      <c r="P38" s="122">
        <f t="shared" si="15"/>
        <v>395993.89170200069</v>
      </c>
      <c r="Q38" s="110"/>
      <c r="R38" s="124"/>
      <c r="S38" s="125"/>
    </row>
    <row r="39" spans="1:26">
      <c r="A39" s="265" t="s">
        <v>199</v>
      </c>
      <c r="B39" s="168"/>
      <c r="C39" s="122">
        <v>0</v>
      </c>
      <c r="D39" s="122">
        <v>0</v>
      </c>
      <c r="E39" s="182">
        <f t="shared" si="14"/>
        <v>395993.89170200069</v>
      </c>
      <c r="F39" s="178"/>
      <c r="G39" s="169"/>
      <c r="H39" s="183">
        <f t="shared" si="17"/>
        <v>0</v>
      </c>
      <c r="I39" s="180"/>
      <c r="J39" s="169"/>
      <c r="K39" s="183">
        <f t="shared" si="18"/>
        <v>0</v>
      </c>
      <c r="L39" s="180"/>
      <c r="M39" s="169"/>
      <c r="N39" s="183">
        <f t="shared" si="19"/>
        <v>0</v>
      </c>
      <c r="O39" s="177">
        <f t="shared" si="16"/>
        <v>0</v>
      </c>
      <c r="P39" s="122">
        <f t="shared" si="15"/>
        <v>395993.89170200069</v>
      </c>
      <c r="Q39" s="110"/>
      <c r="R39" s="124"/>
      <c r="S39" s="125"/>
    </row>
    <row r="40" spans="1:26">
      <c r="A40" s="265" t="s">
        <v>200</v>
      </c>
      <c r="B40" s="168"/>
      <c r="C40" s="122">
        <v>0</v>
      </c>
      <c r="D40" s="122">
        <v>0</v>
      </c>
      <c r="E40" s="182">
        <f t="shared" si="14"/>
        <v>395993.89170200069</v>
      </c>
      <c r="F40" s="178"/>
      <c r="G40" s="169"/>
      <c r="H40" s="183">
        <f t="shared" si="17"/>
        <v>0</v>
      </c>
      <c r="I40" s="180"/>
      <c r="J40" s="169"/>
      <c r="K40" s="183">
        <f t="shared" si="18"/>
        <v>0</v>
      </c>
      <c r="L40" s="180"/>
      <c r="M40" s="169"/>
      <c r="N40" s="183">
        <f t="shared" si="19"/>
        <v>0</v>
      </c>
      <c r="O40" s="177">
        <f t="shared" si="16"/>
        <v>0</v>
      </c>
      <c r="P40" s="122">
        <f t="shared" si="15"/>
        <v>395993.89170200069</v>
      </c>
      <c r="Q40" s="110"/>
      <c r="R40" s="124"/>
      <c r="S40" s="125"/>
    </row>
    <row r="41" spans="1:26">
      <c r="A41" s="265" t="s">
        <v>201</v>
      </c>
      <c r="B41" s="168"/>
      <c r="C41" s="127">
        <f>-'191010 WA DEF'!D41</f>
        <v>0</v>
      </c>
      <c r="D41" s="127"/>
      <c r="E41" s="182">
        <f t="shared" si="14"/>
        <v>395993.89170200069</v>
      </c>
      <c r="F41" s="178"/>
      <c r="G41" s="147" t="s">
        <v>161</v>
      </c>
      <c r="H41" s="174"/>
      <c r="I41" s="180"/>
      <c r="J41" s="147" t="s">
        <v>161</v>
      </c>
      <c r="K41" s="174"/>
      <c r="L41" s="180"/>
      <c r="M41" s="147" t="s">
        <v>161</v>
      </c>
      <c r="N41" s="174"/>
      <c r="O41" s="177">
        <f t="shared" si="16"/>
        <v>0</v>
      </c>
      <c r="P41" s="122">
        <f t="shared" si="15"/>
        <v>395993.89170200069</v>
      </c>
      <c r="Q41" s="110"/>
      <c r="R41" s="124"/>
      <c r="S41" s="125"/>
    </row>
    <row r="42" spans="1:26">
      <c r="A42" s="265" t="s">
        <v>202</v>
      </c>
      <c r="B42" s="168"/>
      <c r="C42" s="122">
        <v>0</v>
      </c>
      <c r="D42" s="122">
        <v>0</v>
      </c>
      <c r="E42" s="182">
        <f t="shared" si="14"/>
        <v>395993.89170200069</v>
      </c>
      <c r="F42" s="178"/>
      <c r="G42" s="147" t="s">
        <v>161</v>
      </c>
      <c r="H42" s="174"/>
      <c r="I42" s="180"/>
      <c r="J42" s="147" t="s">
        <v>161</v>
      </c>
      <c r="K42" s="174"/>
      <c r="L42" s="180"/>
      <c r="M42" s="147" t="s">
        <v>161</v>
      </c>
      <c r="N42" s="174"/>
      <c r="O42" s="177">
        <f t="shared" si="16"/>
        <v>0</v>
      </c>
      <c r="P42" s="122">
        <f t="shared" si="15"/>
        <v>395993.89170200069</v>
      </c>
      <c r="Q42" s="110"/>
      <c r="R42" s="124"/>
      <c r="S42" s="125"/>
    </row>
    <row r="43" spans="1:26" s="196" customFormat="1" ht="15.6">
      <c r="A43" s="137"/>
      <c r="B43" s="137"/>
      <c r="C43" s="193"/>
      <c r="D43" s="133">
        <f>SUMIF($A$19:$A$42,$G46,D$19:D$42)</f>
        <v>0</v>
      </c>
      <c r="E43" s="133"/>
      <c r="F43" s="133"/>
      <c r="G43" s="133"/>
      <c r="H43" s="133">
        <f>SUMIF($A$19:$A$42,$G46,H$19:H$42)</f>
        <v>-13585.303099999999</v>
      </c>
      <c r="I43" s="134"/>
      <c r="J43" s="193"/>
      <c r="K43" s="133">
        <f>SUMIF($A$19:$A$42,$G46,K$19:K$42)</f>
        <v>-18080.508150000001</v>
      </c>
      <c r="L43" s="137"/>
      <c r="M43" s="195"/>
      <c r="N43" s="133">
        <f>SUMIF($A$19:$A$42,$G46,N$19:N$42)</f>
        <v>0</v>
      </c>
      <c r="O43" s="133">
        <f>SUMIF($A$19:$A$42,$G46,O$19:O$42)</f>
        <v>1623.72</v>
      </c>
      <c r="P43" s="134" t="s">
        <v>131</v>
      </c>
      <c r="Q43" s="199"/>
      <c r="R43" s="200"/>
      <c r="S43" s="200"/>
      <c r="T43" s="201"/>
      <c r="U43" s="197"/>
      <c r="V43" s="197"/>
      <c r="W43" s="197"/>
    </row>
    <row r="44" spans="1:26" s="196" customFormat="1" ht="14.4">
      <c r="A44" s="137"/>
      <c r="B44" s="137"/>
      <c r="C44" s="193"/>
      <c r="D44" s="194" t="s">
        <v>145</v>
      </c>
      <c r="E44" s="194"/>
      <c r="F44" s="194"/>
      <c r="G44" s="194"/>
      <c r="H44" s="194" t="s">
        <v>143</v>
      </c>
      <c r="I44" s="137"/>
      <c r="J44" s="193"/>
      <c r="K44" s="194" t="s">
        <v>143</v>
      </c>
      <c r="L44" s="194"/>
      <c r="M44" s="202"/>
      <c r="N44" s="194" t="s">
        <v>143</v>
      </c>
      <c r="O44" s="194" t="s">
        <v>144</v>
      </c>
      <c r="Q44" s="197"/>
      <c r="R44" s="197"/>
      <c r="S44" s="197"/>
      <c r="T44" s="197"/>
      <c r="U44" s="197"/>
      <c r="V44" s="197"/>
      <c r="W44" s="197"/>
    </row>
    <row r="45" spans="1:26" s="96" customFormat="1" ht="14.4">
      <c r="D45" s="119"/>
      <c r="E45" s="119"/>
      <c r="F45" s="120"/>
      <c r="G45" s="119"/>
      <c r="H45" s="119"/>
      <c r="I45" s="119"/>
      <c r="J45" s="119"/>
      <c r="K45" s="119"/>
      <c r="L45" s="119"/>
      <c r="M45" s="120"/>
      <c r="N45" s="119"/>
      <c r="O45" s="119"/>
      <c r="P45" s="138"/>
      <c r="T45" s="97"/>
      <c r="U45" s="97"/>
      <c r="V45" s="97"/>
      <c r="W45" s="97"/>
      <c r="X45" s="97"/>
      <c r="Y45" s="97"/>
      <c r="Z45" s="97"/>
    </row>
    <row r="46" spans="1:26" s="96" customFormat="1" ht="14.4">
      <c r="D46" s="119"/>
      <c r="E46" s="119"/>
      <c r="F46" s="120"/>
      <c r="G46" s="112">
        <v>202006</v>
      </c>
      <c r="H46" s="113" t="s">
        <v>132</v>
      </c>
      <c r="I46" s="114"/>
      <c r="J46" s="119"/>
      <c r="K46" s="119"/>
      <c r="L46" s="119"/>
      <c r="M46" s="120"/>
      <c r="N46" s="119"/>
      <c r="O46" s="119"/>
      <c r="P46" s="138"/>
    </row>
    <row r="47" spans="1:26" s="96" customFormat="1" ht="14.4">
      <c r="D47" s="119"/>
      <c r="E47" s="119"/>
      <c r="F47" s="120"/>
      <c r="G47" s="115" t="s">
        <v>133</v>
      </c>
      <c r="H47" s="115" t="s">
        <v>134</v>
      </c>
      <c r="I47" s="115" t="s">
        <v>135</v>
      </c>
      <c r="J47" s="119"/>
      <c r="K47" s="119"/>
      <c r="L47" s="119"/>
      <c r="M47" s="120"/>
      <c r="N47" s="119"/>
      <c r="O47" s="119"/>
      <c r="P47" s="138"/>
    </row>
    <row r="48" spans="1:26" s="96" customFormat="1" ht="14.4">
      <c r="D48" s="119"/>
      <c r="E48" s="119"/>
      <c r="F48" s="135" t="s">
        <v>36</v>
      </c>
      <c r="G48" s="116" t="s">
        <v>136</v>
      </c>
      <c r="H48" s="117"/>
      <c r="I48" s="118">
        <f>IF($O$43&gt;0,ABS($O$43),"")</f>
        <v>1623.72</v>
      </c>
      <c r="J48" s="137" t="s">
        <v>144</v>
      </c>
      <c r="K48" s="119"/>
      <c r="L48" s="119"/>
      <c r="M48" s="285"/>
      <c r="N48" s="110"/>
      <c r="O48" s="119"/>
      <c r="P48" s="138"/>
    </row>
    <row r="49" spans="4:21" s="96" customFormat="1" ht="14.4">
      <c r="D49" s="119"/>
      <c r="E49" s="119"/>
      <c r="F49" s="135" t="s">
        <v>140</v>
      </c>
      <c r="G49" s="116" t="s">
        <v>137</v>
      </c>
      <c r="H49" s="118" t="str">
        <f>IF($O$43&lt;0,ABS($O$43),"")</f>
        <v/>
      </c>
      <c r="I49" s="117"/>
      <c r="J49" s="137" t="s">
        <v>203</v>
      </c>
      <c r="K49" s="119"/>
      <c r="L49" s="119"/>
      <c r="M49" s="120"/>
      <c r="N49" s="119"/>
      <c r="O49" s="119"/>
      <c r="P49" s="138"/>
    </row>
    <row r="50" spans="4:21" s="96" customFormat="1" ht="14.4">
      <c r="D50" s="119"/>
      <c r="E50" s="119"/>
      <c r="F50" s="135" t="s">
        <v>6</v>
      </c>
      <c r="G50" s="116" t="s">
        <v>158</v>
      </c>
      <c r="H50" s="118" t="str">
        <f>IF(H43+$K$43+$N$43+O43&gt;0,ABS(H43+$K$43+$N$43+O43),"")</f>
        <v/>
      </c>
      <c r="I50" s="118">
        <f>IF(H43+$K$43+$N$43+O43&lt;0,ABS(H43+$K$43+$N$43+O43),"")</f>
        <v>30042.091249999998</v>
      </c>
      <c r="J50" s="137" t="s">
        <v>176</v>
      </c>
      <c r="K50" s="119"/>
      <c r="L50" s="119"/>
      <c r="M50" s="120"/>
      <c r="N50" s="119"/>
      <c r="O50" s="119"/>
      <c r="P50" s="138"/>
    </row>
    <row r="51" spans="4:21" s="96" customFormat="1" ht="14.4">
      <c r="D51" s="119"/>
      <c r="E51" s="119"/>
      <c r="F51" s="135" t="s">
        <v>177</v>
      </c>
      <c r="G51" s="116" t="s">
        <v>174</v>
      </c>
      <c r="H51" s="118">
        <f>IF(H43+$K$43+$N$43&lt;0,ABS(H43+$K$43+$N$43),"")</f>
        <v>31665.811249999999</v>
      </c>
      <c r="I51" s="118" t="str">
        <f>IF(H43+$K$43+$N$43&gt;0,ABS(H43+$K$43+$N$43),"")</f>
        <v/>
      </c>
      <c r="J51" s="137" t="s">
        <v>143</v>
      </c>
      <c r="K51" s="119"/>
      <c r="L51" s="119"/>
      <c r="M51" s="120"/>
      <c r="N51" s="119"/>
      <c r="O51" s="119"/>
      <c r="P51" s="138"/>
    </row>
    <row r="52" spans="4:21" s="96" customFormat="1" ht="14.4">
      <c r="D52" s="119"/>
      <c r="E52" s="119"/>
      <c r="F52" s="120"/>
      <c r="G52" s="119"/>
      <c r="H52" s="119"/>
      <c r="I52" s="119"/>
      <c r="J52" s="137"/>
      <c r="K52" s="119"/>
      <c r="L52" s="119"/>
      <c r="M52" s="120"/>
      <c r="N52" s="119"/>
      <c r="O52" s="119"/>
      <c r="P52" s="138"/>
    </row>
    <row r="53" spans="4:21" s="96" customFormat="1" ht="14.4">
      <c r="D53" s="119"/>
      <c r="E53" s="119"/>
      <c r="F53" s="120"/>
      <c r="G53" s="119"/>
      <c r="H53" s="119"/>
      <c r="I53" s="136">
        <f>SUM(H48:H51)-SUM(I48:I51)</f>
        <v>0</v>
      </c>
      <c r="J53" s="137" t="s">
        <v>148</v>
      </c>
      <c r="K53" s="119"/>
      <c r="L53" s="119"/>
      <c r="M53" s="120"/>
      <c r="N53" s="119"/>
      <c r="O53" s="119"/>
      <c r="P53" s="138"/>
    </row>
    <row r="54" spans="4:21" s="96" customFormat="1" ht="14.4">
      <c r="F54" s="97"/>
      <c r="J54" s="196"/>
      <c r="M54" s="97"/>
      <c r="P54" s="140"/>
    </row>
    <row r="55" spans="4:21" s="96" customFormat="1" ht="15.6">
      <c r="F55" s="97"/>
      <c r="G55" s="115" t="s">
        <v>175</v>
      </c>
      <c r="H55" s="154"/>
      <c r="I55" s="155"/>
      <c r="J55" s="198"/>
      <c r="M55" s="97"/>
      <c r="P55" s="140"/>
    </row>
    <row r="56" spans="4:21" s="96" customFormat="1" ht="14.4">
      <c r="F56" s="97"/>
      <c r="G56" s="156" t="s">
        <v>158</v>
      </c>
      <c r="H56" s="118" t="str">
        <f>IF($D$43&gt;0,ABS($D$43),"")</f>
        <v/>
      </c>
      <c r="I56" s="157"/>
      <c r="J56" s="137" t="s">
        <v>145</v>
      </c>
      <c r="M56" s="97"/>
      <c r="P56" s="140"/>
    </row>
    <row r="57" spans="4:21" s="96" customFormat="1" ht="14.4">
      <c r="F57" s="97"/>
      <c r="G57" s="156" t="s">
        <v>174</v>
      </c>
      <c r="H57" s="157"/>
      <c r="I57" s="118" t="str">
        <f>H56</f>
        <v/>
      </c>
      <c r="J57" s="158"/>
      <c r="M57" s="97"/>
      <c r="P57" s="140"/>
    </row>
    <row r="58" spans="4:21">
      <c r="Q58" s="119"/>
      <c r="S58" s="186"/>
      <c r="U58" s="120"/>
    </row>
    <row r="59" spans="4:21">
      <c r="P59" s="186"/>
      <c r="Q59" s="119"/>
      <c r="R59" s="120"/>
      <c r="S59" s="119"/>
    </row>
  </sheetData>
  <pageMargins left="0.5" right="0" top="0.75" bottom="0.75" header="0.3" footer="0.3"/>
  <pageSetup scale="61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1CA1E62DAF3B44937B817BD22EF062" ma:contentTypeVersion="56" ma:contentTypeDescription="" ma:contentTypeScope="" ma:versionID="8cb08b966df5bc4f4ed32991d6001b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2020-07-31T07:00:00+00:00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5FB074-F5E6-4985-AF9A-78CCB90A90A1}"/>
</file>

<file path=customXml/itemProps2.xml><?xml version="1.0" encoding="utf-8"?>
<ds:datastoreItem xmlns:ds="http://schemas.openxmlformats.org/officeDocument/2006/customXml" ds:itemID="{EE614F79-6B76-41C1-BD2D-EC0EECD744B5}"/>
</file>

<file path=customXml/itemProps3.xml><?xml version="1.0" encoding="utf-8"?>
<ds:datastoreItem xmlns:ds="http://schemas.openxmlformats.org/officeDocument/2006/customXml" ds:itemID="{71BE4BC1-C305-488C-A217-FE53DE844FBD}"/>
</file>

<file path=customXml/itemProps4.xml><?xml version="1.0" encoding="utf-8"?>
<ds:datastoreItem xmlns:ds="http://schemas.openxmlformats.org/officeDocument/2006/customXml" ds:itemID="{5E2B1C25-FC28-424E-952A-2E53DE38E7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Jan</vt:lpstr>
      <vt:lpstr>Feb</vt:lpstr>
      <vt:lpstr>Mar</vt:lpstr>
      <vt:lpstr>Apr</vt:lpstr>
      <vt:lpstr>May</vt:lpstr>
      <vt:lpstr>June</vt:lpstr>
      <vt:lpstr>191010 WA DEF</vt:lpstr>
      <vt:lpstr>191000 WA Amort</vt:lpstr>
      <vt:lpstr>'191000 WA Amort'!Print_Area</vt:lpstr>
      <vt:lpstr>'191010 WA DEF'!Print_Area</vt:lpstr>
      <vt:lpstr>Apr!Print_Area</vt:lpstr>
      <vt:lpstr>Feb!Print_Area</vt:lpstr>
      <vt:lpstr>Jan!Print_Area</vt:lpstr>
      <vt:lpstr>June!Print_Area</vt:lpstr>
      <vt:lpstr>Mar!Print_Area</vt:lpstr>
      <vt:lpstr>May!Print_Area</vt:lpstr>
      <vt:lpstr>Apr!Print_Titles</vt:lpstr>
      <vt:lpstr>Feb!Print_Titles</vt:lpstr>
      <vt:lpstr>Jan!Print_Titles</vt:lpstr>
      <vt:lpstr>June!Print_Titles</vt:lpstr>
      <vt:lpstr>Mar!Print_Titles</vt:lpstr>
      <vt:lpstr>May!Print_Titles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Schultz, Kaylene</cp:lastModifiedBy>
  <cp:lastPrinted>2020-07-06T18:14:58Z</cp:lastPrinted>
  <dcterms:created xsi:type="dcterms:W3CDTF">2003-05-01T14:02:57Z</dcterms:created>
  <dcterms:modified xsi:type="dcterms:W3CDTF">2020-07-31T14:55:54Z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0x0101006E56B4D1795A2E4DB2F0B01679ED314A00E31CA1E62DAF3B44937B817BD22EF062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