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E4D9221E-AF65-4013-B358-811493925F99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4 13 22 Forecast Usage by Sched" sheetId="13" r:id="rId1"/>
    <sheet name="Nat Gas 2022 Rate Calc" sheetId="7" r:id="rId2"/>
    <sheet name="Prior Year Amortization" sheetId="14" r:id="rId3"/>
    <sheet name="Earnings Test and 3% Test" sheetId="6" r:id="rId4"/>
    <sheet name="DSM Adjustment" sheetId="16" r:id="rId5"/>
    <sheet name="Conversion Factors" sheetId="2" r:id="rId6"/>
    <sheet name="Bill Impact" sheetId="15" r:id="rId7"/>
  </sheets>
  <definedNames>
    <definedName name="_xlnm.Print_Area" localSheetId="6">'Bill Impact'!$A$1:$N$37</definedName>
    <definedName name="_xlnm.Print_Area" localSheetId="5">'Conversion Factors'!$A$1:$F$116</definedName>
    <definedName name="_xlnm.Print_Area" localSheetId="3">'Earnings Test and 3% Test'!$A$1:$G$71</definedName>
    <definedName name="_xlnm.Print_Area" localSheetId="1">'Nat Gas 2022 Rate Calc'!$A$1:$L$88</definedName>
    <definedName name="_xlnm.Print_Area" localSheetId="2">'Prior Year Amortization'!$A$1:$H$37</definedName>
    <definedName name="_xlnm.Print_Titles" localSheetId="3">'Earnings Test and 3% Test'!$1:$4</definedName>
    <definedName name="Z_5C6B1FA1_B621_4699_B8F7_5011E8FF1BCD_.wvu.PrintArea" localSheetId="5" hidden="1">'Conversion Factors'!$A$1:$F$114</definedName>
    <definedName name="Z_5C6B1FA1_B621_4699_B8F7_5011E8FF1BCD_.wvu.PrintArea" localSheetId="3" hidden="1">'Earnings Test and 3% Test'!$B$1:$G$69</definedName>
    <definedName name="Z_5C6B1FA1_B621_4699_B8F7_5011E8FF1BCD_.wvu.PrintArea" localSheetId="1" hidden="1">'Nat Gas 2022 Rate Calc'!$B$1:$K$68</definedName>
    <definedName name="Z_5C6B1FA1_B621_4699_B8F7_5011E8FF1BCD_.wvu.PrintTitles" localSheetId="3" hidden="1">'Earnings Test and 3% Test'!$1:$4</definedName>
    <definedName name="Z_5C6B1FA1_B621_4699_B8F7_5011E8FF1BCD_.wvu.Rows" localSheetId="5" hidden="1">'Conversion Factors'!$1:$88</definedName>
    <definedName name="Z_6A207E9B_31ED_4215_AD4F_ABB2957B65E4_.wvu.PrintArea" localSheetId="5" hidden="1">'Conversion Factors'!$A$1:$F$114</definedName>
    <definedName name="Z_6A207E9B_31ED_4215_AD4F_ABB2957B65E4_.wvu.PrintArea" localSheetId="3" hidden="1">'Earnings Test and 3% Test'!$I$6:$S$52</definedName>
    <definedName name="Z_6A207E9B_31ED_4215_AD4F_ABB2957B65E4_.wvu.PrintArea" localSheetId="1" hidden="1">'Nat Gas 2022 Rate Calc'!$B$1:$K$68</definedName>
    <definedName name="Z_6A207E9B_31ED_4215_AD4F_ABB2957B65E4_.wvu.PrintTitles" localSheetId="3" hidden="1">'Earnings Test and 3% Test'!$1:$4</definedName>
    <definedName name="Z_6A207E9B_31ED_4215_AD4F_ABB2957B65E4_.wvu.Rows" localSheetId="5" hidden="1">'Conversion Factors'!$1:$88</definedName>
  </definedNames>
  <calcPr calcId="191029"/>
  <customWorkbookViews>
    <customWorkbookView name="Provision Analysis" guid="{6A207E9B-31ED-4215-AD4F-ABB2957B65E4}" maximized="1" xWindow="-9" yWindow="-9" windowWidth="1938" windowHeight="1050" activeSheetId="6"/>
    <customWorkbookView name="Earnings Test" guid="{5C6B1FA1-B621-4699-B8F7-5011E8FF1BCD}" maximized="1" xWindow="-9" yWindow="-9" windowWidth="1938" windowHeight="1050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1" i="15" l="1"/>
  <c r="S32" i="15" l="1"/>
  <c r="R16" i="15"/>
  <c r="R13" i="15"/>
  <c r="R36" i="15"/>
  <c r="C77" i="7"/>
  <c r="E58" i="6"/>
  <c r="I77" i="7"/>
  <c r="C56" i="7"/>
  <c r="Q16" i="15" l="1"/>
  <c r="Q13" i="15"/>
  <c r="Q11" i="15"/>
  <c r="R29" i="15"/>
  <c r="S29" i="15" l="1"/>
  <c r="S27" i="15"/>
  <c r="S26" i="15"/>
  <c r="S25" i="15"/>
  <c r="S28" i="15" s="1"/>
  <c r="J26" i="15"/>
  <c r="E13" i="6" l="1"/>
  <c r="F9" i="14" l="1"/>
  <c r="C10" i="14" s="1"/>
  <c r="D9" i="14"/>
  <c r="E18" i="14" l="1"/>
  <c r="E40" i="6"/>
  <c r="E15" i="15" l="1"/>
  <c r="E13" i="15"/>
  <c r="E11" i="15"/>
  <c r="H35" i="14" l="1"/>
  <c r="H36" i="14"/>
  <c r="H37" i="14"/>
  <c r="H18" i="14"/>
  <c r="H19" i="14"/>
  <c r="H20" i="14"/>
  <c r="C26" i="14" l="1"/>
  <c r="C24" i="14" l="1"/>
  <c r="C7" i="14"/>
  <c r="E28" i="6"/>
  <c r="E26" i="6"/>
  <c r="E44" i="6" s="1"/>
  <c r="L22" i="15" l="1"/>
  <c r="G16" i="14" l="1"/>
  <c r="G15" i="14"/>
  <c r="N5" i="13" l="1"/>
  <c r="M5" i="13"/>
  <c r="M6" i="13"/>
  <c r="N6" i="13"/>
  <c r="M7" i="13"/>
  <c r="N7" i="13"/>
  <c r="M8" i="13"/>
  <c r="N8" i="13"/>
  <c r="M9" i="13"/>
  <c r="N9" i="13"/>
  <c r="M10" i="13"/>
  <c r="N10" i="13"/>
  <c r="M11" i="13"/>
  <c r="N11" i="13"/>
  <c r="H24" i="14" l="1"/>
  <c r="G34" i="14"/>
  <c r="G33" i="14"/>
  <c r="G32" i="14"/>
  <c r="D13" i="15" l="1"/>
  <c r="D22" i="15" s="1"/>
  <c r="D11" i="15"/>
  <c r="H3" i="7" l="1"/>
  <c r="G18" i="14" l="1"/>
  <c r="E106" i="2" l="1"/>
  <c r="K9" i="7" l="1"/>
  <c r="K10" i="7"/>
  <c r="K11" i="7"/>
  <c r="K12" i="7"/>
  <c r="N12" i="13"/>
  <c r="K13" i="7" s="1"/>
  <c r="N13" i="13"/>
  <c r="K14" i="7" s="1"/>
  <c r="N14" i="13"/>
  <c r="K15" i="7" s="1"/>
  <c r="N15" i="13"/>
  <c r="K16" i="7" s="1"/>
  <c r="N16" i="13"/>
  <c r="K17" i="7" s="1"/>
  <c r="N17" i="13"/>
  <c r="K18" i="7" s="1"/>
  <c r="N18" i="13"/>
  <c r="K19" i="7" s="1"/>
  <c r="N19" i="13"/>
  <c r="K20" i="7" s="1"/>
  <c r="K22" i="7" l="1"/>
  <c r="G28" i="14" l="1"/>
  <c r="G31" i="14"/>
  <c r="G26" i="14"/>
  <c r="B26" i="14"/>
  <c r="B10" i="14"/>
  <c r="B27" i="14" s="1"/>
  <c r="B49" i="7"/>
  <c r="B50" i="7" s="1"/>
  <c r="B51" i="7" s="1"/>
  <c r="B52" i="7" s="1"/>
  <c r="B53" i="7" s="1"/>
  <c r="B54" i="7" s="1"/>
  <c r="B55" i="7" s="1"/>
  <c r="F53" i="7"/>
  <c r="L53" i="7" s="1"/>
  <c r="L52" i="7"/>
  <c r="L49" i="7"/>
  <c r="F50" i="7"/>
  <c r="L50" i="7" s="1"/>
  <c r="B9" i="7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57" i="7" l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F54" i="7"/>
  <c r="F51" i="7"/>
  <c r="L51" i="7" s="1"/>
  <c r="B11" i="14"/>
  <c r="A6" i="13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L54" i="7" l="1"/>
  <c r="F55" i="7"/>
  <c r="B12" i="14"/>
  <c r="B28" i="14"/>
  <c r="J27" i="15"/>
  <c r="J25" i="15"/>
  <c r="J28" i="15" s="1"/>
  <c r="M17" i="15"/>
  <c r="M16" i="15"/>
  <c r="F15" i="15"/>
  <c r="F13" i="15"/>
  <c r="F22" i="15" s="1"/>
  <c r="F11" i="15"/>
  <c r="F57" i="7" l="1"/>
  <c r="L55" i="7"/>
  <c r="D20" i="15"/>
  <c r="B13" i="14"/>
  <c r="B29" i="14"/>
  <c r="L20" i="15"/>
  <c r="F20" i="15"/>
  <c r="D7" i="7" l="1"/>
  <c r="L57" i="7"/>
  <c r="F58" i="7"/>
  <c r="B14" i="14"/>
  <c r="B30" i="14"/>
  <c r="B15" i="14" l="1"/>
  <c r="F59" i="7"/>
  <c r="L58" i="7"/>
  <c r="B31" i="14"/>
  <c r="B32" i="14" l="1"/>
  <c r="B16" i="14"/>
  <c r="F60" i="7"/>
  <c r="L59" i="7"/>
  <c r="F61" i="7"/>
  <c r="L60" i="7"/>
  <c r="B33" i="14" l="1"/>
  <c r="B17" i="14"/>
  <c r="L61" i="7"/>
  <c r="F62" i="7"/>
  <c r="J7" i="7"/>
  <c r="B34" i="14" l="1"/>
  <c r="B18" i="14"/>
  <c r="B19" i="14" s="1"/>
  <c r="B20" i="14" s="1"/>
  <c r="F63" i="7"/>
  <c r="L62" i="7"/>
  <c r="H47" i="7"/>
  <c r="H48" i="7"/>
  <c r="H49" i="7"/>
  <c r="H50" i="7"/>
  <c r="H51" i="7"/>
  <c r="H52" i="7"/>
  <c r="H53" i="7"/>
  <c r="H54" i="7"/>
  <c r="H55" i="7"/>
  <c r="H57" i="7"/>
  <c r="H58" i="7"/>
  <c r="H59" i="7"/>
  <c r="H60" i="7"/>
  <c r="H61" i="7"/>
  <c r="H62" i="7"/>
  <c r="H63" i="7"/>
  <c r="H64" i="7"/>
  <c r="H65" i="7"/>
  <c r="H66" i="7"/>
  <c r="H67" i="7"/>
  <c r="H68" i="7"/>
  <c r="H46" i="7"/>
  <c r="B35" i="14" l="1"/>
  <c r="F64" i="7"/>
  <c r="L63" i="7"/>
  <c r="H43" i="7"/>
  <c r="B37" i="14" l="1"/>
  <c r="B36" i="14"/>
  <c r="F65" i="7"/>
  <c r="L64" i="7"/>
  <c r="D26" i="14"/>
  <c r="F26" i="14" s="1"/>
  <c r="G35" i="14"/>
  <c r="G12" i="14"/>
  <c r="G10" i="14"/>
  <c r="G27" i="14" s="1"/>
  <c r="H9" i="7"/>
  <c r="H10" i="7"/>
  <c r="H11" i="7"/>
  <c r="H12" i="7"/>
  <c r="H13" i="7"/>
  <c r="H14" i="7"/>
  <c r="H15" i="7"/>
  <c r="H16" i="7"/>
  <c r="H17" i="7"/>
  <c r="H18" i="7"/>
  <c r="H19" i="7"/>
  <c r="H20" i="7"/>
  <c r="H8" i="7"/>
  <c r="E12" i="7"/>
  <c r="C27" i="14" l="1"/>
  <c r="D10" i="14"/>
  <c r="F10" i="14" s="1"/>
  <c r="C11" i="14" s="1"/>
  <c r="G13" i="14"/>
  <c r="G30" i="14" s="1"/>
  <c r="G29" i="14"/>
  <c r="G19" i="14"/>
  <c r="L65" i="7"/>
  <c r="F66" i="7"/>
  <c r="F67" i="7" s="1"/>
  <c r="D27" i="14"/>
  <c r="F27" i="14" s="1"/>
  <c r="C28" i="14" l="1"/>
  <c r="D28" i="14" s="1"/>
  <c r="F28" i="14" s="1"/>
  <c r="G20" i="14"/>
  <c r="G37" i="14" s="1"/>
  <c r="G36" i="14"/>
  <c r="L66" i="7"/>
  <c r="D11" i="14"/>
  <c r="F11" i="14" s="1"/>
  <c r="C12" i="14" s="1"/>
  <c r="C29" i="14" l="1"/>
  <c r="D29" i="14" s="1"/>
  <c r="F29" i="14" s="1"/>
  <c r="D12" i="14"/>
  <c r="F12" i="14" s="1"/>
  <c r="C13" i="14" s="1"/>
  <c r="C30" i="14" l="1"/>
  <c r="D30" i="14"/>
  <c r="F30" i="14" s="1"/>
  <c r="D13" i="14"/>
  <c r="F13" i="14" s="1"/>
  <c r="C14" i="14" s="1"/>
  <c r="C31" i="14" l="1"/>
  <c r="D31" i="14" s="1"/>
  <c r="F31" i="14" s="1"/>
  <c r="D14" i="14"/>
  <c r="F14" i="14" s="1"/>
  <c r="C32" i="14" l="1"/>
  <c r="D32" i="14" s="1"/>
  <c r="F32" i="14" s="1"/>
  <c r="C33" i="14" s="1"/>
  <c r="D33" i="14" s="1"/>
  <c r="F33" i="14" s="1"/>
  <c r="C34" i="14" s="1"/>
  <c r="D34" i="14" s="1"/>
  <c r="F34" i="14" s="1"/>
  <c r="C35" i="14" s="1"/>
  <c r="C15" i="14"/>
  <c r="D15" i="14" s="1"/>
  <c r="F15" i="14" s="1"/>
  <c r="C16" i="14" s="1"/>
  <c r="D16" i="14" s="1"/>
  <c r="F16" i="14" s="1"/>
  <c r="C17" i="14" s="1"/>
  <c r="D17" i="14" s="1"/>
  <c r="F17" i="14" s="1"/>
  <c r="C18" i="14" s="1"/>
  <c r="F68" i="7"/>
  <c r="L67" i="7"/>
  <c r="L68" i="7" l="1"/>
  <c r="F44" i="6" l="1"/>
  <c r="I73" i="7" l="1"/>
  <c r="C73" i="7"/>
  <c r="M19" i="13" l="1"/>
  <c r="E20" i="7" s="1"/>
  <c r="M18" i="13"/>
  <c r="E19" i="7" s="1"/>
  <c r="M17" i="13"/>
  <c r="E18" i="7" s="1"/>
  <c r="M16" i="13"/>
  <c r="E17" i="7" s="1"/>
  <c r="M15" i="13"/>
  <c r="E16" i="7" s="1"/>
  <c r="M14" i="13"/>
  <c r="E15" i="7" s="1"/>
  <c r="M13" i="13"/>
  <c r="E14" i="7" s="1"/>
  <c r="M12" i="13"/>
  <c r="E13" i="7" s="1"/>
  <c r="E11" i="7"/>
  <c r="E10" i="7"/>
  <c r="E9" i="7"/>
  <c r="E20" i="14"/>
  <c r="E19" i="14" l="1"/>
  <c r="H42" i="7" l="1"/>
  <c r="B42" i="7"/>
  <c r="E22" i="7"/>
  <c r="E46" i="6" s="1"/>
  <c r="E30" i="6"/>
  <c r="F46" i="6" l="1"/>
  <c r="F28" i="6"/>
  <c r="E39" i="6" s="1"/>
  <c r="F26" i="6"/>
  <c r="E38" i="6" s="1"/>
  <c r="F30" i="6" l="1"/>
  <c r="E15" i="6" l="1"/>
  <c r="E17" i="6" s="1"/>
  <c r="E108" i="2" l="1"/>
  <c r="E110" i="2" s="1"/>
  <c r="E114" i="2" l="1"/>
  <c r="E112" i="2"/>
  <c r="E18" i="6" s="1"/>
  <c r="E19" i="6" l="1"/>
  <c r="E21" i="6" s="1"/>
  <c r="E37" i="14"/>
  <c r="E36" i="14"/>
  <c r="D18" i="14"/>
  <c r="F18" i="14" s="1"/>
  <c r="C19" i="14" s="1"/>
  <c r="D19" i="14" s="1"/>
  <c r="F19" i="14" s="1"/>
  <c r="C20" i="14" s="1"/>
  <c r="E35" i="14"/>
  <c r="D35" i="14" s="1"/>
  <c r="F35" i="14" s="1"/>
  <c r="C36" i="14" s="1"/>
  <c r="D27" i="7"/>
  <c r="J27" i="7" s="1"/>
  <c r="E35" i="6" l="1"/>
  <c r="E34" i="6"/>
  <c r="D20" i="14"/>
  <c r="F20" i="14" s="1"/>
  <c r="D36" i="14"/>
  <c r="F36" i="14" s="1"/>
  <c r="C37" i="14" s="1"/>
  <c r="F35" i="6"/>
  <c r="I47" i="7" s="1"/>
  <c r="F34" i="6" l="1"/>
  <c r="C47" i="7" s="1"/>
  <c r="C48" i="7" s="1"/>
  <c r="E36" i="6"/>
  <c r="C75" i="7"/>
  <c r="F7" i="14"/>
  <c r="D37" i="14"/>
  <c r="F37" i="14" s="1"/>
  <c r="I74" i="7"/>
  <c r="I48" i="7"/>
  <c r="J49" i="7" s="1"/>
  <c r="I49" i="7" s="1"/>
  <c r="J50" i="7" s="1"/>
  <c r="F36" i="6"/>
  <c r="I56" i="7" l="1"/>
  <c r="I75" i="7" s="1"/>
  <c r="F24" i="14"/>
  <c r="I50" i="7"/>
  <c r="J51" i="7" s="1"/>
  <c r="C74" i="7"/>
  <c r="D49" i="7"/>
  <c r="I51" i="7" l="1"/>
  <c r="J52" i="7" s="1"/>
  <c r="C49" i="7"/>
  <c r="D50" i="7" s="1"/>
  <c r="I52" i="7" l="1"/>
  <c r="J53" i="7" s="1"/>
  <c r="C50" i="7"/>
  <c r="D51" i="7" l="1"/>
  <c r="I53" i="7"/>
  <c r="J54" i="7" s="1"/>
  <c r="C51" i="7" l="1"/>
  <c r="D52" i="7" s="1"/>
  <c r="C52" i="7"/>
  <c r="D53" i="7" s="1"/>
  <c r="I54" i="7"/>
  <c r="J55" i="7" s="1"/>
  <c r="C53" i="7" l="1"/>
  <c r="I55" i="7"/>
  <c r="I8" i="7" s="1"/>
  <c r="D54" i="7" l="1"/>
  <c r="C54" i="7" s="1"/>
  <c r="D55" i="7" l="1"/>
  <c r="C55" i="7" s="1"/>
  <c r="C8" i="7" s="1"/>
  <c r="E77" i="2" l="1"/>
  <c r="E79" i="2" s="1"/>
  <c r="E87" i="2" s="1"/>
  <c r="E81" i="2" l="1"/>
  <c r="E83" i="2" s="1"/>
  <c r="E49" i="2" l="1"/>
  <c r="E51" i="2" s="1"/>
  <c r="E59" i="2" s="1"/>
  <c r="E53" i="2" l="1"/>
  <c r="E55" i="2" s="1"/>
  <c r="E18" i="2" l="1"/>
  <c r="E20" i="2" s="1"/>
  <c r="E28" i="2" s="1"/>
  <c r="E22" i="2" l="1"/>
  <c r="E24" i="2" s="1"/>
  <c r="C7" i="7"/>
  <c r="D25" i="7" s="1"/>
  <c r="B35" i="7" s="1"/>
  <c r="D9" i="7" l="1"/>
  <c r="C9" i="7" l="1"/>
  <c r="D10" i="7" l="1"/>
  <c r="C10" i="7" l="1"/>
  <c r="D11" i="7" l="1"/>
  <c r="C11" i="7" s="1"/>
  <c r="D12" i="7" s="1"/>
  <c r="C12" i="7" s="1"/>
  <c r="D13" i="7" l="1"/>
  <c r="C13" i="7" l="1"/>
  <c r="D14" i="7" s="1"/>
  <c r="C14" i="7" l="1"/>
  <c r="D15" i="7" s="1"/>
  <c r="C15" i="7" s="1"/>
  <c r="D16" i="7" l="1"/>
  <c r="C16" i="7" s="1"/>
  <c r="D17" i="7" l="1"/>
  <c r="C17" i="7" s="1"/>
  <c r="D18" i="7" l="1"/>
  <c r="C18" i="7" s="1"/>
  <c r="D19" i="7" l="1"/>
  <c r="C19" i="7" s="1"/>
  <c r="D20" i="7" l="1"/>
  <c r="D22" i="7" s="1"/>
  <c r="D24" i="7" s="1"/>
  <c r="D26" i="7" s="1"/>
  <c r="D28" i="7" s="1"/>
  <c r="E48" i="6" l="1"/>
  <c r="C20" i="7"/>
  <c r="E52" i="6" l="1"/>
  <c r="E54" i="6" l="1"/>
  <c r="E56" i="6" s="1"/>
  <c r="E60" i="6" s="1"/>
  <c r="E62" i="6" l="1"/>
  <c r="D29" i="7"/>
  <c r="D30" i="7" s="1"/>
  <c r="D31" i="7" l="1"/>
  <c r="E64" i="6"/>
  <c r="E66" i="6" s="1"/>
  <c r="E30" i="7"/>
  <c r="C79" i="7"/>
  <c r="I11" i="15"/>
  <c r="E64" i="7" l="1"/>
  <c r="H11" i="15"/>
  <c r="G11" i="15" s="1"/>
  <c r="J11" i="15"/>
  <c r="I29" i="15" s="1"/>
  <c r="E68" i="7"/>
  <c r="E62" i="7"/>
  <c r="E57" i="7"/>
  <c r="D57" i="7" s="1"/>
  <c r="C57" i="7" s="1"/>
  <c r="E66" i="7"/>
  <c r="E63" i="7"/>
  <c r="E61" i="7"/>
  <c r="E59" i="7"/>
  <c r="E67" i="7"/>
  <c r="E60" i="7"/>
  <c r="E58" i="7"/>
  <c r="E65" i="7"/>
  <c r="J29" i="15" l="1"/>
  <c r="R30" i="15"/>
  <c r="M11" i="15"/>
  <c r="D58" i="7"/>
  <c r="C58" i="7" s="1"/>
  <c r="D59" i="7" s="1"/>
  <c r="C59" i="7" s="1"/>
  <c r="D60" i="7" s="1"/>
  <c r="C60" i="7" s="1"/>
  <c r="D61" i="7" s="1"/>
  <c r="C61" i="7" s="1"/>
  <c r="D62" i="7" s="1"/>
  <c r="C62" i="7" s="1"/>
  <c r="D63" i="7" s="1"/>
  <c r="C63" i="7" s="1"/>
  <c r="D64" i="7" s="1"/>
  <c r="C64" i="7" s="1"/>
  <c r="D65" i="7" s="1"/>
  <c r="C65" i="7" s="1"/>
  <c r="D66" i="7" s="1"/>
  <c r="C66" i="7" s="1"/>
  <c r="D67" i="7" s="1"/>
  <c r="C67" i="7" s="1"/>
  <c r="D68" i="7" s="1"/>
  <c r="E70" i="7"/>
  <c r="R37" i="15" l="1"/>
  <c r="S30" i="15"/>
  <c r="S31" i="15" s="1"/>
  <c r="J30" i="15"/>
  <c r="J31" i="15"/>
  <c r="C68" i="7"/>
  <c r="D32" i="7" s="1"/>
  <c r="D70" i="7"/>
  <c r="C76" i="7" s="1"/>
  <c r="I7" i="7"/>
  <c r="J9" i="7" s="1"/>
  <c r="C78" i="7" l="1"/>
  <c r="C80" i="7" s="1"/>
  <c r="I9" i="7"/>
  <c r="J25" i="7"/>
  <c r="H35" i="7" s="1"/>
  <c r="J10" i="7" l="1"/>
  <c r="I10" i="7" l="1"/>
  <c r="J11" i="7" s="1"/>
  <c r="I11" i="7" s="1"/>
  <c r="J12" i="7" l="1"/>
  <c r="I12" i="7" s="1"/>
  <c r="J13" i="7" l="1"/>
  <c r="I13" i="7" s="1"/>
  <c r="J14" i="7" l="1"/>
  <c r="I14" i="7" s="1"/>
  <c r="J15" i="7" l="1"/>
  <c r="I15" i="7" s="1"/>
  <c r="J16" i="7" l="1"/>
  <c r="I16" i="7" s="1"/>
  <c r="J17" i="7" l="1"/>
  <c r="I17" i="7" s="1"/>
  <c r="J18" i="7" l="1"/>
  <c r="I18" i="7" s="1"/>
  <c r="J19" i="7" l="1"/>
  <c r="I19" i="7" s="1"/>
  <c r="J20" i="7" l="1"/>
  <c r="I20" i="7" l="1"/>
  <c r="J22" i="7"/>
  <c r="J24" i="7" s="1"/>
  <c r="J26" i="7" s="1"/>
  <c r="J28" i="7" s="1"/>
  <c r="F48" i="6" l="1"/>
  <c r="F52" i="6" l="1"/>
  <c r="F54" i="6" s="1"/>
  <c r="F56" i="6" s="1"/>
  <c r="F58" i="6" s="1"/>
  <c r="F60" i="6" s="1"/>
  <c r="J29" i="7" s="1"/>
  <c r="F62" i="6" l="1"/>
  <c r="F64" i="6" s="1"/>
  <c r="F66" i="6" s="1"/>
  <c r="J30" i="7"/>
  <c r="I79" i="7" l="1"/>
  <c r="J31" i="7"/>
  <c r="K30" i="7"/>
  <c r="I13" i="15"/>
  <c r="K59" i="7" l="1"/>
  <c r="K67" i="7"/>
  <c r="K61" i="7"/>
  <c r="K62" i="7"/>
  <c r="K63" i="7"/>
  <c r="K64" i="7"/>
  <c r="K65" i="7"/>
  <c r="K66" i="7"/>
  <c r="K60" i="7"/>
  <c r="K68" i="7"/>
  <c r="K58" i="7"/>
  <c r="K57" i="7"/>
  <c r="J57" i="7" s="1"/>
  <c r="I57" i="7" s="1"/>
  <c r="H13" i="15"/>
  <c r="I15" i="15"/>
  <c r="J13" i="15"/>
  <c r="J58" i="7" l="1"/>
  <c r="I58" i="7" s="1"/>
  <c r="J59" i="7" s="1"/>
  <c r="I59" i="7" s="1"/>
  <c r="J60" i="7" s="1"/>
  <c r="I60" i="7" s="1"/>
  <c r="J61" i="7" s="1"/>
  <c r="I61" i="7" s="1"/>
  <c r="J62" i="7" s="1"/>
  <c r="I62" i="7" s="1"/>
  <c r="J15" i="15"/>
  <c r="H15" i="15"/>
  <c r="G15" i="15" s="1"/>
  <c r="G13" i="15"/>
  <c r="M13" i="15" s="1"/>
  <c r="K70" i="7"/>
  <c r="G22" i="15" l="1"/>
  <c r="M22" i="15" s="1"/>
  <c r="H22" i="15"/>
  <c r="J63" i="7"/>
  <c r="I63" i="7" s="1"/>
  <c r="J64" i="7" s="1"/>
  <c r="H20" i="15"/>
  <c r="G20" i="15"/>
  <c r="M20" i="15" s="1"/>
  <c r="I64" i="7" l="1"/>
  <c r="J65" i="7" s="1"/>
  <c r="I65" i="7" s="1"/>
  <c r="J66" i="7" s="1"/>
  <c r="I66" i="7" s="1"/>
  <c r="J67" i="7" s="1"/>
  <c r="I67" i="7" s="1"/>
  <c r="J68" i="7" s="1"/>
  <c r="I68" i="7" s="1"/>
  <c r="J32" i="7" l="1"/>
  <c r="J70" i="7"/>
  <c r="I76" i="7" s="1"/>
  <c r="I78" i="7" s="1"/>
  <c r="I80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77" authorId="0" shapeId="0" xr:uid="{DF39CFAD-69BB-4291-BEAB-85E8E2AA215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Leave note that this formala changes in years when there is a carryover balance.
I updated this so that it isn't reducing the calculated amount by the ending Jul 2023 balance which I think is the carryover deffered revenue from 2021(same on non-res)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forecast therms
</t>
        </r>
      </text>
    </comment>
    <comment ref="L8" authorId="0" shapeId="0" xr:uid="{00000000-0006-0000-0500-000002000000}">
      <text>
        <r>
          <rPr>
            <sz val="9"/>
            <color indexed="81"/>
            <rFont val="Tahoma"/>
            <family val="2"/>
          </rPr>
          <t xml:space="preserve">
2020 normalized billing determinants at present billing rates effective 4/1/2021</t>
        </r>
      </text>
    </comment>
  </commentList>
</comments>
</file>

<file path=xl/sharedStrings.xml><?xml version="1.0" encoding="utf-8"?>
<sst xmlns="http://schemas.openxmlformats.org/spreadsheetml/2006/main" count="356" uniqueCount="217">
  <si>
    <t>Avista Utilities</t>
  </si>
  <si>
    <t>Calculation of Decoupling Mechanism Surcharge or Rebate Amortization Rates</t>
  </si>
  <si>
    <t>Date</t>
  </si>
  <si>
    <t>Interest</t>
  </si>
  <si>
    <t>Residential Natural Gas</t>
  </si>
  <si>
    <t>Annual Total</t>
  </si>
  <si>
    <t>Unamortized Balance (1)</t>
  </si>
  <si>
    <t>Interest (2)</t>
  </si>
  <si>
    <t>Ending Balance</t>
  </si>
  <si>
    <t>Incremental Rate to Recover Estimated Interest</t>
  </si>
  <si>
    <t>Estimated Rate to Recover Deferral Balance</t>
  </si>
  <si>
    <t>Rate before Gross-up for Revenue-related items</t>
  </si>
  <si>
    <t>Times:  Gross-up for Revenue-related items (3)</t>
  </si>
  <si>
    <t>Amortization Rate</t>
  </si>
  <si>
    <t>Non-Residential Natural Gas</t>
  </si>
  <si>
    <t>AVISTA UTILITIES</t>
  </si>
  <si>
    <t>Revenue Conversion Factor</t>
  </si>
  <si>
    <t>Twelve Months Ended December 31, 2013</t>
  </si>
  <si>
    <t xml:space="preserve">Line </t>
  </si>
  <si>
    <t>No.</t>
  </si>
  <si>
    <t>Description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</si>
  <si>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</si>
  <si>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</si>
  <si>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</si>
  <si>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</si>
  <si>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</si>
  <si>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</si>
  <si>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  Total Expense</t>
  </si>
  <si>
    <t>Net Operating Income Before FIT</t>
  </si>
  <si>
    <t xml:space="preserve">  Federal Income Tax @ 35%</t>
  </si>
  <si>
    <t>REVENUE CONVERSION FACTOR</t>
  </si>
  <si>
    <t>Washington -Natural Gas System</t>
  </si>
  <si>
    <t>UG-140189 Rates Effective 1/1/2015</t>
  </si>
  <si>
    <t>Settlement Basis Conversion Factor</t>
  </si>
  <si>
    <t>Twelve Months Ended June 30, 2013</t>
  </si>
  <si>
    <t xml:space="preserve">  Franchise Fees</t>
  </si>
  <si>
    <t>As Filed Conversion Factor</t>
  </si>
  <si>
    <t>Utilized in Decoupling Journal Calculations</t>
  </si>
  <si>
    <t>Twelve Months Ended September 30, 2015</t>
  </si>
  <si>
    <t>UG-160229 current GRC</t>
  </si>
  <si>
    <t>Washington - Gas System</t>
  </si>
  <si>
    <t xml:space="preserve">  Uncollectibles  </t>
  </si>
  <si>
    <t xml:space="preserve">  Commission Fees </t>
  </si>
  <si>
    <t xml:space="preserve">  Washington Excise Tax  </t>
  </si>
  <si>
    <t>Gross Up Factor</t>
  </si>
  <si>
    <t>Decoupling Mechanism Earnings Test and 3% Test</t>
  </si>
  <si>
    <t>Natural Gas</t>
  </si>
  <si>
    <t>Rate Base</t>
  </si>
  <si>
    <t>Net Income</t>
  </si>
  <si>
    <t xml:space="preserve">Calculated ROR </t>
  </si>
  <si>
    <t xml:space="preserve">Base ROR </t>
  </si>
  <si>
    <t>Excess ROR</t>
  </si>
  <si>
    <t>Excess Earnings</t>
  </si>
  <si>
    <t>Conversion Factor</t>
  </si>
  <si>
    <t>Excess Revenue (Excess Earnings/CF)</t>
  </si>
  <si>
    <t>Sharing %</t>
  </si>
  <si>
    <t>Residential Revenue</t>
  </si>
  <si>
    <t>Non-Residential Revenue</t>
  </si>
  <si>
    <t>Total Normalized Revenue</t>
  </si>
  <si>
    <t>Earnings Test Sharing Adjustment</t>
  </si>
  <si>
    <t>Total</t>
  </si>
  <si>
    <t xml:space="preserve">  Residential</t>
  </si>
  <si>
    <t>Proposed Decoupling Recovery Rates</t>
  </si>
  <si>
    <t>Incremental Decoupling Recovery Rates</t>
  </si>
  <si>
    <t>Incremental Decoupling Recovery</t>
  </si>
  <si>
    <t>3% Incremental Surcharge Test</t>
  </si>
  <si>
    <t>Incremental Surcharge %</t>
  </si>
  <si>
    <t>3% Test Rate Adjustment</t>
  </si>
  <si>
    <t>Adjusted Proposed Decoupling Recovery Rates</t>
  </si>
  <si>
    <t>Adjusted Incremental Decoupling Recovery</t>
  </si>
  <si>
    <t>Adjusted Incremental Surcharge %</t>
  </si>
  <si>
    <t>3% Test Rate Adjustment (4)</t>
  </si>
  <si>
    <t>Final Proposed Decoupling Rate</t>
  </si>
  <si>
    <t>Estimated Carryover Balance (5)</t>
  </si>
  <si>
    <t>Notes</t>
  </si>
  <si>
    <t>Amortization</t>
  </si>
  <si>
    <t>Adjusted for Revenue Related Expenses</t>
  </si>
  <si>
    <t>http://www.ferc.gov/enforcement/acct-matts/interest-rates.asp</t>
  </si>
  <si>
    <t>Estimated Carryover Balance due to 3% test (5)</t>
  </si>
  <si>
    <t>Preliminary Proposed Decoupling Rate</t>
  </si>
  <si>
    <t>Adjusted December Balance</t>
  </si>
  <si>
    <t xml:space="preserve">  Non-Residential</t>
  </si>
  <si>
    <t>WA101</t>
  </si>
  <si>
    <t>WA111</t>
  </si>
  <si>
    <t>WA121</t>
  </si>
  <si>
    <t>WA132</t>
  </si>
  <si>
    <t>WA146</t>
  </si>
  <si>
    <t>WA148</t>
  </si>
  <si>
    <t>Bill Determinants Tab</t>
  </si>
  <si>
    <t>Total Loads by Rate Sched:</t>
  </si>
  <si>
    <t>RES</t>
  </si>
  <si>
    <t>Non-RES</t>
  </si>
  <si>
    <t>Washington Natural Gas</t>
  </si>
  <si>
    <t>Line No.</t>
  </si>
  <si>
    <t xml:space="preserve">Total </t>
  </si>
  <si>
    <t>Customer Surcharge Revenue</t>
  </si>
  <si>
    <t>Carryover Deferred Revenue</t>
  </si>
  <si>
    <t xml:space="preserve">Summary </t>
  </si>
  <si>
    <t>(1)</t>
  </si>
  <si>
    <t>(2)</t>
  </si>
  <si>
    <t>Interest computed on average balance between beginning and end of month at the present FERC rate.  The FERC interest rate is updated quarterly.</t>
  </si>
  <si>
    <t>(3)</t>
  </si>
  <si>
    <t>(4)</t>
  </si>
  <si>
    <t>(5)</t>
  </si>
  <si>
    <t>See page 2 of Attachment A for estimated carryover balance calculations.</t>
  </si>
  <si>
    <t>Forecast Usage</t>
  </si>
  <si>
    <t xml:space="preserve">     Total Requested Recovery</t>
  </si>
  <si>
    <t>Add Revenue Related Expense Adj.</t>
  </si>
  <si>
    <t>See page 4 of Attachment A for estimated carryover balance calculations.</t>
  </si>
  <si>
    <t>Gross Revenue Adjustment</t>
  </si>
  <si>
    <t>Net of Revenue Related Expenses</t>
  </si>
  <si>
    <t>Residential</t>
  </si>
  <si>
    <t>Non-Residential</t>
  </si>
  <si>
    <t>See pages 6 and 7 of Attachment A for earnings test and 3% test adjustment calculations.</t>
  </si>
  <si>
    <t>Decoupling Mechanism Prior Surcharge or Rebate Amortization</t>
  </si>
  <si>
    <t>Interest Rate</t>
  </si>
  <si>
    <t>Non-Residential Natural Gas Surcharge</t>
  </si>
  <si>
    <t>Washington Jurisdiction</t>
  </si>
  <si>
    <t>Decoupling</t>
  </si>
  <si>
    <t>Present</t>
  </si>
  <si>
    <t xml:space="preserve">Present </t>
  </si>
  <si>
    <t xml:space="preserve">Proposed </t>
  </si>
  <si>
    <t>Proposed</t>
  </si>
  <si>
    <t xml:space="preserve">Incremental </t>
  </si>
  <si>
    <t>Type of</t>
  </si>
  <si>
    <t>Schedule</t>
  </si>
  <si>
    <t>Billing</t>
  </si>
  <si>
    <t>Rate</t>
  </si>
  <si>
    <t xml:space="preserve">Billing </t>
  </si>
  <si>
    <t>Service</t>
  </si>
  <si>
    <t>Number</t>
  </si>
  <si>
    <t>Determinants</t>
  </si>
  <si>
    <t>Revenue</t>
  </si>
  <si>
    <t>change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</si>
  <si>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</si>
  <si>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</si>
  <si>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</si>
  <si>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</si>
  <si>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</si>
  <si>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</si>
  <si>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</si>
  <si>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</si>
  <si>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</si>
  <si>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General Service</t>
  </si>
  <si>
    <t>101/102</t>
  </si>
  <si>
    <t>Large General Service</t>
  </si>
  <si>
    <t>N/A</t>
  </si>
  <si>
    <t>Interruptible Service</t>
  </si>
  <si>
    <t>Transportation Service</t>
  </si>
  <si>
    <t>Special Contract Transportation Service</t>
  </si>
  <si>
    <t>Non-Residential Group Subtotal</t>
  </si>
  <si>
    <t xml:space="preserve">Average Residential Bill </t>
  </si>
  <si>
    <t>Basic Charge</t>
  </si>
  <si>
    <t>First 70 therms</t>
  </si>
  <si>
    <t>Next 70 therms</t>
  </si>
  <si>
    <t>Proposed rate change</t>
  </si>
  <si>
    <t>Residential Bill at Proposed rates</t>
  </si>
  <si>
    <t>WA112</t>
  </si>
  <si>
    <t>Incr/(Decr)</t>
  </si>
  <si>
    <t xml:space="preserve">  Federal Income Tax @ 21%</t>
  </si>
  <si>
    <t>Proposed Percent Increase</t>
  </si>
  <si>
    <t>111/112/116</t>
  </si>
  <si>
    <t>Prior Year Carryover Balance</t>
  </si>
  <si>
    <t>Add Prior Year Carryover Balance</t>
  </si>
  <si>
    <t>2019 Total Earnings Test Sharing</t>
  </si>
  <si>
    <t xml:space="preserve"> @67 therms</t>
  </si>
  <si>
    <t>May - July Forecast Usage</t>
  </si>
  <si>
    <t>Effective August 1, 2021 - July 31, 2022</t>
  </si>
  <si>
    <t>Calculate Estimated Monthly Balances through July 2022</t>
  </si>
  <si>
    <t>Residential Natural Gas Rebate</t>
  </si>
  <si>
    <t>Revenue From 2020 Normalized Loads and Customers at Present Billing Rates</t>
  </si>
  <si>
    <t>Pro-rated</t>
  </si>
  <si>
    <t>(3)  The carryover balances will differ from the 3% adjustment amounts due to the revenue related expense gross up partially offset by additional interest on the outstanding balance during the amortization period.</t>
  </si>
  <si>
    <t>3% Test Adjustment (3)</t>
  </si>
  <si>
    <t>Present Decoupling Surcharge Recovery Rates (2)</t>
  </si>
  <si>
    <t>2021 Washington Natural Gas Deferrals</t>
  </si>
  <si>
    <t>Revenue From 2021 Normalized Loads and Customers at Present Billing Rates (Note 1)</t>
  </si>
  <si>
    <t>August 2022 - July 2023 Usage</t>
  </si>
  <si>
    <t>Residential Bill at 4/1/2022 rates</t>
  </si>
  <si>
    <t>TWELVE MONTHS ENDED December 31, 2021</t>
  </si>
  <si>
    <t>GSFM Apr MidMonth_(04 13 22 pricing) - v2</t>
  </si>
  <si>
    <t>DSM Adjustment</t>
  </si>
  <si>
    <t>Earnings Sharing/DSM Adjustment</t>
  </si>
  <si>
    <t>Therm Savings</t>
  </si>
  <si>
    <t>Shortage</t>
  </si>
  <si>
    <t>Percent of Target</t>
  </si>
  <si>
    <t>IRP Target</t>
  </si>
  <si>
    <t xml:space="preserve">IRP Target </t>
  </si>
  <si>
    <t>Decoupling Thresholds (Therms)</t>
  </si>
  <si>
    <t>From</t>
  </si>
  <si>
    <t>To</t>
  </si>
  <si>
    <t>&lt;3.75%</t>
  </si>
  <si>
    <t xml:space="preserve">- </t>
  </si>
  <si>
    <t>3.75%-4.5%</t>
  </si>
  <si>
    <t>4.50-5.0%</t>
  </si>
  <si>
    <t>Actual</t>
  </si>
  <si>
    <t>Target+5%</t>
  </si>
  <si>
    <t>Adjustment</t>
  </si>
  <si>
    <t>With the IRP target of 781,459 which is below the threshhold of 810,764, there has been an adjustment of $75,000 made as shown in the "Earnings Test and 3% Test" tab</t>
  </si>
  <si>
    <t>Order 09 in Docket UG-190335</t>
  </si>
  <si>
    <t>2021 Deferred Revenue</t>
  </si>
  <si>
    <t>Add Interest through 07/31/2023</t>
  </si>
  <si>
    <t>2021 Commission Basis conversion factor, see page 8 of  Attachment A.</t>
  </si>
  <si>
    <t>Docket No. UG-200901</t>
  </si>
  <si>
    <t>(1)  Revenue from 2021 normalized loads and customers at present billing rates effective since November 1, 2021.</t>
  </si>
  <si>
    <t>2021 Commission Basis Conversion Factor</t>
  </si>
  <si>
    <t>Decoupling Schedule 175 Filing</t>
  </si>
  <si>
    <t>2021 Commission Basis Earnings Test for Decoupling</t>
  </si>
  <si>
    <t>Less Earnings Sharing/DSM</t>
  </si>
  <si>
    <t>DSM Rate Increase</t>
  </si>
  <si>
    <t>Proposed DSM rate change</t>
  </si>
  <si>
    <t>Proposed Decoupling rate change</t>
  </si>
  <si>
    <t>DSM Rev Increase</t>
  </si>
  <si>
    <t>DSM Rev % Increase</t>
  </si>
  <si>
    <t>DSM &amp; Decoupling Rev % Increase</t>
  </si>
  <si>
    <t>New Billing Rate</t>
  </si>
  <si>
    <t>For DSM and Decoupling Customer Notice - DO NOT PRINT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</si>
</sst>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00_);\(&quot;$&quot;#,##0.00000\)"/>
    <numFmt numFmtId="166" formatCode="0.000000"/>
    <numFmt numFmtId="167" formatCode="0.00000"/>
    <numFmt numFmtId="168" formatCode="_(* #,##0.000000_);_(* \(#,##0.000000\);_(* &quot;-&quot;??_);_(@_)"/>
    <numFmt numFmtId="169" formatCode="_(&quot;$&quot;* #,##0_);_(&quot;$&quot;* \(#,##0\);_(&quot;$&quot;* &quot;-&quot;??_);_(@_)"/>
    <numFmt numFmtId="170" formatCode="&quot;$&quot;#,##0.00000"/>
    <numFmt numFmtId="171" formatCode="mmm\ yy"/>
    <numFmt numFmtId="172" formatCode="_(&quot;$&quot;* #,##0.00000_);_(&quot;$&quot;* \(#,##0.00000\);_(&quot;$&quot;* &quot;-&quot;??_);_(@_)"/>
    <numFmt numFmtId="173" formatCode="0.0%"/>
    <numFmt numFmtId="174" formatCode="_(&quot;$&quot;* #,##0.000000_);_(&quot;$&quot;* \(#,##0.000000\);_(&quot;$&quot;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color indexed="12"/>
      <name val="Times New Roman"/>
      <family val="1"/>
    </font>
    <font>
      <sz val="12"/>
      <color indexed="48"/>
      <name val="Times New Roman"/>
      <family val="1"/>
    </font>
    <font>
      <sz val="10"/>
      <color theme="1"/>
      <name val="Arial"/>
      <family val="2"/>
    </font>
    <font>
      <b/>
      <sz val="11"/>
      <color rgb="FF0000FF"/>
      <name val="Calibri"/>
      <family val="2"/>
      <scheme val="minor"/>
    </font>
    <font>
      <sz val="12"/>
      <color rgb="FF0000FF"/>
      <name val="Times New Roman"/>
      <family val="1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" fontId="25" fillId="0" borderId="0"/>
  </cellStyleXfs>
  <cellXfs count="262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166" fontId="5" fillId="0" borderId="0" xfId="0" applyNumberFormat="1" applyFont="1"/>
    <xf numFmtId="166" fontId="2" fillId="0" borderId="0" xfId="0" applyNumberFormat="1" applyFont="1"/>
    <xf numFmtId="166" fontId="4" fillId="0" borderId="0" xfId="0" applyNumberFormat="1" applyFont="1"/>
    <xf numFmtId="166" fontId="5" fillId="0" borderId="2" xfId="0" applyNumberFormat="1" applyFont="1" applyBorder="1"/>
    <xf numFmtId="166" fontId="5" fillId="0" borderId="0" xfId="0" applyNumberFormat="1" applyFont="1" applyBorder="1"/>
    <xf numFmtId="10" fontId="6" fillId="0" borderId="0" xfId="0" applyNumberFormat="1" applyFont="1"/>
    <xf numFmtId="166" fontId="5" fillId="0" borderId="1" xfId="0" applyNumberFormat="1" applyFont="1" applyBorder="1"/>
    <xf numFmtId="0" fontId="1" fillId="0" borderId="0" xfId="3"/>
    <xf numFmtId="167" fontId="5" fillId="0" borderId="3" xfId="0" applyNumberFormat="1" applyFont="1" applyBorder="1"/>
    <xf numFmtId="166" fontId="3" fillId="2" borderId="4" xfId="0" applyNumberFormat="1" applyFont="1" applyFill="1" applyBorder="1"/>
    <xf numFmtId="0" fontId="2" fillId="3" borderId="0" xfId="0" applyFont="1" applyFill="1" applyAlignment="1">
      <alignment horizontal="centerContinuous"/>
    </xf>
    <xf numFmtId="0" fontId="3" fillId="3" borderId="0" xfId="0" applyFont="1" applyFill="1" applyAlignment="1">
      <alignment horizontal="centerContinuous"/>
    </xf>
    <xf numFmtId="166" fontId="5" fillId="3" borderId="3" xfId="0" applyNumberFormat="1" applyFont="1" applyFill="1" applyBorder="1"/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10" fontId="0" fillId="0" borderId="0" xfId="0" applyNumberFormat="1" applyBorder="1" applyAlignment="1">
      <alignment horizontal="center" wrapText="1"/>
    </xf>
    <xf numFmtId="5" fontId="0" fillId="0" borderId="0" xfId="0" applyNumberFormat="1" applyBorder="1"/>
    <xf numFmtId="0" fontId="0" fillId="0" borderId="0" xfId="0" applyBorder="1"/>
    <xf numFmtId="165" fontId="0" fillId="0" borderId="0" xfId="0" applyNumberFormat="1" applyBorder="1"/>
    <xf numFmtId="168" fontId="0" fillId="0" borderId="0" xfId="1" applyNumberFormat="1" applyFont="1" applyBorder="1"/>
    <xf numFmtId="164" fontId="0" fillId="0" borderId="0" xfId="1" applyNumberFormat="1" applyFont="1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164" fontId="0" fillId="0" borderId="0" xfId="0" applyNumberFormat="1" applyBorder="1" applyAlignment="1">
      <alignment wrapText="1"/>
    </xf>
    <xf numFmtId="10" fontId="0" fillId="0" borderId="0" xfId="2" applyNumberFormat="1" applyFont="1"/>
    <xf numFmtId="10" fontId="0" fillId="0" borderId="0" xfId="0" applyNumberFormat="1"/>
    <xf numFmtId="169" fontId="0" fillId="0" borderId="0" xfId="0" applyNumberFormat="1"/>
    <xf numFmtId="166" fontId="10" fillId="0" borderId="0" xfId="2" applyNumberFormat="1" applyFont="1" applyBorder="1"/>
    <xf numFmtId="9" fontId="0" fillId="0" borderId="0" xfId="0" applyNumberFormat="1"/>
    <xf numFmtId="169" fontId="9" fillId="0" borderId="6" xfId="0" applyNumberFormat="1" applyFont="1" applyBorder="1"/>
    <xf numFmtId="169" fontId="0" fillId="0" borderId="7" xfId="0" applyNumberFormat="1" applyBorder="1"/>
    <xf numFmtId="0" fontId="0" fillId="0" borderId="0" xfId="0" applyAlignment="1">
      <alignment horizontal="center"/>
    </xf>
    <xf numFmtId="0" fontId="9" fillId="0" borderId="0" xfId="0" applyFont="1"/>
    <xf numFmtId="169" fontId="0" fillId="0" borderId="0" xfId="5" applyNumberFormat="1" applyFont="1"/>
    <xf numFmtId="164" fontId="0" fillId="0" borderId="0" xfId="1" applyNumberFormat="1" applyFont="1"/>
    <xf numFmtId="170" fontId="0" fillId="0" borderId="0" xfId="0" applyNumberFormat="1"/>
    <xf numFmtId="10" fontId="9" fillId="0" borderId="0" xfId="2" applyNumberFormat="1" applyFont="1"/>
    <xf numFmtId="169" fontId="9" fillId="0" borderId="0" xfId="0" applyNumberFormat="1" applyFont="1" applyBorder="1"/>
    <xf numFmtId="164" fontId="0" fillId="0" borderId="0" xfId="0" applyNumberFormat="1"/>
    <xf numFmtId="17" fontId="0" fillId="0" borderId="0" xfId="0" applyNumberFormat="1" applyBorder="1"/>
    <xf numFmtId="0" fontId="0" fillId="0" borderId="0" xfId="0" applyFill="1" applyBorder="1"/>
    <xf numFmtId="17" fontId="9" fillId="0" borderId="0" xfId="0" applyNumberFormat="1" applyFont="1" applyBorder="1"/>
    <xf numFmtId="5" fontId="9" fillId="0" borderId="0" xfId="0" applyNumberFormat="1" applyFont="1" applyBorder="1"/>
    <xf numFmtId="10" fontId="0" fillId="0" borderId="0" xfId="0" quotePrefix="1" applyNumberFormat="1" applyBorder="1" applyAlignment="1">
      <alignment horizontal="center" wrapText="1"/>
    </xf>
    <xf numFmtId="0" fontId="0" fillId="0" borderId="0" xfId="0" applyAlignment="1">
      <alignment horizontal="center"/>
    </xf>
    <xf numFmtId="171" fontId="0" fillId="0" borderId="0" xfId="0" applyNumberFormat="1"/>
    <xf numFmtId="0" fontId="12" fillId="4" borderId="0" xfId="0" applyFont="1" applyFill="1"/>
    <xf numFmtId="169" fontId="0" fillId="0" borderId="0" xfId="5" applyNumberFormat="1" applyFont="1" applyFill="1"/>
    <xf numFmtId="0" fontId="0" fillId="0" borderId="0" xfId="0" applyFill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164" fontId="14" fillId="0" borderId="0" xfId="1" applyNumberFormat="1" applyFont="1"/>
    <xf numFmtId="164" fontId="0" fillId="0" borderId="0" xfId="1" applyNumberFormat="1" applyFont="1" applyFill="1"/>
    <xf numFmtId="0" fontId="0" fillId="0" borderId="0" xfId="0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vertical="top"/>
    </xf>
    <xf numFmtId="5" fontId="0" fillId="0" borderId="0" xfId="0" applyNumberFormat="1"/>
    <xf numFmtId="5" fontId="0" fillId="0" borderId="7" xfId="0" applyNumberFormat="1" applyBorder="1"/>
    <xf numFmtId="0" fontId="0" fillId="0" borderId="0" xfId="0" quotePrefix="1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5" fontId="0" fillId="0" borderId="0" xfId="0" applyNumberFormat="1" applyBorder="1"/>
    <xf numFmtId="0" fontId="0" fillId="0" borderId="0" xfId="0" applyAlignment="1">
      <alignment horizontal="center"/>
    </xf>
    <xf numFmtId="10" fontId="0" fillId="0" borderId="0" xfId="0" applyNumberFormat="1"/>
    <xf numFmtId="169" fontId="0" fillId="0" borderId="0" xfId="0" applyNumberFormat="1"/>
    <xf numFmtId="5" fontId="0" fillId="0" borderId="0" xfId="0" applyNumberForma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6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top" wrapText="1"/>
    </xf>
    <xf numFmtId="16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7" fontId="0" fillId="0" borderId="0" xfId="0" applyNumberFormat="1"/>
    <xf numFmtId="44" fontId="0" fillId="0" borderId="0" xfId="5" applyNumberFormat="1" applyFont="1"/>
    <xf numFmtId="7" fontId="0" fillId="0" borderId="0" xfId="0" applyNumberFormat="1" applyBorder="1"/>
    <xf numFmtId="44" fontId="0" fillId="0" borderId="0" xfId="0" applyNumberFormat="1"/>
    <xf numFmtId="44" fontId="0" fillId="0" borderId="0" xfId="5" applyNumberFormat="1" applyFont="1" applyFill="1"/>
    <xf numFmtId="44" fontId="9" fillId="0" borderId="0" xfId="0" applyNumberFormat="1" applyFont="1"/>
    <xf numFmtId="17" fontId="9" fillId="0" borderId="0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/>
    <xf numFmtId="37" fontId="0" fillId="0" borderId="0" xfId="0" applyNumberFormat="1"/>
    <xf numFmtId="172" fontId="0" fillId="0" borderId="0" xfId="5" applyNumberFormat="1" applyFont="1"/>
    <xf numFmtId="172" fontId="12" fillId="0" borderId="0" xfId="5" applyNumberFormat="1" applyFont="1"/>
    <xf numFmtId="172" fontId="0" fillId="0" borderId="0" xfId="0" applyNumberFormat="1"/>
    <xf numFmtId="0" fontId="8" fillId="0" borderId="0" xfId="0" quotePrefix="1" applyFont="1" applyAlignment="1">
      <alignment horizontal="center"/>
    </xf>
    <xf numFmtId="37" fontId="0" fillId="0" borderId="0" xfId="0" applyNumberFormat="1" applyAlignment="1">
      <alignment horizontal="center"/>
    </xf>
    <xf numFmtId="0" fontId="8" fillId="0" borderId="0" xfId="0" applyFont="1" applyAlignment="1">
      <alignment wrapText="1"/>
    </xf>
    <xf numFmtId="37" fontId="0" fillId="0" borderId="0" xfId="0" applyNumberFormat="1" applyAlignment="1">
      <alignment vertical="center"/>
    </xf>
    <xf numFmtId="0" fontId="8" fillId="0" borderId="0" xfId="0" applyFont="1" applyAlignment="1">
      <alignment horizontal="left" indent="3"/>
    </xf>
    <xf numFmtId="169" fontId="0" fillId="0" borderId="0" xfId="0" applyNumberFormat="1" applyFill="1"/>
    <xf numFmtId="173" fontId="0" fillId="0" borderId="0" xfId="2" applyNumberFormat="1" applyFont="1"/>
    <xf numFmtId="174" fontId="0" fillId="0" borderId="0" xfId="5" applyNumberFormat="1" applyFont="1"/>
    <xf numFmtId="0" fontId="0" fillId="0" borderId="0" xfId="0" applyAlignment="1">
      <alignment horizontal="right"/>
    </xf>
    <xf numFmtId="7" fontId="0" fillId="0" borderId="0" xfId="5" applyNumberFormat="1" applyFont="1"/>
    <xf numFmtId="7" fontId="0" fillId="0" borderId="7" xfId="5" applyNumberFormat="1" applyFont="1" applyBorder="1"/>
    <xf numFmtId="44" fontId="0" fillId="0" borderId="0" xfId="5" applyFont="1"/>
    <xf numFmtId="10" fontId="0" fillId="0" borderId="0" xfId="0" applyNumberFormat="1" applyBorder="1"/>
    <xf numFmtId="0" fontId="0" fillId="0" borderId="0" xfId="0" applyFill="1" applyBorder="1" applyAlignment="1">
      <alignment horizontal="center" wrapText="1"/>
    </xf>
    <xf numFmtId="10" fontId="18" fillId="0" borderId="0" xfId="0" applyNumberFormat="1" applyFont="1"/>
    <xf numFmtId="7" fontId="0" fillId="0" borderId="0" xfId="5" applyNumberFormat="1" applyFont="1" applyFill="1"/>
    <xf numFmtId="0" fontId="12" fillId="0" borderId="0" xfId="0" applyFont="1"/>
    <xf numFmtId="0" fontId="12" fillId="0" borderId="0" xfId="0" applyFont="1" applyAlignment="1">
      <alignment horizontal="center"/>
    </xf>
    <xf numFmtId="37" fontId="9" fillId="0" borderId="0" xfId="0" applyNumberFormat="1" applyFont="1"/>
    <xf numFmtId="169" fontId="9" fillId="0" borderId="0" xfId="5" applyNumberFormat="1" applyFont="1"/>
    <xf numFmtId="169" fontId="9" fillId="0" borderId="0" xfId="0" applyNumberFormat="1" applyFont="1"/>
    <xf numFmtId="172" fontId="9" fillId="0" borderId="0" xfId="0" applyNumberFormat="1" applyFont="1"/>
    <xf numFmtId="0" fontId="9" fillId="0" borderId="0" xfId="0" applyFont="1" applyAlignment="1">
      <alignment horizontal="center"/>
    </xf>
    <xf numFmtId="43" fontId="0" fillId="0" borderId="0" xfId="1" applyFont="1"/>
    <xf numFmtId="0" fontId="0" fillId="0" borderId="0" xfId="0" applyAlignment="1">
      <alignment horizontal="center"/>
    </xf>
    <xf numFmtId="10" fontId="14" fillId="0" borderId="0" xfId="0" applyNumberFormat="1" applyFont="1" applyFill="1" applyBorder="1"/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/>
    </xf>
    <xf numFmtId="0" fontId="20" fillId="0" borderId="0" xfId="0" applyFont="1"/>
    <xf numFmtId="166" fontId="21" fillId="0" borderId="0" xfId="0" applyNumberFormat="1" applyFont="1"/>
    <xf numFmtId="166" fontId="20" fillId="0" borderId="0" xfId="0" applyNumberFormat="1" applyFont="1"/>
    <xf numFmtId="0" fontId="22" fillId="0" borderId="0" xfId="0" applyFont="1"/>
    <xf numFmtId="0" fontId="21" fillId="0" borderId="0" xfId="0" applyFont="1" applyAlignment="1">
      <alignment horizontal="center"/>
    </xf>
    <xf numFmtId="166" fontId="23" fillId="0" borderId="0" xfId="0" applyNumberFormat="1" applyFont="1"/>
    <xf numFmtId="166" fontId="20" fillId="0" borderId="2" xfId="0" applyNumberFormat="1" applyFont="1" applyBorder="1"/>
    <xf numFmtId="10" fontId="24" fillId="0" borderId="0" xfId="0" applyNumberFormat="1" applyFont="1"/>
    <xf numFmtId="166" fontId="20" fillId="0" borderId="5" xfId="0" applyNumberFormat="1" applyFont="1" applyBorder="1"/>
    <xf numFmtId="10" fontId="14" fillId="0" borderId="0" xfId="0" applyNumberFormat="1" applyFont="1" applyFill="1"/>
    <xf numFmtId="10" fontId="0" fillId="0" borderId="0" xfId="0" applyNumberFormat="1" applyFill="1"/>
    <xf numFmtId="166" fontId="20" fillId="0" borderId="0" xfId="4" applyNumberFormat="1" applyFont="1" applyFill="1"/>
    <xf numFmtId="172" fontId="12" fillId="0" borderId="0" xfId="5" applyNumberFormat="1" applyFont="1" applyFill="1"/>
    <xf numFmtId="0" fontId="0" fillId="0" borderId="0" xfId="0" applyFill="1" applyAlignment="1">
      <alignment horizontal="center" wrapText="1"/>
    </xf>
    <xf numFmtId="164" fontId="0" fillId="0" borderId="0" xfId="0" applyNumberFormat="1" applyBorder="1" applyAlignment="1">
      <alignment vertical="top"/>
    </xf>
    <xf numFmtId="0" fontId="11" fillId="0" borderId="0" xfId="6" quotePrefix="1" applyBorder="1" applyAlignment="1">
      <alignment horizontal="left" vertical="top"/>
    </xf>
    <xf numFmtId="0" fontId="0" fillId="0" borderId="0" xfId="0" quotePrefix="1" applyBorder="1" applyAlignment="1">
      <alignment horizontal="left" vertical="top" wrapText="1"/>
    </xf>
    <xf numFmtId="0" fontId="0" fillId="0" borderId="0" xfId="0" applyAlignment="1">
      <alignment vertical="top"/>
    </xf>
    <xf numFmtId="5" fontId="14" fillId="0" borderId="0" xfId="0" applyNumberFormat="1" applyFont="1" applyFill="1" applyBorder="1"/>
    <xf numFmtId="44" fontId="14" fillId="0" borderId="0" xfId="5" applyNumberFormat="1" applyFont="1" applyFill="1"/>
    <xf numFmtId="169" fontId="14" fillId="0" borderId="0" xfId="0" applyNumberFormat="1" applyFont="1" applyFill="1"/>
    <xf numFmtId="10" fontId="14" fillId="0" borderId="0" xfId="2" applyNumberFormat="1" applyFont="1" applyFill="1"/>
    <xf numFmtId="170" fontId="0" fillId="0" borderId="0" xfId="0" applyNumberFormat="1" applyFill="1"/>
    <xf numFmtId="166" fontId="27" fillId="0" borderId="0" xfId="4" applyNumberFormat="1" applyFont="1" applyFill="1"/>
    <xf numFmtId="170" fontId="14" fillId="0" borderId="0" xfId="0" applyNumberFormat="1" applyFont="1" applyFill="1"/>
    <xf numFmtId="171" fontId="0" fillId="0" borderId="0" xfId="0" applyNumberFormat="1" applyFill="1"/>
    <xf numFmtId="164" fontId="14" fillId="0" borderId="0" xfId="1" applyNumberFormat="1" applyFont="1" applyFill="1"/>
    <xf numFmtId="164" fontId="0" fillId="0" borderId="0" xfId="0" applyNumberFormat="1" applyFill="1"/>
    <xf numFmtId="169" fontId="26" fillId="0" borderId="0" xfId="5" applyNumberFormat="1" applyFont="1" applyFill="1"/>
    <xf numFmtId="169" fontId="14" fillId="0" borderId="0" xfId="5" applyNumberFormat="1" applyFont="1" applyFill="1"/>
    <xf numFmtId="0" fontId="14" fillId="0" borderId="0" xfId="0" applyFont="1" applyFill="1"/>
    <xf numFmtId="172" fontId="28" fillId="0" borderId="0" xfId="5" applyNumberFormat="1" applyFont="1" applyFill="1"/>
    <xf numFmtId="172" fontId="29" fillId="0" borderId="0" xfId="5" applyNumberFormat="1" applyFont="1" applyFill="1"/>
    <xf numFmtId="7" fontId="14" fillId="0" borderId="0" xfId="5" applyNumberFormat="1" applyFont="1" applyFill="1"/>
    <xf numFmtId="169" fontId="0" fillId="0" borderId="0" xfId="0" applyNumberFormat="1" applyFill="1" applyAlignment="1">
      <alignment horizontal="center"/>
    </xf>
    <xf numFmtId="169" fontId="0" fillId="0" borderId="0" xfId="0" applyNumberFormat="1" applyBorder="1"/>
    <xf numFmtId="169" fontId="0" fillId="0" borderId="1" xfId="0" applyNumberFormat="1" applyBorder="1"/>
    <xf numFmtId="0" fontId="31" fillId="0" borderId="12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16" xfId="0" applyFont="1" applyBorder="1" applyAlignment="1">
      <alignment vertical="center"/>
    </xf>
    <xf numFmtId="0" fontId="30" fillId="0" borderId="12" xfId="0" applyFont="1" applyBorder="1"/>
    <xf numFmtId="0" fontId="30" fillId="0" borderId="17" xfId="0" applyFont="1" applyBorder="1"/>
    <xf numFmtId="0" fontId="31" fillId="0" borderId="18" xfId="0" applyFont="1" applyBorder="1" applyAlignment="1">
      <alignment horizontal="center" vertical="center"/>
    </xf>
    <xf numFmtId="0" fontId="30" fillId="0" borderId="16" xfId="0" applyFont="1" applyBorder="1"/>
    <xf numFmtId="3" fontId="31" fillId="0" borderId="13" xfId="0" applyNumberFormat="1" applyFont="1" applyBorder="1" applyAlignment="1">
      <alignment vertical="center"/>
    </xf>
    <xf numFmtId="0" fontId="31" fillId="0" borderId="4" xfId="0" applyFont="1" applyBorder="1" applyAlignment="1">
      <alignment horizontal="center" vertical="center"/>
    </xf>
    <xf numFmtId="0" fontId="31" fillId="0" borderId="19" xfId="0" applyFont="1" applyBorder="1" applyAlignment="1">
      <alignment vertical="center"/>
    </xf>
    <xf numFmtId="3" fontId="31" fillId="0" borderId="19" xfId="0" applyNumberFormat="1" applyFont="1" applyBorder="1" applyAlignment="1">
      <alignment vertical="center"/>
    </xf>
    <xf numFmtId="6" fontId="31" fillId="0" borderId="19" xfId="0" applyNumberFormat="1" applyFont="1" applyBorder="1" applyAlignment="1">
      <alignment vertical="center"/>
    </xf>
    <xf numFmtId="3" fontId="31" fillId="0" borderId="20" xfId="0" applyNumberFormat="1" applyFont="1" applyBorder="1" applyAlignment="1">
      <alignment vertical="center"/>
    </xf>
    <xf numFmtId="0" fontId="31" fillId="0" borderId="21" xfId="0" applyFont="1" applyBorder="1" applyAlignment="1">
      <alignment horizontal="center" vertical="center"/>
    </xf>
    <xf numFmtId="3" fontId="31" fillId="0" borderId="22" xfId="0" applyNumberFormat="1" applyFont="1" applyBorder="1" applyAlignment="1">
      <alignment vertical="center"/>
    </xf>
    <xf numFmtId="6" fontId="31" fillId="0" borderId="22" xfId="0" applyNumberFormat="1" applyFont="1" applyBorder="1" applyAlignment="1">
      <alignment vertical="center"/>
    </xf>
    <xf numFmtId="0" fontId="30" fillId="0" borderId="4" xfId="0" applyFont="1" applyBorder="1"/>
    <xf numFmtId="0" fontId="31" fillId="0" borderId="21" xfId="0" applyFont="1" applyBorder="1" applyAlignment="1">
      <alignment vertical="center"/>
    </xf>
    <xf numFmtId="0" fontId="30" fillId="0" borderId="22" xfId="0" applyFont="1" applyBorder="1"/>
    <xf numFmtId="9" fontId="31" fillId="0" borderId="22" xfId="0" applyNumberFormat="1" applyFont="1" applyBorder="1" applyAlignment="1">
      <alignment horizontal="right" vertical="center"/>
    </xf>
    <xf numFmtId="3" fontId="31" fillId="0" borderId="0" xfId="0" applyNumberFormat="1" applyFont="1" applyFill="1" applyBorder="1" applyAlignment="1">
      <alignment horizontal="left" vertical="center" wrapText="1"/>
    </xf>
    <xf numFmtId="44" fontId="14" fillId="0" borderId="0" xfId="0" applyNumberFormat="1" applyFont="1"/>
    <xf numFmtId="44" fontId="0" fillId="0" borderId="0" xfId="0" applyNumberFormat="1" applyFill="1"/>
    <xf numFmtId="0" fontId="19" fillId="0" borderId="0" xfId="0" applyFont="1" applyFill="1"/>
    <xf numFmtId="0" fontId="9" fillId="0" borderId="0" xfId="0" applyFont="1" applyFill="1"/>
    <xf numFmtId="0" fontId="9" fillId="0" borderId="0" xfId="0" applyFont="1" applyFill="1" applyAlignment="1"/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23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7" xfId="0" applyBorder="1"/>
    <xf numFmtId="169" fontId="9" fillId="0" borderId="17" xfId="5" applyNumberFormat="1" applyFont="1" applyBorder="1"/>
    <xf numFmtId="10" fontId="9" fillId="0" borderId="0" xfId="2" applyNumberFormat="1" applyFont="1" applyBorder="1"/>
    <xf numFmtId="0" fontId="9" fillId="0" borderId="18" xfId="0" applyFont="1" applyBorder="1"/>
    <xf numFmtId="169" fontId="0" fillId="0" borderId="17" xfId="5" applyNumberFormat="1" applyFont="1" applyBorder="1"/>
    <xf numFmtId="10" fontId="1" fillId="0" borderId="0" xfId="2" applyNumberFormat="1" applyFont="1" applyBorder="1"/>
    <xf numFmtId="0" fontId="0" fillId="0" borderId="0" xfId="0" applyFont="1" applyBorder="1"/>
    <xf numFmtId="0" fontId="9" fillId="0" borderId="17" xfId="0" applyFont="1" applyBorder="1"/>
    <xf numFmtId="0" fontId="9" fillId="0" borderId="0" xfId="0" applyFont="1" applyBorder="1"/>
    <xf numFmtId="169" fontId="0" fillId="0" borderId="18" xfId="0" applyNumberFormat="1" applyFill="1" applyBorder="1" applyAlignment="1">
      <alignment horizontal="center"/>
    </xf>
    <xf numFmtId="7" fontId="14" fillId="0" borderId="0" xfId="5" applyNumberFormat="1" applyFont="1" applyFill="1" applyBorder="1"/>
    <xf numFmtId="7" fontId="0" fillId="0" borderId="18" xfId="5" applyNumberFormat="1" applyFont="1" applyBorder="1"/>
    <xf numFmtId="170" fontId="14" fillId="0" borderId="0" xfId="0" applyNumberFormat="1" applyFont="1" applyFill="1" applyBorder="1"/>
    <xf numFmtId="7" fontId="0" fillId="0" borderId="18" xfId="5" applyNumberFormat="1" applyFont="1" applyFill="1" applyBorder="1"/>
    <xf numFmtId="7" fontId="0" fillId="0" borderId="24" xfId="5" applyNumberFormat="1" applyFont="1" applyBorder="1"/>
    <xf numFmtId="172" fontId="0" fillId="0" borderId="0" xfId="0" applyNumberFormat="1" applyBorder="1"/>
    <xf numFmtId="10" fontId="0" fillId="0" borderId="18" xfId="2" applyNumberFormat="1" applyFont="1" applyBorder="1"/>
    <xf numFmtId="170" fontId="0" fillId="0" borderId="0" xfId="0" applyNumberFormat="1" applyBorder="1"/>
    <xf numFmtId="0" fontId="0" fillId="0" borderId="20" xfId="0" applyBorder="1"/>
    <xf numFmtId="0" fontId="0" fillId="0" borderId="25" xfId="0" applyBorder="1" applyAlignment="1">
      <alignment horizontal="right"/>
    </xf>
    <xf numFmtId="170" fontId="0" fillId="0" borderId="25" xfId="0" applyNumberFormat="1" applyBorder="1"/>
    <xf numFmtId="0" fontId="0" fillId="0" borderId="22" xfId="0" applyBorder="1"/>
    <xf numFmtId="44" fontId="9" fillId="0" borderId="0" xfId="0" applyNumberFormat="1" applyFont="1" applyBorder="1"/>
    <xf numFmtId="0" fontId="13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quotePrefix="1" applyFill="1" applyBorder="1" applyAlignment="1">
      <alignment horizontal="justify" vertical="top" wrapText="1"/>
    </xf>
    <xf numFmtId="0" fontId="0" fillId="0" borderId="0" xfId="0" quotePrefix="1" applyBorder="1" applyAlignment="1">
      <alignment horizontal="justify" vertical="top" wrapText="1"/>
    </xf>
    <xf numFmtId="0" fontId="0" fillId="0" borderId="0" xfId="0" quotePrefix="1" applyFill="1" applyBorder="1" applyAlignment="1">
      <alignment horizontal="left" vertical="top" wrapText="1"/>
    </xf>
    <xf numFmtId="0" fontId="0" fillId="0" borderId="0" xfId="0" quotePrefix="1" applyBorder="1" applyAlignment="1">
      <alignment horizontal="left" vertical="top" wrapText="1"/>
    </xf>
    <xf numFmtId="0" fontId="17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quotePrefix="1" applyAlignment="1">
      <alignment horizontal="justify" wrapText="1"/>
    </xf>
    <xf numFmtId="0" fontId="0" fillId="0" borderId="0" xfId="0" quotePrefix="1" applyAlignment="1">
      <alignment horizontal="justify" vertical="top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0" fillId="0" borderId="0" xfId="0" quotePrefix="1" applyFill="1" applyAlignment="1">
      <alignment horizontal="justify" vertical="top" wrapText="1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66" fontId="21" fillId="0" borderId="0" xfId="0" applyNumberFormat="1" applyFont="1" applyAlignment="1">
      <alignment horizontal="center"/>
    </xf>
    <xf numFmtId="0" fontId="2" fillId="0" borderId="0" xfId="3" applyFont="1" applyAlignment="1">
      <alignment horizontal="center"/>
    </xf>
  </cellXfs>
  <cellStyles count="8">
    <cellStyle name="Comma" xfId="1" builtinId="3"/>
    <cellStyle name="Currency" xfId="5" builtinId="4"/>
    <cellStyle name="Hyperlink" xfId="6" builtinId="8"/>
    <cellStyle name="Normal" xfId="0" builtinId="0"/>
    <cellStyle name="Normal 10" xfId="3" xr:uid="{00000000-0005-0000-0000-000004000000}"/>
    <cellStyle name="Normal 2" xfId="7" xr:uid="{FA2A7790-EE9E-45E5-9138-BABE26B38026}"/>
    <cellStyle name="Normal 2 2" xfId="4" xr:uid="{00000000-0005-0000-0000-000005000000}"/>
    <cellStyle name="Percent" xfId="2" builtinId="5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8</xdr:col>
      <xdr:colOff>228600</xdr:colOff>
      <xdr:row>41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3239C9-3C3F-4907-88D6-CB29D3231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57775"/>
          <a:ext cx="6286500" cy="3590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erc.gov/enforcement/acct-matts/interest-rates.asp" TargetMode="Externa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ferc.gov/enforcement/acct-matts/interest-rates.as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0"/>
  <sheetViews>
    <sheetView workbookViewId="0">
      <selection activeCell="M8" sqref="M8"/>
    </sheetView>
  </sheetViews>
  <sheetFormatPr defaultRowHeight="15" outlineLevelCol="1" x14ac:dyDescent="0.25"/>
  <cols>
    <col min="2" max="2" width="3.7109375" customWidth="1"/>
    <col min="3" max="3" width="26.42578125" bestFit="1" customWidth="1" outlineLevel="1"/>
    <col min="4" max="4" width="12.5703125" customWidth="1" outlineLevel="1"/>
    <col min="5" max="5" width="12.5703125" style="79" customWidth="1" outlineLevel="1"/>
    <col min="6" max="7" width="11.140625" customWidth="1" outlineLevel="1"/>
    <col min="8" max="9" width="12.5703125" customWidth="1" outlineLevel="1"/>
    <col min="10" max="10" width="2.140625" customWidth="1"/>
    <col min="12" max="12" width="2.140625" customWidth="1"/>
    <col min="13" max="13" width="12.7109375" customWidth="1"/>
    <col min="14" max="14" width="11.42578125" customWidth="1"/>
  </cols>
  <sheetData>
    <row r="1" spans="1:15" x14ac:dyDescent="0.25">
      <c r="A1" s="234"/>
      <c r="B1" s="63" t="s">
        <v>180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x14ac:dyDescent="0.25">
      <c r="A2" s="234"/>
      <c r="B2" t="s">
        <v>88</v>
      </c>
    </row>
    <row r="3" spans="1:15" x14ac:dyDescent="0.25">
      <c r="A3" s="61"/>
      <c r="B3" s="61"/>
      <c r="C3" s="61" t="s">
        <v>89</v>
      </c>
      <c r="K3" s="235"/>
      <c r="L3" s="68"/>
      <c r="M3" s="236" t="s">
        <v>92</v>
      </c>
      <c r="N3" s="237"/>
    </row>
    <row r="4" spans="1:15" x14ac:dyDescent="0.25">
      <c r="C4" s="66" t="s">
        <v>82</v>
      </c>
      <c r="D4" s="66" t="s">
        <v>83</v>
      </c>
      <c r="E4" s="101" t="s">
        <v>157</v>
      </c>
      <c r="F4" s="66" t="s">
        <v>84</v>
      </c>
      <c r="G4" s="66" t="s">
        <v>85</v>
      </c>
      <c r="H4" s="66" t="s">
        <v>86</v>
      </c>
      <c r="I4" s="66" t="s">
        <v>87</v>
      </c>
      <c r="K4" s="235"/>
      <c r="L4" s="68"/>
      <c r="M4" s="64" t="s">
        <v>90</v>
      </c>
      <c r="N4" s="65" t="s">
        <v>91</v>
      </c>
    </row>
    <row r="5" spans="1:15" x14ac:dyDescent="0.25">
      <c r="A5" s="167">
        <v>44652</v>
      </c>
      <c r="B5" s="63"/>
      <c r="C5" s="70">
        <v>14583029.919305341</v>
      </c>
      <c r="D5" s="70">
        <v>6516410.1894420683</v>
      </c>
      <c r="E5" s="70">
        <v>0</v>
      </c>
      <c r="F5" s="70">
        <v>0</v>
      </c>
      <c r="G5" s="70">
        <v>99455.043697034009</v>
      </c>
      <c r="H5" s="70">
        <v>3297431</v>
      </c>
      <c r="I5" s="70">
        <v>3840500</v>
      </c>
      <c r="J5" s="63"/>
      <c r="K5" s="168"/>
      <c r="L5" s="70"/>
      <c r="M5" s="169">
        <f t="shared" ref="M5:M19" si="0">C5</f>
        <v>14583029.919305341</v>
      </c>
      <c r="N5" s="169">
        <f>D5+E5+F5-K5</f>
        <v>6516410.1894420683</v>
      </c>
    </row>
    <row r="6" spans="1:15" x14ac:dyDescent="0.25">
      <c r="A6" s="167">
        <f>A5+31</f>
        <v>44683</v>
      </c>
      <c r="B6" s="63"/>
      <c r="C6" s="70">
        <v>5070610.5531998109</v>
      </c>
      <c r="D6" s="70">
        <v>2588626.5926134456</v>
      </c>
      <c r="E6" s="70">
        <v>0</v>
      </c>
      <c r="F6" s="70">
        <v>0</v>
      </c>
      <c r="G6" s="70">
        <v>45178.592041924763</v>
      </c>
      <c r="H6" s="70">
        <v>2825661</v>
      </c>
      <c r="I6" s="70">
        <v>3408896</v>
      </c>
      <c r="J6" s="63"/>
      <c r="K6" s="168"/>
      <c r="L6" s="70"/>
      <c r="M6" s="169">
        <f t="shared" si="0"/>
        <v>5070610.5531998109</v>
      </c>
      <c r="N6" s="169">
        <f t="shared" ref="N6:N19" si="1">D6+E6+F6-K6</f>
        <v>2588626.5926134456</v>
      </c>
    </row>
    <row r="7" spans="1:15" x14ac:dyDescent="0.25">
      <c r="A7" s="167">
        <f t="shared" ref="A7:A19" si="2">A6+31</f>
        <v>44714</v>
      </c>
      <c r="B7" s="63"/>
      <c r="C7" s="70">
        <v>3170130.372016375</v>
      </c>
      <c r="D7" s="70">
        <v>2011700.368299183</v>
      </c>
      <c r="E7" s="70">
        <v>0</v>
      </c>
      <c r="F7" s="70">
        <v>0</v>
      </c>
      <c r="G7" s="70">
        <v>37951.0168820135</v>
      </c>
      <c r="H7" s="70">
        <v>2478607</v>
      </c>
      <c r="I7" s="70">
        <v>3127311</v>
      </c>
      <c r="J7" s="63"/>
      <c r="K7" s="168"/>
      <c r="L7" s="70"/>
      <c r="M7" s="169">
        <f t="shared" si="0"/>
        <v>3170130.372016375</v>
      </c>
      <c r="N7" s="169">
        <f t="shared" si="1"/>
        <v>2011700.368299183</v>
      </c>
    </row>
    <row r="8" spans="1:15" x14ac:dyDescent="0.25">
      <c r="A8" s="167">
        <f t="shared" si="2"/>
        <v>44745</v>
      </c>
      <c r="B8" s="63"/>
      <c r="C8" s="70">
        <v>1812771.8926424859</v>
      </c>
      <c r="D8" s="70">
        <v>1683906.7702309897</v>
      </c>
      <c r="E8" s="70">
        <v>0</v>
      </c>
      <c r="F8" s="70">
        <v>0</v>
      </c>
      <c r="G8" s="70">
        <v>36160.191204956966</v>
      </c>
      <c r="H8" s="70">
        <v>2304662</v>
      </c>
      <c r="I8" s="70">
        <v>2936673</v>
      </c>
      <c r="J8" s="63"/>
      <c r="K8" s="168"/>
      <c r="L8" s="70"/>
      <c r="M8" s="169">
        <f t="shared" si="0"/>
        <v>1812771.8926424859</v>
      </c>
      <c r="N8" s="169">
        <f t="shared" si="1"/>
        <v>1683906.7702309897</v>
      </c>
    </row>
    <row r="9" spans="1:15" x14ac:dyDescent="0.25">
      <c r="A9" s="167">
        <f t="shared" si="2"/>
        <v>44776</v>
      </c>
      <c r="B9" s="63"/>
      <c r="C9" s="70">
        <v>2073438.0843850782</v>
      </c>
      <c r="D9" s="70">
        <v>1742851.7367864409</v>
      </c>
      <c r="E9" s="70">
        <v>0</v>
      </c>
      <c r="F9" s="70">
        <v>0</v>
      </c>
      <c r="G9" s="70">
        <v>32707.676267293024</v>
      </c>
      <c r="H9" s="70">
        <v>2215419</v>
      </c>
      <c r="I9" s="70">
        <v>2793896</v>
      </c>
      <c r="J9" s="63"/>
      <c r="K9" s="168"/>
      <c r="L9" s="70"/>
      <c r="M9" s="169">
        <f t="shared" si="0"/>
        <v>2073438.0843850782</v>
      </c>
      <c r="N9" s="169">
        <f t="shared" si="1"/>
        <v>1742851.7367864409</v>
      </c>
    </row>
    <row r="10" spans="1:15" x14ac:dyDescent="0.25">
      <c r="A10" s="167">
        <f t="shared" si="2"/>
        <v>44807</v>
      </c>
      <c r="B10" s="63"/>
      <c r="C10" s="70">
        <v>2968240.5660654423</v>
      </c>
      <c r="D10" s="70">
        <v>2322414.8692462118</v>
      </c>
      <c r="E10" s="70">
        <v>0</v>
      </c>
      <c r="F10" s="70">
        <v>0</v>
      </c>
      <c r="G10" s="70">
        <v>40862.345369953655</v>
      </c>
      <c r="H10" s="70">
        <v>2255889</v>
      </c>
      <c r="I10" s="70">
        <v>2920172</v>
      </c>
      <c r="J10" s="63"/>
      <c r="K10" s="168"/>
      <c r="L10" s="70"/>
      <c r="M10" s="169">
        <f t="shared" si="0"/>
        <v>2968240.5660654423</v>
      </c>
      <c r="N10" s="169">
        <f t="shared" si="1"/>
        <v>2322414.8692462118</v>
      </c>
    </row>
    <row r="11" spans="1:15" x14ac:dyDescent="0.25">
      <c r="A11" s="167">
        <f t="shared" si="2"/>
        <v>44838</v>
      </c>
      <c r="B11" s="63"/>
      <c r="C11" s="70">
        <v>9254547.3455810752</v>
      </c>
      <c r="D11" s="70">
        <v>4924835.8528578607</v>
      </c>
      <c r="E11" s="70">
        <v>0</v>
      </c>
      <c r="F11" s="70">
        <v>0</v>
      </c>
      <c r="G11" s="70">
        <v>86622.768481211868</v>
      </c>
      <c r="H11" s="70">
        <v>2418396</v>
      </c>
      <c r="I11" s="70">
        <v>2996541</v>
      </c>
      <c r="J11" s="63"/>
      <c r="K11" s="168"/>
      <c r="L11" s="70"/>
      <c r="M11" s="169">
        <f t="shared" si="0"/>
        <v>9254547.3455810752</v>
      </c>
      <c r="N11" s="169">
        <f t="shared" si="1"/>
        <v>4924835.8528578607</v>
      </c>
    </row>
    <row r="12" spans="1:15" x14ac:dyDescent="0.25">
      <c r="A12" s="167">
        <f t="shared" si="2"/>
        <v>44869</v>
      </c>
      <c r="B12" s="63"/>
      <c r="C12" s="70">
        <v>17143580.537804507</v>
      </c>
      <c r="D12" s="70">
        <v>7252306.4993036538</v>
      </c>
      <c r="E12" s="70">
        <v>0</v>
      </c>
      <c r="F12" s="70">
        <v>0</v>
      </c>
      <c r="G12" s="70">
        <v>113518.487262</v>
      </c>
      <c r="H12" s="70">
        <v>2921288</v>
      </c>
      <c r="I12" s="70">
        <v>3546647</v>
      </c>
      <c r="J12" s="63"/>
      <c r="K12" s="168"/>
      <c r="L12" s="70"/>
      <c r="M12" s="169">
        <f t="shared" si="0"/>
        <v>17143580.537804507</v>
      </c>
      <c r="N12" s="169">
        <f t="shared" si="1"/>
        <v>7252306.4993036538</v>
      </c>
    </row>
    <row r="13" spans="1:15" x14ac:dyDescent="0.25">
      <c r="A13" s="167">
        <f t="shared" si="2"/>
        <v>44900</v>
      </c>
      <c r="B13" s="63"/>
      <c r="C13" s="70">
        <v>26127031.462473758</v>
      </c>
      <c r="D13" s="70">
        <v>9372326.1083555091</v>
      </c>
      <c r="E13" s="70">
        <v>0</v>
      </c>
      <c r="F13" s="70">
        <v>0</v>
      </c>
      <c r="G13" s="70">
        <v>132358.85107130543</v>
      </c>
      <c r="H13" s="70">
        <v>3395034</v>
      </c>
      <c r="I13" s="70">
        <v>3884589</v>
      </c>
      <c r="J13" s="63"/>
      <c r="K13" s="168"/>
      <c r="L13" s="70"/>
      <c r="M13" s="169">
        <f t="shared" si="0"/>
        <v>26127031.462473758</v>
      </c>
      <c r="N13" s="169">
        <f t="shared" si="1"/>
        <v>9372326.1083555091</v>
      </c>
    </row>
    <row r="14" spans="1:15" x14ac:dyDescent="0.25">
      <c r="A14" s="167">
        <f t="shared" si="2"/>
        <v>44931</v>
      </c>
      <c r="B14" s="63"/>
      <c r="C14" s="70">
        <v>23816315.706908848</v>
      </c>
      <c r="D14" s="70">
        <v>8698800.5669853613</v>
      </c>
      <c r="E14" s="70">
        <v>0</v>
      </c>
      <c r="F14" s="70">
        <v>0</v>
      </c>
      <c r="G14" s="70">
        <v>118703.33521448342</v>
      </c>
      <c r="H14" s="70">
        <v>3728560</v>
      </c>
      <c r="I14" s="70">
        <v>4299759</v>
      </c>
      <c r="J14" s="63"/>
      <c r="K14" s="168"/>
      <c r="L14" s="70"/>
      <c r="M14" s="169">
        <f t="shared" si="0"/>
        <v>23816315.706908848</v>
      </c>
      <c r="N14" s="169">
        <f t="shared" si="1"/>
        <v>8698800.5669853613</v>
      </c>
    </row>
    <row r="15" spans="1:15" x14ac:dyDescent="0.25">
      <c r="A15" s="167">
        <f t="shared" si="2"/>
        <v>44962</v>
      </c>
      <c r="B15" s="63"/>
      <c r="C15" s="70">
        <v>20619339.573812734</v>
      </c>
      <c r="D15" s="70">
        <v>7582269.9890039274</v>
      </c>
      <c r="E15" s="70">
        <v>0</v>
      </c>
      <c r="F15" s="70">
        <v>0</v>
      </c>
      <c r="G15" s="70">
        <v>106925.79840659398</v>
      </c>
      <c r="H15" s="70">
        <v>3846569</v>
      </c>
      <c r="I15" s="70">
        <v>4338868</v>
      </c>
      <c r="J15" s="63"/>
      <c r="K15" s="168"/>
      <c r="L15" s="70"/>
      <c r="M15" s="169">
        <f t="shared" si="0"/>
        <v>20619339.573812734</v>
      </c>
      <c r="N15" s="169">
        <f t="shared" si="1"/>
        <v>7582269.9890039274</v>
      </c>
    </row>
    <row r="16" spans="1:15" x14ac:dyDescent="0.25">
      <c r="A16" s="167">
        <f t="shared" si="2"/>
        <v>44993</v>
      </c>
      <c r="B16" s="63"/>
      <c r="C16" s="70">
        <v>16091512.440609436</v>
      </c>
      <c r="D16" s="70">
        <v>6291462.544827668</v>
      </c>
      <c r="E16" s="70">
        <v>0</v>
      </c>
      <c r="F16" s="70">
        <v>0</v>
      </c>
      <c r="G16" s="70">
        <v>91577.374449217663</v>
      </c>
      <c r="H16" s="70">
        <v>3428664</v>
      </c>
      <c r="I16" s="70">
        <v>3850822</v>
      </c>
      <c r="J16" s="63"/>
      <c r="K16" s="168"/>
      <c r="L16" s="70"/>
      <c r="M16" s="169">
        <f t="shared" si="0"/>
        <v>16091512.440609436</v>
      </c>
      <c r="N16" s="169">
        <f t="shared" si="1"/>
        <v>6291462.544827668</v>
      </c>
    </row>
    <row r="17" spans="1:15" x14ac:dyDescent="0.25">
      <c r="A17" s="167">
        <f t="shared" si="2"/>
        <v>45024</v>
      </c>
      <c r="B17" s="63"/>
      <c r="C17" s="70">
        <v>9894923.2650398463</v>
      </c>
      <c r="D17" s="70">
        <v>4212964.4749191692</v>
      </c>
      <c r="E17" s="70">
        <v>0</v>
      </c>
      <c r="F17" s="70">
        <v>0</v>
      </c>
      <c r="G17" s="70">
        <v>66054.928390878238</v>
      </c>
      <c r="H17" s="70">
        <v>3327185</v>
      </c>
      <c r="I17" s="70">
        <v>3830134</v>
      </c>
      <c r="J17" s="63"/>
      <c r="K17" s="168"/>
      <c r="L17" s="70"/>
      <c r="M17" s="169">
        <f t="shared" si="0"/>
        <v>9894923.2650398463</v>
      </c>
      <c r="N17" s="169">
        <f t="shared" si="1"/>
        <v>4212964.4749191692</v>
      </c>
    </row>
    <row r="18" spans="1:15" x14ac:dyDescent="0.25">
      <c r="A18" s="167">
        <f t="shared" si="2"/>
        <v>45055</v>
      </c>
      <c r="B18" s="63"/>
      <c r="C18" s="70">
        <v>5199750.4931855202</v>
      </c>
      <c r="D18" s="70">
        <v>2544237.5025430578</v>
      </c>
      <c r="E18" s="70">
        <v>0</v>
      </c>
      <c r="F18" s="70">
        <v>0</v>
      </c>
      <c r="G18" s="70">
        <v>46918.899131297963</v>
      </c>
      <c r="H18" s="70">
        <v>2874605</v>
      </c>
      <c r="I18" s="70">
        <v>3428840</v>
      </c>
      <c r="J18" s="63"/>
      <c r="K18" s="168"/>
      <c r="L18" s="70"/>
      <c r="M18" s="169">
        <f t="shared" si="0"/>
        <v>5199750.4931855202</v>
      </c>
      <c r="N18" s="169">
        <f t="shared" si="1"/>
        <v>2544237.5025430578</v>
      </c>
    </row>
    <row r="19" spans="1:15" x14ac:dyDescent="0.25">
      <c r="A19" s="167">
        <f t="shared" si="2"/>
        <v>45086</v>
      </c>
      <c r="B19" s="63"/>
      <c r="C19" s="70">
        <v>2945533.4820336467</v>
      </c>
      <c r="D19" s="70">
        <v>1995612.2801158165</v>
      </c>
      <c r="E19" s="70">
        <v>0</v>
      </c>
      <c r="F19" s="70">
        <v>0</v>
      </c>
      <c r="G19" s="70">
        <v>39004.301097719697</v>
      </c>
      <c r="H19" s="70">
        <v>2555500</v>
      </c>
      <c r="I19" s="70">
        <v>3134594</v>
      </c>
      <c r="J19" s="63"/>
      <c r="K19" s="168"/>
      <c r="L19" s="70"/>
      <c r="M19" s="169">
        <f t="shared" si="0"/>
        <v>2945533.4820336467</v>
      </c>
      <c r="N19" s="169">
        <f t="shared" si="1"/>
        <v>1995612.2801158165</v>
      </c>
    </row>
    <row r="20" spans="1:15" x14ac:dyDescent="0.25">
      <c r="A20" s="60"/>
      <c r="C20" s="49"/>
      <c r="D20" s="49"/>
      <c r="E20" s="49"/>
      <c r="F20" s="49"/>
      <c r="G20" s="49"/>
      <c r="H20" s="49"/>
      <c r="I20" s="49"/>
      <c r="K20" s="69"/>
      <c r="L20" s="49"/>
      <c r="M20" s="53"/>
      <c r="N20" s="53"/>
    </row>
    <row r="21" spans="1:15" x14ac:dyDescent="0.25">
      <c r="A21" s="60"/>
      <c r="C21" s="49"/>
      <c r="D21" s="49"/>
      <c r="E21" s="49"/>
      <c r="F21" s="49"/>
      <c r="G21" s="49"/>
      <c r="H21" s="49"/>
      <c r="I21" s="49"/>
      <c r="K21" s="69"/>
      <c r="L21" s="49"/>
      <c r="M21" s="53"/>
      <c r="N21" s="53"/>
    </row>
    <row r="22" spans="1:15" x14ac:dyDescent="0.25">
      <c r="A22" s="60"/>
      <c r="C22" s="49"/>
      <c r="D22" s="49"/>
      <c r="E22" s="49"/>
      <c r="F22" s="49"/>
      <c r="G22" s="49"/>
      <c r="H22" s="49"/>
      <c r="I22" s="49"/>
      <c r="K22" s="69"/>
      <c r="L22" s="49"/>
      <c r="M22" s="53"/>
      <c r="N22" s="53"/>
    </row>
    <row r="23" spans="1:15" x14ac:dyDescent="0.25">
      <c r="A23" s="60"/>
      <c r="C23" s="49"/>
      <c r="D23" s="49"/>
      <c r="E23" s="49"/>
      <c r="F23" s="49"/>
      <c r="G23" s="49"/>
      <c r="H23" s="49"/>
      <c r="I23" s="49"/>
      <c r="K23" s="69"/>
      <c r="L23" s="49"/>
      <c r="M23" s="53"/>
      <c r="N23" s="53"/>
    </row>
    <row r="24" spans="1:15" x14ac:dyDescent="0.25">
      <c r="A24" s="60"/>
      <c r="C24" s="49"/>
      <c r="D24" s="49"/>
      <c r="E24" s="49"/>
      <c r="F24" s="49"/>
      <c r="G24" s="49"/>
      <c r="H24" s="49"/>
      <c r="I24" s="49"/>
      <c r="J24" s="49"/>
      <c r="K24" s="49"/>
      <c r="L24" s="49">
        <v>3840500</v>
      </c>
      <c r="M24" s="53"/>
      <c r="N24" s="53"/>
    </row>
    <row r="25" spans="1:15" x14ac:dyDescent="0.25">
      <c r="A25" s="60"/>
      <c r="C25" s="49"/>
      <c r="D25" s="49"/>
      <c r="E25" s="49"/>
      <c r="F25" s="49"/>
      <c r="G25" s="49"/>
      <c r="H25" s="49"/>
      <c r="I25" s="49"/>
      <c r="K25" s="69"/>
      <c r="L25" s="49"/>
      <c r="M25" s="53"/>
      <c r="N25" s="53"/>
    </row>
    <row r="26" spans="1:15" x14ac:dyDescent="0.25">
      <c r="A26" s="60"/>
      <c r="C26" s="49"/>
      <c r="D26" s="49"/>
      <c r="E26" s="49"/>
      <c r="F26" s="49"/>
      <c r="G26" s="49"/>
      <c r="H26" s="49"/>
      <c r="I26" s="49"/>
      <c r="K26" s="69"/>
      <c r="L26" s="49"/>
      <c r="M26" s="53"/>
      <c r="N26" s="53"/>
    </row>
    <row r="27" spans="1:15" x14ac:dyDescent="0.25">
      <c r="A27" s="60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</row>
    <row r="28" spans="1:15" x14ac:dyDescent="0.25">
      <c r="A28" s="60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</row>
    <row r="29" spans="1:15" x14ac:dyDescent="0.25">
      <c r="A29" s="60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</row>
    <row r="30" spans="1:15" x14ac:dyDescent="0.25">
      <c r="A30" s="60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</row>
    <row r="31" spans="1:15" x14ac:dyDescent="0.25">
      <c r="A31" s="60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15" x14ac:dyDescent="0.25">
      <c r="A32" s="60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</row>
    <row r="33" spans="1:15" x14ac:dyDescent="0.25">
      <c r="A33" s="60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</row>
    <row r="34" spans="1:15" x14ac:dyDescent="0.25">
      <c r="A34" s="60"/>
      <c r="C34" s="49"/>
      <c r="D34" s="49"/>
      <c r="E34" s="49"/>
      <c r="F34" s="49"/>
      <c r="G34" s="49"/>
      <c r="H34" s="49"/>
      <c r="I34" s="49"/>
      <c r="K34" s="69"/>
      <c r="L34" s="49"/>
      <c r="M34" s="53"/>
      <c r="N34" s="53"/>
    </row>
    <row r="35" spans="1:15" x14ac:dyDescent="0.25">
      <c r="A35" s="60"/>
      <c r="C35" s="49"/>
      <c r="D35" s="49"/>
      <c r="E35" s="49"/>
      <c r="F35" s="49"/>
      <c r="G35" s="49"/>
      <c r="H35" s="49"/>
      <c r="I35" s="49"/>
      <c r="K35" s="69"/>
      <c r="L35" s="49"/>
      <c r="M35" s="53"/>
      <c r="N35" s="53"/>
    </row>
    <row r="36" spans="1:15" x14ac:dyDescent="0.25">
      <c r="A36" s="60"/>
      <c r="C36" s="49"/>
      <c r="D36" s="49"/>
      <c r="E36" s="49"/>
      <c r="F36" s="49"/>
      <c r="G36" s="49"/>
      <c r="H36" s="49"/>
      <c r="I36" s="49"/>
      <c r="K36" s="69"/>
      <c r="L36" s="49"/>
      <c r="M36" s="53"/>
      <c r="N36" s="53"/>
    </row>
    <row r="37" spans="1:15" x14ac:dyDescent="0.25">
      <c r="A37" s="60"/>
      <c r="C37" s="49"/>
      <c r="D37" s="49"/>
      <c r="E37" s="49"/>
      <c r="F37" s="49"/>
      <c r="G37" s="49"/>
      <c r="H37" s="49"/>
      <c r="I37" s="49"/>
      <c r="K37" s="69"/>
      <c r="L37" s="49"/>
      <c r="M37" s="53"/>
      <c r="N37" s="53"/>
    </row>
    <row r="38" spans="1:15" x14ac:dyDescent="0.25">
      <c r="A38" s="60"/>
      <c r="C38" s="49"/>
      <c r="D38" s="49"/>
      <c r="E38" s="49"/>
      <c r="F38" s="49"/>
      <c r="G38" s="49"/>
      <c r="H38" s="49"/>
      <c r="I38" s="49"/>
      <c r="K38" s="69"/>
      <c r="L38" s="49"/>
      <c r="M38" s="53"/>
      <c r="N38" s="53"/>
    </row>
    <row r="39" spans="1:15" x14ac:dyDescent="0.25">
      <c r="A39" s="60"/>
      <c r="C39" s="53"/>
      <c r="D39" s="53"/>
      <c r="E39" s="53"/>
      <c r="F39" s="49"/>
      <c r="G39" s="49"/>
      <c r="H39" s="49"/>
      <c r="I39" s="49"/>
      <c r="K39" s="69"/>
      <c r="L39" s="49"/>
      <c r="M39" s="53"/>
      <c r="N39" s="53"/>
    </row>
    <row r="40" spans="1:15" x14ac:dyDescent="0.25">
      <c r="A40" s="60"/>
      <c r="C40" s="69"/>
      <c r="D40" s="69"/>
      <c r="E40" s="69"/>
      <c r="F40" s="49"/>
      <c r="G40" s="49"/>
      <c r="H40" s="49"/>
      <c r="I40" s="49"/>
      <c r="K40" s="69"/>
      <c r="L40" s="49"/>
      <c r="M40" s="53"/>
      <c r="N40" s="53"/>
    </row>
    <row r="41" spans="1:15" x14ac:dyDescent="0.25">
      <c r="A41" s="60"/>
      <c r="C41" s="49"/>
      <c r="D41" s="49"/>
      <c r="E41" s="49"/>
      <c r="F41" s="49"/>
      <c r="G41" s="49"/>
      <c r="H41" s="49"/>
      <c r="I41" s="49"/>
      <c r="K41" s="69"/>
      <c r="L41" s="49"/>
      <c r="M41" s="53"/>
      <c r="N41" s="53"/>
    </row>
    <row r="42" spans="1:15" x14ac:dyDescent="0.25">
      <c r="A42" s="60"/>
      <c r="C42" s="53"/>
      <c r="D42" s="53"/>
      <c r="E42" s="53"/>
      <c r="F42" s="49"/>
      <c r="G42" s="49"/>
      <c r="H42" s="49"/>
      <c r="I42" s="49"/>
      <c r="K42" s="69"/>
      <c r="L42" s="49"/>
      <c r="M42" s="53"/>
      <c r="N42" s="53"/>
    </row>
    <row r="43" spans="1:15" x14ac:dyDescent="0.25">
      <c r="A43" s="60"/>
      <c r="C43" s="53"/>
      <c r="D43" s="53"/>
      <c r="E43" s="53"/>
      <c r="F43" s="49"/>
      <c r="G43" s="49"/>
      <c r="H43" s="49"/>
      <c r="I43" s="49"/>
      <c r="K43" s="69"/>
      <c r="L43" s="49"/>
      <c r="M43" s="53"/>
      <c r="N43" s="53"/>
    </row>
    <row r="44" spans="1:15" x14ac:dyDescent="0.25">
      <c r="A44" s="60"/>
      <c r="C44" s="53"/>
      <c r="D44" s="53"/>
      <c r="E44" s="53"/>
      <c r="F44" s="49"/>
      <c r="G44" s="49"/>
      <c r="H44" s="49"/>
      <c r="I44" s="49"/>
      <c r="K44" s="69"/>
      <c r="L44" s="49"/>
      <c r="M44" s="53"/>
      <c r="N44" s="53"/>
    </row>
    <row r="45" spans="1:15" x14ac:dyDescent="0.25">
      <c r="A45" s="60"/>
      <c r="C45" s="53"/>
      <c r="D45" s="53"/>
      <c r="E45" s="53"/>
      <c r="F45" s="53"/>
      <c r="G45" s="53"/>
      <c r="H45" s="53"/>
      <c r="I45" s="53"/>
      <c r="K45" s="69"/>
      <c r="L45" s="49"/>
      <c r="M45" s="53"/>
      <c r="N45" s="53"/>
    </row>
    <row r="46" spans="1:15" x14ac:dyDescent="0.25">
      <c r="A46" s="60"/>
      <c r="C46" s="53"/>
      <c r="D46" s="53"/>
      <c r="E46" s="53"/>
      <c r="F46" s="53"/>
      <c r="G46" s="53"/>
      <c r="H46" s="53"/>
      <c r="I46" s="53"/>
      <c r="K46" s="69"/>
      <c r="L46" s="49"/>
      <c r="M46" s="53"/>
      <c r="N46" s="53"/>
    </row>
    <row r="47" spans="1:15" x14ac:dyDescent="0.25">
      <c r="A47" s="60"/>
      <c r="C47" s="49"/>
      <c r="D47" s="49"/>
      <c r="E47" s="49"/>
      <c r="F47" s="49"/>
      <c r="G47" s="49"/>
      <c r="H47" s="49"/>
      <c r="I47" s="49"/>
      <c r="K47" s="69"/>
      <c r="M47" s="53"/>
      <c r="N47" s="53"/>
    </row>
    <row r="48" spans="1:15" x14ac:dyDescent="0.25">
      <c r="A48" s="60"/>
      <c r="C48" s="49"/>
      <c r="D48" s="49"/>
      <c r="E48" s="49"/>
      <c r="F48" s="49"/>
      <c r="G48" s="49"/>
      <c r="H48" s="49"/>
      <c r="I48" s="49"/>
      <c r="K48" s="69"/>
      <c r="M48" s="53"/>
      <c r="N48" s="53"/>
    </row>
    <row r="49" spans="1:14" x14ac:dyDescent="0.25">
      <c r="A49" s="60"/>
      <c r="C49" s="49"/>
      <c r="D49" s="49"/>
      <c r="E49" s="49"/>
      <c r="F49" s="49"/>
      <c r="G49" s="49"/>
      <c r="H49" s="49"/>
      <c r="I49" s="49"/>
      <c r="K49" s="69"/>
      <c r="M49" s="53"/>
      <c r="N49" s="53"/>
    </row>
    <row r="50" spans="1:14" x14ac:dyDescent="0.25">
      <c r="A50" s="60"/>
      <c r="C50" s="49"/>
      <c r="D50" s="49"/>
      <c r="E50" s="49"/>
      <c r="F50" s="49"/>
      <c r="G50" s="49"/>
      <c r="H50" s="49"/>
      <c r="I50" s="49"/>
      <c r="K50" s="69"/>
      <c r="M50" s="53"/>
      <c r="N50" s="53"/>
    </row>
    <row r="51" spans="1:14" x14ac:dyDescent="0.25">
      <c r="A51" s="60"/>
      <c r="C51" s="49"/>
      <c r="D51" s="49"/>
      <c r="E51" s="49"/>
      <c r="F51" s="49"/>
      <c r="G51" s="49"/>
      <c r="H51" s="49"/>
      <c r="I51" s="49"/>
      <c r="K51" s="69"/>
      <c r="M51" s="53"/>
      <c r="N51" s="53"/>
    </row>
    <row r="52" spans="1:14" x14ac:dyDescent="0.25">
      <c r="A52" s="60"/>
      <c r="C52" s="49"/>
      <c r="D52" s="49"/>
      <c r="E52" s="49"/>
      <c r="F52" s="49"/>
      <c r="G52" s="49"/>
      <c r="H52" s="49"/>
      <c r="I52" s="49"/>
      <c r="K52" s="69"/>
      <c r="M52" s="53"/>
      <c r="N52" s="53"/>
    </row>
    <row r="53" spans="1:14" x14ac:dyDescent="0.25">
      <c r="A53" s="60"/>
      <c r="C53" s="49"/>
      <c r="D53" s="49"/>
      <c r="E53" s="49"/>
      <c r="F53" s="49"/>
      <c r="G53" s="49"/>
      <c r="H53" s="49"/>
      <c r="I53" s="49"/>
      <c r="K53" s="69"/>
      <c r="M53" s="53"/>
      <c r="N53" s="53"/>
    </row>
    <row r="54" spans="1:14" x14ac:dyDescent="0.25">
      <c r="A54" s="60"/>
      <c r="C54" s="49"/>
      <c r="D54" s="49"/>
      <c r="E54" s="49"/>
      <c r="F54" s="49"/>
      <c r="G54" s="49"/>
      <c r="H54" s="49"/>
      <c r="I54" s="49"/>
      <c r="K54" s="69"/>
      <c r="M54" s="53"/>
      <c r="N54" s="53"/>
    </row>
    <row r="55" spans="1:14" x14ac:dyDescent="0.25">
      <c r="A55" s="60"/>
      <c r="C55" s="49"/>
      <c r="D55" s="49"/>
      <c r="E55" s="49"/>
      <c r="F55" s="49"/>
      <c r="G55" s="49"/>
      <c r="H55" s="49"/>
      <c r="I55" s="49"/>
      <c r="K55" s="69"/>
      <c r="M55" s="53"/>
      <c r="N55" s="53"/>
    </row>
    <row r="56" spans="1:14" x14ac:dyDescent="0.25">
      <c r="A56" s="60"/>
      <c r="C56" s="49"/>
      <c r="D56" s="49"/>
      <c r="E56" s="49"/>
      <c r="F56" s="49"/>
      <c r="G56" s="49"/>
      <c r="H56" s="49"/>
      <c r="I56" s="49"/>
      <c r="K56" s="69"/>
      <c r="M56" s="53"/>
      <c r="N56" s="53"/>
    </row>
    <row r="57" spans="1:14" x14ac:dyDescent="0.25">
      <c r="A57" s="60"/>
      <c r="C57" s="49"/>
      <c r="D57" s="49"/>
      <c r="E57" s="49"/>
      <c r="F57" s="49"/>
      <c r="G57" s="49"/>
      <c r="H57" s="49"/>
      <c r="I57" s="49"/>
      <c r="K57" s="69"/>
      <c r="M57" s="53"/>
      <c r="N57" s="53"/>
    </row>
    <row r="58" spans="1:14" x14ac:dyDescent="0.25">
      <c r="A58" s="60"/>
      <c r="C58" s="49"/>
      <c r="D58" s="49"/>
      <c r="E58" s="49"/>
      <c r="F58" s="49"/>
      <c r="G58" s="49"/>
      <c r="H58" s="49"/>
      <c r="I58" s="49"/>
      <c r="K58" s="69"/>
      <c r="M58" s="53"/>
      <c r="N58" s="53"/>
    </row>
    <row r="59" spans="1:14" x14ac:dyDescent="0.25">
      <c r="A59" s="60"/>
      <c r="C59" s="49"/>
      <c r="D59" s="49"/>
      <c r="E59" s="49"/>
      <c r="F59" s="49"/>
      <c r="G59" s="49"/>
      <c r="H59" s="49"/>
      <c r="I59" s="49"/>
      <c r="K59" s="69"/>
      <c r="M59" s="53"/>
      <c r="N59" s="53"/>
    </row>
    <row r="60" spans="1:14" x14ac:dyDescent="0.25">
      <c r="A60" s="60"/>
      <c r="C60" s="49"/>
      <c r="D60" s="49"/>
      <c r="E60" s="49"/>
      <c r="F60" s="49"/>
      <c r="G60" s="49"/>
      <c r="H60" s="49"/>
      <c r="I60" s="49"/>
      <c r="K60" s="69"/>
      <c r="M60" s="53"/>
      <c r="N60" s="53"/>
    </row>
    <row r="61" spans="1:14" x14ac:dyDescent="0.25">
      <c r="A61" s="60"/>
      <c r="C61" s="49"/>
      <c r="D61" s="49"/>
      <c r="E61" s="49"/>
      <c r="F61" s="49"/>
      <c r="G61" s="49"/>
      <c r="H61" s="49"/>
      <c r="I61" s="49"/>
      <c r="K61" s="69"/>
      <c r="M61" s="53"/>
      <c r="N61" s="53"/>
    </row>
    <row r="62" spans="1:14" x14ac:dyDescent="0.25">
      <c r="A62" s="60"/>
      <c r="C62" s="49"/>
      <c r="D62" s="49"/>
      <c r="E62" s="49"/>
      <c r="F62" s="49"/>
      <c r="G62" s="49"/>
      <c r="H62" s="49"/>
      <c r="I62" s="49"/>
      <c r="K62" s="69"/>
      <c r="M62" s="53"/>
      <c r="N62" s="53"/>
    </row>
    <row r="63" spans="1:14" x14ac:dyDescent="0.25">
      <c r="A63" s="60"/>
      <c r="C63" s="49"/>
      <c r="D63" s="49"/>
      <c r="E63" s="49"/>
      <c r="F63" s="49"/>
      <c r="G63" s="49"/>
      <c r="H63" s="49"/>
      <c r="I63" s="49"/>
      <c r="K63" s="69"/>
      <c r="M63" s="53"/>
      <c r="N63" s="53"/>
    </row>
    <row r="64" spans="1:14" x14ac:dyDescent="0.25">
      <c r="A64" s="60"/>
      <c r="C64" s="49"/>
      <c r="D64" s="49"/>
      <c r="E64" s="49"/>
      <c r="F64" s="49"/>
      <c r="G64" s="49"/>
      <c r="H64" s="49"/>
      <c r="I64" s="49"/>
      <c r="K64" s="69"/>
      <c r="M64" s="53"/>
      <c r="N64" s="53"/>
    </row>
    <row r="65" spans="1:14" x14ac:dyDescent="0.25">
      <c r="A65" s="60"/>
      <c r="C65" s="49"/>
      <c r="D65" s="49"/>
      <c r="E65" s="49"/>
      <c r="F65" s="49"/>
      <c r="G65" s="49"/>
      <c r="H65" s="49"/>
      <c r="I65" s="49"/>
      <c r="K65" s="69"/>
      <c r="M65" s="53"/>
      <c r="N65" s="53"/>
    </row>
    <row r="66" spans="1:14" x14ac:dyDescent="0.25">
      <c r="A66" s="60"/>
      <c r="C66" s="49"/>
      <c r="D66" s="49"/>
      <c r="E66" s="49"/>
      <c r="F66" s="49"/>
      <c r="G66" s="49"/>
      <c r="H66" s="49"/>
      <c r="I66" s="49"/>
      <c r="K66" s="69"/>
      <c r="M66" s="53"/>
      <c r="N66" s="53"/>
    </row>
    <row r="67" spans="1:14" x14ac:dyDescent="0.25">
      <c r="A67" s="60"/>
      <c r="C67" s="49"/>
      <c r="D67" s="49"/>
      <c r="E67" s="49"/>
      <c r="F67" s="49"/>
      <c r="G67" s="49"/>
      <c r="H67" s="49"/>
      <c r="I67" s="49"/>
      <c r="K67" s="69"/>
      <c r="M67" s="53"/>
      <c r="N67" s="53"/>
    </row>
    <row r="68" spans="1:14" x14ac:dyDescent="0.25">
      <c r="A68" s="60"/>
      <c r="C68" s="49"/>
      <c r="D68" s="49"/>
      <c r="E68" s="49"/>
      <c r="F68" s="49"/>
      <c r="G68" s="49"/>
      <c r="H68" s="49"/>
      <c r="I68" s="49"/>
      <c r="K68" s="69"/>
      <c r="M68" s="53"/>
      <c r="N68" s="53"/>
    </row>
    <row r="69" spans="1:14" x14ac:dyDescent="0.25">
      <c r="A69" s="60"/>
      <c r="C69" s="49"/>
      <c r="D69" s="49"/>
      <c r="E69" s="49"/>
      <c r="F69" s="49"/>
      <c r="G69" s="49"/>
      <c r="H69" s="49"/>
      <c r="I69" s="49"/>
      <c r="K69" s="69"/>
      <c r="M69" s="53"/>
      <c r="N69" s="53"/>
    </row>
    <row r="70" spans="1:14" x14ac:dyDescent="0.25">
      <c r="A70" s="60"/>
      <c r="C70" s="49"/>
      <c r="D70" s="49"/>
      <c r="E70" s="49"/>
      <c r="F70" s="49"/>
      <c r="G70" s="49"/>
      <c r="H70" s="49"/>
      <c r="I70" s="49"/>
      <c r="K70" s="69"/>
      <c r="M70" s="53"/>
      <c r="N70" s="53"/>
    </row>
  </sheetData>
  <mergeCells count="3">
    <mergeCell ref="A1:A2"/>
    <mergeCell ref="K3:K4"/>
    <mergeCell ref="M3:N3"/>
  </mergeCells>
  <pageMargins left="0.7" right="0.7" top="0.75" bottom="0.75" header="0.3" footer="0.3"/>
  <pageSetup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0"/>
  <sheetViews>
    <sheetView tabSelected="1" topLeftCell="A68" zoomScaleNormal="100" workbookViewId="0">
      <selection activeCell="E86" sqref="E86:E87"/>
    </sheetView>
  </sheetViews>
  <sheetFormatPr defaultRowHeight="15" x14ac:dyDescent="0.25"/>
  <cols>
    <col min="1" max="1" width="5.28515625" customWidth="1"/>
    <col min="2" max="2" width="31.7109375" customWidth="1"/>
    <col min="3" max="3" width="15" customWidth="1"/>
    <col min="4" max="4" width="14.28515625" customWidth="1"/>
    <col min="5" max="5" width="19.85546875" customWidth="1"/>
    <col min="6" max="6" width="8.140625" customWidth="1"/>
    <col min="7" max="7" width="5.28515625" customWidth="1"/>
    <col min="8" max="8" width="31.7109375" customWidth="1"/>
    <col min="9" max="9" width="14" customWidth="1"/>
    <col min="10" max="10" width="15.28515625" customWidth="1"/>
    <col min="11" max="11" width="19.140625" customWidth="1"/>
    <col min="12" max="12" width="8.28515625" customWidth="1"/>
    <col min="13" max="13" width="12.5703125" bestFit="1" customWidth="1"/>
    <col min="14" max="14" width="11.140625" bestFit="1" customWidth="1"/>
    <col min="15" max="15" width="10" customWidth="1"/>
  </cols>
  <sheetData>
    <row r="1" spans="1:15" x14ac:dyDescent="0.25">
      <c r="B1" s="238" t="s">
        <v>0</v>
      </c>
      <c r="C1" s="238"/>
      <c r="D1" s="238"/>
      <c r="E1" s="238"/>
      <c r="F1" s="135"/>
      <c r="G1" s="72"/>
      <c r="H1" s="238" t="s">
        <v>0</v>
      </c>
      <c r="I1" s="238"/>
      <c r="J1" s="238"/>
      <c r="K1" s="238"/>
    </row>
    <row r="2" spans="1:15" x14ac:dyDescent="0.25">
      <c r="B2" s="238" t="s">
        <v>1</v>
      </c>
      <c r="C2" s="238"/>
      <c r="D2" s="238"/>
      <c r="E2" s="238"/>
      <c r="F2" s="135"/>
      <c r="G2" s="72"/>
      <c r="H2" s="238" t="s">
        <v>1</v>
      </c>
      <c r="I2" s="238"/>
      <c r="J2" s="238"/>
      <c r="K2" s="238"/>
    </row>
    <row r="3" spans="1:15" x14ac:dyDescent="0.25">
      <c r="B3" s="238" t="s">
        <v>167</v>
      </c>
      <c r="C3" s="238"/>
      <c r="D3" s="238"/>
      <c r="E3" s="238"/>
      <c r="F3" s="135"/>
      <c r="G3" s="72"/>
      <c r="H3" s="238" t="str">
        <f>B3</f>
        <v>Effective August 1, 2021 - July 31, 2022</v>
      </c>
      <c r="I3" s="238"/>
      <c r="J3" s="238"/>
      <c r="K3" s="238"/>
    </row>
    <row r="4" spans="1:15" x14ac:dyDescent="0.25"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5" ht="18.75" x14ac:dyDescent="0.3">
      <c r="B5" s="239" t="s">
        <v>4</v>
      </c>
      <c r="C5" s="239"/>
      <c r="D5" s="239"/>
      <c r="E5" s="239"/>
      <c r="F5" s="36"/>
      <c r="G5" s="30"/>
      <c r="H5" s="239" t="s">
        <v>14</v>
      </c>
      <c r="I5" s="239"/>
      <c r="J5" s="239"/>
      <c r="K5" s="239"/>
    </row>
    <row r="6" spans="1:15" ht="30" customHeight="1" x14ac:dyDescent="0.25">
      <c r="A6" s="77" t="s">
        <v>93</v>
      </c>
      <c r="B6" s="27" t="s">
        <v>2</v>
      </c>
      <c r="C6" s="27" t="s">
        <v>6</v>
      </c>
      <c r="D6" s="27" t="s">
        <v>7</v>
      </c>
      <c r="E6" s="27" t="s">
        <v>105</v>
      </c>
      <c r="F6" s="27"/>
      <c r="G6" s="77" t="s">
        <v>93</v>
      </c>
      <c r="H6" s="27" t="s">
        <v>2</v>
      </c>
      <c r="I6" s="27" t="s">
        <v>6</v>
      </c>
      <c r="J6" s="27" t="s">
        <v>7</v>
      </c>
      <c r="K6" s="67" t="s">
        <v>105</v>
      </c>
    </row>
    <row r="7" spans="1:15" x14ac:dyDescent="0.25">
      <c r="A7" s="78">
        <v>1</v>
      </c>
      <c r="B7" s="27"/>
      <c r="C7" s="27">
        <f>ROUND(C8/E22,5)</f>
        <v>4.8210000000000003E-2</v>
      </c>
      <c r="D7" s="28">
        <f>F57</f>
        <v>3.2500000000000001E-2</v>
      </c>
      <c r="E7" s="27"/>
      <c r="F7" s="27"/>
      <c r="G7" s="78">
        <v>1</v>
      </c>
      <c r="H7" s="27"/>
      <c r="I7" s="27">
        <f>ROUND(I8/K22,5)</f>
        <v>4.1750000000000002E-2</v>
      </c>
      <c r="J7" s="28">
        <f>D7</f>
        <v>3.2500000000000001E-2</v>
      </c>
      <c r="K7" s="27"/>
      <c r="O7" s="59"/>
    </row>
    <row r="8" spans="1:15" x14ac:dyDescent="0.25">
      <c r="A8" s="78">
        <v>2</v>
      </c>
      <c r="B8" s="54">
        <v>44743</v>
      </c>
      <c r="C8" s="29">
        <f>C55+C56</f>
        <v>6650536.9065840831</v>
      </c>
      <c r="D8" s="29"/>
      <c r="E8" s="30"/>
      <c r="F8" s="30"/>
      <c r="G8" s="78">
        <v>2</v>
      </c>
      <c r="H8" s="54">
        <f>B8</f>
        <v>44743</v>
      </c>
      <c r="I8" s="29">
        <f>I55+I56</f>
        <v>2447357.4732536334</v>
      </c>
      <c r="J8" s="29"/>
      <c r="K8" s="30"/>
    </row>
    <row r="9" spans="1:15" x14ac:dyDescent="0.25">
      <c r="A9" s="78">
        <v>3</v>
      </c>
      <c r="B9" s="54">
        <f>B8+31</f>
        <v>44774</v>
      </c>
      <c r="C9" s="80">
        <f>C8+D9-$C$7*E9</f>
        <v>6581036.6987484256</v>
      </c>
      <c r="D9" s="80">
        <f>(C8-$C$7*E9/2)*($D$7/12)</f>
        <v>17893.525108636491</v>
      </c>
      <c r="E9" s="33">
        <f>'4 13 22 Forecast Usage by Sched'!M8</f>
        <v>1812771.8926424859</v>
      </c>
      <c r="F9" s="33"/>
      <c r="G9" s="78">
        <v>3</v>
      </c>
      <c r="H9" s="54">
        <f t="shared" ref="H9:H20" si="0">B9</f>
        <v>44774</v>
      </c>
      <c r="I9" s="84">
        <f>I8+J9-K9*$I$7</f>
        <v>2383587.4232949326</v>
      </c>
      <c r="J9" s="84">
        <f>(I8-$I$7*K9/2)*$J$7/12</f>
        <v>6533.0576984428744</v>
      </c>
      <c r="K9" s="33">
        <f>'4 13 22 Forecast Usage by Sched'!N8</f>
        <v>1683906.7702309897</v>
      </c>
      <c r="M9" s="49"/>
      <c r="N9" s="49"/>
      <c r="O9" s="49"/>
    </row>
    <row r="10" spans="1:15" x14ac:dyDescent="0.25">
      <c r="A10" s="78">
        <v>4</v>
      </c>
      <c r="B10" s="54">
        <f t="shared" ref="B10:B20" si="1">B9+31</f>
        <v>44805</v>
      </c>
      <c r="C10" s="80">
        <f t="shared" ref="C10:C20" si="2">C9+D10-$C$7*E10</f>
        <v>6498764.5266498914</v>
      </c>
      <c r="D10" s="80">
        <f t="shared" ref="D10:D20" si="3">(C9-$C$7*E10/2)*($D$7/12)</f>
        <v>17688.277949670042</v>
      </c>
      <c r="E10" s="33">
        <f>'4 13 22 Forecast Usage by Sched'!M9</f>
        <v>2073438.0843850782</v>
      </c>
      <c r="F10" s="33"/>
      <c r="G10" s="78">
        <v>4</v>
      </c>
      <c r="H10" s="54">
        <f t="shared" si="0"/>
        <v>44805</v>
      </c>
      <c r="I10" s="84">
        <f t="shared" ref="I10:I20" si="4">I9+J10-K10*$I$7</f>
        <v>2317180.377890924</v>
      </c>
      <c r="J10" s="84">
        <f t="shared" ref="J10:J20" si="5">(I9-$I$7*K10/2)*$J$7/12</f>
        <v>6357.0146068257718</v>
      </c>
      <c r="K10" s="33">
        <f>'4 13 22 Forecast Usage by Sched'!N9</f>
        <v>1742851.7367864409</v>
      </c>
      <c r="M10" s="49"/>
      <c r="N10" s="49"/>
      <c r="O10" s="49"/>
    </row>
    <row r="11" spans="1:15" x14ac:dyDescent="0.25">
      <c r="A11" s="78">
        <v>5</v>
      </c>
      <c r="B11" s="54">
        <f t="shared" si="1"/>
        <v>44836</v>
      </c>
      <c r="C11" s="80">
        <f t="shared" si="2"/>
        <v>6373072.6898226812</v>
      </c>
      <c r="D11" s="80">
        <f>(C10-$C$7*E11/2)*($D$7/12)</f>
        <v>17407.040862804894</v>
      </c>
      <c r="E11" s="33">
        <f>'4 13 22 Forecast Usage by Sched'!M10</f>
        <v>2968240.5660654423</v>
      </c>
      <c r="F11" s="33"/>
      <c r="G11" s="78">
        <v>5</v>
      </c>
      <c r="H11" s="54">
        <f t="shared" si="0"/>
        <v>44836</v>
      </c>
      <c r="I11" s="84">
        <f t="shared" si="4"/>
        <v>2226363.9528451948</v>
      </c>
      <c r="J11" s="84">
        <f t="shared" si="5"/>
        <v>6144.3957453000667</v>
      </c>
      <c r="K11" s="33">
        <f>'4 13 22 Forecast Usage by Sched'!N10</f>
        <v>2322414.8692462118</v>
      </c>
      <c r="M11" s="49"/>
      <c r="N11" s="49"/>
      <c r="O11" s="49"/>
    </row>
    <row r="12" spans="1:15" x14ac:dyDescent="0.25">
      <c r="A12" s="78">
        <v>6</v>
      </c>
      <c r="B12" s="54">
        <f t="shared" si="1"/>
        <v>44867</v>
      </c>
      <c r="C12" s="80">
        <f t="shared" si="2"/>
        <v>5943567.1901544565</v>
      </c>
      <c r="D12" s="80">
        <f t="shared" si="3"/>
        <v>16656.227862238924</v>
      </c>
      <c r="E12" s="33">
        <f>'4 13 22 Forecast Usage by Sched'!M11</f>
        <v>9254547.3455810752</v>
      </c>
      <c r="F12" s="33"/>
      <c r="G12" s="78">
        <v>6</v>
      </c>
      <c r="H12" s="54">
        <f t="shared" si="0"/>
        <v>44867</v>
      </c>
      <c r="I12" s="84">
        <f t="shared" si="4"/>
        <v>2026503.3589170079</v>
      </c>
      <c r="J12" s="84">
        <f t="shared" si="5"/>
        <v>5751.3029286287992</v>
      </c>
      <c r="K12" s="33">
        <f>'4 13 22 Forecast Usage by Sched'!N11</f>
        <v>4924835.8528578607</v>
      </c>
      <c r="M12" s="49"/>
      <c r="N12" s="49"/>
      <c r="O12" s="49"/>
    </row>
    <row r="13" spans="1:15" x14ac:dyDescent="0.25">
      <c r="A13" s="78">
        <v>7</v>
      </c>
      <c r="B13" s="54">
        <f t="shared" si="1"/>
        <v>44898</v>
      </c>
      <c r="C13" s="80">
        <f t="shared" si="2"/>
        <v>5132053.1256262297</v>
      </c>
      <c r="D13" s="80">
        <f t="shared" si="3"/>
        <v>14977.953199328922</v>
      </c>
      <c r="E13" s="33">
        <f>'4 13 22 Forecast Usage by Sched'!M12</f>
        <v>17143580.537804507</v>
      </c>
      <c r="F13" s="33"/>
      <c r="G13" s="78">
        <v>7</v>
      </c>
      <c r="H13" s="54">
        <f t="shared" si="0"/>
        <v>44898</v>
      </c>
      <c r="I13" s="84">
        <f t="shared" si="4"/>
        <v>1728797.9894439289</v>
      </c>
      <c r="J13" s="84">
        <f t="shared" si="5"/>
        <v>5078.4268728484531</v>
      </c>
      <c r="K13" s="33">
        <f>'4 13 22 Forecast Usage by Sched'!N12</f>
        <v>7252306.4993036538</v>
      </c>
      <c r="M13" s="49"/>
      <c r="N13" s="49"/>
      <c r="O13" s="49"/>
    </row>
    <row r="14" spans="1:15" x14ac:dyDescent="0.25">
      <c r="A14" s="78">
        <v>8</v>
      </c>
      <c r="B14" s="54">
        <f t="shared" si="1"/>
        <v>44929</v>
      </c>
      <c r="C14" s="80">
        <f t="shared" si="2"/>
        <v>3884662.5624493072</v>
      </c>
      <c r="D14" s="80">
        <f t="shared" si="3"/>
        <v>12193.623628938105</v>
      </c>
      <c r="E14" s="33">
        <f>'4 13 22 Forecast Usage by Sched'!M13</f>
        <v>26127031.462473758</v>
      </c>
      <c r="F14" s="33"/>
      <c r="G14" s="78">
        <v>8</v>
      </c>
      <c r="H14" s="54">
        <f t="shared" si="0"/>
        <v>44929</v>
      </c>
      <c r="I14" s="84">
        <f t="shared" si="4"/>
        <v>1341655.6575169857</v>
      </c>
      <c r="J14" s="84">
        <f t="shared" si="5"/>
        <v>4152.2830968991875</v>
      </c>
      <c r="K14" s="33">
        <f>'4 13 22 Forecast Usage by Sched'!N13</f>
        <v>9372326.1083555091</v>
      </c>
      <c r="M14" s="49"/>
      <c r="N14" s="49"/>
      <c r="O14" s="49"/>
    </row>
    <row r="15" spans="1:15" x14ac:dyDescent="0.25">
      <c r="A15" s="78">
        <v>9</v>
      </c>
      <c r="B15" s="54">
        <f t="shared" si="1"/>
        <v>44960</v>
      </c>
      <c r="C15" s="80">
        <f t="shared" si="2"/>
        <v>2745444.1100401366</v>
      </c>
      <c r="D15" s="80">
        <f t="shared" si="3"/>
        <v>8966.1278209053125</v>
      </c>
      <c r="E15" s="33">
        <f>'4 13 22 Forecast Usage by Sched'!M14</f>
        <v>23816315.706908848</v>
      </c>
      <c r="F15" s="33"/>
      <c r="G15" s="78">
        <v>9</v>
      </c>
      <c r="H15" s="54">
        <f t="shared" si="0"/>
        <v>44960</v>
      </c>
      <c r="I15" s="84">
        <f t="shared" si="4"/>
        <v>981622.58520864998</v>
      </c>
      <c r="J15" s="84">
        <f t="shared" si="5"/>
        <v>3141.8513633031594</v>
      </c>
      <c r="K15" s="33">
        <f>'4 13 22 Forecast Usage by Sched'!N14</f>
        <v>8698800.5669853613</v>
      </c>
      <c r="M15" s="49"/>
      <c r="N15" s="49"/>
      <c r="O15" s="49"/>
    </row>
    <row r="16" spans="1:15" x14ac:dyDescent="0.25">
      <c r="A16" s="78">
        <v>10</v>
      </c>
      <c r="B16" s="54">
        <f t="shared" si="1"/>
        <v>44991</v>
      </c>
      <c r="C16" s="80">
        <f t="shared" si="2"/>
        <v>1757475.2062876611</v>
      </c>
      <c r="D16" s="80">
        <f t="shared" si="3"/>
        <v>6089.4571010362397</v>
      </c>
      <c r="E16" s="33">
        <f>'4 13 22 Forecast Usage by Sched'!M15</f>
        <v>20619339.573812734</v>
      </c>
      <c r="F16" s="33"/>
      <c r="G16" s="78">
        <v>10</v>
      </c>
      <c r="H16" s="54">
        <f t="shared" si="0"/>
        <v>44991</v>
      </c>
      <c r="I16" s="84">
        <f t="shared" si="4"/>
        <v>667292.69964470412</v>
      </c>
      <c r="J16" s="84">
        <f t="shared" si="5"/>
        <v>2229.8864769680226</v>
      </c>
      <c r="K16" s="33">
        <f>'4 13 22 Forecast Usage by Sched'!N15</f>
        <v>7582269.9890039274</v>
      </c>
      <c r="M16" s="49"/>
      <c r="N16" s="49"/>
      <c r="O16" s="49"/>
    </row>
    <row r="17" spans="1:15" x14ac:dyDescent="0.25">
      <c r="A17" s="78">
        <v>11</v>
      </c>
      <c r="B17" s="54">
        <f t="shared" si="1"/>
        <v>45022</v>
      </c>
      <c r="C17" s="80">
        <f t="shared" si="2"/>
        <v>985412.69587708602</v>
      </c>
      <c r="D17" s="80">
        <f t="shared" si="3"/>
        <v>3709.3043512058371</v>
      </c>
      <c r="E17" s="33">
        <f>'4 13 22 Forecast Usage by Sched'!M16</f>
        <v>16091512.440609436</v>
      </c>
      <c r="F17" s="33"/>
      <c r="G17" s="78">
        <v>11</v>
      </c>
      <c r="H17" s="54">
        <f t="shared" si="0"/>
        <v>45022</v>
      </c>
      <c r="I17" s="84">
        <f t="shared" si="4"/>
        <v>406075.69244966528</v>
      </c>
      <c r="J17" s="84">
        <f t="shared" si="5"/>
        <v>1451.5540515163632</v>
      </c>
      <c r="K17" s="33">
        <f>'4 13 22 Forecast Usage by Sched'!N16</f>
        <v>6291462.544827668</v>
      </c>
      <c r="M17" s="49"/>
      <c r="N17" s="49"/>
      <c r="O17" s="49"/>
    </row>
    <row r="18" spans="1:15" x14ac:dyDescent="0.25">
      <c r="A18" s="78">
        <v>12</v>
      </c>
      <c r="B18" s="54">
        <f t="shared" si="1"/>
        <v>45053</v>
      </c>
      <c r="C18" s="80">
        <f t="shared" si="2"/>
        <v>510401.28743981762</v>
      </c>
      <c r="D18" s="80">
        <f t="shared" si="3"/>
        <v>2022.8421703026888</v>
      </c>
      <c r="E18" s="33">
        <f>'4 13 22 Forecast Usage by Sched'!M17</f>
        <v>9894923.2650398463</v>
      </c>
      <c r="F18" s="33"/>
      <c r="G18" s="78">
        <v>12</v>
      </c>
      <c r="H18" s="54">
        <f t="shared" si="0"/>
        <v>45053</v>
      </c>
      <c r="I18" s="84">
        <f t="shared" si="4"/>
        <v>231046.02786501174</v>
      </c>
      <c r="J18" s="84">
        <f t="shared" si="5"/>
        <v>861.60224322176236</v>
      </c>
      <c r="K18" s="33">
        <f>'4 13 22 Forecast Usage by Sched'!N17</f>
        <v>4212964.4749191692</v>
      </c>
      <c r="M18" s="49"/>
      <c r="N18" s="49"/>
      <c r="O18" s="49"/>
    </row>
    <row r="19" spans="1:15" x14ac:dyDescent="0.25">
      <c r="A19" s="78">
        <v>13</v>
      </c>
      <c r="B19" s="54">
        <f t="shared" si="1"/>
        <v>45084</v>
      </c>
      <c r="C19" s="80">
        <f t="shared" si="2"/>
        <v>260764.1905223896</v>
      </c>
      <c r="D19" s="80">
        <f t="shared" si="3"/>
        <v>1042.8743590459476</v>
      </c>
      <c r="E19" s="33">
        <f>'4 13 22 Forecast Usage by Sched'!M18</f>
        <v>5199750.4931855202</v>
      </c>
      <c r="F19" s="33"/>
      <c r="G19" s="78">
        <v>13</v>
      </c>
      <c r="H19" s="54">
        <f t="shared" si="0"/>
        <v>45084</v>
      </c>
      <c r="I19" s="84">
        <f t="shared" si="4"/>
        <v>125306.0196150875</v>
      </c>
      <c r="J19" s="84">
        <f t="shared" si="5"/>
        <v>481.90748124844384</v>
      </c>
      <c r="K19" s="33">
        <f>'4 13 22 Forecast Usage by Sched'!N18</f>
        <v>2544237.5025430578</v>
      </c>
      <c r="M19" s="49"/>
      <c r="N19" s="49"/>
      <c r="O19" s="49"/>
    </row>
    <row r="20" spans="1:15" x14ac:dyDescent="0.25">
      <c r="A20" s="78">
        <v>14</v>
      </c>
      <c r="B20" s="54">
        <f t="shared" si="1"/>
        <v>45115</v>
      </c>
      <c r="C20" s="80">
        <f t="shared" si="2"/>
        <v>119273.96039046283</v>
      </c>
      <c r="D20" s="80">
        <f t="shared" si="3"/>
        <v>513.93903691533149</v>
      </c>
      <c r="E20" s="33">
        <f>'4 13 22 Forecast Usage by Sched'!M19</f>
        <v>2945533.4820336467</v>
      </c>
      <c r="F20" s="33"/>
      <c r="G20" s="78">
        <v>14</v>
      </c>
      <c r="H20" s="54">
        <f t="shared" si="0"/>
        <v>45115</v>
      </c>
      <c r="I20" s="84">
        <f t="shared" si="4"/>
        <v>42215.752539518755</v>
      </c>
      <c r="J20" s="84">
        <f t="shared" si="5"/>
        <v>226.54561926660583</v>
      </c>
      <c r="K20" s="33">
        <f>'4 13 22 Forecast Usage by Sched'!N19</f>
        <v>1995612.2801158165</v>
      </c>
      <c r="M20" s="49"/>
      <c r="N20" s="49"/>
      <c r="O20" s="49"/>
    </row>
    <row r="21" spans="1:15" x14ac:dyDescent="0.25">
      <c r="B21" s="30"/>
      <c r="C21" s="30"/>
      <c r="D21" s="30"/>
      <c r="E21" s="30"/>
      <c r="F21" s="30"/>
      <c r="H21" s="30"/>
      <c r="I21" s="30"/>
      <c r="J21" s="30"/>
      <c r="K21" s="30"/>
    </row>
    <row r="22" spans="1:15" x14ac:dyDescent="0.25">
      <c r="A22" s="78">
        <v>15</v>
      </c>
      <c r="B22" s="30" t="s">
        <v>5</v>
      </c>
      <c r="C22" s="30"/>
      <c r="D22" s="29">
        <f>SUM(D9:D21)</f>
        <v>119161.19345102874</v>
      </c>
      <c r="E22" s="37">
        <f>SUM(E9:E21)</f>
        <v>137946984.8505424</v>
      </c>
      <c r="F22" s="37"/>
      <c r="G22" s="78">
        <v>15</v>
      </c>
      <c r="H22" s="30" t="s">
        <v>5</v>
      </c>
      <c r="I22" s="30"/>
      <c r="J22" s="29">
        <f>SUM(J9:J21)</f>
        <v>42409.828184469523</v>
      </c>
      <c r="K22" s="37">
        <f>SUM(K9:K21)</f>
        <v>58623989.195175663</v>
      </c>
    </row>
    <row r="23" spans="1:15" ht="10.15" customHeight="1" x14ac:dyDescent="0.25">
      <c r="B23" s="30"/>
      <c r="C23" s="30"/>
      <c r="D23" s="29"/>
      <c r="E23" s="37"/>
      <c r="F23" s="37"/>
      <c r="H23" s="30"/>
      <c r="I23" s="30"/>
      <c r="J23" s="29"/>
      <c r="K23" s="37"/>
    </row>
    <row r="24" spans="1:15" ht="27" customHeight="1" x14ac:dyDescent="0.25">
      <c r="A24" s="78">
        <v>16</v>
      </c>
      <c r="B24" s="240" t="s">
        <v>9</v>
      </c>
      <c r="C24" s="240"/>
      <c r="D24" s="31">
        <f>ROUND(D22/E22,5)</f>
        <v>8.5999999999999998E-4</v>
      </c>
      <c r="E24" s="37"/>
      <c r="F24" s="37"/>
      <c r="G24" s="78">
        <v>16</v>
      </c>
      <c r="H24" s="240" t="s">
        <v>9</v>
      </c>
      <c r="I24" s="240"/>
      <c r="J24" s="31">
        <f>ROUND(J22/K22,5)</f>
        <v>7.2000000000000005E-4</v>
      </c>
      <c r="K24" s="37"/>
    </row>
    <row r="25" spans="1:15" ht="28.15" customHeight="1" x14ac:dyDescent="0.25">
      <c r="A25" s="78">
        <v>17</v>
      </c>
      <c r="B25" s="240" t="s">
        <v>10</v>
      </c>
      <c r="C25" s="240"/>
      <c r="D25" s="31">
        <f>C7</f>
        <v>4.8210000000000003E-2</v>
      </c>
      <c r="E25" s="37"/>
      <c r="F25" s="37"/>
      <c r="G25" s="78">
        <v>17</v>
      </c>
      <c r="H25" s="240" t="s">
        <v>10</v>
      </c>
      <c r="I25" s="240"/>
      <c r="J25" s="31">
        <f>I7</f>
        <v>4.1750000000000002E-2</v>
      </c>
      <c r="K25" s="37"/>
    </row>
    <row r="26" spans="1:15" ht="28.9" customHeight="1" x14ac:dyDescent="0.25">
      <c r="A26" s="78">
        <v>18</v>
      </c>
      <c r="B26" s="240" t="s">
        <v>11</v>
      </c>
      <c r="C26" s="240"/>
      <c r="D26" s="31">
        <f>D24+D25</f>
        <v>4.9070000000000003E-2</v>
      </c>
      <c r="E26" s="38"/>
      <c r="F26" s="38"/>
      <c r="G26" s="78">
        <v>18</v>
      </c>
      <c r="H26" s="240" t="s">
        <v>11</v>
      </c>
      <c r="I26" s="240"/>
      <c r="J26" s="31">
        <f>J24+J25</f>
        <v>4.2470000000000001E-2</v>
      </c>
      <c r="K26" s="38"/>
    </row>
    <row r="27" spans="1:15" ht="28.9" customHeight="1" x14ac:dyDescent="0.25">
      <c r="A27" s="78">
        <v>19</v>
      </c>
      <c r="B27" s="241" t="s">
        <v>12</v>
      </c>
      <c r="C27" s="241"/>
      <c r="D27" s="32">
        <f>'Conversion Factors'!$E$114</f>
        <v>1.044484</v>
      </c>
      <c r="E27" s="37"/>
      <c r="F27" s="37"/>
      <c r="G27" s="78">
        <v>19</v>
      </c>
      <c r="H27" s="241" t="s">
        <v>12</v>
      </c>
      <c r="I27" s="241"/>
      <c r="J27" s="32">
        <f>D27</f>
        <v>1.044484</v>
      </c>
      <c r="K27" s="37"/>
    </row>
    <row r="28" spans="1:15" ht="27" customHeight="1" x14ac:dyDescent="0.25">
      <c r="A28" s="78">
        <v>20</v>
      </c>
      <c r="B28" s="30" t="s">
        <v>79</v>
      </c>
      <c r="C28" s="30"/>
      <c r="D28" s="31">
        <f>ROUND(D26*D27,5)</f>
        <v>5.1249999999999997E-2</v>
      </c>
      <c r="E28" s="37"/>
      <c r="F28" s="37"/>
      <c r="G28" s="78">
        <v>20</v>
      </c>
      <c r="H28" s="30" t="s">
        <v>79</v>
      </c>
      <c r="I28" s="30"/>
      <c r="J28" s="31">
        <f>ROUND(J26*J27,5)</f>
        <v>4.4359999999999997E-2</v>
      </c>
      <c r="K28" s="37"/>
    </row>
    <row r="29" spans="1:15" ht="27" customHeight="1" x14ac:dyDescent="0.25">
      <c r="A29" s="78">
        <v>21</v>
      </c>
      <c r="B29" s="30" t="s">
        <v>71</v>
      </c>
      <c r="C29" s="30"/>
      <c r="D29" s="31">
        <f>'Earnings Test and 3% Test'!E60</f>
        <v>-1.226E-2</v>
      </c>
      <c r="E29" s="37"/>
      <c r="F29" s="37"/>
      <c r="G29" s="78">
        <v>21</v>
      </c>
      <c r="H29" s="30" t="s">
        <v>71</v>
      </c>
      <c r="I29" s="30"/>
      <c r="J29" s="31">
        <f>'Earnings Test and 3% Test'!F60</f>
        <v>-1.5699999999999999E-2</v>
      </c>
      <c r="K29" s="37"/>
    </row>
    <row r="30" spans="1:15" ht="27" customHeight="1" x14ac:dyDescent="0.25">
      <c r="A30" s="78">
        <v>22</v>
      </c>
      <c r="B30" s="30" t="s">
        <v>72</v>
      </c>
      <c r="C30" s="30"/>
      <c r="D30" s="31">
        <f>D28+D29</f>
        <v>3.8989999999999997E-2</v>
      </c>
      <c r="E30" s="37" t="str">
        <f>IF(D30&lt;0,"Rebate Rate","Surcharge Rate")</f>
        <v>Surcharge Rate</v>
      </c>
      <c r="F30" s="37"/>
      <c r="G30" s="78">
        <v>22</v>
      </c>
      <c r="H30" s="30" t="s">
        <v>72</v>
      </c>
      <c r="I30" s="30"/>
      <c r="J30" s="31">
        <f>J28+J29</f>
        <v>2.8659999999999998E-2</v>
      </c>
      <c r="K30" s="37" t="str">
        <f>IF(J30&lt;0,"Rebate Rate","Surcharge Rate")</f>
        <v>Surcharge Rate</v>
      </c>
    </row>
    <row r="31" spans="1:15" ht="27" customHeight="1" x14ac:dyDescent="0.25">
      <c r="A31" s="78">
        <v>23</v>
      </c>
      <c r="B31" s="30"/>
      <c r="C31" s="34" t="s">
        <v>76</v>
      </c>
      <c r="D31" s="31">
        <f>ROUND(D30*'Conversion Factors'!$E$108,5)</f>
        <v>3.7330000000000002E-2</v>
      </c>
      <c r="E31" s="37" t="s">
        <v>13</v>
      </c>
      <c r="F31" s="37"/>
      <c r="G31" s="78">
        <v>23</v>
      </c>
      <c r="H31" s="30"/>
      <c r="I31" s="34" t="s">
        <v>76</v>
      </c>
      <c r="J31" s="31">
        <f>ROUND(J30*'Conversion Factors'!$E$108,5)</f>
        <v>2.7439999999999999E-2</v>
      </c>
      <c r="K31" s="37" t="s">
        <v>13</v>
      </c>
    </row>
    <row r="32" spans="1:15" ht="27" customHeight="1" x14ac:dyDescent="0.25">
      <c r="A32" s="78">
        <v>24</v>
      </c>
      <c r="B32" s="30" t="s">
        <v>78</v>
      </c>
      <c r="C32" s="30"/>
      <c r="D32" s="80">
        <f>IF(D29=0,0,C68)</f>
        <v>1642757.0212686532</v>
      </c>
      <c r="E32" s="31"/>
      <c r="F32" s="37"/>
      <c r="G32" s="78">
        <v>24</v>
      </c>
      <c r="H32" s="30" t="s">
        <v>73</v>
      </c>
      <c r="I32" s="30"/>
      <c r="J32" s="80">
        <f>IF(J29=0,0,I68)</f>
        <v>894261.05331215914</v>
      </c>
      <c r="K32" s="37"/>
    </row>
    <row r="33" spans="1:12" ht="14.65" customHeight="1" x14ac:dyDescent="0.25">
      <c r="B33" s="30"/>
      <c r="C33" s="30"/>
      <c r="D33" s="29"/>
      <c r="E33" s="37"/>
      <c r="F33" s="37"/>
      <c r="H33" s="30"/>
      <c r="I33" s="30"/>
      <c r="J33" s="29"/>
      <c r="K33" s="37"/>
    </row>
    <row r="34" spans="1:12" ht="14.65" customHeight="1" x14ac:dyDescent="0.25">
      <c r="A34" s="55" t="s">
        <v>74</v>
      </c>
      <c r="B34" s="55" t="s">
        <v>74</v>
      </c>
      <c r="C34" s="30"/>
      <c r="D34" s="29"/>
      <c r="E34" s="37"/>
      <c r="F34" s="37"/>
      <c r="G34" s="55" t="s">
        <v>74</v>
      </c>
      <c r="H34" s="55" t="s">
        <v>74</v>
      </c>
      <c r="I34" s="30"/>
      <c r="J34" s="29"/>
      <c r="K34" s="37"/>
    </row>
    <row r="35" spans="1:12" ht="49.15" customHeight="1" x14ac:dyDescent="0.25">
      <c r="A35" s="76" t="s">
        <v>98</v>
      </c>
      <c r="B35" s="242" t="str">
        <f>"Deferral balance at the end of the month, Rate of "&amp;TEXT(D25,"$0.00000")&amp;" to recover the July 2022 balance of "&amp;TEXT(C8,"$000,000")&amp;" over 12 months.  See page 2 and 5 of Attachment A for July 2022 balance calculation."</f>
        <v>Deferral balance at the end of the month, Rate of $0.04821 to recover the July 2022 balance of $6,650,537 over 12 months.  See page 2 and 5 of Attachment A for July 2022 balance calculation.</v>
      </c>
      <c r="C35" s="242"/>
      <c r="D35" s="242"/>
      <c r="E35" s="242"/>
      <c r="F35" s="156"/>
      <c r="G35" s="76" t="s">
        <v>98</v>
      </c>
      <c r="H35" s="242" t="str">
        <f>"Deferral balance at the end of the month, Rate of "&amp;TEXT(J25,"$0.00000")&amp;" to recover the July 2022 balance of "&amp;TEXT(I8,"$000,000")&amp;" over 12 months.  See page 4 and 5 of Attachment A for July 2022 balance calculation."</f>
        <v>Deferral balance at the end of the month, Rate of $0.04175 to recover the July 2022 balance of $2,447,357 over 12 months.  See page 4 and 5 of Attachment A for July 2022 balance calculation.</v>
      </c>
      <c r="I35" s="242"/>
      <c r="J35" s="242"/>
      <c r="K35" s="242"/>
    </row>
    <row r="36" spans="1:12" ht="32.450000000000003" customHeight="1" x14ac:dyDescent="0.25">
      <c r="A36" s="76" t="s">
        <v>99</v>
      </c>
      <c r="B36" s="243" t="s">
        <v>100</v>
      </c>
      <c r="C36" s="243"/>
      <c r="D36" s="243"/>
      <c r="E36" s="243"/>
      <c r="F36" s="156"/>
      <c r="G36" s="76" t="s">
        <v>99</v>
      </c>
      <c r="H36" s="243" t="s">
        <v>100</v>
      </c>
      <c r="I36" s="243"/>
      <c r="J36" s="243"/>
      <c r="K36" s="243"/>
    </row>
    <row r="37" spans="1:12" ht="15.6" customHeight="1" x14ac:dyDescent="0.25">
      <c r="B37" s="157" t="s">
        <v>77</v>
      </c>
      <c r="C37" s="158"/>
      <c r="D37" s="158"/>
      <c r="E37" s="158"/>
      <c r="F37" s="156"/>
      <c r="G37" s="159"/>
      <c r="H37" s="157" t="s">
        <v>77</v>
      </c>
      <c r="I37" s="158"/>
      <c r="J37" s="158"/>
      <c r="K37" s="158"/>
    </row>
    <row r="38" spans="1:12" ht="18" customHeight="1" x14ac:dyDescent="0.25">
      <c r="A38" s="76" t="s">
        <v>101</v>
      </c>
      <c r="B38" s="244" t="s">
        <v>202</v>
      </c>
      <c r="C38" s="244"/>
      <c r="D38" s="244"/>
      <c r="E38" s="244"/>
      <c r="F38" s="156"/>
      <c r="G38" s="76" t="s">
        <v>101</v>
      </c>
      <c r="H38" s="244" t="s">
        <v>202</v>
      </c>
      <c r="I38" s="244"/>
      <c r="J38" s="244"/>
      <c r="K38" s="244"/>
    </row>
    <row r="39" spans="1:12" ht="18" customHeight="1" x14ac:dyDescent="0.25">
      <c r="A39" s="76" t="s">
        <v>102</v>
      </c>
      <c r="B39" s="245" t="s">
        <v>113</v>
      </c>
      <c r="C39" s="245"/>
      <c r="D39" s="245"/>
      <c r="E39" s="245"/>
      <c r="F39" s="156"/>
      <c r="G39" s="76" t="s">
        <v>102</v>
      </c>
      <c r="H39" s="245" t="s">
        <v>113</v>
      </c>
      <c r="I39" s="245"/>
      <c r="J39" s="245"/>
      <c r="K39" s="245"/>
    </row>
    <row r="40" spans="1:12" ht="18" customHeight="1" x14ac:dyDescent="0.25">
      <c r="A40" s="76" t="s">
        <v>103</v>
      </c>
      <c r="B40" s="245" t="s">
        <v>104</v>
      </c>
      <c r="C40" s="245"/>
      <c r="D40" s="245"/>
      <c r="E40" s="245"/>
      <c r="F40" s="156"/>
      <c r="G40" s="76" t="s">
        <v>103</v>
      </c>
      <c r="H40" s="245" t="s">
        <v>108</v>
      </c>
      <c r="I40" s="245"/>
      <c r="J40" s="245"/>
      <c r="K40" s="245"/>
    </row>
    <row r="41" spans="1:12" x14ac:dyDescent="0.25">
      <c r="B41" s="30"/>
      <c r="C41" s="30"/>
      <c r="D41" s="29"/>
      <c r="E41" s="37"/>
      <c r="F41" s="37"/>
      <c r="H41" s="30"/>
      <c r="I41" s="30"/>
      <c r="J41" s="29"/>
      <c r="K41" s="37"/>
    </row>
    <row r="42" spans="1:12" ht="27.6" customHeight="1" x14ac:dyDescent="0.3">
      <c r="B42" s="246" t="str">
        <f>B5</f>
        <v>Residential Natural Gas</v>
      </c>
      <c r="C42" s="246"/>
      <c r="D42" s="246"/>
      <c r="E42" s="246"/>
      <c r="F42" s="27"/>
      <c r="H42" s="246" t="str">
        <f>H5</f>
        <v>Non-Residential Natural Gas</v>
      </c>
      <c r="I42" s="246"/>
      <c r="J42" s="246"/>
      <c r="K42" s="246"/>
    </row>
    <row r="43" spans="1:12" x14ac:dyDescent="0.25">
      <c r="A43" s="77"/>
      <c r="B43" s="247" t="s">
        <v>168</v>
      </c>
      <c r="C43" s="247"/>
      <c r="D43" s="247"/>
      <c r="E43" s="247"/>
      <c r="F43" s="30"/>
      <c r="G43" s="77"/>
      <c r="H43" s="247" t="str">
        <f>B43</f>
        <v>Calculate Estimated Monthly Balances through July 2022</v>
      </c>
      <c r="I43" s="247"/>
      <c r="J43" s="247"/>
      <c r="K43" s="247"/>
    </row>
    <row r="44" spans="1:12" ht="30" x14ac:dyDescent="0.25">
      <c r="A44" s="77" t="s">
        <v>93</v>
      </c>
      <c r="B44" s="30"/>
      <c r="C44" s="27" t="s">
        <v>8</v>
      </c>
      <c r="D44" s="27" t="s">
        <v>3</v>
      </c>
      <c r="E44" s="36" t="s">
        <v>75</v>
      </c>
      <c r="F44" s="102" t="s">
        <v>115</v>
      </c>
      <c r="G44" s="77" t="s">
        <v>93</v>
      </c>
      <c r="H44" s="30"/>
      <c r="I44" s="27" t="s">
        <v>8</v>
      </c>
      <c r="J44" s="27" t="s">
        <v>3</v>
      </c>
      <c r="K44" s="36" t="s">
        <v>75</v>
      </c>
      <c r="L44" s="126" t="s">
        <v>115</v>
      </c>
    </row>
    <row r="45" spans="1:12" x14ac:dyDescent="0.25">
      <c r="B45" s="30"/>
      <c r="C45" s="30"/>
      <c r="D45" s="58"/>
      <c r="E45" s="30"/>
      <c r="F45" s="30"/>
      <c r="H45" s="30"/>
      <c r="I45" s="30"/>
      <c r="J45" s="58"/>
      <c r="K45" s="30"/>
    </row>
    <row r="46" spans="1:12" x14ac:dyDescent="0.25">
      <c r="A46" s="78">
        <v>1</v>
      </c>
      <c r="B46" s="54">
        <v>44531</v>
      </c>
      <c r="C46" s="160">
        <v>6559458</v>
      </c>
      <c r="D46" s="30"/>
      <c r="E46" s="30"/>
      <c r="F46" s="30"/>
      <c r="G46" s="78">
        <v>1</v>
      </c>
      <c r="H46" s="54">
        <f>B46</f>
        <v>44531</v>
      </c>
      <c r="I46" s="160">
        <v>2400734</v>
      </c>
      <c r="J46" s="30"/>
      <c r="K46" s="30"/>
    </row>
    <row r="47" spans="1:12" x14ac:dyDescent="0.25">
      <c r="A47" s="78">
        <v>2</v>
      </c>
      <c r="B47" s="98" t="s">
        <v>182</v>
      </c>
      <c r="C47" s="29">
        <f>-'Earnings Test and 3% Test'!F34-'Earnings Test and 3% Test'!E38</f>
        <v>-57986.258292211518</v>
      </c>
      <c r="D47" s="30"/>
      <c r="E47" s="30"/>
      <c r="F47" s="30"/>
      <c r="G47" s="78">
        <v>2</v>
      </c>
      <c r="H47" s="98" t="str">
        <f t="shared" ref="H47:H68" si="6">B47</f>
        <v>Earnings Sharing/DSM Adjustment</v>
      </c>
      <c r="I47" s="29">
        <f>-'Earnings Test and 3% Test'!F35-'Earnings Test and 3% Test'!E39</f>
        <v>-17013.741707788475</v>
      </c>
      <c r="J47" s="30"/>
      <c r="K47" s="30"/>
    </row>
    <row r="48" spans="1:12" x14ac:dyDescent="0.25">
      <c r="A48" s="78">
        <v>3</v>
      </c>
      <c r="B48" s="98" t="s">
        <v>80</v>
      </c>
      <c r="C48" s="29">
        <f>C46+C47</f>
        <v>6501471.7417077888</v>
      </c>
      <c r="D48" s="30"/>
      <c r="E48" s="30"/>
      <c r="F48" s="30"/>
      <c r="G48" s="78">
        <v>3</v>
      </c>
      <c r="H48" s="98" t="str">
        <f t="shared" si="6"/>
        <v>Adjusted December Balance</v>
      </c>
      <c r="I48" s="29">
        <f>I46+I47</f>
        <v>2383720.2582922117</v>
      </c>
      <c r="J48" s="30"/>
      <c r="K48" s="30"/>
    </row>
    <row r="49" spans="1:12" x14ac:dyDescent="0.25">
      <c r="A49" s="78">
        <v>4</v>
      </c>
      <c r="B49" s="54">
        <f>B46+31</f>
        <v>44562</v>
      </c>
      <c r="C49" s="29">
        <f>C48+D49-E49</f>
        <v>6519079.8943415806</v>
      </c>
      <c r="D49" s="29">
        <f>(C48-E49/2)*F49/12</f>
        <v>17608.152633791928</v>
      </c>
      <c r="E49" s="30"/>
      <c r="F49" s="138">
        <v>3.2500000000000001E-2</v>
      </c>
      <c r="G49" s="78">
        <v>4</v>
      </c>
      <c r="H49" s="54">
        <f t="shared" si="6"/>
        <v>44562</v>
      </c>
      <c r="I49" s="29">
        <f>I48+J49-K49</f>
        <v>2390176.1673250864</v>
      </c>
      <c r="J49" s="29">
        <f>(I48-K49/2)*L49/12</f>
        <v>6455.9090328747407</v>
      </c>
      <c r="K49" s="30"/>
      <c r="L49" s="82">
        <f>F49</f>
        <v>3.2500000000000001E-2</v>
      </c>
    </row>
    <row r="50" spans="1:12" x14ac:dyDescent="0.25">
      <c r="A50" s="78">
        <v>5</v>
      </c>
      <c r="B50" s="54">
        <f t="shared" ref="B50:B55" si="7">B49+31</f>
        <v>44593</v>
      </c>
      <c r="C50" s="29">
        <f t="shared" ref="C50:C55" si="8">C49+D50-E50</f>
        <v>6536735.7357220892</v>
      </c>
      <c r="D50" s="80">
        <f t="shared" ref="D50:D55" si="9">(C49-E50/2)*F50/12</f>
        <v>17655.841380508446</v>
      </c>
      <c r="E50" s="30"/>
      <c r="F50" s="125">
        <f>F49</f>
        <v>3.2500000000000001E-2</v>
      </c>
      <c r="G50" s="78">
        <v>5</v>
      </c>
      <c r="H50" s="54">
        <f t="shared" si="6"/>
        <v>44593</v>
      </c>
      <c r="I50" s="29">
        <f t="shared" ref="I50:I55" si="10">I49+J50-K50</f>
        <v>2396649.5611115918</v>
      </c>
      <c r="J50" s="80">
        <f t="shared" ref="J50:J55" si="11">(I49-K50/2)*L50/12</f>
        <v>6473.3937865054431</v>
      </c>
      <c r="K50" s="30"/>
      <c r="L50" s="82">
        <f t="shared" ref="L50:L68" si="12">F50</f>
        <v>3.2500000000000001E-2</v>
      </c>
    </row>
    <row r="51" spans="1:12" x14ac:dyDescent="0.25">
      <c r="A51" s="78">
        <v>6</v>
      </c>
      <c r="B51" s="54">
        <f t="shared" si="7"/>
        <v>44624</v>
      </c>
      <c r="C51" s="29">
        <f t="shared" si="8"/>
        <v>6554439.3950063363</v>
      </c>
      <c r="D51" s="80">
        <f t="shared" si="9"/>
        <v>17703.659284247326</v>
      </c>
      <c r="E51" s="30"/>
      <c r="F51" s="125">
        <f t="shared" ref="F51:F68" si="13">F50</f>
        <v>3.2500000000000001E-2</v>
      </c>
      <c r="G51" s="78">
        <v>6</v>
      </c>
      <c r="H51" s="54">
        <f t="shared" si="6"/>
        <v>44624</v>
      </c>
      <c r="I51" s="29">
        <f t="shared" si="10"/>
        <v>2403140.4870062689</v>
      </c>
      <c r="J51" s="80">
        <f t="shared" si="11"/>
        <v>6490.9258946772279</v>
      </c>
      <c r="K51" s="30"/>
      <c r="L51" s="82">
        <f t="shared" si="12"/>
        <v>3.2500000000000001E-2</v>
      </c>
    </row>
    <row r="52" spans="1:12" x14ac:dyDescent="0.25">
      <c r="A52" s="78">
        <v>7</v>
      </c>
      <c r="B52" s="54">
        <f t="shared" si="7"/>
        <v>44655</v>
      </c>
      <c r="C52" s="29">
        <f t="shared" si="8"/>
        <v>6572191.0017011454</v>
      </c>
      <c r="D52" s="80">
        <f t="shared" si="9"/>
        <v>17751.60669480883</v>
      </c>
      <c r="E52" s="30"/>
      <c r="F52" s="138">
        <v>3.2500000000000001E-2</v>
      </c>
      <c r="G52" s="78">
        <v>7</v>
      </c>
      <c r="H52" s="54">
        <f t="shared" si="6"/>
        <v>44655</v>
      </c>
      <c r="I52" s="29">
        <f t="shared" si="10"/>
        <v>2409648.9924919107</v>
      </c>
      <c r="J52" s="80">
        <f t="shared" si="11"/>
        <v>6508.5054856419783</v>
      </c>
      <c r="K52" s="30"/>
      <c r="L52" s="82">
        <f t="shared" si="12"/>
        <v>3.2500000000000001E-2</v>
      </c>
    </row>
    <row r="53" spans="1:12" x14ac:dyDescent="0.25">
      <c r="A53" s="78">
        <v>8</v>
      </c>
      <c r="B53" s="54">
        <f t="shared" si="7"/>
        <v>44686</v>
      </c>
      <c r="C53" s="29">
        <f t="shared" si="8"/>
        <v>6589990.6856640857</v>
      </c>
      <c r="D53" s="80">
        <f t="shared" si="9"/>
        <v>17799.683962940602</v>
      </c>
      <c r="E53" s="30"/>
      <c r="F53" s="125">
        <f t="shared" si="13"/>
        <v>3.2500000000000001E-2</v>
      </c>
      <c r="G53" s="78">
        <v>8</v>
      </c>
      <c r="H53" s="54">
        <f t="shared" si="6"/>
        <v>44686</v>
      </c>
      <c r="I53" s="29">
        <f t="shared" si="10"/>
        <v>2416175.1251799096</v>
      </c>
      <c r="J53" s="80">
        <f t="shared" si="11"/>
        <v>6526.1326879989247</v>
      </c>
      <c r="K53" s="30"/>
      <c r="L53" s="82">
        <f t="shared" si="12"/>
        <v>3.2500000000000001E-2</v>
      </c>
    </row>
    <row r="54" spans="1:12" x14ac:dyDescent="0.25">
      <c r="A54" s="78">
        <v>9</v>
      </c>
      <c r="B54" s="54">
        <f t="shared" si="7"/>
        <v>44717</v>
      </c>
      <c r="C54" s="29">
        <f t="shared" si="8"/>
        <v>6607838.577104426</v>
      </c>
      <c r="D54" s="80">
        <f t="shared" si="9"/>
        <v>17847.891440340234</v>
      </c>
      <c r="E54" s="30"/>
      <c r="F54" s="125">
        <f t="shared" si="13"/>
        <v>3.2500000000000001E-2</v>
      </c>
      <c r="G54" s="78">
        <v>9</v>
      </c>
      <c r="H54" s="54">
        <f t="shared" si="6"/>
        <v>44717</v>
      </c>
      <c r="I54" s="29">
        <f t="shared" si="10"/>
        <v>2422718.932810605</v>
      </c>
      <c r="J54" s="80">
        <f t="shared" si="11"/>
        <v>6543.8076306955891</v>
      </c>
      <c r="K54" s="30"/>
      <c r="L54" s="82">
        <f t="shared" si="12"/>
        <v>3.2500000000000001E-2</v>
      </c>
    </row>
    <row r="55" spans="1:12" x14ac:dyDescent="0.25">
      <c r="A55" s="78">
        <v>10</v>
      </c>
      <c r="B55" s="56">
        <f t="shared" si="7"/>
        <v>44748</v>
      </c>
      <c r="C55" s="57">
        <f t="shared" si="8"/>
        <v>6625734.8065840835</v>
      </c>
      <c r="D55" s="80">
        <f t="shared" si="9"/>
        <v>17896.229479657821</v>
      </c>
      <c r="E55" s="30"/>
      <c r="F55" s="125">
        <f>F54</f>
        <v>3.2500000000000001E-2</v>
      </c>
      <c r="G55" s="78">
        <v>10</v>
      </c>
      <c r="H55" s="56">
        <f t="shared" si="6"/>
        <v>44748</v>
      </c>
      <c r="I55" s="57">
        <f t="shared" si="10"/>
        <v>2429280.4632536336</v>
      </c>
      <c r="J55" s="80">
        <f t="shared" si="11"/>
        <v>6561.5304430287224</v>
      </c>
      <c r="K55" s="30"/>
      <c r="L55" s="82">
        <f t="shared" si="12"/>
        <v>3.2500000000000001E-2</v>
      </c>
    </row>
    <row r="56" spans="1:12" s="79" customFormat="1" x14ac:dyDescent="0.25">
      <c r="A56" s="137">
        <v>11</v>
      </c>
      <c r="B56" s="98" t="s">
        <v>162</v>
      </c>
      <c r="C56" s="233">
        <f>'Prior Year Amortization'!F20</f>
        <v>24802.100000000086</v>
      </c>
      <c r="D56" s="80"/>
      <c r="E56" s="30"/>
      <c r="F56" s="138"/>
      <c r="G56" s="137"/>
      <c r="H56" s="98" t="s">
        <v>162</v>
      </c>
      <c r="I56" s="57">
        <f>'Prior Year Amortization'!F37</f>
        <v>18077.009999999973</v>
      </c>
      <c r="J56" s="80"/>
      <c r="K56" s="30"/>
      <c r="L56" s="82"/>
    </row>
    <row r="57" spans="1:12" x14ac:dyDescent="0.25">
      <c r="A57" s="137">
        <v>12</v>
      </c>
      <c r="B57" s="54">
        <f>B55+31</f>
        <v>44779</v>
      </c>
      <c r="C57" s="80">
        <f>C55+C56+D57-E57</f>
        <v>6600786.3651129268</v>
      </c>
      <c r="D57" s="80">
        <f>(C55+C56-E57/2)*F57/12</f>
        <v>17920.233281188095</v>
      </c>
      <c r="E57" s="80">
        <f>E9*D$31</f>
        <v>67670.774752344005</v>
      </c>
      <c r="F57" s="125">
        <f>F55</f>
        <v>3.2500000000000001E-2</v>
      </c>
      <c r="G57" s="78">
        <v>11</v>
      </c>
      <c r="H57" s="54">
        <f t="shared" si="6"/>
        <v>44779</v>
      </c>
      <c r="I57" s="80">
        <f>I55+I56+J57-K57</f>
        <v>2407716.7601328199</v>
      </c>
      <c r="J57" s="80">
        <f>(I55+I56-K57/2)*L57/12</f>
        <v>6565.6886543247574</v>
      </c>
      <c r="K57" s="80">
        <f>K9*J$31</f>
        <v>46206.401775138358</v>
      </c>
      <c r="L57" s="82">
        <f t="shared" si="12"/>
        <v>3.2500000000000001E-2</v>
      </c>
    </row>
    <row r="58" spans="1:12" x14ac:dyDescent="0.25">
      <c r="A58" s="137">
        <v>13</v>
      </c>
      <c r="B58" s="54">
        <f t="shared" ref="B58:B68" si="14">B57+31</f>
        <v>44810</v>
      </c>
      <c r="C58" s="80">
        <f>C57+D58-E58</f>
        <v>6541157.2367066825</v>
      </c>
      <c r="D58" s="80">
        <f>(C57-E58/2)*F58/12</f>
        <v>17772.315283850508</v>
      </c>
      <c r="E58" s="80">
        <f>E10*D$31</f>
        <v>77401.443690094966</v>
      </c>
      <c r="F58" s="125">
        <f t="shared" si="13"/>
        <v>3.2500000000000001E-2</v>
      </c>
      <c r="G58" s="78">
        <v>12</v>
      </c>
      <c r="H58" s="54">
        <f t="shared" si="6"/>
        <v>44810</v>
      </c>
      <c r="I58" s="80">
        <f>I57+J58-K58</f>
        <v>2366349.0465683071</v>
      </c>
      <c r="J58" s="80">
        <f>(I57-K58/2)*L58/12</f>
        <v>6456.1380929069637</v>
      </c>
      <c r="K58" s="80">
        <f>K10*J$31</f>
        <v>47823.851657419938</v>
      </c>
      <c r="L58" s="82">
        <f t="shared" si="12"/>
        <v>3.2500000000000001E-2</v>
      </c>
    </row>
    <row r="59" spans="1:12" x14ac:dyDescent="0.25">
      <c r="A59" s="78">
        <v>14</v>
      </c>
      <c r="B59" s="54">
        <f t="shared" si="14"/>
        <v>44841</v>
      </c>
      <c r="C59" s="80">
        <f>C58+D59-E59</f>
        <v>6447918.4029056747</v>
      </c>
      <c r="D59" s="80">
        <f t="shared" ref="D59:D66" si="15">(C58-E59/2)*F59/12</f>
        <v>17565.586530215402</v>
      </c>
      <c r="E59" s="80">
        <f t="shared" ref="E59:E68" si="16">E11*D$31</f>
        <v>110804.42033122297</v>
      </c>
      <c r="F59" s="125">
        <f t="shared" si="13"/>
        <v>3.2500000000000001E-2</v>
      </c>
      <c r="G59" s="78">
        <v>13</v>
      </c>
      <c r="H59" s="54">
        <f t="shared" si="6"/>
        <v>44841</v>
      </c>
      <c r="I59" s="80">
        <f t="shared" ref="I59:I68" si="17">I58+J59-K59</f>
        <v>2308944.5474914638</v>
      </c>
      <c r="J59" s="80">
        <f t="shared" ref="J59:J68" si="18">(I58-K59/2)*L59/12</f>
        <v>6322.5649352727587</v>
      </c>
      <c r="K59" s="80">
        <f t="shared" ref="K59:K68" si="19">K11*J$31</f>
        <v>63727.064012116054</v>
      </c>
      <c r="L59" s="82">
        <f t="shared" si="12"/>
        <v>3.2500000000000001E-2</v>
      </c>
    </row>
    <row r="60" spans="1:12" x14ac:dyDescent="0.25">
      <c r="A60" s="86">
        <v>15</v>
      </c>
      <c r="B60" s="54">
        <f t="shared" si="14"/>
        <v>44872</v>
      </c>
      <c r="C60" s="80">
        <f>C59+D60-E60</f>
        <v>6119441.4358278634</v>
      </c>
      <c r="D60" s="80">
        <f>(C59-E60/2)*F60/12</f>
        <v>16995.285332730262</v>
      </c>
      <c r="E60" s="80">
        <f t="shared" si="16"/>
        <v>345472.25241054158</v>
      </c>
      <c r="F60" s="125">
        <f t="shared" si="13"/>
        <v>3.2500000000000001E-2</v>
      </c>
      <c r="G60" s="137">
        <v>14</v>
      </c>
      <c r="H60" s="54">
        <f t="shared" si="6"/>
        <v>44872</v>
      </c>
      <c r="I60" s="80">
        <f t="shared" si="17"/>
        <v>2179877.444479601</v>
      </c>
      <c r="J60" s="80">
        <f t="shared" si="18"/>
        <v>6070.392790556939</v>
      </c>
      <c r="K60" s="80">
        <f t="shared" si="19"/>
        <v>135137.4958024197</v>
      </c>
      <c r="L60" s="82">
        <f t="shared" si="12"/>
        <v>3.2500000000000001E-2</v>
      </c>
    </row>
    <row r="61" spans="1:12" x14ac:dyDescent="0.25">
      <c r="A61" s="86">
        <v>16</v>
      </c>
      <c r="B61" s="54">
        <f t="shared" si="14"/>
        <v>44903</v>
      </c>
      <c r="C61" s="80">
        <f t="shared" ref="C61:C66" si="20">C60+D61-E61</f>
        <v>5495178.435719572</v>
      </c>
      <c r="D61" s="80">
        <f t="shared" si="15"/>
        <v>15706.861367951386</v>
      </c>
      <c r="E61" s="80">
        <f t="shared" si="16"/>
        <v>639969.86147624231</v>
      </c>
      <c r="F61" s="125">
        <f t="shared" si="13"/>
        <v>3.2500000000000001E-2</v>
      </c>
      <c r="G61" s="137">
        <v>15</v>
      </c>
      <c r="H61" s="54">
        <f t="shared" si="6"/>
        <v>44903</v>
      </c>
      <c r="I61" s="80">
        <f t="shared" si="17"/>
        <v>1986508.5052618377</v>
      </c>
      <c r="J61" s="80">
        <f t="shared" si="18"/>
        <v>5634.3511231289622</v>
      </c>
      <c r="K61" s="80">
        <f t="shared" si="19"/>
        <v>199003.29034089224</v>
      </c>
      <c r="L61" s="82">
        <f t="shared" si="12"/>
        <v>3.2500000000000001E-2</v>
      </c>
    </row>
    <row r="62" spans="1:12" ht="14.45" customHeight="1" x14ac:dyDescent="0.25">
      <c r="A62" s="86">
        <v>17</v>
      </c>
      <c r="B62" s="54">
        <f t="shared" si="14"/>
        <v>44934</v>
      </c>
      <c r="C62" s="80">
        <f t="shared" si="20"/>
        <v>4533418.3774994146</v>
      </c>
      <c r="D62" s="80">
        <f t="shared" si="15"/>
        <v>13562.02627398802</v>
      </c>
      <c r="E62" s="80">
        <f t="shared" si="16"/>
        <v>975322.08449414547</v>
      </c>
      <c r="F62" s="125">
        <f t="shared" si="13"/>
        <v>3.2500000000000001E-2</v>
      </c>
      <c r="G62" s="137">
        <v>16</v>
      </c>
      <c r="H62" s="54">
        <f t="shared" si="6"/>
        <v>44934</v>
      </c>
      <c r="I62" s="80">
        <f t="shared" si="17"/>
        <v>1734363.7440326705</v>
      </c>
      <c r="J62" s="80">
        <f t="shared" si="18"/>
        <v>5031.867184107834</v>
      </c>
      <c r="K62" s="80">
        <f t="shared" si="19"/>
        <v>257176.62841327518</v>
      </c>
      <c r="L62" s="82">
        <f t="shared" si="12"/>
        <v>3.2500000000000001E-2</v>
      </c>
    </row>
    <row r="63" spans="1:12" x14ac:dyDescent="0.25">
      <c r="A63" s="86">
        <v>18</v>
      </c>
      <c r="B63" s="54">
        <f t="shared" si="14"/>
        <v>44965</v>
      </c>
      <c r="C63" s="80">
        <f t="shared" si="20"/>
        <v>3655429.3806985882</v>
      </c>
      <c r="D63" s="80">
        <f t="shared" si="15"/>
        <v>11074.068538081143</v>
      </c>
      <c r="E63" s="80">
        <f t="shared" si="16"/>
        <v>889063.0653389073</v>
      </c>
      <c r="F63" s="125">
        <f t="shared" si="13"/>
        <v>3.2500000000000001E-2</v>
      </c>
      <c r="G63" s="137">
        <v>17</v>
      </c>
      <c r="H63" s="54">
        <f t="shared" si="6"/>
        <v>44965</v>
      </c>
      <c r="I63" s="80">
        <f t="shared" si="17"/>
        <v>1500042.6586836125</v>
      </c>
      <c r="J63" s="80">
        <f t="shared" si="18"/>
        <v>4374.0022090202519</v>
      </c>
      <c r="K63" s="80">
        <f t="shared" si="19"/>
        <v>238695.08755807832</v>
      </c>
      <c r="L63" s="82">
        <f t="shared" si="12"/>
        <v>3.2500000000000001E-2</v>
      </c>
    </row>
    <row r="64" spans="1:12" x14ac:dyDescent="0.25">
      <c r="A64" s="86">
        <v>19</v>
      </c>
      <c r="B64" s="54">
        <f t="shared" si="14"/>
        <v>44996</v>
      </c>
      <c r="C64" s="80">
        <f t="shared" si="20"/>
        <v>2894567.2265536161</v>
      </c>
      <c r="D64" s="80">
        <f t="shared" si="15"/>
        <v>8857.7921454570533</v>
      </c>
      <c r="E64" s="80">
        <f t="shared" si="16"/>
        <v>769719.94629042945</v>
      </c>
      <c r="F64" s="125">
        <f t="shared" si="13"/>
        <v>3.2500000000000001E-2</v>
      </c>
      <c r="G64" s="137">
        <v>18</v>
      </c>
      <c r="H64" s="54">
        <f t="shared" si="6"/>
        <v>44996</v>
      </c>
      <c r="I64" s="80">
        <f t="shared" si="17"/>
        <v>1295766.0412036048</v>
      </c>
      <c r="J64" s="80">
        <f t="shared" si="18"/>
        <v>3780.8710182600462</v>
      </c>
      <c r="K64" s="80">
        <f t="shared" si="19"/>
        <v>208057.48849826778</v>
      </c>
      <c r="L64" s="82">
        <f t="shared" si="12"/>
        <v>3.2500000000000001E-2</v>
      </c>
    </row>
    <row r="65" spans="1:12" x14ac:dyDescent="0.25">
      <c r="A65" s="137">
        <v>20</v>
      </c>
      <c r="B65" s="54">
        <f t="shared" si="14"/>
        <v>45027</v>
      </c>
      <c r="C65" s="80">
        <f t="shared" si="20"/>
        <v>2300897.0773350503</v>
      </c>
      <c r="D65" s="80">
        <f t="shared" si="15"/>
        <v>7026.0101893844449</v>
      </c>
      <c r="E65" s="80">
        <f t="shared" si="16"/>
        <v>600696.15940795024</v>
      </c>
      <c r="F65" s="125">
        <f t="shared" si="13"/>
        <v>3.2500000000000001E-2</v>
      </c>
      <c r="G65" s="137">
        <v>19</v>
      </c>
      <c r="H65" s="54">
        <f t="shared" si="6"/>
        <v>45027</v>
      </c>
      <c r="I65" s="80">
        <f t="shared" si="17"/>
        <v>1126403.8950727319</v>
      </c>
      <c r="J65" s="80">
        <f t="shared" si="18"/>
        <v>3275.5860991982081</v>
      </c>
      <c r="K65" s="80">
        <f t="shared" si="19"/>
        <v>172637.73223007121</v>
      </c>
      <c r="L65" s="82">
        <f t="shared" si="12"/>
        <v>3.2500000000000001E-2</v>
      </c>
    </row>
    <row r="66" spans="1:12" x14ac:dyDescent="0.25">
      <c r="A66" s="137">
        <v>21</v>
      </c>
      <c r="B66" s="54">
        <f t="shared" si="14"/>
        <v>45058</v>
      </c>
      <c r="C66" s="80">
        <f t="shared" si="20"/>
        <v>1937250.9894239693</v>
      </c>
      <c r="D66" s="80">
        <f t="shared" si="15"/>
        <v>5731.3975728562618</v>
      </c>
      <c r="E66" s="80">
        <f t="shared" si="16"/>
        <v>369377.48548393749</v>
      </c>
      <c r="F66" s="125">
        <f t="shared" si="13"/>
        <v>3.2500000000000001E-2</v>
      </c>
      <c r="G66" s="137">
        <v>20</v>
      </c>
      <c r="H66" s="54">
        <f t="shared" si="6"/>
        <v>45058</v>
      </c>
      <c r="I66" s="80">
        <f t="shared" si="17"/>
        <v>1013694.2803584912</v>
      </c>
      <c r="J66" s="80">
        <f t="shared" si="18"/>
        <v>2894.1304775414446</v>
      </c>
      <c r="K66" s="80">
        <f t="shared" si="19"/>
        <v>115603.745191782</v>
      </c>
      <c r="L66" s="82">
        <f t="shared" si="12"/>
        <v>3.2500000000000001E-2</v>
      </c>
    </row>
    <row r="67" spans="1:12" x14ac:dyDescent="0.25">
      <c r="A67" s="137">
        <v>22</v>
      </c>
      <c r="B67" s="54">
        <f t="shared" si="14"/>
        <v>45089</v>
      </c>
      <c r="C67" s="80">
        <f>C66+D67-E67</f>
        <v>1748128.1721392064</v>
      </c>
      <c r="D67" s="80">
        <f>(C66-E67/2)*F67/12</f>
        <v>4983.868625852625</v>
      </c>
      <c r="E67" s="80">
        <f t="shared" si="16"/>
        <v>194106.68591061549</v>
      </c>
      <c r="F67" s="125">
        <f t="shared" si="13"/>
        <v>3.2500000000000001E-2</v>
      </c>
      <c r="G67" s="137">
        <v>21</v>
      </c>
      <c r="H67" s="54">
        <f t="shared" si="6"/>
        <v>45089</v>
      </c>
      <c r="I67" s="80">
        <f t="shared" si="17"/>
        <v>946531.28567281528</v>
      </c>
      <c r="J67" s="80">
        <f t="shared" si="18"/>
        <v>2650.8823841055846</v>
      </c>
      <c r="K67" s="80">
        <f t="shared" si="19"/>
        <v>69813.877069781505</v>
      </c>
      <c r="L67" s="82">
        <f t="shared" si="12"/>
        <v>3.2500000000000001E-2</v>
      </c>
    </row>
    <row r="68" spans="1:12" x14ac:dyDescent="0.25">
      <c r="A68" s="137">
        <v>23</v>
      </c>
      <c r="B68" s="56">
        <f t="shared" si="14"/>
        <v>45120</v>
      </c>
      <c r="C68" s="57">
        <f>C67+D68-E68</f>
        <v>1642757.0212686532</v>
      </c>
      <c r="D68" s="80">
        <f>(C67-E68/2)*F68/12</f>
        <v>4585.6140137628399</v>
      </c>
      <c r="E68" s="80">
        <f t="shared" si="16"/>
        <v>109956.76488431604</v>
      </c>
      <c r="F68" s="125">
        <f t="shared" si="13"/>
        <v>3.2500000000000001E-2</v>
      </c>
      <c r="G68" s="137">
        <v>22</v>
      </c>
      <c r="H68" s="56">
        <f t="shared" si="6"/>
        <v>45120</v>
      </c>
      <c r="I68" s="57">
        <f t="shared" si="17"/>
        <v>894261.05331215914</v>
      </c>
      <c r="J68" s="80">
        <f t="shared" si="18"/>
        <v>2489.3686057219043</v>
      </c>
      <c r="K68" s="80">
        <f t="shared" si="19"/>
        <v>54759.600966378006</v>
      </c>
      <c r="L68" s="82">
        <f t="shared" si="12"/>
        <v>3.2500000000000001E-2</v>
      </c>
    </row>
    <row r="69" spans="1:12" x14ac:dyDescent="0.25">
      <c r="B69" s="30"/>
      <c r="C69" s="30"/>
      <c r="D69" s="30"/>
      <c r="E69" s="30"/>
      <c r="F69" s="30"/>
      <c r="H69" s="30"/>
      <c r="I69" s="30"/>
      <c r="J69" s="30"/>
      <c r="K69" s="30"/>
    </row>
    <row r="70" spans="1:12" x14ac:dyDescent="0.25">
      <c r="A70" s="78">
        <v>24</v>
      </c>
      <c r="B70" s="34" t="s">
        <v>94</v>
      </c>
      <c r="C70" s="30"/>
      <c r="D70" s="29">
        <f>SUM(D49:D69)</f>
        <v>266044.12403161323</v>
      </c>
      <c r="E70" s="29">
        <f>SUM(E60:E68)</f>
        <v>4893684.3056970853</v>
      </c>
      <c r="F70" s="30"/>
      <c r="G70" s="78">
        <v>24</v>
      </c>
      <c r="H70" s="34" t="s">
        <v>94</v>
      </c>
      <c r="I70" s="30"/>
      <c r="J70" s="29">
        <f>SUM(J49:J69)</f>
        <v>101106.04853556828</v>
      </c>
      <c r="K70" s="29">
        <f>SUM(K60:K68)</f>
        <v>1450884.9460709461</v>
      </c>
    </row>
    <row r="71" spans="1:12" x14ac:dyDescent="0.25">
      <c r="A71" s="78"/>
      <c r="B71" s="34"/>
      <c r="C71" s="30"/>
      <c r="D71" s="30"/>
      <c r="E71" s="30"/>
      <c r="F71" s="30"/>
      <c r="G71" s="78"/>
      <c r="H71" s="34"/>
      <c r="I71" s="30"/>
      <c r="J71" s="30"/>
      <c r="K71" s="30"/>
    </row>
    <row r="72" spans="1:12" x14ac:dyDescent="0.25">
      <c r="B72" s="47" t="s">
        <v>97</v>
      </c>
      <c r="H72" s="47" t="s">
        <v>97</v>
      </c>
    </row>
    <row r="73" spans="1:12" x14ac:dyDescent="0.25">
      <c r="A73" s="78">
        <v>25</v>
      </c>
      <c r="B73" s="63" t="s">
        <v>200</v>
      </c>
      <c r="C73" s="74">
        <f>C46</f>
        <v>6559458</v>
      </c>
      <c r="G73" s="86">
        <v>25</v>
      </c>
      <c r="H73" s="63" t="s">
        <v>200</v>
      </c>
      <c r="I73" s="74">
        <f>I46</f>
        <v>2400734</v>
      </c>
    </row>
    <row r="74" spans="1:12" x14ac:dyDescent="0.25">
      <c r="A74" s="78">
        <v>26</v>
      </c>
      <c r="B74" t="s">
        <v>208</v>
      </c>
      <c r="C74" s="74">
        <f>C47</f>
        <v>-57986.258292211518</v>
      </c>
      <c r="G74" s="86">
        <v>26</v>
      </c>
      <c r="H74" s="79" t="s">
        <v>208</v>
      </c>
      <c r="I74" s="74">
        <f>I47</f>
        <v>-17013.741707788475</v>
      </c>
    </row>
    <row r="75" spans="1:12" s="79" customFormat="1" x14ac:dyDescent="0.25">
      <c r="A75" s="137">
        <v>27</v>
      </c>
      <c r="B75" s="79" t="s">
        <v>163</v>
      </c>
      <c r="C75" s="74">
        <f>C56</f>
        <v>24802.100000000086</v>
      </c>
      <c r="G75" s="137">
        <v>27</v>
      </c>
      <c r="H75" s="79" t="s">
        <v>163</v>
      </c>
      <c r="I75" s="74">
        <f>I56</f>
        <v>18077.009999999973</v>
      </c>
    </row>
    <row r="76" spans="1:12" x14ac:dyDescent="0.25">
      <c r="A76" s="137">
        <v>28</v>
      </c>
      <c r="B76" t="s">
        <v>201</v>
      </c>
      <c r="C76" s="74">
        <f>D70</f>
        <v>266044.12403161323</v>
      </c>
      <c r="G76" s="137">
        <v>28</v>
      </c>
      <c r="H76" s="79" t="s">
        <v>201</v>
      </c>
      <c r="I76" s="74">
        <f>J70</f>
        <v>101106.04853556828</v>
      </c>
    </row>
    <row r="77" spans="1:12" x14ac:dyDescent="0.25">
      <c r="A77" s="137">
        <v>29</v>
      </c>
      <c r="B77" s="79" t="s">
        <v>107</v>
      </c>
      <c r="C77" s="74">
        <f>(D30-D31)*E22</f>
        <v>228991.99485189965</v>
      </c>
      <c r="G77" s="137">
        <v>29</v>
      </c>
      <c r="H77" s="79" t="s">
        <v>107</v>
      </c>
      <c r="I77" s="74">
        <f>(J30-J31)*K22</f>
        <v>71521.266818114236</v>
      </c>
    </row>
    <row r="78" spans="1:12" x14ac:dyDescent="0.25">
      <c r="A78" s="137">
        <v>30</v>
      </c>
      <c r="B78" t="s">
        <v>106</v>
      </c>
      <c r="C78" s="75">
        <f>SUM(C73:C77)</f>
        <v>7021309.9605913013</v>
      </c>
      <c r="G78" s="137">
        <v>30</v>
      </c>
      <c r="H78" t="s">
        <v>106</v>
      </c>
      <c r="I78" s="75">
        <f>SUM(I73:I77)</f>
        <v>2574424.5836458937</v>
      </c>
    </row>
    <row r="79" spans="1:12" x14ac:dyDescent="0.25">
      <c r="A79" s="137">
        <v>31</v>
      </c>
      <c r="B79" s="63" t="s">
        <v>95</v>
      </c>
      <c r="C79" s="74">
        <f>D30*E22</f>
        <v>5378552.9393226476</v>
      </c>
      <c r="G79" s="137">
        <v>31</v>
      </c>
      <c r="H79" s="63" t="s">
        <v>95</v>
      </c>
      <c r="I79" s="74">
        <f>J30*K22</f>
        <v>1680163.5303337344</v>
      </c>
    </row>
    <row r="80" spans="1:12" x14ac:dyDescent="0.25">
      <c r="A80" s="137">
        <v>32</v>
      </c>
      <c r="B80" t="s">
        <v>96</v>
      </c>
      <c r="C80" s="74">
        <f>C78-C79</f>
        <v>1642757.0212686537</v>
      </c>
      <c r="G80" s="137">
        <v>32</v>
      </c>
      <c r="H80" t="s">
        <v>96</v>
      </c>
      <c r="I80" s="74">
        <f>I78-I79</f>
        <v>894261.05331215938</v>
      </c>
    </row>
  </sheetData>
  <customSheetViews>
    <customSheetView guid="{6A207E9B-31ED-4215-AD4F-ABB2957B65E4}" showPageBreaks="1" printArea="1" topLeftCell="A46">
      <selection activeCell="C32" sqref="C32"/>
      <rowBreaks count="1" manualBreakCount="1">
        <brk id="42" max="8" man="1"/>
      </rowBreaks>
      <colBreaks count="1" manualBreakCount="1">
        <brk id="5" max="59" man="1"/>
      </colBreaks>
      <pageMargins left="0.7" right="0.7" top="0.55000000000000004" bottom="0.48" header="0.3" footer="0.3"/>
      <printOptions horizontalCentered="1"/>
      <pageSetup scale="88" orientation="portrait" r:id="rId1"/>
    </customSheetView>
    <customSheetView guid="{5C6B1FA1-B621-4699-B8F7-5011E8FF1BCD}" showPageBreaks="1" printArea="1" topLeftCell="A46">
      <selection activeCell="C32" sqref="C32"/>
      <rowBreaks count="1" manualBreakCount="1">
        <brk id="42" max="8" man="1"/>
      </rowBreaks>
      <colBreaks count="1" manualBreakCount="1">
        <brk id="5" max="59" man="1"/>
      </colBreaks>
      <pageMargins left="0.7" right="0.7" top="0.55000000000000004" bottom="0.48" header="0.3" footer="0.3"/>
      <printOptions horizontalCentered="1"/>
      <pageSetup scale="88" orientation="portrait" r:id="rId2"/>
    </customSheetView>
  </customSheetViews>
  <mergeCells count="30">
    <mergeCell ref="B40:E40"/>
    <mergeCell ref="H40:K40"/>
    <mergeCell ref="B42:E42"/>
    <mergeCell ref="H42:K42"/>
    <mergeCell ref="B43:E43"/>
    <mergeCell ref="H43:K43"/>
    <mergeCell ref="B36:E36"/>
    <mergeCell ref="H36:K36"/>
    <mergeCell ref="B38:E38"/>
    <mergeCell ref="H38:K38"/>
    <mergeCell ref="B39:E39"/>
    <mergeCell ref="H39:K39"/>
    <mergeCell ref="B26:C26"/>
    <mergeCell ref="H26:I26"/>
    <mergeCell ref="B27:C27"/>
    <mergeCell ref="H27:I27"/>
    <mergeCell ref="B35:E35"/>
    <mergeCell ref="H35:K35"/>
    <mergeCell ref="B5:E5"/>
    <mergeCell ref="H5:K5"/>
    <mergeCell ref="B24:C24"/>
    <mergeCell ref="H24:I24"/>
    <mergeCell ref="B25:C25"/>
    <mergeCell ref="H25:I25"/>
    <mergeCell ref="B1:E1"/>
    <mergeCell ref="H1:K1"/>
    <mergeCell ref="B2:E2"/>
    <mergeCell ref="H2:K2"/>
    <mergeCell ref="B3:E3"/>
    <mergeCell ref="H3:K3"/>
  </mergeCells>
  <hyperlinks>
    <hyperlink ref="B37" r:id="rId3" xr:uid="{00000000-0004-0000-0100-000000000000}"/>
    <hyperlink ref="H37" r:id="rId4" xr:uid="{00000000-0004-0000-0100-000001000000}"/>
  </hyperlinks>
  <printOptions horizontalCentered="1"/>
  <pageMargins left="0.7" right="0.7" top="0.55000000000000004" bottom="0.48" header="0.3" footer="0.3"/>
  <pageSetup scale="88" orientation="portrait" useFirstPageNumber="1" r:id="rId5"/>
  <headerFooter scaleWithDoc="0">
    <oddFooter>&amp;CATTACHMENT A&amp;RPage &amp;P of 10</oddFooter>
  </headerFooter>
  <rowBreaks count="1" manualBreakCount="1">
    <brk id="41" max="11" man="1"/>
  </rowBreaks>
  <colBreaks count="1" manualBreakCount="1">
    <brk id="6" max="88" man="1"/>
  </colBreaks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7"/>
  <sheetViews>
    <sheetView topLeftCell="A4" zoomScaleNormal="100" workbookViewId="0">
      <selection activeCell="B4" sqref="B4:H4"/>
    </sheetView>
  </sheetViews>
  <sheetFormatPr defaultRowHeight="15" x14ac:dyDescent="0.25"/>
  <cols>
    <col min="1" max="1" width="4.85546875" customWidth="1"/>
    <col min="3" max="3" width="18" customWidth="1"/>
    <col min="4" max="4" width="12.28515625" customWidth="1"/>
    <col min="5" max="5" width="14.7109375" customWidth="1"/>
    <col min="6" max="6" width="17.28515625" customWidth="1"/>
    <col min="7" max="7" width="8.28515625" customWidth="1"/>
    <col min="8" max="8" width="12.42578125" customWidth="1"/>
    <col min="9" max="9" width="16.140625" customWidth="1"/>
    <col min="10" max="10" width="10.5703125" bestFit="1" customWidth="1"/>
    <col min="11" max="11" width="13" customWidth="1"/>
  </cols>
  <sheetData>
    <row r="1" spans="1:11" x14ac:dyDescent="0.25">
      <c r="A1" s="79"/>
      <c r="B1" s="238" t="s">
        <v>0</v>
      </c>
      <c r="C1" s="238"/>
      <c r="D1" s="238"/>
      <c r="E1" s="238"/>
      <c r="F1" s="238"/>
      <c r="G1" s="238"/>
      <c r="H1" s="238"/>
    </row>
    <row r="2" spans="1:11" x14ac:dyDescent="0.25">
      <c r="A2" s="79"/>
      <c r="B2" s="238" t="s">
        <v>114</v>
      </c>
      <c r="C2" s="238"/>
      <c r="D2" s="238"/>
      <c r="E2" s="238"/>
      <c r="F2" s="238"/>
      <c r="G2" s="238"/>
      <c r="H2" s="238"/>
    </row>
    <row r="3" spans="1:11" x14ac:dyDescent="0.25">
      <c r="A3" s="79"/>
      <c r="B3" s="238" t="s">
        <v>167</v>
      </c>
      <c r="C3" s="238"/>
      <c r="D3" s="238"/>
      <c r="E3" s="238"/>
      <c r="F3" s="238"/>
      <c r="G3" s="238"/>
      <c r="H3" s="238"/>
    </row>
    <row r="4" spans="1:11" x14ac:dyDescent="0.25">
      <c r="A4" s="79"/>
      <c r="B4" s="248" t="s">
        <v>203</v>
      </c>
      <c r="C4" s="248"/>
      <c r="D4" s="248"/>
      <c r="E4" s="248"/>
      <c r="F4" s="248"/>
      <c r="G4" s="248"/>
      <c r="H4" s="248"/>
    </row>
    <row r="5" spans="1:11" x14ac:dyDescent="0.25">
      <c r="A5" s="79"/>
    </row>
    <row r="6" spans="1:11" x14ac:dyDescent="0.25">
      <c r="A6" s="79"/>
      <c r="B6" s="238" t="s">
        <v>169</v>
      </c>
      <c r="C6" s="238"/>
      <c r="D6" s="238"/>
      <c r="E6" s="238"/>
      <c r="F6" s="238"/>
      <c r="G6" s="238"/>
      <c r="H6" s="238"/>
    </row>
    <row r="7" spans="1:11" ht="57.6" customHeight="1" x14ac:dyDescent="0.25">
      <c r="A7" s="91" t="s">
        <v>93</v>
      </c>
      <c r="B7" s="86" t="s">
        <v>2</v>
      </c>
      <c r="C7" s="155" t="str">
        <f>"Regulatory "&amp;IF(C9&lt;0,"Liability","Asset")&amp;" Beginning Balance"</f>
        <v>Regulatory Asset Beginning Balance</v>
      </c>
      <c r="D7" s="86" t="s">
        <v>3</v>
      </c>
      <c r="E7" s="86" t="s">
        <v>75</v>
      </c>
      <c r="F7" s="155" t="str">
        <f>"Regulatory "&amp;IF(F20&lt;0,"Liability","Asset")&amp;" Ending Balance"</f>
        <v>Regulatory Asset Ending Balance</v>
      </c>
      <c r="G7" s="85" t="s">
        <v>115</v>
      </c>
      <c r="H7" s="85" t="s">
        <v>166</v>
      </c>
    </row>
    <row r="8" spans="1:11" x14ac:dyDescent="0.25">
      <c r="A8" s="79"/>
      <c r="B8" s="79"/>
      <c r="C8" s="79"/>
      <c r="D8" s="79"/>
      <c r="E8" s="79"/>
      <c r="F8" s="79"/>
      <c r="G8" s="79"/>
      <c r="H8" s="79"/>
    </row>
    <row r="9" spans="1:11" x14ac:dyDescent="0.25">
      <c r="A9" s="86">
        <v>1</v>
      </c>
      <c r="B9" s="92">
        <v>44409</v>
      </c>
      <c r="C9" s="161">
        <v>1196885.24</v>
      </c>
      <c r="D9" s="94">
        <f>ROUND(((C9+C9+E9)/2)*G9/12,2)</f>
        <v>3213.42</v>
      </c>
      <c r="E9" s="161">
        <v>-20779.810000000001</v>
      </c>
      <c r="F9" s="200">
        <f>C9+D9+E9-16271.14</f>
        <v>1163047.71</v>
      </c>
      <c r="G9" s="151">
        <v>3.2500000000000001E-2</v>
      </c>
      <c r="H9" s="79"/>
      <c r="I9" s="96"/>
      <c r="K9" s="95"/>
    </row>
    <row r="10" spans="1:11" x14ac:dyDescent="0.25">
      <c r="A10" s="86">
        <v>2</v>
      </c>
      <c r="B10" s="92">
        <f>B9+31</f>
        <v>44440</v>
      </c>
      <c r="C10" s="93">
        <f>F9</f>
        <v>1163047.71</v>
      </c>
      <c r="D10" s="94">
        <f>ROUND(((C10+C10+E10)/2)*G10/12,2)</f>
        <v>3112.14</v>
      </c>
      <c r="E10" s="161">
        <v>-27902.22</v>
      </c>
      <c r="F10" s="95">
        <f t="shared" ref="F10:F19" si="0">C10+D10+E10</f>
        <v>1138257.6299999999</v>
      </c>
      <c r="G10" s="152">
        <f>G9</f>
        <v>3.2500000000000001E-2</v>
      </c>
      <c r="H10" s="79"/>
      <c r="I10" s="136"/>
    </row>
    <row r="11" spans="1:11" x14ac:dyDescent="0.25">
      <c r="A11" s="86">
        <v>3</v>
      </c>
      <c r="B11" s="92">
        <f t="shared" ref="B11:B20" si="1">B10+31</f>
        <v>44471</v>
      </c>
      <c r="C11" s="93">
        <f t="shared" ref="C11:C20" si="2">F10</f>
        <v>1138257.6299999999</v>
      </c>
      <c r="D11" s="94">
        <f t="shared" ref="D11:D20" si="3">ROUND(((C11+C11+E11)/2)*G11/12,2)</f>
        <v>2983.09</v>
      </c>
      <c r="E11" s="161">
        <v>-73621.240000000005</v>
      </c>
      <c r="F11" s="95">
        <f t="shared" si="0"/>
        <v>1067619.48</v>
      </c>
      <c r="G11" s="151">
        <v>3.2500000000000001E-2</v>
      </c>
      <c r="H11" s="79"/>
      <c r="K11" s="95"/>
    </row>
    <row r="12" spans="1:11" x14ac:dyDescent="0.25">
      <c r="A12" s="86">
        <v>4</v>
      </c>
      <c r="B12" s="92">
        <f t="shared" si="1"/>
        <v>44502</v>
      </c>
      <c r="C12" s="93">
        <f t="shared" si="2"/>
        <v>1067619.48</v>
      </c>
      <c r="D12" s="94">
        <f t="shared" si="3"/>
        <v>2720.53</v>
      </c>
      <c r="E12" s="161">
        <v>-126235.76</v>
      </c>
      <c r="F12" s="95">
        <f t="shared" si="0"/>
        <v>944104.25</v>
      </c>
      <c r="G12" s="152">
        <f>G11</f>
        <v>3.2500000000000001E-2</v>
      </c>
      <c r="H12" s="79"/>
      <c r="K12" s="79"/>
    </row>
    <row r="13" spans="1:11" x14ac:dyDescent="0.25">
      <c r="A13" s="86">
        <v>5</v>
      </c>
      <c r="B13" s="92">
        <f t="shared" si="1"/>
        <v>44533</v>
      </c>
      <c r="C13" s="93">
        <f t="shared" si="2"/>
        <v>944104.25</v>
      </c>
      <c r="D13" s="94">
        <f t="shared" si="3"/>
        <v>2271.65</v>
      </c>
      <c r="E13" s="161">
        <v>-210682.52</v>
      </c>
      <c r="F13" s="95">
        <f t="shared" si="0"/>
        <v>735693.38</v>
      </c>
      <c r="G13" s="152">
        <f>G12</f>
        <v>3.2500000000000001E-2</v>
      </c>
      <c r="H13" s="79"/>
      <c r="K13" s="79"/>
    </row>
    <row r="14" spans="1:11" x14ac:dyDescent="0.25">
      <c r="A14" s="86">
        <v>6</v>
      </c>
      <c r="B14" s="92">
        <f t="shared" si="1"/>
        <v>44564</v>
      </c>
      <c r="C14" s="93">
        <f t="shared" si="2"/>
        <v>735693.38</v>
      </c>
      <c r="D14" s="94">
        <f t="shared" si="3"/>
        <v>1703</v>
      </c>
      <c r="E14" s="161">
        <v>-213785.55</v>
      </c>
      <c r="F14" s="95">
        <f t="shared" si="0"/>
        <v>523610.83</v>
      </c>
      <c r="G14" s="151">
        <v>3.2500000000000001E-2</v>
      </c>
      <c r="H14" s="79"/>
      <c r="K14" s="79"/>
    </row>
    <row r="15" spans="1:11" s="79" customFormat="1" x14ac:dyDescent="0.25">
      <c r="A15" s="137">
        <v>7</v>
      </c>
      <c r="B15" s="92">
        <f t="shared" si="1"/>
        <v>44595</v>
      </c>
      <c r="C15" s="93">
        <f t="shared" si="2"/>
        <v>523610.83</v>
      </c>
      <c r="D15" s="94">
        <f>ROUND(((C15+C15+E15)/2)*G15/12,2)</f>
        <v>1179.08</v>
      </c>
      <c r="E15" s="161">
        <v>-176513.22</v>
      </c>
      <c r="F15" s="95">
        <f>C15+D15+E15</f>
        <v>348276.69000000006</v>
      </c>
      <c r="G15" s="152">
        <f>G14</f>
        <v>3.2500000000000001E-2</v>
      </c>
    </row>
    <row r="16" spans="1:11" s="79" customFormat="1" x14ac:dyDescent="0.25">
      <c r="A16" s="137">
        <v>8</v>
      </c>
      <c r="B16" s="92">
        <f t="shared" si="1"/>
        <v>44626</v>
      </c>
      <c r="C16" s="93">
        <f t="shared" si="2"/>
        <v>348276.69000000006</v>
      </c>
      <c r="D16" s="94">
        <f>ROUND(((C16+C16+E16)/2)*G16/12,2)</f>
        <v>769.33</v>
      </c>
      <c r="E16" s="161">
        <v>-128434.38</v>
      </c>
      <c r="F16" s="201">
        <f>C16+D16+E16</f>
        <v>220611.64000000007</v>
      </c>
      <c r="G16" s="152">
        <f>G15</f>
        <v>3.2500000000000001E-2</v>
      </c>
    </row>
    <row r="17" spans="1:12" s="79" customFormat="1" x14ac:dyDescent="0.25">
      <c r="A17" s="137">
        <v>9</v>
      </c>
      <c r="B17" s="92">
        <f t="shared" si="1"/>
        <v>44657</v>
      </c>
      <c r="C17" s="93">
        <f t="shared" si="2"/>
        <v>220611.64000000007</v>
      </c>
      <c r="D17" s="94">
        <f>ROUND(((C17+C17+E17)/2)*G17/12,2)</f>
        <v>451.63</v>
      </c>
      <c r="E17" s="161">
        <v>-107709.67</v>
      </c>
      <c r="F17" s="95">
        <f>C17+D17+E17</f>
        <v>113353.60000000008</v>
      </c>
      <c r="G17" s="151">
        <v>3.2500000000000001E-2</v>
      </c>
      <c r="H17" s="70"/>
    </row>
    <row r="18" spans="1:12" x14ac:dyDescent="0.25">
      <c r="A18" s="86">
        <v>10</v>
      </c>
      <c r="B18" s="92">
        <f t="shared" si="1"/>
        <v>44688</v>
      </c>
      <c r="C18" s="93">
        <f t="shared" si="2"/>
        <v>113353.60000000008</v>
      </c>
      <c r="D18" s="94">
        <f t="shared" si="3"/>
        <v>246.19</v>
      </c>
      <c r="E18" s="161">
        <f>-ROUND(H18*('Earnings Test and 3% Test'!$E$50/'Conversion Factors'!$E$114),2)</f>
        <v>-44905.57</v>
      </c>
      <c r="F18" s="95">
        <f t="shared" si="0"/>
        <v>68694.220000000088</v>
      </c>
      <c r="G18" s="152">
        <f>G14</f>
        <v>3.2500000000000001E-2</v>
      </c>
      <c r="H18" s="70">
        <f>'4 13 22 Forecast Usage by Sched'!M6</f>
        <v>5070610.5531998109</v>
      </c>
      <c r="L18" s="79"/>
    </row>
    <row r="19" spans="1:12" x14ac:dyDescent="0.25">
      <c r="A19" s="86">
        <v>11</v>
      </c>
      <c r="B19" s="92">
        <f t="shared" si="1"/>
        <v>44719</v>
      </c>
      <c r="C19" s="93">
        <f t="shared" si="2"/>
        <v>68694.220000000088</v>
      </c>
      <c r="D19" s="94">
        <f t="shared" si="3"/>
        <v>148.03</v>
      </c>
      <c r="E19" s="161">
        <f>-ROUND(H19*('Earnings Test and 3% Test'!$E$50/'Conversion Factors'!$E$114),2)</f>
        <v>-28074.83</v>
      </c>
      <c r="F19" s="95">
        <f t="shared" si="0"/>
        <v>40767.420000000086</v>
      </c>
      <c r="G19" s="152">
        <f>G18</f>
        <v>3.2500000000000001E-2</v>
      </c>
      <c r="H19" s="70">
        <f>'4 13 22 Forecast Usage by Sched'!M7</f>
        <v>3170130.372016375</v>
      </c>
    </row>
    <row r="20" spans="1:12" x14ac:dyDescent="0.25">
      <c r="A20" s="86">
        <v>12</v>
      </c>
      <c r="B20" s="92">
        <f t="shared" si="1"/>
        <v>44750</v>
      </c>
      <c r="C20" s="93">
        <f t="shared" si="2"/>
        <v>40767.420000000086</v>
      </c>
      <c r="D20" s="94">
        <f t="shared" si="3"/>
        <v>88.67</v>
      </c>
      <c r="E20" s="161">
        <f>-ROUND(H20*('Earnings Test and 3% Test'!$E$50/'Conversion Factors'!$E$114),2)</f>
        <v>-16053.99</v>
      </c>
      <c r="F20" s="97">
        <f>C20+D20+E20</f>
        <v>24802.100000000086</v>
      </c>
      <c r="G20" s="152">
        <f>G19</f>
        <v>3.2500000000000001E-2</v>
      </c>
      <c r="H20" s="70">
        <f>'4 13 22 Forecast Usage by Sched'!M8</f>
        <v>1812771.8926424859</v>
      </c>
    </row>
    <row r="21" spans="1:12" x14ac:dyDescent="0.25">
      <c r="A21" s="79"/>
      <c r="B21" s="79"/>
      <c r="C21" s="79"/>
      <c r="D21" s="79"/>
      <c r="E21" s="79"/>
      <c r="F21" s="79"/>
      <c r="G21" s="79"/>
      <c r="H21" s="79"/>
    </row>
    <row r="22" spans="1:12" x14ac:dyDescent="0.25">
      <c r="A22" s="79"/>
      <c r="B22" s="79"/>
      <c r="C22" s="79"/>
      <c r="D22" s="79"/>
      <c r="E22" s="79"/>
      <c r="F22" s="79"/>
      <c r="G22" s="79"/>
      <c r="H22" s="79"/>
    </row>
    <row r="23" spans="1:12" x14ac:dyDescent="0.25">
      <c r="A23" s="79"/>
      <c r="B23" s="238" t="s">
        <v>116</v>
      </c>
      <c r="C23" s="238"/>
      <c r="D23" s="238"/>
      <c r="E23" s="238"/>
      <c r="F23" s="238"/>
      <c r="G23" s="238"/>
      <c r="H23" s="238"/>
    </row>
    <row r="24" spans="1:12" ht="57.6" customHeight="1" x14ac:dyDescent="0.25">
      <c r="A24" s="91" t="s">
        <v>93</v>
      </c>
      <c r="B24" s="86" t="s">
        <v>2</v>
      </c>
      <c r="C24" s="155" t="str">
        <f>"Regulatory "&amp;IF(C26&lt;0,"Liability","Asset")&amp;" Beginning Balance"</f>
        <v>Regulatory Asset Beginning Balance</v>
      </c>
      <c r="D24" s="86" t="s">
        <v>3</v>
      </c>
      <c r="E24" s="86" t="s">
        <v>75</v>
      </c>
      <c r="F24" s="155" t="str">
        <f>"Regulatory "&amp;IF(F37&lt;0,"Liability","Asset")&amp;" Ending Balance"</f>
        <v>Regulatory Asset Ending Balance</v>
      </c>
      <c r="G24" s="85" t="s">
        <v>115</v>
      </c>
      <c r="H24" s="85" t="str">
        <f>H7</f>
        <v>May - July Forecast Usage</v>
      </c>
    </row>
    <row r="25" spans="1:12" x14ac:dyDescent="0.25">
      <c r="A25" s="79"/>
      <c r="B25" s="79"/>
      <c r="C25" s="79"/>
      <c r="D25" s="79"/>
      <c r="E25" s="79"/>
      <c r="F25" s="79"/>
      <c r="G25" s="79"/>
      <c r="H25" s="79"/>
    </row>
    <row r="26" spans="1:12" x14ac:dyDescent="0.25">
      <c r="A26" s="86">
        <v>13</v>
      </c>
      <c r="B26" s="92">
        <f t="shared" ref="B26:B37" si="4">B9</f>
        <v>44409</v>
      </c>
      <c r="C26" s="161">
        <f>453505.99+12148.61</f>
        <v>465654.6</v>
      </c>
      <c r="D26" s="94">
        <f t="shared" ref="D26:D37" si="5">ROUND(((C26+C26+E26)/2)*G26/12,2)</f>
        <v>1241.0899999999999</v>
      </c>
      <c r="E26" s="161">
        <v>-14811.49</v>
      </c>
      <c r="F26" s="95">
        <f>C26+D26+E26</f>
        <v>452084.2</v>
      </c>
      <c r="G26" s="127">
        <f t="shared" ref="G26:G37" si="6">G9</f>
        <v>3.2500000000000001E-2</v>
      </c>
      <c r="H26" s="79"/>
      <c r="I26" s="79"/>
      <c r="J26" s="79"/>
      <c r="K26" s="95"/>
    </row>
    <row r="27" spans="1:12" x14ac:dyDescent="0.25">
      <c r="A27" s="86">
        <v>14</v>
      </c>
      <c r="B27" s="92">
        <f t="shared" si="4"/>
        <v>44440</v>
      </c>
      <c r="C27" s="93">
        <f t="shared" ref="C27:C37" si="7">F26</f>
        <v>452084.2</v>
      </c>
      <c r="D27" s="94">
        <f t="shared" si="5"/>
        <v>1199.24</v>
      </c>
      <c r="E27" s="161">
        <v>-18573.509999999998</v>
      </c>
      <c r="F27" s="95">
        <f t="shared" ref="F27:F37" si="8">C27+D27+E27</f>
        <v>434709.93</v>
      </c>
      <c r="G27" s="127">
        <f t="shared" si="6"/>
        <v>3.2500000000000001E-2</v>
      </c>
      <c r="H27" s="79"/>
      <c r="I27" s="79"/>
      <c r="J27" s="79"/>
    </row>
    <row r="28" spans="1:12" x14ac:dyDescent="0.25">
      <c r="A28" s="86">
        <v>15</v>
      </c>
      <c r="B28" s="92">
        <f t="shared" si="4"/>
        <v>44471</v>
      </c>
      <c r="C28" s="93">
        <f t="shared" si="7"/>
        <v>434709.93</v>
      </c>
      <c r="D28" s="94">
        <f t="shared" si="5"/>
        <v>1131.74</v>
      </c>
      <c r="E28" s="161">
        <v>-33674.43</v>
      </c>
      <c r="F28" s="95">
        <f t="shared" si="8"/>
        <v>402167.24</v>
      </c>
      <c r="G28" s="127">
        <f t="shared" si="6"/>
        <v>3.2500000000000001E-2</v>
      </c>
      <c r="H28" s="79"/>
      <c r="I28" s="79"/>
      <c r="J28" s="79"/>
    </row>
    <row r="29" spans="1:12" x14ac:dyDescent="0.25">
      <c r="A29" s="86">
        <v>16</v>
      </c>
      <c r="B29" s="92">
        <f t="shared" si="4"/>
        <v>44502</v>
      </c>
      <c r="C29" s="93">
        <f t="shared" si="7"/>
        <v>402167.24</v>
      </c>
      <c r="D29" s="94">
        <f t="shared" si="5"/>
        <v>1029.98</v>
      </c>
      <c r="E29" s="161">
        <v>-43737.02</v>
      </c>
      <c r="F29" s="95">
        <f t="shared" si="8"/>
        <v>359460.19999999995</v>
      </c>
      <c r="G29" s="127">
        <f t="shared" si="6"/>
        <v>3.2500000000000001E-2</v>
      </c>
      <c r="H29" s="79"/>
      <c r="I29" s="79"/>
      <c r="J29" s="79"/>
      <c r="K29" s="79"/>
    </row>
    <row r="30" spans="1:12" x14ac:dyDescent="0.25">
      <c r="A30" s="86">
        <v>17</v>
      </c>
      <c r="B30" s="92">
        <f t="shared" si="4"/>
        <v>44533</v>
      </c>
      <c r="C30" s="93">
        <f t="shared" si="7"/>
        <v>359460.19999999995</v>
      </c>
      <c r="D30" s="94">
        <f t="shared" si="5"/>
        <v>878.45</v>
      </c>
      <c r="E30" s="161">
        <v>-70220.95</v>
      </c>
      <c r="F30" s="95">
        <f t="shared" si="8"/>
        <v>290117.69999999995</v>
      </c>
      <c r="G30" s="127">
        <f t="shared" si="6"/>
        <v>3.2500000000000001E-2</v>
      </c>
      <c r="H30" s="79"/>
      <c r="I30" s="79"/>
      <c r="J30" s="79"/>
      <c r="K30" s="79"/>
    </row>
    <row r="31" spans="1:12" x14ac:dyDescent="0.25">
      <c r="A31" s="86">
        <v>18</v>
      </c>
      <c r="B31" s="92">
        <f t="shared" si="4"/>
        <v>44564</v>
      </c>
      <c r="C31" s="93">
        <f t="shared" si="7"/>
        <v>290117.69999999995</v>
      </c>
      <c r="D31" s="94">
        <f t="shared" si="5"/>
        <v>691.82</v>
      </c>
      <c r="E31" s="161">
        <v>-69355.28</v>
      </c>
      <c r="F31" s="95">
        <f t="shared" si="8"/>
        <v>221454.23999999996</v>
      </c>
      <c r="G31" s="127">
        <f t="shared" si="6"/>
        <v>3.2500000000000001E-2</v>
      </c>
      <c r="H31" s="79"/>
      <c r="K31" s="79"/>
    </row>
    <row r="32" spans="1:12" s="79" customFormat="1" x14ac:dyDescent="0.25">
      <c r="A32" s="137">
        <v>19</v>
      </c>
      <c r="B32" s="92">
        <f t="shared" si="4"/>
        <v>44595</v>
      </c>
      <c r="C32" s="93">
        <f t="shared" si="7"/>
        <v>221454.23999999996</v>
      </c>
      <c r="D32" s="94">
        <f t="shared" si="5"/>
        <v>515.80999999999995</v>
      </c>
      <c r="E32" s="161">
        <v>-62006.080000000002</v>
      </c>
      <c r="F32" s="95">
        <f>C32+D32+E32</f>
        <v>159963.96999999997</v>
      </c>
      <c r="G32" s="127">
        <f t="shared" si="6"/>
        <v>3.2500000000000001E-2</v>
      </c>
    </row>
    <row r="33" spans="1:10" s="79" customFormat="1" x14ac:dyDescent="0.25">
      <c r="A33" s="137">
        <v>20</v>
      </c>
      <c r="B33" s="92">
        <f t="shared" si="4"/>
        <v>44626</v>
      </c>
      <c r="C33" s="93">
        <f t="shared" si="7"/>
        <v>159963.96999999997</v>
      </c>
      <c r="D33" s="94">
        <f t="shared" si="5"/>
        <v>364.41</v>
      </c>
      <c r="E33" s="161">
        <v>-50825.22</v>
      </c>
      <c r="F33" s="95">
        <f>C33+D33+E33</f>
        <v>109503.15999999997</v>
      </c>
      <c r="G33" s="127">
        <f t="shared" si="6"/>
        <v>3.2500000000000001E-2</v>
      </c>
    </row>
    <row r="34" spans="1:10" s="79" customFormat="1" x14ac:dyDescent="0.25">
      <c r="A34" s="137">
        <v>21</v>
      </c>
      <c r="B34" s="92">
        <f t="shared" si="4"/>
        <v>44657</v>
      </c>
      <c r="C34" s="93">
        <f t="shared" si="7"/>
        <v>109503.15999999997</v>
      </c>
      <c r="D34" s="94">
        <f t="shared" si="5"/>
        <v>238.24</v>
      </c>
      <c r="E34" s="161">
        <v>-43074.49</v>
      </c>
      <c r="F34" s="95">
        <f>C34+D34+E34</f>
        <v>66666.909999999974</v>
      </c>
      <c r="G34" s="127">
        <f t="shared" si="6"/>
        <v>3.2500000000000001E-2</v>
      </c>
      <c r="H34" s="49"/>
    </row>
    <row r="35" spans="1:10" x14ac:dyDescent="0.25">
      <c r="A35" s="86">
        <v>22</v>
      </c>
      <c r="B35" s="92">
        <f t="shared" si="4"/>
        <v>44688</v>
      </c>
      <c r="C35" s="93">
        <f t="shared" si="7"/>
        <v>66666.909999999974</v>
      </c>
      <c r="D35" s="94">
        <f t="shared" si="5"/>
        <v>153.27000000000001</v>
      </c>
      <c r="E35" s="161">
        <f>-ROUND(H35*('Earnings Test and 3% Test'!$F$50/'Conversion Factors'!$E$114),2)</f>
        <v>-20149.22</v>
      </c>
      <c r="F35" s="95">
        <f t="shared" si="8"/>
        <v>46670.959999999977</v>
      </c>
      <c r="G35" s="127">
        <f t="shared" si="6"/>
        <v>3.2500000000000001E-2</v>
      </c>
      <c r="H35" s="49">
        <f>'4 13 22 Forecast Usage by Sched'!N6</f>
        <v>2588626.5926134456</v>
      </c>
      <c r="J35" s="79"/>
    </row>
    <row r="36" spans="1:10" x14ac:dyDescent="0.25">
      <c r="A36" s="86">
        <v>23</v>
      </c>
      <c r="B36" s="92">
        <f t="shared" si="4"/>
        <v>44719</v>
      </c>
      <c r="C36" s="93">
        <f t="shared" si="7"/>
        <v>46670.959999999977</v>
      </c>
      <c r="D36" s="94">
        <f t="shared" si="5"/>
        <v>105.2</v>
      </c>
      <c r="E36" s="161">
        <f>-ROUND(H36*('Earnings Test and 3% Test'!$F$50/'Conversion Factors'!$E$114),2)</f>
        <v>-15658.57</v>
      </c>
      <c r="F36" s="95">
        <f t="shared" si="8"/>
        <v>31117.589999999975</v>
      </c>
      <c r="G36" s="127">
        <f t="shared" si="6"/>
        <v>3.2500000000000001E-2</v>
      </c>
      <c r="H36" s="49">
        <f>'4 13 22 Forecast Usage by Sched'!N7</f>
        <v>2011700.368299183</v>
      </c>
      <c r="J36" s="79"/>
    </row>
    <row r="37" spans="1:10" x14ac:dyDescent="0.25">
      <c r="A37" s="86">
        <v>24</v>
      </c>
      <c r="B37" s="92">
        <f t="shared" si="4"/>
        <v>44750</v>
      </c>
      <c r="C37" s="93">
        <f t="shared" si="7"/>
        <v>31117.589999999975</v>
      </c>
      <c r="D37" s="94">
        <f t="shared" si="5"/>
        <v>66.53</v>
      </c>
      <c r="E37" s="161">
        <f>-ROUND(H37*('Earnings Test and 3% Test'!$F$50/'Conversion Factors'!$E$114),2)</f>
        <v>-13107.11</v>
      </c>
      <c r="F37" s="97">
        <f t="shared" si="8"/>
        <v>18077.009999999973</v>
      </c>
      <c r="G37" s="127">
        <f t="shared" si="6"/>
        <v>3.2500000000000001E-2</v>
      </c>
      <c r="H37" s="49">
        <f>'4 13 22 Forecast Usage by Sched'!N8</f>
        <v>1683906.7702309897</v>
      </c>
    </row>
  </sheetData>
  <mergeCells count="6">
    <mergeCell ref="B1:H1"/>
    <mergeCell ref="B2:H2"/>
    <mergeCell ref="B3:H3"/>
    <mergeCell ref="B6:H6"/>
    <mergeCell ref="B23:H23"/>
    <mergeCell ref="B4:H4"/>
  </mergeCells>
  <pageMargins left="0.7" right="0.7" top="0.75" bottom="0.75" header="0.3" footer="0.3"/>
  <pageSetup scale="93" firstPageNumber="5" orientation="portrait" useFirstPageNumber="1" r:id="rId1"/>
  <headerFooter scaleWithDoc="0">
    <oddFooter>&amp;CATTACHMENT A&amp;RPage 5 of 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1"/>
  <sheetViews>
    <sheetView topLeftCell="A58" zoomScaleNormal="100" workbookViewId="0">
      <selection activeCell="F75" sqref="F75"/>
    </sheetView>
  </sheetViews>
  <sheetFormatPr defaultRowHeight="15" x14ac:dyDescent="0.25"/>
  <cols>
    <col min="1" max="1" width="7.42578125" style="71" customWidth="1"/>
    <col min="2" max="2" width="31.7109375" customWidth="1"/>
    <col min="4" max="4" width="3.28515625" customWidth="1"/>
    <col min="5" max="5" width="15.42578125" customWidth="1"/>
    <col min="6" max="6" width="15.28515625" customWidth="1"/>
    <col min="7" max="7" width="3.42578125" customWidth="1"/>
    <col min="8" max="8" width="12.42578125" hidden="1" customWidth="1"/>
    <col min="9" max="9" width="20.42578125" customWidth="1"/>
    <col min="10" max="10" width="19.42578125" customWidth="1"/>
    <col min="11" max="11" width="16.28515625" customWidth="1"/>
    <col min="12" max="12" width="14" customWidth="1"/>
    <col min="13" max="13" width="15" customWidth="1"/>
    <col min="14" max="14" width="4.5703125" customWidth="1"/>
    <col min="15" max="15" width="25.28515625" customWidth="1"/>
    <col min="16" max="16" width="16.7109375" customWidth="1"/>
    <col min="17" max="17" width="17" customWidth="1"/>
    <col min="18" max="18" width="12.42578125" customWidth="1"/>
    <col min="19" max="19" width="13.5703125" customWidth="1"/>
  </cols>
  <sheetData>
    <row r="1" spans="1:7" x14ac:dyDescent="0.25">
      <c r="B1" s="238" t="s">
        <v>0</v>
      </c>
      <c r="C1" s="238"/>
      <c r="D1" s="238"/>
      <c r="E1" s="238"/>
      <c r="F1" s="238"/>
      <c r="G1" s="238"/>
    </row>
    <row r="2" spans="1:7" x14ac:dyDescent="0.25">
      <c r="B2" s="238" t="s">
        <v>45</v>
      </c>
      <c r="C2" s="238"/>
      <c r="D2" s="238"/>
      <c r="E2" s="238"/>
      <c r="F2" s="238"/>
      <c r="G2" s="238"/>
    </row>
    <row r="3" spans="1:7" x14ac:dyDescent="0.25">
      <c r="B3" s="238" t="s">
        <v>175</v>
      </c>
      <c r="C3" s="238"/>
      <c r="D3" s="238"/>
      <c r="E3" s="238"/>
      <c r="F3" s="238"/>
      <c r="G3" s="238"/>
    </row>
    <row r="5" spans="1:7" x14ac:dyDescent="0.25">
      <c r="B5" s="204" t="s">
        <v>207</v>
      </c>
      <c r="C5" s="72"/>
      <c r="D5" s="72"/>
    </row>
    <row r="7" spans="1:7" x14ac:dyDescent="0.25">
      <c r="A7" s="71" t="s">
        <v>93</v>
      </c>
      <c r="D7" s="71"/>
      <c r="E7" s="35" t="s">
        <v>46</v>
      </c>
      <c r="F7" s="78"/>
      <c r="G7" s="46"/>
    </row>
    <row r="9" spans="1:7" x14ac:dyDescent="0.25">
      <c r="A9" s="71">
        <v>1</v>
      </c>
      <c r="B9" t="s">
        <v>47</v>
      </c>
      <c r="E9" s="162">
        <v>437941000</v>
      </c>
      <c r="F9" s="41"/>
      <c r="G9" s="41"/>
    </row>
    <row r="10" spans="1:7" x14ac:dyDescent="0.25">
      <c r="E10" s="63"/>
    </row>
    <row r="11" spans="1:7" x14ac:dyDescent="0.25">
      <c r="A11" s="71">
        <v>2</v>
      </c>
      <c r="B11" t="s">
        <v>48</v>
      </c>
      <c r="E11" s="162">
        <v>31094000</v>
      </c>
      <c r="F11" s="41"/>
      <c r="G11" s="41"/>
    </row>
    <row r="12" spans="1:7" x14ac:dyDescent="0.25">
      <c r="E12" s="63"/>
    </row>
    <row r="13" spans="1:7" x14ac:dyDescent="0.25">
      <c r="A13" s="71">
        <v>3</v>
      </c>
      <c r="B13" t="s">
        <v>49</v>
      </c>
      <c r="E13" s="39">
        <f>E11/E9</f>
        <v>7.1000431564982494E-2</v>
      </c>
      <c r="F13" s="39"/>
      <c r="G13" s="39"/>
    </row>
    <row r="14" spans="1:7" x14ac:dyDescent="0.25">
      <c r="A14" s="71">
        <v>4</v>
      </c>
      <c r="B14" t="s">
        <v>50</v>
      </c>
      <c r="C14" s="79" t="s">
        <v>171</v>
      </c>
      <c r="D14" s="39"/>
      <c r="E14" s="163">
        <v>7.1900000000000006E-2</v>
      </c>
      <c r="F14" s="39"/>
      <c r="G14" s="39"/>
    </row>
    <row r="15" spans="1:7" x14ac:dyDescent="0.25">
      <c r="A15" s="71">
        <v>5</v>
      </c>
      <c r="B15" t="s">
        <v>51</v>
      </c>
      <c r="E15" s="40">
        <f>E13-E14</f>
        <v>-8.9956843501751149E-4</v>
      </c>
      <c r="F15" s="40"/>
      <c r="G15" s="40"/>
    </row>
    <row r="17" spans="1:8" x14ac:dyDescent="0.25">
      <c r="A17" s="71">
        <v>6</v>
      </c>
      <c r="B17" t="s">
        <v>52</v>
      </c>
      <c r="E17" s="41">
        <f>IF(E15&gt;0,E9*E15,0)</f>
        <v>0</v>
      </c>
      <c r="F17" s="41"/>
      <c r="G17" s="41"/>
    </row>
    <row r="18" spans="1:8" x14ac:dyDescent="0.25">
      <c r="A18" s="71">
        <v>7</v>
      </c>
      <c r="B18" t="s">
        <v>53</v>
      </c>
      <c r="E18" s="42">
        <f>'Conversion Factors'!E112</f>
        <v>0.756355</v>
      </c>
      <c r="F18" s="42"/>
      <c r="G18" s="42"/>
    </row>
    <row r="19" spans="1:8" x14ac:dyDescent="0.25">
      <c r="A19" s="71">
        <v>8</v>
      </c>
      <c r="B19" t="s">
        <v>54</v>
      </c>
      <c r="E19" s="41">
        <f>E17/E18</f>
        <v>0</v>
      </c>
      <c r="F19" s="41"/>
      <c r="G19" s="41"/>
      <c r="H19" s="41"/>
    </row>
    <row r="20" spans="1:8" ht="15.75" thickBot="1" x14ac:dyDescent="0.3">
      <c r="A20" s="71">
        <v>9</v>
      </c>
      <c r="B20" t="s">
        <v>55</v>
      </c>
      <c r="E20" s="43">
        <v>0.5</v>
      </c>
      <c r="F20" s="43"/>
      <c r="G20" s="43"/>
    </row>
    <row r="21" spans="1:8" ht="16.5" thickTop="1" thickBot="1" x14ac:dyDescent="0.3">
      <c r="A21" s="71">
        <v>10</v>
      </c>
      <c r="B21" t="s">
        <v>164</v>
      </c>
      <c r="E21" s="44">
        <f>E19*E20</f>
        <v>0</v>
      </c>
      <c r="F21" s="52"/>
      <c r="G21" s="52"/>
    </row>
    <row r="22" spans="1:8" ht="15.75" thickTop="1" x14ac:dyDescent="0.25"/>
    <row r="24" spans="1:8" x14ac:dyDescent="0.25">
      <c r="B24" s="72" t="s">
        <v>170</v>
      </c>
      <c r="C24" s="72"/>
      <c r="D24" s="72"/>
      <c r="E24" s="72"/>
      <c r="F24" s="72"/>
      <c r="G24" s="72"/>
    </row>
    <row r="26" spans="1:8" x14ac:dyDescent="0.25">
      <c r="A26" s="71">
        <v>11</v>
      </c>
      <c r="B26" t="s">
        <v>56</v>
      </c>
      <c r="D26" s="39"/>
      <c r="E26" s="62">
        <f>'Bill Impact'!L11</f>
        <v>136763579.99197999</v>
      </c>
      <c r="F26" s="39">
        <f>E26/E30</f>
        <v>0.77315011056282024</v>
      </c>
    </row>
    <row r="27" spans="1:8" x14ac:dyDescent="0.25">
      <c r="E27" s="63"/>
      <c r="H27" s="39"/>
    </row>
    <row r="28" spans="1:8" x14ac:dyDescent="0.25">
      <c r="A28" s="71">
        <v>12</v>
      </c>
      <c r="B28" t="s">
        <v>57</v>
      </c>
      <c r="D28" s="39"/>
      <c r="E28" s="62">
        <f>'Bill Impact'!L13</f>
        <v>40127787.0575855</v>
      </c>
      <c r="F28" s="39">
        <f>E28/E30</f>
        <v>0.22684988943717968</v>
      </c>
    </row>
    <row r="29" spans="1:8" x14ac:dyDescent="0.25">
      <c r="H29" s="39"/>
    </row>
    <row r="30" spans="1:8" x14ac:dyDescent="0.25">
      <c r="A30" s="71">
        <v>13</v>
      </c>
      <c r="B30" t="s">
        <v>58</v>
      </c>
      <c r="D30" s="40"/>
      <c r="E30" s="41">
        <f>E26+E28</f>
        <v>176891367.04956549</v>
      </c>
      <c r="F30" s="40">
        <f>F26+F28</f>
        <v>0.99999999999999989</v>
      </c>
    </row>
    <row r="31" spans="1:8" s="79" customFormat="1" x14ac:dyDescent="0.25">
      <c r="A31" s="81"/>
      <c r="D31" s="82"/>
      <c r="E31" s="83"/>
      <c r="F31" s="82"/>
    </row>
    <row r="32" spans="1:8" x14ac:dyDescent="0.25">
      <c r="E32" s="251" t="s">
        <v>109</v>
      </c>
      <c r="F32" s="251" t="s">
        <v>110</v>
      </c>
      <c r="H32" s="40"/>
    </row>
    <row r="33" spans="1:10" x14ac:dyDescent="0.25">
      <c r="B33" s="47" t="s">
        <v>59</v>
      </c>
      <c r="E33" s="252"/>
      <c r="F33" s="252"/>
    </row>
    <row r="34" spans="1:10" x14ac:dyDescent="0.25">
      <c r="A34" s="71">
        <v>14</v>
      </c>
      <c r="B34" t="s">
        <v>61</v>
      </c>
      <c r="E34" s="41">
        <f>E21*F26</f>
        <v>0</v>
      </c>
      <c r="F34" s="83">
        <f>ROUND(E34*'Conversion Factors'!$E$108,0)</f>
        <v>0</v>
      </c>
    </row>
    <row r="35" spans="1:10" x14ac:dyDescent="0.25">
      <c r="A35" s="71">
        <v>15</v>
      </c>
      <c r="B35" t="s">
        <v>81</v>
      </c>
      <c r="E35" s="41">
        <f>E21*F28</f>
        <v>0</v>
      </c>
      <c r="F35" s="83">
        <f>ROUND(E35*'Conversion Factors'!$E$108,0)</f>
        <v>0</v>
      </c>
    </row>
    <row r="36" spans="1:10" x14ac:dyDescent="0.25">
      <c r="A36" s="71">
        <v>16</v>
      </c>
      <c r="B36" t="s">
        <v>60</v>
      </c>
      <c r="E36" s="45">
        <f>SUM(E34:E35)</f>
        <v>0</v>
      </c>
      <c r="F36" s="45">
        <f>SUM(F34:F35)</f>
        <v>0</v>
      </c>
      <c r="I36" s="83"/>
    </row>
    <row r="37" spans="1:10" s="79" customFormat="1" x14ac:dyDescent="0.25">
      <c r="A37" s="137"/>
      <c r="B37" s="47" t="s">
        <v>181</v>
      </c>
      <c r="E37" s="177"/>
      <c r="F37" s="177"/>
      <c r="I37" s="83"/>
    </row>
    <row r="38" spans="1:10" s="79" customFormat="1" x14ac:dyDescent="0.25">
      <c r="A38" s="137">
        <v>17</v>
      </c>
      <c r="B38" s="79" t="s">
        <v>61</v>
      </c>
      <c r="E38" s="177">
        <f>E40*F26</f>
        <v>57986.258292211518</v>
      </c>
      <c r="F38" s="177"/>
      <c r="I38" s="83"/>
    </row>
    <row r="39" spans="1:10" s="79" customFormat="1" x14ac:dyDescent="0.25">
      <c r="A39" s="137">
        <v>18</v>
      </c>
      <c r="B39" s="79" t="s">
        <v>81</v>
      </c>
      <c r="E39" s="178">
        <f>E40*F28</f>
        <v>17013.741707788475</v>
      </c>
      <c r="F39" s="177"/>
      <c r="I39" s="83"/>
    </row>
    <row r="40" spans="1:10" s="79" customFormat="1" x14ac:dyDescent="0.25">
      <c r="A40" s="137">
        <v>19</v>
      </c>
      <c r="B40" s="79" t="s">
        <v>60</v>
      </c>
      <c r="E40" s="177">
        <f>'DSM Adjustment'!E14</f>
        <v>75000</v>
      </c>
      <c r="F40" s="177"/>
      <c r="I40" s="83"/>
    </row>
    <row r="42" spans="1:10" ht="32.450000000000003" customHeight="1" x14ac:dyDescent="0.25">
      <c r="A42" s="71" t="s">
        <v>93</v>
      </c>
      <c r="B42" s="73" t="s">
        <v>65</v>
      </c>
      <c r="E42" s="86" t="s">
        <v>111</v>
      </c>
      <c r="F42" s="86" t="s">
        <v>112</v>
      </c>
      <c r="G42" s="86"/>
      <c r="J42" s="99"/>
    </row>
    <row r="43" spans="1:10" s="79" customFormat="1" ht="15" customHeight="1" x14ac:dyDescent="0.25">
      <c r="A43" s="86"/>
      <c r="B43" s="73"/>
      <c r="E43" s="86"/>
      <c r="F43" s="86"/>
      <c r="G43" s="86"/>
    </row>
    <row r="44" spans="1:10" s="79" customFormat="1" ht="30.6" customHeight="1" x14ac:dyDescent="0.25">
      <c r="A44" s="88">
        <v>1</v>
      </c>
      <c r="B44" s="253" t="s">
        <v>176</v>
      </c>
      <c r="C44" s="253"/>
      <c r="D44" s="89"/>
      <c r="E44" s="90">
        <f>E26</f>
        <v>136763579.99197999</v>
      </c>
      <c r="F44" s="90">
        <f>E28</f>
        <v>40127787.0575855</v>
      </c>
      <c r="G44" s="90"/>
      <c r="J44" s="90"/>
    </row>
    <row r="45" spans="1:10" s="79" customFormat="1" ht="15" customHeight="1" x14ac:dyDescent="0.25">
      <c r="A45" s="86"/>
      <c r="B45" s="73"/>
      <c r="E45" s="86"/>
      <c r="F45" s="86"/>
      <c r="G45" s="86"/>
    </row>
    <row r="46" spans="1:10" ht="15" customHeight="1" x14ac:dyDescent="0.25">
      <c r="A46" s="71">
        <v>2</v>
      </c>
      <c r="B46" t="s">
        <v>177</v>
      </c>
      <c r="E46" s="70">
        <f>'Nat Gas 2022 Rate Calc'!E22</f>
        <v>137946984.8505424</v>
      </c>
      <c r="F46" s="70">
        <f>'Nat Gas 2022 Rate Calc'!K22</f>
        <v>58623989.195175663</v>
      </c>
      <c r="I46" s="79"/>
    </row>
    <row r="47" spans="1:10" ht="15" customHeight="1" x14ac:dyDescent="0.25"/>
    <row r="48" spans="1:10" ht="15" customHeight="1" x14ac:dyDescent="0.25">
      <c r="A48" s="71">
        <v>3</v>
      </c>
      <c r="B48" t="s">
        <v>62</v>
      </c>
      <c r="E48" s="50">
        <f>'Nat Gas 2022 Rate Calc'!D28</f>
        <v>5.1249999999999997E-2</v>
      </c>
      <c r="F48" s="50">
        <f>'Nat Gas 2022 Rate Calc'!J28</f>
        <v>4.4359999999999997E-2</v>
      </c>
    </row>
    <row r="49" spans="1:10" ht="15" customHeight="1" x14ac:dyDescent="0.25"/>
    <row r="50" spans="1:10" ht="15" customHeight="1" x14ac:dyDescent="0.25">
      <c r="A50" s="71">
        <v>4</v>
      </c>
      <c r="B50" t="s">
        <v>174</v>
      </c>
      <c r="D50" s="63"/>
      <c r="E50" s="166">
        <v>9.2499999999999995E-3</v>
      </c>
      <c r="F50" s="166">
        <v>8.1300000000000001E-3</v>
      </c>
      <c r="I50" s="164"/>
      <c r="J50" s="50"/>
    </row>
    <row r="51" spans="1:10" ht="15" customHeight="1" x14ac:dyDescent="0.25"/>
    <row r="52" spans="1:10" ht="15" customHeight="1" x14ac:dyDescent="0.25">
      <c r="A52" s="71">
        <v>5</v>
      </c>
      <c r="B52" t="s">
        <v>63</v>
      </c>
      <c r="E52" s="50">
        <f>E48-E50</f>
        <v>4.1999999999999996E-2</v>
      </c>
      <c r="F52" s="50">
        <f>F48-F50</f>
        <v>3.6229999999999998E-2</v>
      </c>
    </row>
    <row r="53" spans="1:10" ht="15" customHeight="1" x14ac:dyDescent="0.25"/>
    <row r="54" spans="1:10" ht="15" customHeight="1" x14ac:dyDescent="0.25">
      <c r="A54" s="71">
        <v>6</v>
      </c>
      <c r="B54" t="s">
        <v>64</v>
      </c>
      <c r="E54" s="48">
        <f>E52*E46</f>
        <v>5793773.3637227798</v>
      </c>
      <c r="F54" s="48">
        <f>F52*F46</f>
        <v>2123947.1285412144</v>
      </c>
      <c r="G54" s="48"/>
    </row>
    <row r="55" spans="1:10" ht="15" customHeight="1" x14ac:dyDescent="0.25">
      <c r="E55" s="48"/>
      <c r="F55" s="48"/>
    </row>
    <row r="56" spans="1:10" ht="15" customHeight="1" x14ac:dyDescent="0.25">
      <c r="A56" s="71">
        <v>7</v>
      </c>
      <c r="B56" t="s">
        <v>66</v>
      </c>
      <c r="E56" s="51">
        <f>E54/E44</f>
        <v>4.236342280644112E-2</v>
      </c>
      <c r="F56" s="51">
        <f>F54/F44</f>
        <v>5.292958531436677E-2</v>
      </c>
      <c r="G56" s="51"/>
    </row>
    <row r="57" spans="1:10" ht="15" customHeight="1" x14ac:dyDescent="0.25"/>
    <row r="58" spans="1:10" ht="15" customHeight="1" x14ac:dyDescent="0.25">
      <c r="A58" s="71">
        <v>8</v>
      </c>
      <c r="B58" t="s">
        <v>173</v>
      </c>
      <c r="E58" s="41">
        <f>IF(E56&gt;0.03,E44*0.03-E54,0)</f>
        <v>-1690865.9639633805</v>
      </c>
      <c r="F58" s="83">
        <f>IF(F56&gt;0.03,F44*0.03-F54,0)</f>
        <v>-920113.51681364933</v>
      </c>
    </row>
    <row r="59" spans="1:10" ht="15" customHeight="1" x14ac:dyDescent="0.25"/>
    <row r="60" spans="1:10" ht="15" customHeight="1" x14ac:dyDescent="0.25">
      <c r="A60" s="71">
        <v>9</v>
      </c>
      <c r="B60" t="s">
        <v>67</v>
      </c>
      <c r="E60" s="50">
        <f>ROUND(E58/E46,5)</f>
        <v>-1.226E-2</v>
      </c>
      <c r="F60" s="50">
        <f>ROUND(F58/F46,5)</f>
        <v>-1.5699999999999999E-2</v>
      </c>
    </row>
    <row r="61" spans="1:10" ht="15" customHeight="1" x14ac:dyDescent="0.25"/>
    <row r="62" spans="1:10" ht="15" customHeight="1" x14ac:dyDescent="0.25">
      <c r="A62" s="71">
        <v>10</v>
      </c>
      <c r="B62" t="s">
        <v>68</v>
      </c>
      <c r="E62" s="50">
        <f>E48+E60</f>
        <v>3.8989999999999997E-2</v>
      </c>
      <c r="F62" s="50">
        <f>F48+F60</f>
        <v>2.8659999999999998E-2</v>
      </c>
    </row>
    <row r="63" spans="1:10" ht="15" customHeight="1" x14ac:dyDescent="0.25"/>
    <row r="64" spans="1:10" ht="15" customHeight="1" x14ac:dyDescent="0.25">
      <c r="A64" s="71">
        <v>11</v>
      </c>
      <c r="B64" t="s">
        <v>69</v>
      </c>
      <c r="E64" s="48">
        <f>(E62-E50)*E46</f>
        <v>4102543.3294551303</v>
      </c>
      <c r="F64" s="48">
        <f>(F62-F50)*F46</f>
        <v>1203550.4981769563</v>
      </c>
      <c r="G64" s="53"/>
    </row>
    <row r="65" spans="1:8" ht="15" customHeight="1" x14ac:dyDescent="0.25">
      <c r="E65" s="53"/>
      <c r="F65" s="53"/>
    </row>
    <row r="66" spans="1:8" ht="15" customHeight="1" x14ac:dyDescent="0.25">
      <c r="A66" s="71">
        <v>12</v>
      </c>
      <c r="B66" t="s">
        <v>70</v>
      </c>
      <c r="E66" s="51">
        <f>E64/E44</f>
        <v>2.9997337958656167E-2</v>
      </c>
      <c r="F66" s="51">
        <f>F64/F44</f>
        <v>2.9992944700633444E-2</v>
      </c>
      <c r="G66" s="51"/>
    </row>
    <row r="67" spans="1:8" ht="15" customHeight="1" x14ac:dyDescent="0.25"/>
    <row r="68" spans="1:8" x14ac:dyDescent="0.25">
      <c r="B68" t="s">
        <v>74</v>
      </c>
    </row>
    <row r="69" spans="1:8" ht="38.25" customHeight="1" x14ac:dyDescent="0.25">
      <c r="A69" s="86"/>
      <c r="B69" s="254" t="s">
        <v>204</v>
      </c>
      <c r="C69" s="254"/>
      <c r="D69" s="254"/>
      <c r="E69" s="254"/>
      <c r="F69" s="254"/>
      <c r="G69" s="254"/>
      <c r="H69" s="254"/>
    </row>
    <row r="70" spans="1:8" ht="54.75" customHeight="1" x14ac:dyDescent="0.25">
      <c r="A70" s="86"/>
      <c r="B70" s="250" t="s">
        <v>172</v>
      </c>
      <c r="C70" s="250"/>
      <c r="D70" s="250"/>
      <c r="E70" s="250"/>
      <c r="F70" s="250"/>
      <c r="G70" s="250"/>
      <c r="H70" s="250"/>
    </row>
    <row r="71" spans="1:8" ht="15.75" customHeight="1" x14ac:dyDescent="0.25">
      <c r="B71" s="249"/>
      <c r="C71" s="249"/>
      <c r="D71" s="249"/>
      <c r="E71" s="249"/>
      <c r="F71" s="249"/>
      <c r="G71" s="249"/>
      <c r="H71" s="249"/>
    </row>
  </sheetData>
  <customSheetViews>
    <customSheetView guid="{6A207E9B-31ED-4215-AD4F-ABB2957B65E4}" scale="60" showPageBreaks="1" printArea="1" view="pageBreakPreview" topLeftCell="F1">
      <selection activeCell="F41" sqref="A41:XFD41"/>
      <rowBreaks count="2" manualBreakCount="2">
        <brk id="36" max="5" man="1"/>
        <brk id="51" min="7" max="17" man="1"/>
      </rowBreaks>
      <pageMargins left="0.7" right="0.7" top="0.64" bottom="0.75" header="0.3" footer="0.3"/>
      <pageSetup scale="95" orientation="portrait" r:id="rId1"/>
    </customSheetView>
    <customSheetView guid="{5C6B1FA1-B621-4699-B8F7-5011E8FF1BCD}" scale="60" showPageBreaks="1" printArea="1" view="pageBreakPreview" topLeftCell="F6">
      <selection activeCell="H6" sqref="H6:R52"/>
      <rowBreaks count="1" manualBreakCount="1">
        <brk id="36" max="5" man="1"/>
      </rowBreaks>
      <pageMargins left="0.7" right="0.7" top="0.75" bottom="0.75" header="0.3" footer="0.3"/>
      <pageSetup orientation="portrait" r:id="rId2"/>
    </customSheetView>
  </customSheetViews>
  <mergeCells count="9">
    <mergeCell ref="B71:H71"/>
    <mergeCell ref="B70:H70"/>
    <mergeCell ref="B1:G1"/>
    <mergeCell ref="B2:G2"/>
    <mergeCell ref="B3:G3"/>
    <mergeCell ref="E32:E33"/>
    <mergeCell ref="F32:F33"/>
    <mergeCell ref="B44:C44"/>
    <mergeCell ref="B69:H69"/>
  </mergeCells>
  <printOptions horizontalCentered="1"/>
  <pageMargins left="0.7" right="0.7" top="0.75" bottom="0.75" header="0.3" footer="0.3"/>
  <pageSetup scale="95" firstPageNumber="6" orientation="portrait" useFirstPageNumber="1" r:id="rId3"/>
  <headerFooter scaleWithDoc="0">
    <oddFooter>&amp;CATTACHMENT A&amp;RPage &amp;P of 10</oddFooter>
  </headerFooter>
  <rowBreaks count="1" manualBreakCount="1">
    <brk id="4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0F17F-A9EF-427A-BD29-D698C6AB092E}">
  <dimension ref="A5:I23"/>
  <sheetViews>
    <sheetView topLeftCell="A25" zoomScaleNormal="100" workbookViewId="0">
      <selection activeCell="G46" sqref="G46"/>
    </sheetView>
  </sheetViews>
  <sheetFormatPr defaultRowHeight="15" x14ac:dyDescent="0.25"/>
  <cols>
    <col min="1" max="1" width="22.42578125" customWidth="1"/>
    <col min="2" max="4" width="12" customWidth="1"/>
    <col min="5" max="5" width="10.5703125" bestFit="1" customWidth="1"/>
    <col min="6" max="6" width="3.5703125" customWidth="1"/>
  </cols>
  <sheetData>
    <row r="5" spans="1:5" ht="15.75" thickBot="1" x14ac:dyDescent="0.3"/>
    <row r="6" spans="1:5" ht="15.75" thickBot="1" x14ac:dyDescent="0.3">
      <c r="A6" s="195"/>
      <c r="B6" s="188" t="s">
        <v>195</v>
      </c>
      <c r="C6" s="188" t="s">
        <v>186</v>
      </c>
      <c r="D6" s="188" t="s">
        <v>196</v>
      </c>
    </row>
    <row r="7" spans="1:5" ht="15.75" thickBot="1" x14ac:dyDescent="0.3">
      <c r="A7" s="196" t="s">
        <v>183</v>
      </c>
      <c r="B7" s="193">
        <v>770483</v>
      </c>
      <c r="C7" s="193">
        <v>781459</v>
      </c>
      <c r="D7" s="193">
        <v>820532</v>
      </c>
    </row>
    <row r="8" spans="1:5" ht="15.75" thickBot="1" x14ac:dyDescent="0.3">
      <c r="A8" s="196" t="s">
        <v>184</v>
      </c>
      <c r="B8" s="197"/>
      <c r="C8" s="193">
        <v>11012</v>
      </c>
      <c r="D8" s="193">
        <v>50085</v>
      </c>
    </row>
    <row r="9" spans="1:5" ht="15.75" thickBot="1" x14ac:dyDescent="0.3">
      <c r="A9" s="196" t="s">
        <v>185</v>
      </c>
      <c r="B9" s="197"/>
      <c r="C9" s="198">
        <v>0.99</v>
      </c>
      <c r="D9" s="198">
        <v>0.94</v>
      </c>
    </row>
    <row r="11" spans="1:5" ht="15.75" thickBot="1" x14ac:dyDescent="0.3"/>
    <row r="12" spans="1:5" ht="15.75" thickBot="1" x14ac:dyDescent="0.3">
      <c r="A12" s="179" t="s">
        <v>187</v>
      </c>
      <c r="B12" s="255" t="s">
        <v>188</v>
      </c>
      <c r="C12" s="256"/>
      <c r="D12" s="257"/>
      <c r="E12" s="181" t="s">
        <v>197</v>
      </c>
    </row>
    <row r="13" spans="1:5" ht="15.75" thickBot="1" x14ac:dyDescent="0.3">
      <c r="A13" s="182"/>
      <c r="B13" s="183"/>
      <c r="C13" s="180" t="s">
        <v>189</v>
      </c>
      <c r="D13" s="184" t="s">
        <v>190</v>
      </c>
      <c r="E13" s="185"/>
    </row>
    <row r="14" spans="1:5" ht="15.75" thickBot="1" x14ac:dyDescent="0.3">
      <c r="A14" s="186">
        <v>781459</v>
      </c>
      <c r="B14" s="187" t="s">
        <v>191</v>
      </c>
      <c r="C14" s="188" t="s">
        <v>192</v>
      </c>
      <c r="D14" s="189">
        <v>810764</v>
      </c>
      <c r="E14" s="190">
        <v>75000</v>
      </c>
    </row>
    <row r="15" spans="1:5" ht="15.75" thickBot="1" x14ac:dyDescent="0.3">
      <c r="A15" s="191">
        <v>781459</v>
      </c>
      <c r="B15" s="192" t="s">
        <v>193</v>
      </c>
      <c r="C15" s="193">
        <v>810764</v>
      </c>
      <c r="D15" s="193">
        <v>816624</v>
      </c>
      <c r="E15" s="194">
        <v>50000</v>
      </c>
    </row>
    <row r="16" spans="1:5" ht="15.75" thickBot="1" x14ac:dyDescent="0.3">
      <c r="A16" s="191">
        <v>781459</v>
      </c>
      <c r="B16" s="192" t="s">
        <v>194</v>
      </c>
      <c r="C16" s="193">
        <v>816625</v>
      </c>
      <c r="D16" s="193">
        <v>820532</v>
      </c>
      <c r="E16" s="194">
        <v>20000</v>
      </c>
    </row>
    <row r="19" spans="1:9" x14ac:dyDescent="0.25">
      <c r="A19" s="258" t="s">
        <v>198</v>
      </c>
      <c r="B19" s="258"/>
      <c r="C19" s="258"/>
      <c r="D19" s="258"/>
      <c r="E19" s="258"/>
      <c r="F19" s="258"/>
      <c r="G19" s="258"/>
      <c r="H19" s="258"/>
      <c r="I19" s="258"/>
    </row>
    <row r="20" spans="1:9" x14ac:dyDescent="0.25">
      <c r="A20" s="258"/>
      <c r="B20" s="258"/>
      <c r="C20" s="258"/>
      <c r="D20" s="258"/>
      <c r="E20" s="258"/>
      <c r="F20" s="258"/>
      <c r="G20" s="258"/>
      <c r="H20" s="258"/>
      <c r="I20" s="258"/>
    </row>
    <row r="21" spans="1:9" s="79" customFormat="1" x14ac:dyDescent="0.25">
      <c r="A21" s="199"/>
      <c r="B21" s="199"/>
      <c r="C21" s="199"/>
      <c r="D21" s="199"/>
      <c r="E21" s="199"/>
      <c r="F21" s="199"/>
      <c r="G21" s="199"/>
      <c r="H21" s="199"/>
      <c r="I21" s="199"/>
    </row>
    <row r="22" spans="1:9" x14ac:dyDescent="0.25">
      <c r="A22" s="140" t="s">
        <v>199</v>
      </c>
    </row>
    <row r="23" spans="1:9" ht="4.5" customHeight="1" x14ac:dyDescent="0.25"/>
  </sheetData>
  <mergeCells count="2">
    <mergeCell ref="B12:D12"/>
    <mergeCell ref="A19:I20"/>
  </mergeCells>
  <pageMargins left="0.7" right="0.7" top="0.75" bottom="0.75" header="0.3" footer="0.3"/>
  <pageSetup scale="91" orientation="portrait" horizontalDpi="1200" verticalDpi="1200" r:id="rId1"/>
  <headerFooter>
    <oddFooter>&amp;CAttachment A&amp;RPage &amp;P of 10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7"/>
  <sheetViews>
    <sheetView topLeftCell="A113" zoomScaleNormal="100" workbookViewId="0">
      <selection activeCell="J127" sqref="J127"/>
    </sheetView>
  </sheetViews>
  <sheetFormatPr defaultRowHeight="15" x14ac:dyDescent="0.25"/>
  <cols>
    <col min="1" max="1" width="6.5703125" customWidth="1"/>
    <col min="2" max="2" width="2.42578125" customWidth="1"/>
    <col min="3" max="3" width="34.28515625" customWidth="1"/>
    <col min="4" max="4" width="8.85546875" customWidth="1"/>
    <col min="5" max="5" width="12.5703125" customWidth="1"/>
    <col min="6" max="6" width="3" customWidth="1"/>
    <col min="8" max="8" width="12.5703125" bestFit="1" customWidth="1"/>
  </cols>
  <sheetData>
    <row r="1" spans="1:5" hidden="1" x14ac:dyDescent="0.25">
      <c r="A1" s="259" t="s">
        <v>15</v>
      </c>
      <c r="B1" s="259"/>
      <c r="C1" s="259"/>
      <c r="D1" s="259"/>
      <c r="E1" s="259"/>
    </row>
    <row r="2" spans="1:5" ht="14.45" hidden="1" customHeight="1" x14ac:dyDescent="0.25">
      <c r="A2" s="1" t="s">
        <v>16</v>
      </c>
      <c r="B2" s="1"/>
      <c r="C2" s="1"/>
      <c r="D2" s="1"/>
      <c r="E2" s="2"/>
    </row>
    <row r="3" spans="1:5" ht="14.45" hidden="1" customHeight="1" x14ac:dyDescent="0.25">
      <c r="A3" s="1" t="s">
        <v>31</v>
      </c>
      <c r="B3" s="1"/>
      <c r="C3" s="1"/>
      <c r="D3" s="1"/>
      <c r="E3" s="2"/>
    </row>
    <row r="4" spans="1:5" ht="15.6" hidden="1" customHeight="1" x14ac:dyDescent="0.25">
      <c r="A4" s="1" t="s">
        <v>17</v>
      </c>
      <c r="B4" s="1"/>
      <c r="C4" s="1"/>
      <c r="D4" s="1"/>
      <c r="E4" s="2"/>
    </row>
    <row r="5" spans="1:5" hidden="1" x14ac:dyDescent="0.25">
      <c r="A5" s="3"/>
      <c r="B5" s="3"/>
      <c r="C5" s="3"/>
      <c r="D5" s="3"/>
      <c r="E5" s="4"/>
    </row>
    <row r="6" spans="1:5" hidden="1" x14ac:dyDescent="0.25">
      <c r="A6" s="5" t="s">
        <v>18</v>
      </c>
      <c r="B6" s="5"/>
      <c r="C6" s="5"/>
      <c r="D6" s="5"/>
      <c r="E6" s="6"/>
    </row>
    <row r="7" spans="1:5" hidden="1" x14ac:dyDescent="0.25">
      <c r="A7" s="7" t="s">
        <v>19</v>
      </c>
      <c r="B7" s="5"/>
      <c r="C7" s="7" t="s">
        <v>20</v>
      </c>
      <c r="D7" s="8"/>
      <c r="E7" s="9" t="s">
        <v>21</v>
      </c>
    </row>
    <row r="8" spans="1:5" hidden="1" x14ac:dyDescent="0.25">
      <c r="A8" s="3"/>
      <c r="B8" s="3"/>
      <c r="C8" s="3"/>
      <c r="D8" s="3"/>
      <c r="E8" s="4"/>
    </row>
    <row r="9" spans="1:5" hidden="1" x14ac:dyDescent="0.25">
      <c r="A9" s="10">
        <v>1</v>
      </c>
      <c r="B9" s="3"/>
      <c r="C9" s="11" t="s">
        <v>22</v>
      </c>
      <c r="D9" s="3"/>
      <c r="E9" s="12">
        <v>1</v>
      </c>
    </row>
    <row r="10" spans="1:5" hidden="1" x14ac:dyDescent="0.25">
      <c r="A10" s="10"/>
      <c r="B10" s="3"/>
      <c r="C10" s="3"/>
      <c r="D10" s="3"/>
      <c r="E10" s="12"/>
    </row>
    <row r="11" spans="1:5" hidden="1" x14ac:dyDescent="0.25">
      <c r="A11" s="10"/>
      <c r="B11" s="3"/>
      <c r="C11" s="13" t="s">
        <v>23</v>
      </c>
      <c r="D11" s="14"/>
      <c r="E11" s="12"/>
    </row>
    <row r="12" spans="1:5" hidden="1" x14ac:dyDescent="0.25">
      <c r="A12" s="10">
        <v>2</v>
      </c>
      <c r="B12" s="3"/>
      <c r="C12" s="14" t="s">
        <v>24</v>
      </c>
      <c r="D12" s="14"/>
      <c r="E12" s="14">
        <v>4.8500000000000001E-3</v>
      </c>
    </row>
    <row r="13" spans="1:5" hidden="1" x14ac:dyDescent="0.25">
      <c r="A13" s="10"/>
      <c r="B13" s="3"/>
      <c r="C13" s="14"/>
      <c r="D13" s="14"/>
      <c r="E13" s="14"/>
    </row>
    <row r="14" spans="1:5" hidden="1" x14ac:dyDescent="0.25">
      <c r="A14" s="10">
        <v>3</v>
      </c>
      <c r="B14" s="3"/>
      <c r="C14" s="14" t="s">
        <v>25</v>
      </c>
      <c r="D14" s="14"/>
      <c r="E14" s="14">
        <v>2E-3</v>
      </c>
    </row>
    <row r="15" spans="1:5" hidden="1" x14ac:dyDescent="0.25">
      <c r="A15" s="10"/>
      <c r="B15" s="3"/>
      <c r="C15" s="14"/>
      <c r="D15" s="14"/>
      <c r="E15" s="14"/>
    </row>
    <row r="16" spans="1:5" hidden="1" x14ac:dyDescent="0.25">
      <c r="A16" s="10">
        <v>4</v>
      </c>
      <c r="B16" s="3"/>
      <c r="C16" s="14" t="s">
        <v>26</v>
      </c>
      <c r="D16" s="14"/>
      <c r="E16" s="14">
        <v>3.8332999999999999E-2</v>
      </c>
    </row>
    <row r="17" spans="1:5" hidden="1" x14ac:dyDescent="0.25">
      <c r="A17" s="10"/>
      <c r="B17" s="3"/>
      <c r="C17" s="14"/>
      <c r="D17" s="14"/>
      <c r="E17" s="14"/>
    </row>
    <row r="18" spans="1:5" hidden="1" x14ac:dyDescent="0.25">
      <c r="A18" s="10">
        <v>5</v>
      </c>
      <c r="B18" s="3"/>
      <c r="C18" s="14" t="s">
        <v>27</v>
      </c>
      <c r="D18" s="14"/>
      <c r="E18" s="15">
        <f>SUM(E12:E16)</f>
        <v>4.5183000000000001E-2</v>
      </c>
    </row>
    <row r="19" spans="1:5" hidden="1" x14ac:dyDescent="0.25">
      <c r="A19" s="10"/>
      <c r="B19" s="3"/>
      <c r="C19" s="14"/>
      <c r="D19" s="14"/>
      <c r="E19" s="16"/>
    </row>
    <row r="20" spans="1:5" hidden="1" x14ac:dyDescent="0.25">
      <c r="A20" s="10">
        <v>6</v>
      </c>
      <c r="B20" s="3"/>
      <c r="C20" s="14" t="s">
        <v>28</v>
      </c>
      <c r="D20" s="14"/>
      <c r="E20" s="16">
        <f>E9-E18</f>
        <v>0.95481700000000003</v>
      </c>
    </row>
    <row r="21" spans="1:5" hidden="1" x14ac:dyDescent="0.25">
      <c r="A21" s="3"/>
      <c r="B21" s="3"/>
      <c r="C21" s="14"/>
      <c r="D21" s="14"/>
      <c r="E21" s="16"/>
    </row>
    <row r="22" spans="1:5" hidden="1" x14ac:dyDescent="0.25">
      <c r="A22" s="10">
        <v>7</v>
      </c>
      <c r="B22" s="3"/>
      <c r="C22" s="14" t="s">
        <v>29</v>
      </c>
      <c r="D22" s="17"/>
      <c r="E22" s="18">
        <f>ROUND(E20*0.35,6)</f>
        <v>0.33418599999999998</v>
      </c>
    </row>
    <row r="23" spans="1:5" hidden="1" x14ac:dyDescent="0.25">
      <c r="A23" s="3"/>
      <c r="B23" s="3"/>
      <c r="C23" s="14"/>
      <c r="D23" s="14"/>
      <c r="E23" s="16"/>
    </row>
    <row r="24" spans="1:5" ht="15.75" hidden="1" thickBot="1" x14ac:dyDescent="0.3">
      <c r="A24" s="10">
        <v>8</v>
      </c>
      <c r="B24" s="3"/>
      <c r="C24" s="13" t="s">
        <v>30</v>
      </c>
      <c r="D24" s="14"/>
      <c r="E24" s="20">
        <f>ROUND(E20-E22,5)</f>
        <v>0.62063000000000001</v>
      </c>
    </row>
    <row r="25" spans="1:5" ht="15.75" hidden="1" thickTop="1" x14ac:dyDescent="0.25"/>
    <row r="26" spans="1:5" hidden="1" x14ac:dyDescent="0.25">
      <c r="C26" t="s">
        <v>32</v>
      </c>
    </row>
    <row r="27" spans="1:5" hidden="1" x14ac:dyDescent="0.25">
      <c r="C27" t="s">
        <v>33</v>
      </c>
    </row>
    <row r="28" spans="1:5" hidden="1" x14ac:dyDescent="0.25">
      <c r="C28" t="s">
        <v>44</v>
      </c>
      <c r="E28">
        <f>1/E20</f>
        <v>1.0473211096995549</v>
      </c>
    </row>
    <row r="29" spans="1:5" hidden="1" x14ac:dyDescent="0.25"/>
    <row r="30" spans="1:5" hidden="1" x14ac:dyDescent="0.25">
      <c r="A30" s="259" t="s">
        <v>15</v>
      </c>
      <c r="B30" s="259"/>
      <c r="C30" s="259"/>
      <c r="D30" s="259"/>
      <c r="E30" s="259"/>
    </row>
    <row r="31" spans="1:5" ht="14.45" hidden="1" customHeight="1" x14ac:dyDescent="0.25">
      <c r="A31" s="1" t="s">
        <v>16</v>
      </c>
      <c r="B31" s="1"/>
      <c r="C31" s="1"/>
      <c r="D31" s="1"/>
      <c r="E31" s="2"/>
    </row>
    <row r="32" spans="1:5" ht="14.45" hidden="1" customHeight="1" x14ac:dyDescent="0.25">
      <c r="A32" s="1" t="s">
        <v>31</v>
      </c>
      <c r="B32" s="1"/>
      <c r="C32" s="1"/>
      <c r="D32" s="1"/>
      <c r="E32" s="2"/>
    </row>
    <row r="33" spans="1:5" ht="15.6" hidden="1" customHeight="1" x14ac:dyDescent="0.25">
      <c r="A33" s="1" t="s">
        <v>34</v>
      </c>
      <c r="B33" s="1"/>
      <c r="C33" s="1"/>
      <c r="D33" s="1"/>
      <c r="E33" s="2"/>
    </row>
    <row r="34" spans="1:5" hidden="1" x14ac:dyDescent="0.25">
      <c r="A34" s="3"/>
      <c r="B34" s="3"/>
      <c r="C34" s="3"/>
      <c r="D34" s="3"/>
      <c r="E34" s="4"/>
    </row>
    <row r="35" spans="1:5" hidden="1" x14ac:dyDescent="0.25">
      <c r="A35" s="5" t="s">
        <v>18</v>
      </c>
      <c r="B35" s="5"/>
      <c r="C35" s="5"/>
      <c r="D35" s="5"/>
      <c r="E35" s="6"/>
    </row>
    <row r="36" spans="1:5" hidden="1" x14ac:dyDescent="0.25">
      <c r="A36" s="7" t="s">
        <v>19</v>
      </c>
      <c r="B36" s="5"/>
      <c r="C36" s="7" t="s">
        <v>20</v>
      </c>
      <c r="D36" s="8"/>
      <c r="E36" s="9" t="s">
        <v>21</v>
      </c>
    </row>
    <row r="37" spans="1:5" hidden="1" x14ac:dyDescent="0.25">
      <c r="A37" s="3"/>
      <c r="B37" s="3"/>
      <c r="C37" s="3"/>
      <c r="D37" s="3"/>
      <c r="E37" s="4"/>
    </row>
    <row r="38" spans="1:5" hidden="1" x14ac:dyDescent="0.25">
      <c r="A38" s="10">
        <v>1</v>
      </c>
      <c r="B38" s="3"/>
      <c r="C38" s="11" t="s">
        <v>22</v>
      </c>
      <c r="D38" s="3"/>
      <c r="E38" s="12">
        <v>1</v>
      </c>
    </row>
    <row r="39" spans="1:5" hidden="1" x14ac:dyDescent="0.25">
      <c r="A39" s="10"/>
      <c r="B39" s="3"/>
      <c r="C39" s="3"/>
      <c r="D39" s="3"/>
      <c r="E39" s="12"/>
    </row>
    <row r="40" spans="1:5" hidden="1" x14ac:dyDescent="0.25">
      <c r="A40" s="10"/>
      <c r="B40" s="3"/>
      <c r="C40" s="13" t="s">
        <v>23</v>
      </c>
      <c r="D40" s="14"/>
      <c r="E40" s="12"/>
    </row>
    <row r="41" spans="1:5" hidden="1" x14ac:dyDescent="0.25">
      <c r="A41" s="10">
        <v>2</v>
      </c>
      <c r="B41" s="3"/>
      <c r="C41" s="14" t="s">
        <v>24</v>
      </c>
      <c r="D41" s="14"/>
      <c r="E41" s="14">
        <v>4.4485628026109834E-3</v>
      </c>
    </row>
    <row r="42" spans="1:5" hidden="1" x14ac:dyDescent="0.25">
      <c r="A42" s="10"/>
      <c r="B42" s="3"/>
      <c r="C42" s="14"/>
      <c r="D42" s="14"/>
      <c r="E42" s="14"/>
    </row>
    <row r="43" spans="1:5" hidden="1" x14ac:dyDescent="0.25">
      <c r="A43" s="10">
        <v>3</v>
      </c>
      <c r="B43" s="3"/>
      <c r="C43" s="14" t="s">
        <v>25</v>
      </c>
      <c r="D43" s="14"/>
      <c r="E43" s="14">
        <v>2E-3</v>
      </c>
    </row>
    <row r="44" spans="1:5" hidden="1" x14ac:dyDescent="0.25">
      <c r="A44" s="10"/>
      <c r="B44" s="3"/>
      <c r="C44" s="14"/>
      <c r="D44" s="14"/>
      <c r="E44" s="14"/>
    </row>
    <row r="45" spans="1:5" hidden="1" x14ac:dyDescent="0.25">
      <c r="A45" s="10">
        <v>4</v>
      </c>
      <c r="B45" s="3"/>
      <c r="C45" s="14" t="s">
        <v>26</v>
      </c>
      <c r="D45" s="14"/>
      <c r="E45" s="14">
        <v>3.8348641360843427E-2</v>
      </c>
    </row>
    <row r="46" spans="1:5" hidden="1" x14ac:dyDescent="0.25">
      <c r="A46" s="10"/>
      <c r="B46" s="3"/>
      <c r="C46" s="14"/>
      <c r="D46" s="14"/>
      <c r="E46" s="14"/>
    </row>
    <row r="47" spans="1:5" hidden="1" x14ac:dyDescent="0.25">
      <c r="A47" s="10">
        <v>5</v>
      </c>
      <c r="B47" s="3"/>
      <c r="C47" s="14" t="s">
        <v>35</v>
      </c>
      <c r="D47" s="14"/>
      <c r="E47" s="14">
        <v>0</v>
      </c>
    </row>
    <row r="48" spans="1:5" ht="15.75" hidden="1" thickBot="1" x14ac:dyDescent="0.3">
      <c r="A48" s="10"/>
      <c r="B48" s="3"/>
      <c r="C48" s="14"/>
      <c r="D48" s="14"/>
      <c r="E48" s="14"/>
    </row>
    <row r="49" spans="1:6" ht="15.75" hidden="1" thickBot="1" x14ac:dyDescent="0.3">
      <c r="A49" s="10">
        <v>6</v>
      </c>
      <c r="B49" s="3"/>
      <c r="C49" s="14" t="s">
        <v>27</v>
      </c>
      <c r="D49" s="14"/>
      <c r="E49" s="21">
        <f>SUM(E41:E47)</f>
        <v>4.479720416345441E-2</v>
      </c>
      <c r="F49" t="s">
        <v>37</v>
      </c>
    </row>
    <row r="50" spans="1:6" hidden="1" x14ac:dyDescent="0.25">
      <c r="A50" s="3"/>
      <c r="B50" s="3"/>
      <c r="C50" s="14"/>
      <c r="D50" s="14"/>
      <c r="E50" s="16"/>
    </row>
    <row r="51" spans="1:6" hidden="1" x14ac:dyDescent="0.25">
      <c r="A51" s="10">
        <v>7</v>
      </c>
      <c r="B51" s="3"/>
      <c r="C51" s="14" t="s">
        <v>28</v>
      </c>
      <c r="D51" s="14"/>
      <c r="E51" s="16">
        <f>E38-E49</f>
        <v>0.95520279583654555</v>
      </c>
    </row>
    <row r="52" spans="1:6" hidden="1" x14ac:dyDescent="0.25">
      <c r="A52" s="3"/>
      <c r="B52" s="3"/>
      <c r="C52" s="14"/>
      <c r="D52" s="14"/>
      <c r="E52" s="16"/>
    </row>
    <row r="53" spans="1:6" hidden="1" x14ac:dyDescent="0.25">
      <c r="A53" s="10">
        <v>8</v>
      </c>
      <c r="B53" s="3"/>
      <c r="C53" s="14" t="s">
        <v>29</v>
      </c>
      <c r="D53" s="17"/>
      <c r="E53" s="18">
        <f>ROUND(E51*0.35,6)</f>
        <v>0.33432099999999998</v>
      </c>
    </row>
    <row r="54" spans="1:6" hidden="1" x14ac:dyDescent="0.25">
      <c r="A54" s="3"/>
      <c r="B54" s="3"/>
      <c r="C54" s="14"/>
      <c r="D54" s="14"/>
      <c r="E54" s="16"/>
    </row>
    <row r="55" spans="1:6" ht="15.75" hidden="1" thickBot="1" x14ac:dyDescent="0.3">
      <c r="A55" s="10">
        <v>9</v>
      </c>
      <c r="B55" s="3"/>
      <c r="C55" s="13" t="s">
        <v>30</v>
      </c>
      <c r="D55" s="14"/>
      <c r="E55" s="20">
        <f>ROUND(E51-E53,5)</f>
        <v>0.62087999999999999</v>
      </c>
    </row>
    <row r="56" spans="1:6" ht="15.75" hidden="1" thickTop="1" x14ac:dyDescent="0.25">
      <c r="A56" s="19"/>
      <c r="B56" s="19"/>
      <c r="C56" s="19"/>
      <c r="D56" s="19"/>
      <c r="E56" s="19"/>
    </row>
    <row r="57" spans="1:6" hidden="1" x14ac:dyDescent="0.25">
      <c r="C57" t="s">
        <v>32</v>
      </c>
    </row>
    <row r="58" spans="1:6" hidden="1" x14ac:dyDescent="0.25">
      <c r="C58" t="s">
        <v>36</v>
      </c>
    </row>
    <row r="59" spans="1:6" hidden="1" x14ac:dyDescent="0.25">
      <c r="C59" t="s">
        <v>44</v>
      </c>
      <c r="E59">
        <f>1/E51</f>
        <v>1.0468981082956548</v>
      </c>
    </row>
    <row r="60" spans="1:6" hidden="1" x14ac:dyDescent="0.25"/>
    <row r="61" spans="1:6" ht="14.45" hidden="1" customHeight="1" x14ac:dyDescent="0.25">
      <c r="A61" s="22" t="s">
        <v>16</v>
      </c>
      <c r="B61" s="22"/>
      <c r="C61" s="22"/>
      <c r="D61" s="22"/>
      <c r="E61" s="23"/>
    </row>
    <row r="62" spans="1:6" ht="14.45" hidden="1" customHeight="1" x14ac:dyDescent="0.25">
      <c r="A62" s="1" t="s">
        <v>31</v>
      </c>
      <c r="B62" s="1"/>
      <c r="C62" s="1"/>
      <c r="D62" s="1"/>
      <c r="E62" s="2"/>
    </row>
    <row r="63" spans="1:6" ht="15.6" hidden="1" customHeight="1" x14ac:dyDescent="0.25">
      <c r="A63" s="261" t="s">
        <v>38</v>
      </c>
      <c r="B63" s="261"/>
      <c r="C63" s="261"/>
      <c r="D63" s="261"/>
      <c r="E63" s="261"/>
    </row>
    <row r="64" spans="1:6" hidden="1" x14ac:dyDescent="0.25">
      <c r="A64" s="3"/>
      <c r="B64" s="3"/>
      <c r="C64" s="3"/>
      <c r="D64" s="3"/>
      <c r="E64" s="4"/>
    </row>
    <row r="65" spans="1:5" hidden="1" x14ac:dyDescent="0.25">
      <c r="A65" s="5" t="s">
        <v>18</v>
      </c>
      <c r="B65" s="5"/>
      <c r="C65" s="5"/>
      <c r="D65" s="5"/>
      <c r="E65" s="6"/>
    </row>
    <row r="66" spans="1:5" hidden="1" x14ac:dyDescent="0.25">
      <c r="A66" s="7" t="s">
        <v>19</v>
      </c>
      <c r="B66" s="5"/>
      <c r="C66" s="7" t="s">
        <v>20</v>
      </c>
      <c r="D66" s="8"/>
      <c r="E66" s="9" t="s">
        <v>21</v>
      </c>
    </row>
    <row r="67" spans="1:5" hidden="1" x14ac:dyDescent="0.25">
      <c r="A67" s="3"/>
      <c r="B67" s="3"/>
      <c r="C67" s="3"/>
      <c r="D67" s="3"/>
      <c r="E67" s="4"/>
    </row>
    <row r="68" spans="1:5" hidden="1" x14ac:dyDescent="0.25">
      <c r="A68" s="10">
        <v>1</v>
      </c>
      <c r="B68" s="3"/>
      <c r="C68" s="11" t="s">
        <v>22</v>
      </c>
      <c r="D68" s="3"/>
      <c r="E68" s="12">
        <v>1</v>
      </c>
    </row>
    <row r="69" spans="1:5" hidden="1" x14ac:dyDescent="0.25">
      <c r="A69" s="10"/>
      <c r="B69" s="3"/>
      <c r="C69" s="3"/>
      <c r="D69" s="3"/>
      <c r="E69" s="12"/>
    </row>
    <row r="70" spans="1:5" hidden="1" x14ac:dyDescent="0.25">
      <c r="A70" s="10"/>
      <c r="B70" s="3"/>
      <c r="C70" s="13" t="s">
        <v>23</v>
      </c>
      <c r="D70" s="14"/>
      <c r="E70" s="12"/>
    </row>
    <row r="71" spans="1:5" hidden="1" x14ac:dyDescent="0.25">
      <c r="A71" s="10">
        <v>2</v>
      </c>
      <c r="B71" s="3"/>
      <c r="C71" s="14" t="s">
        <v>24</v>
      </c>
      <c r="D71" s="14"/>
      <c r="E71" s="14">
        <v>5.85543782177716E-3</v>
      </c>
    </row>
    <row r="72" spans="1:5" hidden="1" x14ac:dyDescent="0.25">
      <c r="A72" s="10"/>
      <c r="B72" s="3"/>
      <c r="C72" s="14"/>
      <c r="D72" s="14"/>
      <c r="E72" s="14"/>
    </row>
    <row r="73" spans="1:5" hidden="1" x14ac:dyDescent="0.25">
      <c r="A73" s="10">
        <v>3</v>
      </c>
      <c r="B73" s="3"/>
      <c r="C73" s="14" t="s">
        <v>25</v>
      </c>
      <c r="D73" s="14"/>
      <c r="E73" s="14">
        <v>2E-3</v>
      </c>
    </row>
    <row r="74" spans="1:5" hidden="1" x14ac:dyDescent="0.25">
      <c r="A74" s="10"/>
      <c r="B74" s="3"/>
      <c r="C74" s="14"/>
      <c r="D74" s="14"/>
      <c r="E74" s="14"/>
    </row>
    <row r="75" spans="1:5" hidden="1" x14ac:dyDescent="0.25">
      <c r="A75" s="10">
        <v>4</v>
      </c>
      <c r="B75" s="3"/>
      <c r="C75" s="14" t="s">
        <v>26</v>
      </c>
      <c r="D75" s="14"/>
      <c r="E75" s="14">
        <v>3.8294448535105101E-2</v>
      </c>
    </row>
    <row r="76" spans="1:5" hidden="1" x14ac:dyDescent="0.25">
      <c r="A76" s="10"/>
      <c r="B76" s="3"/>
      <c r="C76" s="14"/>
      <c r="D76" s="14"/>
      <c r="E76" s="14"/>
    </row>
    <row r="77" spans="1:5" hidden="1" x14ac:dyDescent="0.25">
      <c r="A77" s="10">
        <v>5</v>
      </c>
      <c r="B77" s="3"/>
      <c r="C77" s="14" t="s">
        <v>27</v>
      </c>
      <c r="D77" s="14"/>
      <c r="E77" s="15">
        <f>SUM(E71:E75)</f>
        <v>4.6149886356882261E-2</v>
      </c>
    </row>
    <row r="78" spans="1:5" hidden="1" x14ac:dyDescent="0.25">
      <c r="A78" s="10"/>
      <c r="B78" s="3"/>
      <c r="C78" s="14"/>
      <c r="D78" s="14"/>
      <c r="E78" s="16"/>
    </row>
    <row r="79" spans="1:5" hidden="1" x14ac:dyDescent="0.25">
      <c r="A79" s="10">
        <v>6</v>
      </c>
      <c r="B79" s="3"/>
      <c r="C79" s="14" t="s">
        <v>28</v>
      </c>
      <c r="D79" s="14"/>
      <c r="E79" s="16">
        <f>E68-E77</f>
        <v>0.95385011364311778</v>
      </c>
    </row>
    <row r="80" spans="1:5" hidden="1" x14ac:dyDescent="0.25">
      <c r="A80" s="3"/>
      <c r="B80" s="3"/>
      <c r="C80" s="14"/>
      <c r="D80" s="14"/>
      <c r="E80" s="16"/>
    </row>
    <row r="81" spans="1:5" hidden="1" x14ac:dyDescent="0.25">
      <c r="A81" s="10">
        <v>7</v>
      </c>
      <c r="B81" s="3"/>
      <c r="C81" s="14" t="s">
        <v>29</v>
      </c>
      <c r="D81" s="17"/>
      <c r="E81" s="18">
        <f>E79*0.35</f>
        <v>0.33384753977509118</v>
      </c>
    </row>
    <row r="82" spans="1:5" hidden="1" x14ac:dyDescent="0.25">
      <c r="A82" s="3"/>
      <c r="B82" s="3"/>
      <c r="C82" s="14"/>
      <c r="D82" s="14"/>
      <c r="E82" s="16"/>
    </row>
    <row r="83" spans="1:5" ht="15.75" hidden="1" thickBot="1" x14ac:dyDescent="0.3">
      <c r="A83" s="10">
        <v>8</v>
      </c>
      <c r="B83" s="3"/>
      <c r="C83" s="13" t="s">
        <v>30</v>
      </c>
      <c r="D83" s="14"/>
      <c r="E83" s="24">
        <f>ROUND(E79-E81,6)</f>
        <v>0.62000299999999997</v>
      </c>
    </row>
    <row r="84" spans="1:5" ht="15.75" hidden="1" thickTop="1" x14ac:dyDescent="0.25">
      <c r="A84" s="19"/>
      <c r="B84" s="19"/>
      <c r="C84" s="19"/>
      <c r="D84" s="19"/>
      <c r="E84" s="19"/>
    </row>
    <row r="85" spans="1:5" hidden="1" x14ac:dyDescent="0.25">
      <c r="C85" t="s">
        <v>39</v>
      </c>
    </row>
    <row r="86" spans="1:5" hidden="1" x14ac:dyDescent="0.25">
      <c r="C86" t="s">
        <v>36</v>
      </c>
    </row>
    <row r="87" spans="1:5" hidden="1" x14ac:dyDescent="0.25">
      <c r="C87" t="s">
        <v>44</v>
      </c>
      <c r="E87">
        <f>1/E79</f>
        <v>1.0483827445180232</v>
      </c>
    </row>
    <row r="88" spans="1:5" hidden="1" x14ac:dyDescent="0.25"/>
    <row r="89" spans="1:5" ht="15.75" x14ac:dyDescent="0.25">
      <c r="A89" s="260" t="s">
        <v>15</v>
      </c>
      <c r="B89" s="260"/>
      <c r="C89" s="260"/>
      <c r="D89" s="260"/>
      <c r="E89" s="260"/>
    </row>
    <row r="90" spans="1:5" ht="15.75" x14ac:dyDescent="0.25">
      <c r="A90" s="260" t="s">
        <v>16</v>
      </c>
      <c r="B90" s="260"/>
      <c r="C90" s="260"/>
      <c r="D90" s="260"/>
      <c r="E90" s="260"/>
    </row>
    <row r="91" spans="1:5" ht="15.75" x14ac:dyDescent="0.25">
      <c r="A91" s="260" t="s">
        <v>40</v>
      </c>
      <c r="B91" s="260"/>
      <c r="C91" s="260"/>
      <c r="D91" s="260"/>
      <c r="E91" s="260"/>
    </row>
    <row r="92" spans="1:5" ht="15.75" x14ac:dyDescent="0.25">
      <c r="A92" s="260" t="s">
        <v>179</v>
      </c>
      <c r="B92" s="260"/>
      <c r="C92" s="260"/>
      <c r="D92" s="260"/>
      <c r="E92" s="260"/>
    </row>
    <row r="93" spans="1:5" x14ac:dyDescent="0.25">
      <c r="A93" s="3"/>
      <c r="B93" s="3"/>
      <c r="C93" s="25"/>
      <c r="D93" s="14"/>
      <c r="E93" s="4"/>
    </row>
    <row r="94" spans="1:5" x14ac:dyDescent="0.25">
      <c r="A94" s="25" t="s">
        <v>18</v>
      </c>
      <c r="B94" s="3"/>
      <c r="C94" s="25"/>
      <c r="D94" s="14"/>
      <c r="E94" s="25"/>
    </row>
    <row r="95" spans="1:5" x14ac:dyDescent="0.25">
      <c r="A95" s="26" t="s">
        <v>19</v>
      </c>
      <c r="B95" s="3"/>
      <c r="C95" s="26" t="s">
        <v>20</v>
      </c>
      <c r="D95" s="14"/>
      <c r="E95" s="26" t="s">
        <v>21</v>
      </c>
    </row>
    <row r="96" spans="1:5" x14ac:dyDescent="0.25">
      <c r="A96" s="25"/>
      <c r="B96" s="3"/>
      <c r="C96" s="14"/>
      <c r="D96" s="14"/>
      <c r="E96" s="14"/>
    </row>
    <row r="97" spans="1:8" ht="15.75" x14ac:dyDescent="0.25">
      <c r="A97" s="141">
        <v>1</v>
      </c>
      <c r="B97" s="142"/>
      <c r="C97" s="143" t="s">
        <v>22</v>
      </c>
      <c r="D97" s="144"/>
      <c r="E97" s="144">
        <v>1</v>
      </c>
      <c r="F97" s="145"/>
    </row>
    <row r="98" spans="1:8" ht="15.75" x14ac:dyDescent="0.25">
      <c r="A98" s="141"/>
      <c r="B98" s="142"/>
      <c r="C98" s="143"/>
      <c r="D98" s="144"/>
      <c r="E98" s="144"/>
      <c r="F98" s="145"/>
    </row>
    <row r="99" spans="1:8" ht="15.75" x14ac:dyDescent="0.25">
      <c r="A99" s="141"/>
      <c r="B99" s="142"/>
      <c r="C99" s="143" t="s">
        <v>23</v>
      </c>
      <c r="D99" s="144"/>
      <c r="E99" s="144"/>
      <c r="F99" s="145"/>
    </row>
    <row r="100" spans="1:8" ht="15.75" x14ac:dyDescent="0.25">
      <c r="A100" s="141">
        <v>2</v>
      </c>
      <c r="B100" s="146"/>
      <c r="C100" s="144" t="s">
        <v>41</v>
      </c>
      <c r="D100" s="144"/>
      <c r="E100" s="165">
        <v>2.1522285668433895E-3</v>
      </c>
      <c r="F100" s="145"/>
    </row>
    <row r="101" spans="1:8" ht="15.75" x14ac:dyDescent="0.25">
      <c r="A101" s="141"/>
      <c r="B101" s="142"/>
      <c r="C101" s="144"/>
      <c r="D101" s="144"/>
      <c r="E101" s="153"/>
      <c r="F101" s="145"/>
    </row>
    <row r="102" spans="1:8" ht="15.75" x14ac:dyDescent="0.25">
      <c r="A102" s="141">
        <v>3</v>
      </c>
      <c r="B102" s="142"/>
      <c r="C102" s="144" t="s">
        <v>42</v>
      </c>
      <c r="D102" s="144"/>
      <c r="E102" s="165">
        <v>2E-3</v>
      </c>
      <c r="F102" s="145"/>
    </row>
    <row r="103" spans="1:8" ht="15.75" x14ac:dyDescent="0.25">
      <c r="A103" s="141"/>
      <c r="B103" s="142"/>
      <c r="C103" s="144"/>
      <c r="D103" s="144"/>
      <c r="E103" s="153"/>
      <c r="F103" s="145"/>
    </row>
    <row r="104" spans="1:8" ht="15.75" x14ac:dyDescent="0.25">
      <c r="A104" s="141">
        <v>4</v>
      </c>
      <c r="B104" s="142"/>
      <c r="C104" s="144" t="s">
        <v>43</v>
      </c>
      <c r="D104" s="144"/>
      <c r="E104" s="165">
        <v>3.8437096155605192E-2</v>
      </c>
      <c r="F104" s="145"/>
    </row>
    <row r="105" spans="1:8" ht="15.75" x14ac:dyDescent="0.25">
      <c r="A105" s="141"/>
      <c r="B105" s="142"/>
      <c r="C105" s="144"/>
      <c r="D105" s="144"/>
      <c r="E105" s="147"/>
      <c r="F105" s="145"/>
    </row>
    <row r="106" spans="1:8" ht="15.75" x14ac:dyDescent="0.25">
      <c r="A106" s="141">
        <v>5</v>
      </c>
      <c r="B106" s="142"/>
      <c r="C106" s="144" t="s">
        <v>27</v>
      </c>
      <c r="D106" s="144"/>
      <c r="E106" s="148">
        <f>ROUND(SUM(E100:E105),6)</f>
        <v>4.2589000000000002E-2</v>
      </c>
      <c r="F106" s="145"/>
    </row>
    <row r="107" spans="1:8" ht="15.75" x14ac:dyDescent="0.25">
      <c r="A107" s="141"/>
      <c r="B107" s="142"/>
      <c r="C107" s="144"/>
      <c r="D107" s="144"/>
      <c r="E107" s="144"/>
      <c r="F107" s="145"/>
    </row>
    <row r="108" spans="1:8" ht="15.75" x14ac:dyDescent="0.25">
      <c r="A108" s="141">
        <v>6</v>
      </c>
      <c r="B108" s="142"/>
      <c r="C108" s="144" t="s">
        <v>28</v>
      </c>
      <c r="D108" s="144"/>
      <c r="E108" s="144">
        <f>E97-E106</f>
        <v>0.95741100000000001</v>
      </c>
      <c r="F108" s="145"/>
      <c r="H108" s="87"/>
    </row>
    <row r="109" spans="1:8" ht="15.75" x14ac:dyDescent="0.25">
      <c r="A109" s="141"/>
      <c r="B109" s="142"/>
      <c r="C109" s="144"/>
      <c r="D109" s="144"/>
      <c r="E109" s="144"/>
      <c r="F109" s="145"/>
      <c r="H109" s="87"/>
    </row>
    <row r="110" spans="1:8" ht="15.75" x14ac:dyDescent="0.25">
      <c r="A110" s="141">
        <v>7</v>
      </c>
      <c r="B110" s="142"/>
      <c r="C110" s="144" t="s">
        <v>159</v>
      </c>
      <c r="D110" s="149"/>
      <c r="E110" s="144">
        <f>E108*0.21</f>
        <v>0.20105630999999999</v>
      </c>
      <c r="F110" s="145"/>
    </row>
    <row r="111" spans="1:8" ht="15.75" x14ac:dyDescent="0.25">
      <c r="A111" s="142"/>
      <c r="B111" s="142"/>
      <c r="C111" s="144"/>
      <c r="D111" s="144"/>
      <c r="E111" s="144"/>
      <c r="F111" s="145"/>
    </row>
    <row r="112" spans="1:8" ht="16.5" thickBot="1" x14ac:dyDescent="0.3">
      <c r="A112" s="141">
        <v>8</v>
      </c>
      <c r="B112" s="142"/>
      <c r="C112" s="144" t="s">
        <v>30</v>
      </c>
      <c r="D112" s="144"/>
      <c r="E112" s="150">
        <f>ROUND(E108-E110,6)</f>
        <v>0.756355</v>
      </c>
      <c r="F112" s="145"/>
    </row>
    <row r="113" spans="1:5" ht="15.75" thickTop="1" x14ac:dyDescent="0.25"/>
    <row r="114" spans="1:5" x14ac:dyDescent="0.25">
      <c r="A114" s="139">
        <v>9</v>
      </c>
      <c r="B114" s="140"/>
      <c r="C114" s="140" t="s">
        <v>44</v>
      </c>
      <c r="D114" s="140"/>
      <c r="E114" s="140">
        <f>ROUND(1/E108,6)</f>
        <v>1.044484</v>
      </c>
    </row>
    <row r="115" spans="1:5" x14ac:dyDescent="0.25">
      <c r="A115" s="140"/>
      <c r="B115" s="140"/>
      <c r="C115" s="140"/>
      <c r="D115" s="140"/>
      <c r="E115" s="140"/>
    </row>
    <row r="116" spans="1:5" x14ac:dyDescent="0.25">
      <c r="A116" s="202" t="s">
        <v>205</v>
      </c>
      <c r="B116" s="140"/>
      <c r="C116" s="140"/>
      <c r="D116" s="140"/>
      <c r="E116" s="140"/>
    </row>
    <row r="117" spans="1:5" x14ac:dyDescent="0.25">
      <c r="A117" s="140"/>
      <c r="B117" s="140"/>
      <c r="C117" s="140"/>
      <c r="D117" s="140"/>
      <c r="E117" s="140"/>
    </row>
  </sheetData>
  <customSheetViews>
    <customSheetView guid="{6A207E9B-31ED-4215-AD4F-ABB2957B65E4}" showPageBreaks="1" printArea="1" hiddenRows="1" topLeftCell="A89">
      <colBreaks count="1" manualBreakCount="1">
        <brk id="6" max="114" man="1"/>
      </colBreaks>
      <pageMargins left="0.7" right="0.7" top="0.75" bottom="0.75" header="0.3" footer="0.3"/>
      <pageSetup orientation="portrait" r:id="rId1"/>
    </customSheetView>
    <customSheetView guid="{5C6B1FA1-B621-4699-B8F7-5011E8FF1BCD}" showPageBreaks="1" printArea="1" hiddenRows="1" topLeftCell="A89">
      <colBreaks count="1" manualBreakCount="1">
        <brk id="6" max="114" man="1"/>
      </colBreaks>
      <pageMargins left="0.7" right="0.7" top="0.75" bottom="0.75" header="0.3" footer="0.3"/>
      <pageSetup orientation="portrait" r:id="rId2"/>
    </customSheetView>
  </customSheetViews>
  <mergeCells count="7">
    <mergeCell ref="A1:E1"/>
    <mergeCell ref="A30:E30"/>
    <mergeCell ref="A92:E92"/>
    <mergeCell ref="A91:E91"/>
    <mergeCell ref="A90:E90"/>
    <mergeCell ref="A89:E89"/>
    <mergeCell ref="A63:E63"/>
  </mergeCells>
  <printOptions horizontalCentered="1"/>
  <pageMargins left="0.7" right="0.7" top="0.75" bottom="0.75" header="0.3" footer="0.3"/>
  <pageSetup firstPageNumber="8" orientation="portrait" useFirstPageNumber="1" r:id="rId3"/>
  <headerFooter scaleWithDoc="0">
    <oddFooter>&amp;CATTACHMENT A&amp;RPage 9 of 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S41"/>
  <sheetViews>
    <sheetView topLeftCell="B25" zoomScaleNormal="100" workbookViewId="0">
      <selection activeCell="I41" sqref="I41"/>
    </sheetView>
  </sheetViews>
  <sheetFormatPr defaultColWidth="8.85546875" defaultRowHeight="15" x14ac:dyDescent="0.25"/>
  <cols>
    <col min="1" max="1" width="2.140625" style="79" customWidth="1"/>
    <col min="2" max="2" width="21.42578125" style="79" customWidth="1"/>
    <col min="3" max="3" width="10.7109375" style="79" customWidth="1"/>
    <col min="4" max="4" width="13.7109375" style="79" customWidth="1"/>
    <col min="5" max="5" width="11.28515625" style="79" customWidth="1"/>
    <col min="6" max="6" width="12.140625" style="79" customWidth="1"/>
    <col min="7" max="7" width="12.85546875" style="79" customWidth="1"/>
    <col min="8" max="8" width="12.7109375" style="79" customWidth="1"/>
    <col min="9" max="10" width="12.28515625" style="79" customWidth="1"/>
    <col min="11" max="11" width="2.5703125" style="79" customWidth="1"/>
    <col min="12" max="12" width="13.28515625" style="79" customWidth="1"/>
    <col min="13" max="13" width="8.140625" style="79" customWidth="1"/>
    <col min="14" max="15" width="8.85546875" style="79"/>
    <col min="16" max="16" width="16.7109375" style="79" bestFit="1" customWidth="1"/>
    <col min="17" max="17" width="31.28515625" style="79" bestFit="1" customWidth="1"/>
    <col min="18" max="18" width="18.85546875" style="79" bestFit="1" customWidth="1"/>
    <col min="19" max="19" width="17.5703125" style="79" bestFit="1" customWidth="1"/>
    <col min="20" max="16384" width="8.85546875" style="79"/>
  </cols>
  <sheetData>
    <row r="1" spans="2:19" x14ac:dyDescent="0.25">
      <c r="B1" s="47" t="s">
        <v>0</v>
      </c>
    </row>
    <row r="2" spans="2:19" x14ac:dyDescent="0.25">
      <c r="B2" s="47" t="s">
        <v>117</v>
      </c>
    </row>
    <row r="3" spans="2:19" x14ac:dyDescent="0.25">
      <c r="B3" s="203" t="s">
        <v>206</v>
      </c>
    </row>
    <row r="4" spans="2:19" ht="15.75" thickBot="1" x14ac:dyDescent="0.3">
      <c r="B4" s="47" t="s">
        <v>46</v>
      </c>
    </row>
    <row r="5" spans="2:19" x14ac:dyDescent="0.25">
      <c r="P5" s="206" t="s">
        <v>216</v>
      </c>
      <c r="Q5" s="207"/>
      <c r="R5" s="207"/>
      <c r="S5" s="208"/>
    </row>
    <row r="6" spans="2:19" x14ac:dyDescent="0.25">
      <c r="D6" s="100" t="s">
        <v>118</v>
      </c>
      <c r="E6" s="100" t="s">
        <v>119</v>
      </c>
      <c r="F6" s="100" t="s">
        <v>120</v>
      </c>
      <c r="G6" s="100" t="s">
        <v>121</v>
      </c>
      <c r="H6" s="100" t="s">
        <v>122</v>
      </c>
      <c r="I6" s="100" t="s">
        <v>122</v>
      </c>
      <c r="J6" s="100" t="s">
        <v>123</v>
      </c>
      <c r="L6" s="100" t="s">
        <v>120</v>
      </c>
      <c r="P6" s="209"/>
      <c r="Q6" s="205"/>
      <c r="R6" s="30"/>
      <c r="S6" s="210"/>
    </row>
    <row r="7" spans="2:19" x14ac:dyDescent="0.25">
      <c r="B7" s="103" t="s">
        <v>124</v>
      </c>
      <c r="C7" s="103" t="s">
        <v>125</v>
      </c>
      <c r="D7" s="100" t="s">
        <v>126</v>
      </c>
      <c r="E7" s="100" t="s">
        <v>118</v>
      </c>
      <c r="F7" s="100" t="s">
        <v>118</v>
      </c>
      <c r="G7" s="100" t="s">
        <v>118</v>
      </c>
      <c r="H7" s="100" t="s">
        <v>118</v>
      </c>
      <c r="I7" s="100" t="s">
        <v>118</v>
      </c>
      <c r="J7" s="100" t="s">
        <v>127</v>
      </c>
      <c r="L7" s="100" t="s">
        <v>128</v>
      </c>
      <c r="P7" s="211"/>
      <c r="Q7" s="30"/>
      <c r="R7" s="30"/>
      <c r="S7" s="210"/>
    </row>
    <row r="8" spans="2:19" x14ac:dyDescent="0.25">
      <c r="B8" s="104" t="s">
        <v>129</v>
      </c>
      <c r="C8" s="104" t="s">
        <v>130</v>
      </c>
      <c r="D8" s="105" t="s">
        <v>131</v>
      </c>
      <c r="E8" s="105" t="s">
        <v>127</v>
      </c>
      <c r="F8" s="105" t="s">
        <v>132</v>
      </c>
      <c r="G8" s="105" t="s">
        <v>158</v>
      </c>
      <c r="H8" s="105" t="s">
        <v>132</v>
      </c>
      <c r="I8" s="105" t="s">
        <v>127</v>
      </c>
      <c r="J8" s="106" t="s">
        <v>133</v>
      </c>
      <c r="L8" s="107" t="s">
        <v>132</v>
      </c>
      <c r="P8" s="209" t="s">
        <v>212</v>
      </c>
      <c r="Q8" s="205" t="s">
        <v>213</v>
      </c>
      <c r="R8" s="30" t="s">
        <v>214</v>
      </c>
      <c r="S8" s="210" t="s">
        <v>209</v>
      </c>
    </row>
    <row r="9" spans="2:19" x14ac:dyDescent="0.25">
      <c r="B9" s="103" t="s">
        <v>134</v>
      </c>
      <c r="C9" s="103" t="s">
        <v>135</v>
      </c>
      <c r="D9" s="103" t="s">
        <v>136</v>
      </c>
      <c r="E9" s="103" t="s">
        <v>137</v>
      </c>
      <c r="F9" s="103" t="s">
        <v>138</v>
      </c>
      <c r="G9" s="103" t="s">
        <v>139</v>
      </c>
      <c r="H9" s="103" t="s">
        <v>140</v>
      </c>
      <c r="I9" s="103" t="s">
        <v>141</v>
      </c>
      <c r="J9" s="107" t="s">
        <v>142</v>
      </c>
      <c r="P9" s="211"/>
      <c r="Q9" s="30"/>
      <c r="R9" s="30"/>
      <c r="S9" s="210"/>
    </row>
    <row r="10" spans="2:19" x14ac:dyDescent="0.25">
      <c r="B10" s="108"/>
      <c r="C10" s="103"/>
      <c r="L10" s="63"/>
      <c r="P10" s="211"/>
      <c r="Q10" s="30"/>
      <c r="R10" s="30"/>
      <c r="S10" s="210"/>
    </row>
    <row r="11" spans="2:19" s="47" customFormat="1" x14ac:dyDescent="0.25">
      <c r="B11" s="129" t="s">
        <v>143</v>
      </c>
      <c r="C11" s="130" t="s">
        <v>144</v>
      </c>
      <c r="D11" s="131">
        <f>SUM('4 13 22 Forecast Usage by Sched'!C8:C19)</f>
        <v>137946984.8505424</v>
      </c>
      <c r="E11" s="173">
        <f>'Earnings Test and 3% Test'!E50</f>
        <v>9.2499999999999995E-3</v>
      </c>
      <c r="F11" s="132">
        <f>D11*E11</f>
        <v>1276009.6098675171</v>
      </c>
      <c r="G11" s="132">
        <f>H11-F11</f>
        <v>4102543.3294551307</v>
      </c>
      <c r="H11" s="133">
        <f>D11*I11</f>
        <v>5378552.9393226476</v>
      </c>
      <c r="I11" s="111">
        <f>'Nat Gas 2022 Rate Calc'!D30</f>
        <v>3.8989999999999997E-2</v>
      </c>
      <c r="J11" s="134">
        <f>ROUND(I11-E11,5)</f>
        <v>2.9739999999999999E-2</v>
      </c>
      <c r="L11" s="170">
        <v>136763579.99197999</v>
      </c>
      <c r="M11" s="51">
        <f>G11/L11</f>
        <v>2.9997337958656171E-2</v>
      </c>
      <c r="P11" s="212">
        <v>2855107</v>
      </c>
      <c r="Q11" s="213">
        <f>P11/L11</f>
        <v>2.0876223042475398E-2</v>
      </c>
      <c r="R11" s="213">
        <f>(P11+G11)/L11</f>
        <v>5.0873561001131572E-2</v>
      </c>
      <c r="S11" s="214">
        <v>2.0650000000000002E-2</v>
      </c>
    </row>
    <row r="12" spans="2:19" x14ac:dyDescent="0.25">
      <c r="B12" s="108"/>
      <c r="C12" s="103"/>
      <c r="E12" s="154"/>
      <c r="F12" s="48"/>
      <c r="G12" s="48"/>
      <c r="H12" s="83"/>
      <c r="I12" s="111"/>
      <c r="J12" s="112"/>
      <c r="L12" s="171"/>
      <c r="M12" s="39"/>
      <c r="P12" s="215"/>
      <c r="Q12" s="30"/>
      <c r="R12" s="30"/>
      <c r="S12" s="210"/>
    </row>
    <row r="13" spans="2:19" x14ac:dyDescent="0.25">
      <c r="B13" s="108" t="s">
        <v>145</v>
      </c>
      <c r="C13" s="113" t="s">
        <v>161</v>
      </c>
      <c r="D13" s="109">
        <f>SUM('4 13 22 Forecast Usage by Sched'!D8:E19)</f>
        <v>58623989.195175663</v>
      </c>
      <c r="E13" s="174">
        <f>'Earnings Test and 3% Test'!F50</f>
        <v>8.1300000000000001E-3</v>
      </c>
      <c r="F13" s="48">
        <f>D13*E13</f>
        <v>476613.03215677815</v>
      </c>
      <c r="G13" s="48">
        <f>H13-F13</f>
        <v>1203550.4981769561</v>
      </c>
      <c r="H13" s="83">
        <f>D13*I13</f>
        <v>1680163.5303337344</v>
      </c>
      <c r="I13" s="111">
        <f>'Nat Gas 2022 Rate Calc'!J30</f>
        <v>2.8659999999999998E-2</v>
      </c>
      <c r="J13" s="112">
        <f>I13-E13</f>
        <v>2.053E-2</v>
      </c>
      <c r="L13" s="171">
        <v>40127787.0575855</v>
      </c>
      <c r="M13" s="39">
        <f>G13/L13</f>
        <v>2.9992944700633437E-2</v>
      </c>
      <c r="P13" s="215">
        <v>712712</v>
      </c>
      <c r="Q13" s="216">
        <f>P13/L13</f>
        <v>1.7761059162749754E-2</v>
      </c>
      <c r="R13" s="216">
        <f>(P13+G13)/L13</f>
        <v>4.7754003863383195E-2</v>
      </c>
      <c r="S13" s="210">
        <v>1.2160000000000001E-2</v>
      </c>
    </row>
    <row r="14" spans="2:19" customFormat="1" x14ac:dyDescent="0.25">
      <c r="E14" s="63"/>
      <c r="L14" s="172"/>
      <c r="P14" s="215"/>
      <c r="Q14" s="217"/>
      <c r="R14" s="217"/>
      <c r="S14" s="210"/>
    </row>
    <row r="15" spans="2:19" x14ac:dyDescent="0.25">
      <c r="B15" s="108" t="s">
        <v>147</v>
      </c>
      <c r="C15" s="113">
        <v>131</v>
      </c>
      <c r="D15" s="116">
        <v>0</v>
      </c>
      <c r="E15" s="174">
        <f>'Earnings Test and 3% Test'!F50</f>
        <v>8.1300000000000001E-3</v>
      </c>
      <c r="F15" s="48">
        <f>D15*E15</f>
        <v>0</v>
      </c>
      <c r="G15" s="48">
        <f>H15-F15</f>
        <v>0</v>
      </c>
      <c r="H15" s="83">
        <f>D15*I15</f>
        <v>0</v>
      </c>
      <c r="I15" s="111">
        <f>I13</f>
        <v>2.8659999999999998E-2</v>
      </c>
      <c r="J15" s="112">
        <f>I15-E15</f>
        <v>2.053E-2</v>
      </c>
      <c r="L15" s="171">
        <v>0</v>
      </c>
      <c r="M15" s="39">
        <v>0</v>
      </c>
      <c r="P15" s="215"/>
      <c r="Q15" s="216"/>
      <c r="R15" s="216"/>
      <c r="S15" s="210"/>
    </row>
    <row r="16" spans="2:19" x14ac:dyDescent="0.25">
      <c r="B16" s="108" t="s">
        <v>147</v>
      </c>
      <c r="C16" s="113">
        <v>132</v>
      </c>
      <c r="D16" s="114" t="s">
        <v>146</v>
      </c>
      <c r="E16" s="110"/>
      <c r="F16" s="48"/>
      <c r="G16" s="48"/>
      <c r="H16" s="83"/>
      <c r="I16" s="111"/>
      <c r="J16" s="112"/>
      <c r="L16" s="171">
        <v>535895.76656386</v>
      </c>
      <c r="M16" s="39">
        <f>G16/L16</f>
        <v>0</v>
      </c>
      <c r="P16" s="215">
        <v>8022</v>
      </c>
      <c r="Q16" s="216">
        <f>P16/L16</f>
        <v>1.4969328926475216E-2</v>
      </c>
      <c r="R16" s="216">
        <f>(P16+G16)/L16</f>
        <v>1.4969328926475216E-2</v>
      </c>
      <c r="S16" s="210">
        <v>8.8100000000000001E-3</v>
      </c>
    </row>
    <row r="17" spans="2:19" x14ac:dyDescent="0.25">
      <c r="B17" s="108" t="s">
        <v>148</v>
      </c>
      <c r="C17" s="113">
        <v>146</v>
      </c>
      <c r="D17" s="114" t="s">
        <v>146</v>
      </c>
      <c r="E17" s="110"/>
      <c r="F17" s="48"/>
      <c r="G17" s="48"/>
      <c r="H17" s="83"/>
      <c r="I17" s="111"/>
      <c r="J17" s="112"/>
      <c r="L17" s="171">
        <v>3256118.9124900005</v>
      </c>
      <c r="M17" s="39">
        <f>G17/L17</f>
        <v>0</v>
      </c>
      <c r="P17" s="211"/>
      <c r="Q17" s="30"/>
      <c r="R17" s="30"/>
      <c r="S17" s="210"/>
    </row>
    <row r="18" spans="2:19" ht="26.25" x14ac:dyDescent="0.25">
      <c r="B18" s="115" t="s">
        <v>149</v>
      </c>
      <c r="C18" s="113">
        <v>148</v>
      </c>
      <c r="D18" s="114" t="s">
        <v>146</v>
      </c>
      <c r="E18" s="110"/>
      <c r="F18" s="48"/>
      <c r="G18" s="48"/>
      <c r="H18" s="83"/>
      <c r="I18" s="111"/>
      <c r="J18" s="112"/>
      <c r="L18" s="171">
        <v>1523414.3262682771</v>
      </c>
      <c r="M18" s="39">
        <v>0</v>
      </c>
      <c r="P18" s="211"/>
      <c r="Q18" s="30"/>
      <c r="R18" s="30"/>
      <c r="S18" s="210"/>
    </row>
    <row r="19" spans="2:19" x14ac:dyDescent="0.25">
      <c r="B19" s="108"/>
      <c r="C19" s="103"/>
      <c r="L19" s="62"/>
      <c r="M19" s="39"/>
      <c r="P19" s="211"/>
      <c r="Q19" s="30"/>
      <c r="R19" s="30"/>
      <c r="S19" s="210"/>
    </row>
    <row r="20" spans="2:19" x14ac:dyDescent="0.25">
      <c r="B20" s="117" t="s">
        <v>60</v>
      </c>
      <c r="C20" s="103"/>
      <c r="D20" s="109">
        <f>SUM(D11:D15)</f>
        <v>196570974.04571807</v>
      </c>
      <c r="F20" s="83">
        <f>SUM(F11:F15)</f>
        <v>1752622.6420242954</v>
      </c>
      <c r="G20" s="83">
        <f>SUM(G11:G15)</f>
        <v>5306093.8276320864</v>
      </c>
      <c r="H20" s="83">
        <f>SUM(H11:H15)</f>
        <v>7058716.4696563818</v>
      </c>
      <c r="L20" s="118">
        <f>SUM(L11:L18)</f>
        <v>182206796.05488765</v>
      </c>
      <c r="M20" s="39">
        <f>G20/L20</f>
        <v>2.9121272875209814E-2</v>
      </c>
      <c r="P20" s="211"/>
      <c r="Q20" s="30"/>
      <c r="R20" s="30"/>
      <c r="S20" s="210"/>
    </row>
    <row r="21" spans="2:19" x14ac:dyDescent="0.25">
      <c r="B21" s="117"/>
      <c r="C21" s="103"/>
      <c r="D21" s="109"/>
      <c r="F21" s="83"/>
      <c r="G21" s="83"/>
      <c r="H21" s="83"/>
      <c r="L21" s="118"/>
      <c r="M21" s="39"/>
      <c r="P21" s="211"/>
      <c r="Q21" s="30"/>
      <c r="R21" s="30"/>
      <c r="S21" s="210"/>
    </row>
    <row r="22" spans="2:19" s="47" customFormat="1" x14ac:dyDescent="0.25">
      <c r="B22" s="47" t="s">
        <v>150</v>
      </c>
      <c r="D22" s="131">
        <f>D13+D15</f>
        <v>58623989.195175663</v>
      </c>
      <c r="F22" s="133">
        <f>F13+F15</f>
        <v>476613.03215677815</v>
      </c>
      <c r="G22" s="133">
        <f>G13+G15</f>
        <v>1203550.4981769561</v>
      </c>
      <c r="H22" s="133">
        <f>H13+H15</f>
        <v>1680163.5303337344</v>
      </c>
      <c r="L22" s="133">
        <f>L13+L15</f>
        <v>40127787.0575855</v>
      </c>
      <c r="M22" s="51">
        <f>G22/L22</f>
        <v>2.9992944700633437E-2</v>
      </c>
      <c r="P22" s="218"/>
      <c r="Q22" s="219"/>
      <c r="R22" s="219"/>
      <c r="S22" s="214"/>
    </row>
    <row r="23" spans="2:19" x14ac:dyDescent="0.25">
      <c r="P23" s="211"/>
      <c r="Q23" s="30"/>
      <c r="R23" s="30"/>
      <c r="S23" s="210"/>
    </row>
    <row r="24" spans="2:19" x14ac:dyDescent="0.25">
      <c r="B24"/>
      <c r="C24"/>
      <c r="D24"/>
      <c r="E24"/>
      <c r="G24" s="39"/>
      <c r="H24" s="100" t="s">
        <v>151</v>
      </c>
      <c r="J24" s="176" t="s">
        <v>165</v>
      </c>
      <c r="K24" s="119"/>
      <c r="P24" s="211"/>
      <c r="Q24" s="34" t="s">
        <v>151</v>
      </c>
      <c r="R24" s="30"/>
      <c r="S24" s="220" t="s">
        <v>165</v>
      </c>
    </row>
    <row r="25" spans="2:19" x14ac:dyDescent="0.25">
      <c r="B25"/>
      <c r="C25"/>
      <c r="D25"/>
      <c r="E25"/>
      <c r="G25" s="120"/>
      <c r="H25" s="121" t="s">
        <v>152</v>
      </c>
      <c r="I25" s="175">
        <v>9.5</v>
      </c>
      <c r="J25" s="122">
        <f>I25</f>
        <v>9.5</v>
      </c>
      <c r="K25" s="119"/>
      <c r="L25" s="95"/>
      <c r="P25" s="211"/>
      <c r="Q25" s="34" t="s">
        <v>152</v>
      </c>
      <c r="R25" s="221">
        <v>9.5</v>
      </c>
      <c r="S25" s="222">
        <f>R25</f>
        <v>9.5</v>
      </c>
    </row>
    <row r="26" spans="2:19" x14ac:dyDescent="0.25">
      <c r="B26"/>
      <c r="C26"/>
      <c r="D26"/>
      <c r="E26"/>
      <c r="G26" s="39"/>
      <c r="H26" s="121" t="s">
        <v>153</v>
      </c>
      <c r="I26" s="166">
        <v>0.82621</v>
      </c>
      <c r="J26" s="128">
        <f>ROUND(67*I26,2)</f>
        <v>55.36</v>
      </c>
      <c r="L26" s="50"/>
      <c r="P26" s="211"/>
      <c r="Q26" s="34" t="s">
        <v>153</v>
      </c>
      <c r="R26" s="223">
        <v>0.82621</v>
      </c>
      <c r="S26" s="224">
        <f>ROUND(67*R26,2)</f>
        <v>55.36</v>
      </c>
    </row>
    <row r="27" spans="2:19" x14ac:dyDescent="0.25">
      <c r="B27"/>
      <c r="C27"/>
      <c r="D27"/>
      <c r="E27"/>
      <c r="H27" s="121" t="s">
        <v>154</v>
      </c>
      <c r="I27" s="166">
        <v>0.94918999999999998</v>
      </c>
      <c r="J27" s="122">
        <f>ROUND(0*I27,2)</f>
        <v>0</v>
      </c>
      <c r="L27" s="50"/>
      <c r="P27" s="211"/>
      <c r="Q27" s="34" t="s">
        <v>154</v>
      </c>
      <c r="R27" s="223">
        <v>0.94918999999999998</v>
      </c>
      <c r="S27" s="222">
        <f>ROUND(0*R27,2)</f>
        <v>0</v>
      </c>
    </row>
    <row r="28" spans="2:19" x14ac:dyDescent="0.25">
      <c r="B28"/>
      <c r="C28"/>
      <c r="D28"/>
      <c r="E28"/>
      <c r="H28" s="100" t="s">
        <v>178</v>
      </c>
      <c r="J28" s="123">
        <f>SUM(J25:J27)</f>
        <v>64.86</v>
      </c>
      <c r="P28" s="211"/>
      <c r="Q28" s="34" t="s">
        <v>178</v>
      </c>
      <c r="R28" s="30"/>
      <c r="S28" s="225">
        <f>SUM(S25:S27)</f>
        <v>64.86</v>
      </c>
    </row>
    <row r="29" spans="2:19" x14ac:dyDescent="0.25">
      <c r="B29"/>
      <c r="C29"/>
      <c r="D29"/>
      <c r="E29"/>
      <c r="H29" s="121" t="s">
        <v>155</v>
      </c>
      <c r="I29" s="112">
        <f>J11</f>
        <v>2.9739999999999999E-2</v>
      </c>
      <c r="J29" s="122">
        <f>ROUND(I29*67,2)</f>
        <v>1.99</v>
      </c>
      <c r="P29" s="211"/>
      <c r="Q29" s="34" t="s">
        <v>210</v>
      </c>
      <c r="R29" s="226">
        <f>S11</f>
        <v>2.0650000000000002E-2</v>
      </c>
      <c r="S29" s="222">
        <f>ROUND(R29*67,2)</f>
        <v>1.38</v>
      </c>
    </row>
    <row r="30" spans="2:19" x14ac:dyDescent="0.25">
      <c r="B30"/>
      <c r="C30"/>
      <c r="D30"/>
      <c r="E30"/>
      <c r="H30" s="100" t="s">
        <v>156</v>
      </c>
      <c r="J30" s="123">
        <f>J28+J29</f>
        <v>66.849999999999994</v>
      </c>
      <c r="P30" s="211"/>
      <c r="Q30" s="34" t="s">
        <v>211</v>
      </c>
      <c r="R30" s="226">
        <f>I29</f>
        <v>2.9739999999999999E-2</v>
      </c>
      <c r="S30" s="222">
        <f>ROUND(R30*67,2)</f>
        <v>1.99</v>
      </c>
    </row>
    <row r="31" spans="2:19" x14ac:dyDescent="0.25">
      <c r="B31"/>
      <c r="C31"/>
      <c r="D31"/>
      <c r="E31"/>
      <c r="H31" s="100" t="s">
        <v>160</v>
      </c>
      <c r="J31" s="39">
        <f>J29/J28</f>
        <v>3.0681467776749922E-2</v>
      </c>
      <c r="L31" s="119"/>
      <c r="P31" s="211"/>
      <c r="Q31" s="34" t="s">
        <v>156</v>
      </c>
      <c r="R31" s="30"/>
      <c r="S31" s="225">
        <f>S28+S29+S30</f>
        <v>68.22999999999999</v>
      </c>
    </row>
    <row r="32" spans="2:19" x14ac:dyDescent="0.25">
      <c r="B32"/>
      <c r="C32"/>
      <c r="D32"/>
      <c r="E32"/>
      <c r="J32" s="124"/>
      <c r="P32" s="211"/>
      <c r="Q32" s="34" t="s">
        <v>160</v>
      </c>
      <c r="R32" s="30"/>
      <c r="S32" s="227">
        <f>(S31-S28)/S28</f>
        <v>5.1958063521430627E-2</v>
      </c>
    </row>
    <row r="33" spans="2:19" x14ac:dyDescent="0.25">
      <c r="B33"/>
      <c r="C33"/>
      <c r="D33"/>
      <c r="E33"/>
      <c r="J33" s="124"/>
      <c r="P33" s="211"/>
      <c r="Q33" s="30"/>
      <c r="R33" s="30"/>
      <c r="S33" s="210"/>
    </row>
    <row r="34" spans="2:19" x14ac:dyDescent="0.25">
      <c r="B34"/>
      <c r="C34"/>
      <c r="D34"/>
      <c r="E34"/>
      <c r="J34" s="95"/>
      <c r="P34" s="211"/>
      <c r="Q34" s="30"/>
      <c r="R34" s="30"/>
      <c r="S34" s="210"/>
    </row>
    <row r="35" spans="2:19" x14ac:dyDescent="0.25">
      <c r="B35"/>
      <c r="C35"/>
      <c r="D35"/>
      <c r="E35"/>
      <c r="L35" s="39"/>
      <c r="P35" s="211"/>
      <c r="Q35" s="34" t="s">
        <v>215</v>
      </c>
      <c r="R35" s="30"/>
      <c r="S35" s="210"/>
    </row>
    <row r="36" spans="2:19" x14ac:dyDescent="0.25">
      <c r="B36"/>
      <c r="C36"/>
      <c r="D36"/>
      <c r="E36"/>
      <c r="P36" s="211"/>
      <c r="Q36" s="34" t="s">
        <v>153</v>
      </c>
      <c r="R36" s="228">
        <f>R26+R29+R30</f>
        <v>0.87659999999999993</v>
      </c>
      <c r="S36" s="210"/>
    </row>
    <row r="37" spans="2:19" ht="15.75" thickBot="1" x14ac:dyDescent="0.3">
      <c r="B37"/>
      <c r="C37"/>
      <c r="D37"/>
      <c r="E37"/>
      <c r="P37" s="229"/>
      <c r="Q37" s="230" t="s">
        <v>154</v>
      </c>
      <c r="R37" s="231">
        <f>R27+R29+R30</f>
        <v>0.99958000000000002</v>
      </c>
      <c r="S37" s="232"/>
    </row>
    <row r="38" spans="2:19" x14ac:dyDescent="0.25">
      <c r="B38"/>
      <c r="C38"/>
      <c r="D38"/>
      <c r="E38"/>
    </row>
    <row r="39" spans="2:19" x14ac:dyDescent="0.25">
      <c r="B39"/>
      <c r="C39"/>
      <c r="D39"/>
      <c r="E39"/>
    </row>
    <row r="40" spans="2:19" x14ac:dyDescent="0.25">
      <c r="B40"/>
      <c r="C40"/>
      <c r="D40"/>
      <c r="E40"/>
    </row>
    <row r="41" spans="2:19" x14ac:dyDescent="0.25">
      <c r="B41"/>
      <c r="C41"/>
      <c r="D41"/>
      <c r="E41"/>
    </row>
  </sheetData>
  <printOptions horizontalCentered="1"/>
  <pageMargins left="0.45" right="0.45" top="0.75" bottom="0.75" header="0.3" footer="0.55000000000000004"/>
  <pageSetup scale="75" firstPageNumber="9" orientation="landscape" useFirstPageNumber="1" r:id="rId1"/>
  <headerFooter scaleWithDoc="0">
    <oddFooter>&amp;CATTACHMENT A&amp;RPage 10 of 10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F67154EC33D1441B32B382EA90D81B0" ma:contentTypeVersion="20" ma:contentTypeDescription="" ma:contentTypeScope="" ma:versionID="6939e03ff0732c41baa6c0553a9607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2022-05-27T07:00:00+00:00</OpenedDate>
    <SignificantOrder xmlns="dc463f71-b30c-4ab2-9473-d307f9d35888">false</SignificantOrder>
    <Date1 xmlns="dc463f71-b30c-4ab2-9473-d307f9d35888">2022-05-27T07:00:00+00:00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220379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E58BA8B-185F-47DA-B3F9-E88B8A143936}"/>
</file>

<file path=customXml/itemProps2.xml><?xml version="1.0" encoding="utf-8"?>
<ds:datastoreItem xmlns:ds="http://schemas.openxmlformats.org/officeDocument/2006/customXml" ds:itemID="{0BF80F1D-3987-40B1-9963-BCE99FAAB816}"/>
</file>

<file path=customXml/itemProps3.xml><?xml version="1.0" encoding="utf-8"?>
<ds:datastoreItem xmlns:ds="http://schemas.openxmlformats.org/officeDocument/2006/customXml" ds:itemID="{757CDBDF-2E9C-4DDD-AC64-669D796E54C8}"/>
</file>

<file path=customXml/itemProps4.xml><?xml version="1.0" encoding="utf-8"?>
<ds:datastoreItem xmlns:ds="http://schemas.openxmlformats.org/officeDocument/2006/customXml" ds:itemID="{29998017-2570-4161-AAED-84735A56E7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4 13 22 Forecast Usage by Sched</vt:lpstr>
      <vt:lpstr>Nat Gas 2022 Rate Calc</vt:lpstr>
      <vt:lpstr>Prior Year Amortization</vt:lpstr>
      <vt:lpstr>Earnings Test and 3% Test</vt:lpstr>
      <vt:lpstr>DSM Adjustment</vt:lpstr>
      <vt:lpstr>Conversion Factors</vt:lpstr>
      <vt:lpstr>Bill Impact</vt:lpstr>
      <vt:lpstr>'Bill Impact'!Print_Area</vt:lpstr>
      <vt:lpstr>'Conversion Factors'!Print_Area</vt:lpstr>
      <vt:lpstr>'Earnings Test and 3% Test'!Print_Area</vt:lpstr>
      <vt:lpstr>'Nat Gas 2022 Rate Calc'!Print_Area</vt:lpstr>
      <vt:lpstr>'Prior Year Amortization'!Print_Area</vt:lpstr>
      <vt:lpstr>'Earnings Test and 3% Test'!Print_Titles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2022-05-25T17:08:56Z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0x0101006E56B4D1795A2E4DB2F0B01679ED314A00AF67154EC33D1441B32B382EA90D81B0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