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4\FSC CRD G-51 12.01.2024\"/>
    </mc:Choice>
  </mc:AlternateContent>
  <xr:revisionPtr revIDLastSave="0" documentId="13_ncr:1_{E3889F53-F72E-45E9-BB64-0CFAC0F1DDB2}" xr6:coauthVersionLast="47" xr6:coauthVersionMax="47" xr10:uidLastSave="{00000000-0000-0000-0000-000000000000}"/>
  <workbookProtection workbookAlgorithmName="SHA-512" workbookHashValue="hTA2JhKwh0O+2iZ/kG58SLWcnSFmpW/wWO5VTemGskb0/DfQd7DA8Ch1sUtngM/xIoyqHgPfS3AmIFARsriWQQ==" workbookSaltValue="5AkjfpsmnrT/k+5RkMw81Q=="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tc={6DA62130-AF84-48A7-BCEF-57056C4262BD}</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6" authorId="8" shapeId="0" xr:uid="{6DA62130-AF84-48A7-BCEF-57056C4262BD}">
      <text>
        <t>[Threaded comment]
Your version of Excel allows you to read this threaded comment; however, any edits to it will get removed if the file is opened in a newer version of Excel. Learn more: https://go.microsoft.com/fwlink/?linkid=870924
Comment:
    Diesel only; CNG not included</t>
      </text>
    </comment>
    <comment ref="D68" authorId="9"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<sst xmlns="http://schemas.openxmlformats.org/spreadsheetml/2006/main" count="609" uniqueCount="293">
  <si>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</si>
  <si>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</si>
  <si>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</si>
  <si>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</si>
  <si>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</si>
  <si>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</si>
  <si>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</si>
  <si>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</si>
  <si>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</si>
  <si>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</si>
  <si>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</si>
  <si>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</si>
  <si>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</si>
  <si>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</si>
  <si>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</si>
  <si>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</si>
  <si>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</si>
  <si>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</si>
  <si>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</si>
  <si>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</si>
  <si>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</si>
  <si>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</si>
  <si>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</si>
  <si>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</si>
  <si>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</si>
  <si>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</si>
  <si>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</si>
  <si>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</si>
  <si>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</si>
  <si>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</si>
  <si>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</si>
  <si>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</si>
  <si>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</si>
  <si>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</si>
  <si>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</si>
  <si>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</si>
  <si>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</si>
  <si>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</si>
  <si>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</si>
  <si>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</si>
  <si>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</si>
  <si>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</si>
  <si>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</si>
  <si>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</si>
  <si>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</si>
  <si>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</si>
  <si>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</si>
  <si>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</si>
  <si>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</si>
  <si>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</si>
  <si>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</si>
  <si>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</si>
  <si>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</si>
  <si>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</si>
  <si>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</si>
  <si>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</si>
  <si>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</si>
  <si>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</si>
  <si>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</si>
  <si>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</si>
  <si>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</si>
  <si>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</si>
  <si>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</si>
  <si>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</si>
  <si>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</si>
  <si>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</si>
  <si>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</si>
  <si>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</si>
  <si>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</si>
  <si>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</si>
  <si>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</si>
  <si>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</si>
  <si>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</si>
  <si>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</si>
  <si>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</si>
  <si>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</si>
  <si>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</si>
  <si>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</si>
  <si>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</si>
  <si>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</si>
  <si>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</si>
  <si>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</si>
  <si>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</si>
  <si>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</si>
  <si>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</si>
  <si>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</si>
  <si>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</si>
  <si>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</si>
  <si>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</si>
  <si>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</si>
  <si>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</si>
  <si>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</si>
  <si>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</si>
  <si>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</si>
  <si>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</si>
  <si>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</si>
  <si>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</si>
  <si>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</si>
  <si>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</si>
  <si>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</si>
  <si>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</si>
  <si>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</si>
  <si>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</si>
  <si>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</si>
  <si>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</si>
  <si>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</si>
  <si>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</si>
  <si>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</si>
  <si>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</si>
  <si>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</si>
  <si>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</si>
  <si>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</si>
  <si>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</si>
  <si>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</si>
  <si>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</si>
  <si>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</si>
  <si>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</si>
  <si>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</si>
  <si>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</si>
  <si>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</si>
  <si>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</si>
  <si>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</si>
  <si>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</si>
  <si>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</si>
  <si>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</si>
  <si>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</si>
  <si>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</si>
  <si>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</si>
  <si>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</si>
  <si>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</si>
  <si>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</si>
  <si>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</si>
  <si>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</si>
  <si>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</si>
  <si>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</si>
  <si>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</si>
  <si>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</si>
  <si>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</si>
  <si>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</si>
  <si>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</si>
  <si>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</si>
  <si>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</si>
  <si>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</si>
  <si>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</si>
  <si>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</si>
  <si>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</si>
  <si>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</si>
  <si>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</si>
  <si>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</si>
  <si>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</si>
  <si>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</si>
  <si>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</si>
  <si>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</si>
  <si>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</si>
  <si>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</si>
  <si>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</si>
  <si>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</si>
  <si>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</si>
  <si>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</si>
  <si>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</si>
  <si>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</si>
  <si>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</si>
  <si>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</si>
  <si>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</si>
  <si>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</si>
  <si>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</si>
  <si>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</si>
  <si>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</si>
  <si>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</si>
  <si>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</si>
  <si>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</si>
  <si>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</si>
  <si>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</si>
  <si>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</si>
  <si>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</si>
  <si>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</si>
  <si>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</si>
  <si>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</si>
  <si>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</si>
  <si>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</si>
  <si>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</si>
  <si>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</si>
  <si>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</si>
  <si>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</si>
  <si>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</si>
  <si>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</si>
  <si>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</si>
  <si>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</si>
  <si>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</si>
  <si>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</si>
  <si>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</si>
  <si>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</si>
  <si>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</si>
  <si>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</si>
  <si>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</si>
  <si>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</si>
  <si>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</si>
  <si>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</si>
  <si>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</si>
  <si>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</si>
  <si>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</si>
  <si>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</si>
  <si>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</si>
  <si>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</si>
  <si>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</si>
  <si>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</si>
  <si>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</si>
  <si>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</si>
  <si>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</si>
  <si>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</si>
  <si>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</si>
  <si>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</si>
  <si>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</si>
  <si>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</si>
  <si>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</si>
  <si>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</si>
  <si>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</si>
  <si>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</si>
  <si>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</si>
  <si>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</si>
  <si>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</si>
  <si>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</si>
  <si>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</si>
  <si>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</si>
  <si>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</si>
  <si>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</si>
  <si>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</si>
  <si>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</si>
  <si>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</si>
  <si>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</si>
  <si>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</si>
  <si>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</si>
  <si>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</si>
  <si>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</si>
  <si>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</si>
  <si>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</si>
  <si>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</si>
  <si>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</si>
  <si>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</si>
  <si>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</si>
  <si>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</si>
  <si>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</si>
  <si>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</si>
  <si>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</si>
  <si>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</si>
  <si>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</si>
  <si>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</si>
  <si>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</si>
  <si>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</si>
  <si>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</si>
  <si>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</si>
  <si>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</si>
  <si>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</si>
  <si>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</si>
  <si>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</si>
  <si>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</si>
  <si>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</si>
  <si>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</si>
  <si>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</si>
  <si>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</si>
  <si>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</si>
  <si>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</si>
  <si>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</si>
  <si>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</si>
  <si>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</si>
  <si>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</si>
  <si>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</si>
  <si>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</si>
  <si>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</si>
  <si>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</si>
  <si>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</si>
  <si>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</si>
  <si>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</si>
  <si>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</si>
  <si>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</si>
  <si>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</si>
  <si>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</si>
  <si>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</si>
  <si>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</si>
  <si>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</si>
  <si>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</si>
  <si>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</si>
  <si>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</si>
  <si>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</si>
  <si>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</si>
  <si>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</si>
  <si>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</si>
  <si>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</si>
  <si>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</si>
  <si>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</si>
  <si>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</si>
  <si>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Kent-Meridian Disposal Company formerly Fiorito Enterprises, G-60</t>
  </si>
  <si>
    <t>2023 Annual Report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</si>
</sst>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3">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178" fontId="0" fillId="0" borderId="0" xfId="0" applyNumberFormat="1" applyProtection="1">
      <protection hidden="1"/>
    </xf>
    <xf numFmtId="178" fontId="0" fillId="0" borderId="0" xfId="1" applyNumberFormat="1" applyFont="1" applyProtection="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 ref="D66" dT="2024-11-13T18:16:23.11" personId="{24E6BDF7-E4F2-429E-A03E-2CAFF6201FC6}" id="{6DA62130-AF84-48A7-BCEF-57056C4262BD}">
    <text>Diesel only; CNG not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A7" sqref="A7:F7"/>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8" t="s">
        <v>0</v>
      </c>
      <c r="B1" s="228"/>
      <c r="C1" s="228"/>
      <c r="D1" s="228"/>
      <c r="E1" s="228"/>
      <c r="F1" s="228"/>
    </row>
    <row r="2" spans="1:6" ht="26.25" customHeight="1" x14ac:dyDescent="0.2">
      <c r="A2" s="241" t="s">
        <v>1</v>
      </c>
      <c r="B2" s="242"/>
      <c r="C2" s="58" t="s">
        <v>2</v>
      </c>
      <c r="D2" s="238" t="s">
        <v>168</v>
      </c>
      <c r="E2" s="238"/>
      <c r="F2" s="238"/>
    </row>
    <row r="3" spans="1:6" ht="5.25" customHeight="1" x14ac:dyDescent="0.2">
      <c r="A3" s="243"/>
      <c r="B3" s="244"/>
      <c r="C3" s="59"/>
      <c r="D3" s="59"/>
      <c r="F3" s="59"/>
    </row>
    <row r="4" spans="1:6" x14ac:dyDescent="0.2">
      <c r="A4" s="243"/>
      <c r="B4" s="244"/>
      <c r="C4" s="60" t="s">
        <v>4</v>
      </c>
      <c r="D4" s="240">
        <v>45627</v>
      </c>
      <c r="E4" s="240"/>
      <c r="F4" s="240"/>
    </row>
    <row r="5" spans="1:6" ht="5.25" customHeight="1" x14ac:dyDescent="0.2">
      <c r="A5" s="243"/>
      <c r="B5" s="244"/>
      <c r="C5" s="59"/>
      <c r="D5" s="59"/>
      <c r="F5" s="59"/>
    </row>
    <row r="6" spans="1:6" x14ac:dyDescent="0.2">
      <c r="A6" s="243"/>
      <c r="B6" s="244"/>
      <c r="C6" s="60" t="s">
        <v>5</v>
      </c>
      <c r="D6" s="251">
        <v>111551</v>
      </c>
      <c r="E6" s="251"/>
      <c r="F6" s="251"/>
    </row>
    <row r="7" spans="1:6" x14ac:dyDescent="0.2">
      <c r="A7" s="245"/>
      <c r="B7" s="245"/>
      <c r="C7" s="245"/>
      <c r="D7" s="245"/>
      <c r="E7" s="245"/>
      <c r="F7" s="245"/>
    </row>
    <row r="8" spans="1:6" ht="28.5" customHeight="1" x14ac:dyDescent="0.2">
      <c r="A8" s="241" t="s">
        <v>6</v>
      </c>
      <c r="B8" s="242"/>
      <c r="C8" s="61" t="s">
        <v>7</v>
      </c>
      <c r="D8" s="253">
        <f>IF(AND(D2&gt;"", D4&gt;0, D6&gt;0), F45, 0)</f>
        <v>7.5212299999999985E-3</v>
      </c>
      <c r="E8" s="253"/>
      <c r="F8" s="253"/>
    </row>
    <row r="9" spans="1:6" ht="5.25" customHeight="1" x14ac:dyDescent="0.2">
      <c r="A9" s="243"/>
      <c r="B9" s="244"/>
      <c r="C9" s="62"/>
      <c r="D9" s="62"/>
      <c r="E9" s="62"/>
      <c r="F9" s="62"/>
    </row>
    <row r="10" spans="1:6" ht="29.25" customHeight="1" x14ac:dyDescent="0.2">
      <c r="A10" s="243"/>
      <c r="B10" s="244"/>
      <c r="C10" s="61" t="s">
        <v>8</v>
      </c>
      <c r="D10" s="239">
        <f>IF(AND(D2&gt;"", D4&gt;0, D6&gt;0), IF(F45&lt;F61, F45,F61), 0)</f>
        <v>1.8598541450099023E-3</v>
      </c>
      <c r="E10" s="239"/>
      <c r="F10" s="239"/>
    </row>
    <row r="11" spans="1:6" ht="5.25" customHeight="1" x14ac:dyDescent="0.2">
      <c r="A11" s="243"/>
      <c r="B11" s="244"/>
      <c r="C11" s="62"/>
      <c r="D11" s="62"/>
      <c r="E11" s="62"/>
      <c r="F11" s="62"/>
    </row>
    <row r="12" spans="1:6" ht="39" customHeight="1" x14ac:dyDescent="0.2">
      <c r="A12" s="243"/>
      <c r="B12" s="244"/>
      <c r="C12" s="252"/>
      <c r="D12" s="252"/>
      <c r="E12" s="252"/>
      <c r="F12" s="252"/>
    </row>
    <row r="13" spans="1:6" x14ac:dyDescent="0.2">
      <c r="A13" s="63"/>
      <c r="B13" s="64"/>
      <c r="C13" s="64"/>
      <c r="D13" s="65"/>
      <c r="E13" s="63"/>
      <c r="F13" s="63"/>
    </row>
    <row r="14" spans="1:6" ht="25.5" x14ac:dyDescent="0.2">
      <c r="A14" s="66" t="s">
        <v>9</v>
      </c>
      <c r="B14" s="59"/>
      <c r="C14" s="60"/>
      <c r="D14" s="59"/>
      <c r="F14" s="59"/>
    </row>
    <row r="15" spans="1:6" x14ac:dyDescent="0.2">
      <c r="A15" s="59">
        <v>1</v>
      </c>
      <c r="B15" s="229" t="s">
        <v>10</v>
      </c>
      <c r="C15" s="230"/>
      <c r="D15" s="230"/>
      <c r="E15" s="230"/>
      <c r="F15" s="231"/>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32" t="s">
        <v>18</v>
      </c>
      <c r="C24" s="233"/>
      <c r="D24" s="233"/>
      <c r="E24" s="233"/>
      <c r="F24" s="234"/>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32" t="s">
        <v>27</v>
      </c>
      <c r="C31" s="233"/>
      <c r="D31" s="233"/>
      <c r="E31" s="233"/>
      <c r="F31" s="234"/>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3.7909999999999999</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0.95400000000000018</v>
      </c>
    </row>
    <row r="35" spans="1:6" x14ac:dyDescent="0.2">
      <c r="A35" s="59">
        <v>21</v>
      </c>
      <c r="C35" s="69" t="s">
        <v>33</v>
      </c>
      <c r="E35" s="59" t="s">
        <v>21</v>
      </c>
      <c r="F35" s="77">
        <f>+F33</f>
        <v>2.8369999999999997</v>
      </c>
    </row>
    <row r="36" spans="1:6" x14ac:dyDescent="0.2">
      <c r="A36" s="59">
        <v>22</v>
      </c>
      <c r="C36" s="57" t="s">
        <v>34</v>
      </c>
      <c r="E36" s="59" t="s">
        <v>23</v>
      </c>
      <c r="F36" s="71">
        <f>F34/F35</f>
        <v>0.33627070849488905</v>
      </c>
    </row>
    <row r="37" spans="1:6" x14ac:dyDescent="0.2">
      <c r="A37" s="59">
        <v>23</v>
      </c>
      <c r="C37" s="57" t="s">
        <v>24</v>
      </c>
      <c r="E37" s="59" t="s">
        <v>25</v>
      </c>
      <c r="F37" s="72">
        <v>100</v>
      </c>
    </row>
    <row r="38" spans="1:6" x14ac:dyDescent="0.2">
      <c r="A38" s="59">
        <v>24</v>
      </c>
      <c r="C38" s="57" t="s">
        <v>35</v>
      </c>
      <c r="E38" s="59" t="s">
        <v>23</v>
      </c>
      <c r="F38" s="73">
        <f>ROUND(F36,4)</f>
        <v>0.33629999999999999</v>
      </c>
    </row>
    <row r="39" spans="1:6" x14ac:dyDescent="0.2">
      <c r="A39" s="59">
        <v>25</v>
      </c>
    </row>
    <row r="40" spans="1:6" ht="56.25" customHeight="1" x14ac:dyDescent="0.2">
      <c r="A40" s="78">
        <v>26</v>
      </c>
      <c r="B40" s="235" t="s">
        <v>36</v>
      </c>
      <c r="C40" s="236"/>
      <c r="D40" s="236"/>
      <c r="E40" s="236"/>
      <c r="F40" s="237"/>
    </row>
    <row r="41" spans="1:6" x14ac:dyDescent="0.2">
      <c r="A41" s="59">
        <v>27</v>
      </c>
      <c r="C41" s="69" t="s">
        <v>37</v>
      </c>
      <c r="F41" s="79">
        <f>F29</f>
        <v>5.21E-2</v>
      </c>
    </row>
    <row r="42" spans="1:6" x14ac:dyDescent="0.2">
      <c r="A42" s="59">
        <v>28</v>
      </c>
      <c r="C42" s="69" t="s">
        <v>38</v>
      </c>
      <c r="E42" s="59" t="s">
        <v>25</v>
      </c>
      <c r="F42" s="80">
        <f>F38</f>
        <v>0.33629999999999999</v>
      </c>
    </row>
    <row r="43" spans="1:6" x14ac:dyDescent="0.2">
      <c r="A43" s="59">
        <v>29</v>
      </c>
      <c r="B43" s="57" t="s">
        <v>39</v>
      </c>
      <c r="C43" s="57" t="s">
        <v>40</v>
      </c>
      <c r="E43" s="59" t="s">
        <v>23</v>
      </c>
      <c r="F43" s="79">
        <f>F42*F41</f>
        <v>1.7521229999999999E-2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7.5212299999999985E-3</v>
      </c>
    </row>
    <row r="46" spans="1:6" ht="13.5" thickTop="1" x14ac:dyDescent="0.2">
      <c r="A46" s="59">
        <v>32</v>
      </c>
      <c r="C46" s="69"/>
    </row>
    <row r="47" spans="1:6" ht="64.5" customHeight="1" x14ac:dyDescent="0.2">
      <c r="A47" s="78">
        <v>33</v>
      </c>
      <c r="B47" s="248" t="s">
        <v>43</v>
      </c>
      <c r="C47" s="249"/>
      <c r="D47" s="249"/>
      <c r="E47" s="249"/>
      <c r="F47" s="250"/>
    </row>
    <row r="48" spans="1:6" x14ac:dyDescent="0.2">
      <c r="A48" s="59">
        <v>34</v>
      </c>
      <c r="C48" s="57" t="s">
        <v>44</v>
      </c>
      <c r="F48" s="79">
        <f>F45</f>
        <v>7.5212299999999985E-3</v>
      </c>
    </row>
    <row r="49" spans="1:7" x14ac:dyDescent="0.2">
      <c r="A49" s="59">
        <v>35</v>
      </c>
      <c r="C49" s="57" t="s">
        <v>45</v>
      </c>
      <c r="E49" s="59" t="s">
        <v>25</v>
      </c>
      <c r="F49" s="70">
        <f>F16</f>
        <v>100951</v>
      </c>
    </row>
    <row r="50" spans="1:7" x14ac:dyDescent="0.2">
      <c r="A50" s="59">
        <v>36</v>
      </c>
      <c r="C50" s="57" t="s">
        <v>46</v>
      </c>
      <c r="E50" s="59" t="s">
        <v>23</v>
      </c>
      <c r="F50" s="67">
        <f>F49*F48</f>
        <v>759.27568972999984</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111551</v>
      </c>
    </row>
    <row r="54" spans="1:7" x14ac:dyDescent="0.2">
      <c r="A54" s="59">
        <v>40</v>
      </c>
      <c r="C54" s="57" t="s">
        <v>49</v>
      </c>
      <c r="E54" s="59" t="s">
        <v>23</v>
      </c>
      <c r="F54" s="67">
        <f>F53*F52</f>
        <v>5811.8071</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759.27568972999984</v>
      </c>
    </row>
    <row r="58" spans="1:7" x14ac:dyDescent="0.2">
      <c r="A58" s="59">
        <v>44</v>
      </c>
      <c r="C58" s="57" t="s">
        <v>53</v>
      </c>
      <c r="E58" s="59" t="s">
        <v>31</v>
      </c>
      <c r="F58" s="70">
        <f>F54</f>
        <v>5811.8071</v>
      </c>
    </row>
    <row r="59" spans="1:7" x14ac:dyDescent="0.2">
      <c r="A59" s="59">
        <v>45</v>
      </c>
      <c r="C59" s="57" t="s">
        <v>54</v>
      </c>
      <c r="E59" s="59" t="s">
        <v>23</v>
      </c>
      <c r="F59" s="67">
        <f>F56+F57-F58</f>
        <v>207.46858972999962</v>
      </c>
    </row>
    <row r="60" spans="1:7" x14ac:dyDescent="0.2">
      <c r="A60" s="59">
        <v>46</v>
      </c>
      <c r="C60" s="57" t="s">
        <v>55</v>
      </c>
      <c r="E60" s="59" t="s">
        <v>21</v>
      </c>
      <c r="F60" s="83">
        <f>F53</f>
        <v>111551</v>
      </c>
    </row>
    <row r="61" spans="1:7" ht="13.5" thickBot="1" x14ac:dyDescent="0.25">
      <c r="A61" s="59">
        <v>47</v>
      </c>
      <c r="C61" s="84" t="s">
        <v>56</v>
      </c>
      <c r="E61" s="59" t="s">
        <v>23</v>
      </c>
      <c r="F61" s="82">
        <f>IF(AND(D2&gt;"", D4&gt;0, D6&gt;0), IF(F60=0, 0, F59/F60), 0)</f>
        <v>1.8598541450099023E-3</v>
      </c>
    </row>
    <row r="62" spans="1:7" ht="13.5" thickTop="1" x14ac:dyDescent="0.2"/>
    <row r="63" spans="1:7" x14ac:dyDescent="0.2">
      <c r="A63" s="246">
        <f ca="1">NOW()</f>
        <v>45611.650456134259</v>
      </c>
      <c r="B63" s="246"/>
      <c r="C63" s="246"/>
      <c r="D63" s="247" t="s">
        <v>57</v>
      </c>
      <c r="E63" s="247"/>
      <c r="F63" s="247"/>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4" t="s">
        <v>59</v>
      </c>
      <c r="D4" s="254"/>
      <c r="E4" s="254"/>
      <c r="F4" s="254"/>
      <c r="G4" s="254"/>
      <c r="J4" s="37" t="s">
        <v>58</v>
      </c>
      <c r="L4" s="254" t="s">
        <v>60</v>
      </c>
      <c r="M4" s="254"/>
      <c r="N4" s="254"/>
      <c r="O4" s="254"/>
      <c r="P4" s="254"/>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
      <c r="A236" s="43">
        <v>45474</v>
      </c>
      <c r="C236" s="44">
        <f>+IF('Weekly OPIS Averages'!D248&gt;0,'Weekly OPIS Averages'!D248,"NA")</f>
        <v>3.96</v>
      </c>
      <c r="E236" s="44">
        <f>+IF('Weekly OPIS Averages'!F248&gt;0,'Weekly OPIS Averages'!F248,"NA")</f>
        <v>4.0350000000000001</v>
      </c>
      <c r="G236" s="44">
        <f>+IF('Weekly OPIS Averages'!H248&gt;0,'Weekly OPIS Averages'!H248,"NA")</f>
        <v>4.0823333333333336</v>
      </c>
      <c r="J236" s="43">
        <v>45474</v>
      </c>
      <c r="L236" s="44">
        <f>+IF('Weekly OPIS Averages'!O248&gt;0,'Weekly OPIS Averages'!O248,"NA")</f>
        <v>3.96</v>
      </c>
      <c r="N236" s="44">
        <f>+IF('Weekly OPIS Averages'!Q248&gt;0,'Weekly OPIS Averages'!Q248,"NA")</f>
        <v>4.0350000000000001</v>
      </c>
      <c r="P236" s="44">
        <f>+IF('Weekly OPIS Averages'!S248&gt;0,'Weekly OPIS Averages'!S248,"NA")</f>
        <v>4.0823333333333336</v>
      </c>
    </row>
    <row r="237" spans="1:16" x14ac:dyDescent="0.2">
      <c r="A237" s="43">
        <v>45505</v>
      </c>
      <c r="C237" s="44">
        <f>+IF('Weekly OPIS Averages'!D249&gt;0,'Weekly OPIS Averages'!D249,"NA")</f>
        <v>4.0389999999999997</v>
      </c>
      <c r="E237" s="44">
        <f>+IF('Weekly OPIS Averages'!F249&gt;0,'Weekly OPIS Averages'!F249,"NA")</f>
        <v>3.9994999999999998</v>
      </c>
      <c r="G237" s="44">
        <f>+IF('Weekly OPIS Averages'!H249&gt;0,'Weekly OPIS Averages'!H249,"NA")</f>
        <v>4.0363333333333333</v>
      </c>
      <c r="J237" s="43">
        <v>45505</v>
      </c>
      <c r="L237" s="44">
        <f>+IF('Weekly OPIS Averages'!O249&gt;0,'Weekly OPIS Averages'!O249,"NA")</f>
        <v>4.0389999999999997</v>
      </c>
      <c r="N237" s="44">
        <f>+IF('Weekly OPIS Averages'!Q249&gt;0,'Weekly OPIS Averages'!Q249,"NA")</f>
        <v>3.9994999999999998</v>
      </c>
      <c r="P237" s="44">
        <f>+IF('Weekly OPIS Averages'!S249&gt;0,'Weekly OPIS Averages'!S249,"NA")</f>
        <v>4.0363333333333333</v>
      </c>
    </row>
    <row r="238" spans="1:16" x14ac:dyDescent="0.2">
      <c r="A238" s="43">
        <v>45536</v>
      </c>
      <c r="C238" s="44">
        <f>+IF('Weekly OPIS Averages'!D250&gt;0,'Weekly OPIS Averages'!D250,"NA")</f>
        <v>3.9510000000000001</v>
      </c>
      <c r="E238" s="44">
        <f>+IF('Weekly OPIS Averages'!F250&gt;0,'Weekly OPIS Averages'!F250,"NA")</f>
        <v>3.9950000000000001</v>
      </c>
      <c r="G238" s="44">
        <f>+IF('Weekly OPIS Averages'!H250&gt;0,'Weekly OPIS Averages'!H250,"NA")</f>
        <v>3.9833333333333329</v>
      </c>
      <c r="J238" s="43">
        <v>45536</v>
      </c>
      <c r="L238" s="44">
        <f>+IF('Weekly OPIS Averages'!O250&gt;0,'Weekly OPIS Averages'!O250,"NA")</f>
        <v>3.9510000000000001</v>
      </c>
      <c r="N238" s="44">
        <f>+IF('Weekly OPIS Averages'!Q250&gt;0,'Weekly OPIS Averages'!Q250,"NA")</f>
        <v>3.9950000000000001</v>
      </c>
      <c r="P238" s="44">
        <f>+IF('Weekly OPIS Averages'!S250&gt;0,'Weekly OPIS Averages'!S250,"NA")</f>
        <v>3.9833333333333329</v>
      </c>
    </row>
    <row r="239" spans="1:16" x14ac:dyDescent="0.2">
      <c r="A239" s="43">
        <v>45566</v>
      </c>
      <c r="C239" s="44">
        <f>+IF('Weekly OPIS Averages'!D251&gt;0,'Weekly OPIS Averages'!D251,"NA")</f>
        <v>3.8959999999999999</v>
      </c>
      <c r="E239" s="44">
        <f>+IF('Weekly OPIS Averages'!F251&gt;0,'Weekly OPIS Averages'!F251,"NA")</f>
        <v>3.9234999999999998</v>
      </c>
      <c r="G239" s="44">
        <f>+IF('Weekly OPIS Averages'!H251&gt;0,'Weekly OPIS Averages'!H251,"NA")</f>
        <v>3.9619999999999997</v>
      </c>
      <c r="J239" s="43">
        <v>45566</v>
      </c>
      <c r="L239" s="44">
        <f>+IF('Weekly OPIS Averages'!O251&gt;0,'Weekly OPIS Averages'!O251,"NA")</f>
        <v>3.8959999999999999</v>
      </c>
      <c r="N239" s="44">
        <f>+IF('Weekly OPIS Averages'!Q251&gt;0,'Weekly OPIS Averages'!Q251,"NA")</f>
        <v>3.9234999999999998</v>
      </c>
      <c r="P239" s="44">
        <f>+IF('Weekly OPIS Averages'!S251&gt;0,'Weekly OPIS Averages'!S251,"NA")</f>
        <v>3.9619999999999997</v>
      </c>
    </row>
    <row r="240" spans="1:16" x14ac:dyDescent="0.2">
      <c r="A240" s="43">
        <v>45597</v>
      </c>
      <c r="C240" s="44">
        <f>+IF('Weekly OPIS Averages'!D252&gt;0,'Weekly OPIS Averages'!D252,"NA")</f>
        <v>3.7970000000000002</v>
      </c>
      <c r="E240" s="44">
        <f>+IF('Weekly OPIS Averages'!F252&gt;0,'Weekly OPIS Averages'!F252,"NA")</f>
        <v>3.8464999999999998</v>
      </c>
      <c r="G240" s="44">
        <f>+IF('Weekly OPIS Averages'!H252&gt;0,'Weekly OPIS Averages'!H252,"NA")</f>
        <v>3.8813333333333335</v>
      </c>
      <c r="J240" s="43">
        <v>45597</v>
      </c>
      <c r="L240" s="44">
        <f>+IF('Weekly OPIS Averages'!O252&gt;0,'Weekly OPIS Averages'!O252,"NA")</f>
        <v>3.7970000000000002</v>
      </c>
      <c r="N240" s="44">
        <f>+IF('Weekly OPIS Averages'!Q252&gt;0,'Weekly OPIS Averages'!Q252,"NA")</f>
        <v>3.8464999999999998</v>
      </c>
      <c r="P240" s="44">
        <f>+IF('Weekly OPIS Averages'!S252&gt;0,'Weekly OPIS Averages'!S252,"NA")</f>
        <v>3.8813333333333335</v>
      </c>
    </row>
    <row r="241" spans="1:16" x14ac:dyDescent="0.2">
      <c r="A241" s="43">
        <v>45627</v>
      </c>
      <c r="C241" s="44">
        <f>+IF('Weekly OPIS Averages'!D253&gt;0,'Weekly OPIS Averages'!D253,"NA")</f>
        <v>3.7909999999999999</v>
      </c>
      <c r="E241" s="44">
        <f>+IF('Weekly OPIS Averages'!F253&gt;0,'Weekly OPIS Averages'!F253,"NA")</f>
        <v>3.794</v>
      </c>
      <c r="G241" s="44">
        <f>+IF('Weekly OPIS Averages'!H253&gt;0,'Weekly OPIS Averages'!H253,"NA")</f>
        <v>3.8279999999999998</v>
      </c>
      <c r="J241" s="43">
        <v>45627</v>
      </c>
      <c r="L241" s="44">
        <f>+IF('Weekly OPIS Averages'!O253&gt;0,'Weekly OPIS Averages'!O253,"NA")</f>
        <v>3.7909999999999999</v>
      </c>
      <c r="N241" s="44">
        <f>+IF('Weekly OPIS Averages'!Q253&gt;0,'Weekly OPIS Averages'!Q253,"NA")</f>
        <v>3.794</v>
      </c>
      <c r="P241" s="44">
        <f>+IF('Weekly OPIS Averages'!S253&gt;0,'Weekly OPIS Averages'!S253,"NA")</f>
        <v>3.8279999999999998</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9" activePane="bottomLeft" state="frozen"/>
      <selection activeCell="I14" sqref="I14"/>
      <selection pane="bottomLeft" activeCell="J250" sqref="J250"/>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8">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
      <c r="B247" s="49">
        <v>45412</v>
      </c>
      <c r="D247" s="204">
        <v>4.1100000000000003</v>
      </c>
      <c r="F247" s="128">
        <f t="shared" si="35"/>
        <v>4.1434999999999995</v>
      </c>
      <c r="G247" s="128"/>
      <c r="H247" s="128">
        <f t="shared" si="36"/>
        <v>4.1463333333333336</v>
      </c>
      <c r="I247" s="128"/>
      <c r="J247" s="128">
        <f t="shared" si="37"/>
        <v>4.4143333333333334</v>
      </c>
      <c r="K247" s="124"/>
      <c r="L247" s="125"/>
      <c r="M247" s="218">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
      <c r="B248" s="49">
        <v>45443</v>
      </c>
      <c r="D248" s="204">
        <v>3.96</v>
      </c>
      <c r="F248" s="128">
        <f t="shared" si="35"/>
        <v>4.0350000000000001</v>
      </c>
      <c r="G248" s="128"/>
      <c r="H248" s="128">
        <f t="shared" si="36"/>
        <v>4.0823333333333336</v>
      </c>
      <c r="I248" s="128"/>
      <c r="J248" s="128">
        <f t="shared" si="37"/>
        <v>4.3855833333333338</v>
      </c>
      <c r="K248" s="124"/>
      <c r="L248" s="125"/>
      <c r="M248" s="218">
        <v>45443</v>
      </c>
      <c r="N248" s="124"/>
      <c r="O248" s="126">
        <f t="shared" si="34"/>
        <v>3.96</v>
      </c>
      <c r="P248" s="124"/>
      <c r="Q248" s="124">
        <f t="shared" si="38"/>
        <v>4.0350000000000001</v>
      </c>
      <c r="R248" s="124"/>
      <c r="S248" s="124">
        <f t="shared" si="39"/>
        <v>4.0823333333333336</v>
      </c>
      <c r="T248" s="124"/>
      <c r="U248" s="124">
        <f t="shared" si="40"/>
        <v>4.3855833333333338</v>
      </c>
      <c r="V248" s="124"/>
    </row>
    <row r="249" spans="2:22" x14ac:dyDescent="0.2">
      <c r="B249" s="49">
        <v>45473</v>
      </c>
      <c r="D249" s="204">
        <v>4.0389999999999997</v>
      </c>
      <c r="F249" s="128">
        <f t="shared" si="35"/>
        <v>3.9994999999999998</v>
      </c>
      <c r="G249" s="128"/>
      <c r="H249" s="128">
        <f t="shared" si="36"/>
        <v>4.0363333333333333</v>
      </c>
      <c r="I249" s="128"/>
      <c r="J249" s="128">
        <f t="shared" si="37"/>
        <v>4.3797500000000005</v>
      </c>
      <c r="K249" s="124"/>
      <c r="L249" s="125"/>
      <c r="M249" s="218">
        <v>45473</v>
      </c>
      <c r="N249" s="124"/>
      <c r="O249" s="126">
        <f t="shared" si="34"/>
        <v>4.0389999999999997</v>
      </c>
      <c r="P249" s="124"/>
      <c r="Q249" s="124">
        <f t="shared" si="38"/>
        <v>3.9994999999999998</v>
      </c>
      <c r="R249" s="124"/>
      <c r="S249" s="124">
        <f t="shared" si="39"/>
        <v>4.0363333333333333</v>
      </c>
      <c r="T249" s="124"/>
      <c r="U249" s="124">
        <f t="shared" si="40"/>
        <v>4.3797500000000005</v>
      </c>
      <c r="V249" s="124"/>
    </row>
    <row r="250" spans="2:22" x14ac:dyDescent="0.2">
      <c r="B250" s="49">
        <v>45504</v>
      </c>
      <c r="D250" s="204">
        <v>3.9510000000000001</v>
      </c>
      <c r="F250" s="128">
        <f t="shared" si="35"/>
        <v>3.9950000000000001</v>
      </c>
      <c r="G250" s="128"/>
      <c r="H250" s="128">
        <f t="shared" si="36"/>
        <v>3.9833333333333329</v>
      </c>
      <c r="I250" s="128"/>
      <c r="J250" s="128">
        <f t="shared" si="37"/>
        <v>4.3422500000000008</v>
      </c>
      <c r="K250" s="124"/>
      <c r="L250" s="125"/>
      <c r="M250" s="218">
        <v>45504</v>
      </c>
      <c r="N250" s="124"/>
      <c r="O250" s="126">
        <f t="shared" si="34"/>
        <v>3.9510000000000001</v>
      </c>
      <c r="P250" s="124"/>
      <c r="Q250" s="124">
        <f t="shared" si="38"/>
        <v>3.9950000000000001</v>
      </c>
      <c r="R250" s="124"/>
      <c r="S250" s="124">
        <f t="shared" si="39"/>
        <v>3.9833333333333329</v>
      </c>
      <c r="T250" s="124"/>
      <c r="U250" s="124">
        <f t="shared" si="40"/>
        <v>4.3422500000000008</v>
      </c>
      <c r="V250" s="124"/>
    </row>
    <row r="251" spans="2:22" x14ac:dyDescent="0.2">
      <c r="B251" s="49">
        <v>45535</v>
      </c>
      <c r="D251" s="204">
        <v>3.8959999999999999</v>
      </c>
      <c r="F251" s="128">
        <f t="shared" si="35"/>
        <v>3.9234999999999998</v>
      </c>
      <c r="G251" s="128"/>
      <c r="H251" s="128">
        <f t="shared" si="36"/>
        <v>3.9619999999999997</v>
      </c>
      <c r="I251" s="128"/>
      <c r="J251" s="128">
        <f t="shared" si="37"/>
        <v>4.2479166666666677</v>
      </c>
      <c r="K251" s="124"/>
      <c r="L251" s="125"/>
      <c r="M251" s="218">
        <v>45535</v>
      </c>
      <c r="N251" s="124"/>
      <c r="O251" s="126">
        <f t="shared" si="34"/>
        <v>3.8959999999999999</v>
      </c>
      <c r="P251" s="124"/>
      <c r="Q251" s="124">
        <f t="shared" si="38"/>
        <v>3.9234999999999998</v>
      </c>
      <c r="R251" s="124"/>
      <c r="S251" s="124">
        <f t="shared" si="39"/>
        <v>3.9619999999999997</v>
      </c>
      <c r="T251" s="124"/>
      <c r="U251" s="124">
        <f t="shared" si="40"/>
        <v>4.2479166666666677</v>
      </c>
      <c r="V251" s="124"/>
    </row>
    <row r="252" spans="2:22" x14ac:dyDescent="0.2">
      <c r="B252" s="49">
        <v>45565</v>
      </c>
      <c r="D252" s="204">
        <v>3.7970000000000002</v>
      </c>
      <c r="F252" s="128">
        <f t="shared" si="35"/>
        <v>3.8464999999999998</v>
      </c>
      <c r="G252" s="128"/>
      <c r="H252" s="128">
        <f t="shared" si="36"/>
        <v>3.8813333333333335</v>
      </c>
      <c r="I252" s="128"/>
      <c r="J252" s="128">
        <f t="shared" si="37"/>
        <v>4.1318333333333337</v>
      </c>
      <c r="K252" s="124"/>
      <c r="L252" s="125"/>
      <c r="M252" s="218">
        <v>45565</v>
      </c>
      <c r="N252" s="124"/>
      <c r="O252" s="126">
        <f t="shared" si="34"/>
        <v>3.7970000000000002</v>
      </c>
      <c r="P252" s="124"/>
      <c r="Q252" s="124">
        <f t="shared" si="38"/>
        <v>3.8464999999999998</v>
      </c>
      <c r="R252" s="124"/>
      <c r="S252" s="124">
        <f t="shared" si="39"/>
        <v>3.8813333333333335</v>
      </c>
      <c r="T252" s="124"/>
      <c r="U252" s="124">
        <f t="shared" si="40"/>
        <v>4.1318333333333337</v>
      </c>
      <c r="V252" s="124"/>
    </row>
    <row r="253" spans="2:22" x14ac:dyDescent="0.2">
      <c r="B253" s="49">
        <v>45596</v>
      </c>
      <c r="D253" s="204">
        <v>3.7909999999999999</v>
      </c>
      <c r="E253" s="226"/>
      <c r="F253" s="227">
        <f t="shared" si="35"/>
        <v>3.794</v>
      </c>
      <c r="G253" s="128"/>
      <c r="H253" s="128">
        <f t="shared" si="36"/>
        <v>3.8279999999999998</v>
      </c>
      <c r="I253" s="128"/>
      <c r="J253" s="128">
        <f t="shared" si="37"/>
        <v>4.0416666666666661</v>
      </c>
      <c r="K253" s="124"/>
      <c r="L253" s="125"/>
      <c r="M253" s="218">
        <v>45596</v>
      </c>
      <c r="N253" s="124"/>
      <c r="O253" s="126">
        <f t="shared" si="34"/>
        <v>3.7909999999999999</v>
      </c>
      <c r="P253" s="124"/>
      <c r="Q253" s="124">
        <f t="shared" si="38"/>
        <v>3.794</v>
      </c>
      <c r="R253" s="124"/>
      <c r="S253" s="124">
        <f t="shared" si="39"/>
        <v>3.8279999999999998</v>
      </c>
      <c r="T253" s="124"/>
      <c r="U253" s="124">
        <f t="shared" si="40"/>
        <v>4.0416666666666661</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4" t="s">
        <v>70</v>
      </c>
      <c r="D3" s="254"/>
      <c r="E3" s="254"/>
      <c r="F3" s="254"/>
      <c r="G3" s="2"/>
      <c r="H3" s="2"/>
      <c r="I3" s="2"/>
      <c r="J3" s="2"/>
      <c r="K3" s="2"/>
      <c r="L3" s="2"/>
      <c r="N3" s="254" t="s">
        <v>71</v>
      </c>
      <c r="O3" s="254"/>
      <c r="P3" s="254"/>
      <c r="Q3" s="254"/>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6" t="s">
        <v>81</v>
      </c>
      <c r="AA1" s="256"/>
      <c r="AB1" s="256"/>
      <c r="AC1" s="256"/>
      <c r="AD1" s="256"/>
    </row>
    <row r="2" spans="2:33" x14ac:dyDescent="0.2">
      <c r="B2" s="5" t="s">
        <v>82</v>
      </c>
      <c r="Z2" s="217"/>
      <c r="AA2" s="217"/>
      <c r="AB2" s="217"/>
      <c r="AC2" s="217"/>
      <c r="AD2" s="217"/>
    </row>
    <row r="3" spans="2:33" x14ac:dyDescent="0.2">
      <c r="B3" s="5" t="s">
        <v>81</v>
      </c>
      <c r="Z3" s="256" t="s">
        <v>83</v>
      </c>
      <c r="AA3" s="256"/>
      <c r="AB3" s="256"/>
      <c r="AC3" s="256"/>
      <c r="AD3" s="256"/>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7" t="s">
        <v>85</v>
      </c>
      <c r="E10" s="257"/>
      <c r="F10" s="257"/>
      <c r="G10" s="258" t="s">
        <v>86</v>
      </c>
      <c r="H10" s="257"/>
      <c r="I10" s="257"/>
      <c r="K10" s="11"/>
      <c r="L10" s="11"/>
      <c r="M10" s="259" t="s">
        <v>87</v>
      </c>
      <c r="N10" s="259"/>
      <c r="O10" s="259"/>
      <c r="P10" s="259"/>
      <c r="Q10" s="259"/>
      <c r="R10" s="260"/>
      <c r="S10" s="263" t="s">
        <v>88</v>
      </c>
      <c r="T10" s="264"/>
      <c r="U10" s="264"/>
      <c r="V10" s="264"/>
      <c r="W10" s="264"/>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61" t="s">
        <v>92</v>
      </c>
      <c r="M12" s="261"/>
      <c r="N12" s="261"/>
      <c r="P12" s="261" t="s">
        <v>93</v>
      </c>
      <c r="Q12" s="261"/>
      <c r="R12" s="262"/>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5" t="s">
        <v>94</v>
      </c>
      <c r="AB14" s="255"/>
      <c r="AC14" s="255"/>
      <c r="AE14" s="255" t="s">
        <v>95</v>
      </c>
      <c r="AF14" s="255"/>
      <c r="AG14" s="255"/>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5" t="s">
        <v>106</v>
      </c>
      <c r="AB52" s="255"/>
      <c r="AC52" s="255"/>
      <c r="AE52" s="255" t="s">
        <v>107</v>
      </c>
      <c r="AF52" s="255"/>
      <c r="AG52" s="255"/>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5" t="s">
        <v>109</v>
      </c>
      <c r="AB104" s="255"/>
      <c r="AC104" s="255"/>
      <c r="AE104" s="255" t="s">
        <v>110</v>
      </c>
      <c r="AF104" s="255"/>
      <c r="AG104" s="255"/>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5" t="s">
        <v>111</v>
      </c>
      <c r="AB160" s="255"/>
      <c r="AC160" s="255"/>
      <c r="AE160" s="255" t="s">
        <v>112</v>
      </c>
      <c r="AF160" s="255"/>
      <c r="AG160" s="255"/>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5" t="s">
        <v>113</v>
      </c>
      <c r="AB212" s="255"/>
      <c r="AC212" s="255"/>
      <c r="AE212" s="255" t="s">
        <v>114</v>
      </c>
      <c r="AF212" s="255"/>
      <c r="AG212" s="255"/>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5" t="s">
        <v>115</v>
      </c>
      <c r="AB264" s="255"/>
      <c r="AC264" s="255"/>
      <c r="AE264" s="255" t="s">
        <v>116</v>
      </c>
      <c r="AF264" s="255"/>
      <c r="AG264" s="255"/>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5" t="s">
        <v>117</v>
      </c>
      <c r="AB316" s="255"/>
      <c r="AC316" s="255"/>
      <c r="AE316" s="255" t="s">
        <v>118</v>
      </c>
      <c r="AF316" s="255"/>
      <c r="AG316" s="255"/>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5" t="s">
        <v>128</v>
      </c>
      <c r="AB368" s="255"/>
      <c r="AC368" s="255"/>
      <c r="AE368" s="255" t="s">
        <v>129</v>
      </c>
      <c r="AF368" s="255"/>
      <c r="AG368" s="255"/>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5" t="s">
        <v>131</v>
      </c>
      <c r="AB420" s="255"/>
      <c r="AC420" s="255"/>
      <c r="AE420" s="255" t="s">
        <v>132</v>
      </c>
      <c r="AF420" s="255"/>
      <c r="AG420" s="255"/>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5" t="s">
        <v>133</v>
      </c>
      <c r="AB472" s="255"/>
      <c r="AC472" s="255"/>
      <c r="AE472" s="255" t="s">
        <v>134</v>
      </c>
      <c r="AF472" s="255"/>
      <c r="AG472" s="255"/>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21" activePane="bottomRight" state="frozen"/>
      <selection pane="topRight" activeCell="D9" sqref="D9"/>
      <selection pane="bottomLeft" activeCell="D9" sqref="D9"/>
      <selection pane="bottomRight" activeCell="A30" sqref="A30"/>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292</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4"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197942</v>
      </c>
      <c r="D4" s="195">
        <v>11137</v>
      </c>
      <c r="E4" s="160">
        <v>45504</v>
      </c>
      <c r="F4" s="160">
        <v>45566</v>
      </c>
      <c r="G4" s="195">
        <v>170926</v>
      </c>
      <c r="H4" s="159" t="s">
        <v>150</v>
      </c>
      <c r="I4" s="152"/>
      <c r="J4" s="154"/>
      <c r="K4" s="195">
        <v>197942</v>
      </c>
      <c r="L4" s="195"/>
      <c r="M4" s="202">
        <f t="shared" ref="M4:M24" si="1">+K4+L4</f>
        <v>197942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1770997</v>
      </c>
      <c r="D10" s="195">
        <v>129892</v>
      </c>
      <c r="E10" s="160">
        <v>45412</v>
      </c>
      <c r="F10" s="160">
        <v>45474</v>
      </c>
      <c r="G10" s="195">
        <v>1593486</v>
      </c>
      <c r="H10" s="159" t="s">
        <v>150</v>
      </c>
      <c r="I10" s="152" t="s">
        <v>151</v>
      </c>
      <c r="J10" s="154">
        <f>+IF(I10="West",(+VLOOKUP(E10,'Weekly OPIS Averages'!$B$15:$J$323,9,FALSE)),(+VLOOKUP(E10,'Weekly OPIS Averages'!$M$15:$U$323,9,FALSE)))</f>
        <v>4.4143333333333334</v>
      </c>
      <c r="K10" s="195">
        <v>1770997</v>
      </c>
      <c r="L10" s="195"/>
      <c r="M10" s="202">
        <f t="shared" si="1"/>
        <v>1770997</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291</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4"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0" x14ac:dyDescent="0.2">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4" t="s">
        <v>202</v>
      </c>
      <c r="B30" s="146">
        <v>2</v>
      </c>
      <c r="C30" s="199">
        <f t="shared" si="0"/>
        <v>10491594</v>
      </c>
      <c r="D30" s="195">
        <v>721044</v>
      </c>
      <c r="E30" s="160">
        <v>45412</v>
      </c>
      <c r="F30" s="160">
        <v>45536</v>
      </c>
      <c r="G30" s="195">
        <v>9094007</v>
      </c>
      <c r="H30" s="159" t="s">
        <v>150</v>
      </c>
      <c r="I30" s="152" t="s">
        <v>146</v>
      </c>
      <c r="J30" s="154">
        <f>+IF(I30="West",(+VLOOKUP(E30,'Weekly OPIS Averages'!$B$15:$J$323,9,FALSE)),(+VLOOKUP(E30,'Weekly OPIS Averages'!$M$15:$U$323,9,FALSE)))</f>
        <v>4.4143333333333334</v>
      </c>
      <c r="K30" s="195">
        <v>10491594</v>
      </c>
      <c r="L30" s="195"/>
      <c r="M30" s="202">
        <f t="shared" si="2"/>
        <v>10491594</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7453582</v>
      </c>
      <c r="D39" s="225">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2">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119869</v>
      </c>
      <c r="E43" s="160">
        <v>45230</v>
      </c>
      <c r="F43" s="160">
        <v>45323</v>
      </c>
      <c r="G43" s="195">
        <v>2418009</v>
      </c>
      <c r="H43" s="159" t="s">
        <v>150</v>
      </c>
      <c r="I43" s="152" t="s">
        <v>151</v>
      </c>
      <c r="J43" s="154">
        <f>+IF(I43="West",(+VLOOKUP(E43,'Weekly OPIS Averages'!$B$15:$J$323,9,FALSE)),(+VLOOKUP(E43,'Weekly OPIS Averages'!$M$15:$U$323,9,FALSE)))</f>
        <v>4.7191666666666663</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33316513</v>
      </c>
      <c r="D59" s="195">
        <v>1098219</v>
      </c>
      <c r="E59" s="160">
        <v>45382</v>
      </c>
      <c r="F59" s="160">
        <v>45536</v>
      </c>
      <c r="G59" s="195">
        <v>27993124</v>
      </c>
      <c r="H59" s="159" t="s">
        <v>150</v>
      </c>
      <c r="I59" s="152" t="s">
        <v>146</v>
      </c>
      <c r="J59" s="154">
        <f>+IF(I59="West",(+VLOOKUP(E59,'Weekly OPIS Averages'!$B$15:$J$323,9,FALSE)),(+VLOOKUP(E59,'Weekly OPIS Averages'!$M$15:$U$323,9,FALSE)))</f>
        <v>4.4434166666666668</v>
      </c>
      <c r="K59" s="195">
        <v>33316513</v>
      </c>
      <c r="L59" s="195"/>
      <c r="M59" s="202">
        <f t="shared" si="2"/>
        <v>33316513</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44" t="s">
        <v>267</v>
      </c>
      <c r="B66" s="146">
        <v>3</v>
      </c>
      <c r="C66" s="199">
        <f t="shared" si="0"/>
        <v>82407163</v>
      </c>
      <c r="D66" s="195">
        <v>323722</v>
      </c>
      <c r="E66" s="160">
        <v>45504</v>
      </c>
      <c r="F66" s="160">
        <v>45597</v>
      </c>
      <c r="G66" s="211">
        <v>76821184</v>
      </c>
      <c r="H66" s="159" t="s">
        <v>150</v>
      </c>
      <c r="I66" s="152" t="s">
        <v>146</v>
      </c>
      <c r="J66" s="154">
        <f>+IF(I66="West",(+VLOOKUP(E66,'Weekly OPIS Averages'!$B$15:$J$323,9,FALSE)),(+VLOOKUP(E66,'Weekly OPIS Averages'!$M$15:$U$323,9,FALSE)))</f>
        <v>4.3422500000000008</v>
      </c>
      <c r="K66" s="195">
        <v>82407163</v>
      </c>
      <c r="L66" s="195"/>
      <c r="M66" s="202">
        <f t="shared" si="2"/>
        <v>82407163</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17390003</v>
      </c>
      <c r="D72" s="195">
        <v>1171902</v>
      </c>
      <c r="E72" s="160">
        <v>45473</v>
      </c>
      <c r="F72" s="160">
        <v>45566</v>
      </c>
      <c r="G72" s="195">
        <v>13959239</v>
      </c>
      <c r="H72" s="159" t="s">
        <v>150</v>
      </c>
      <c r="I72" s="152" t="s">
        <v>151</v>
      </c>
      <c r="J72" s="154">
        <f>+IF(I72="West",(+VLOOKUP(E72,'Weekly OPIS Averages'!$B$15:$J$323,9,FALSE)),(+VLOOKUP(E72,'Weekly OPIS Averages'!$M$15:$U$323,9,FALSE)))</f>
        <v>4.3797500000000005</v>
      </c>
      <c r="K72" s="195">
        <v>17390003</v>
      </c>
      <c r="L72" s="195"/>
      <c r="M72" s="202">
        <f t="shared" si="2"/>
        <v>17390003</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507888823.89999998</v>
      </c>
      <c r="D76" s="140"/>
      <c r="E76" s="141"/>
      <c r="F76" s="142"/>
      <c r="G76" s="143"/>
      <c r="H76" s="143"/>
      <c r="K76" s="140">
        <f>SUM(K3:K73)</f>
        <v>506889030.89999998</v>
      </c>
      <c r="L76" s="171">
        <f>SUM(L3:L73)</f>
        <v>999793</v>
      </c>
      <c r="M76" s="135">
        <f t="shared" si="2"/>
        <v>507888823.89999998</v>
      </c>
    </row>
    <row r="77" spans="1:17" x14ac:dyDescent="0.2">
      <c r="B77" s="139"/>
      <c r="C77" s="265" t="s">
        <v>284</v>
      </c>
      <c r="D77" s="266"/>
      <c r="E77" s="170"/>
      <c r="F77" s="142"/>
      <c r="G77" s="143"/>
      <c r="H77" s="143"/>
      <c r="K77" s="165"/>
      <c r="M77" s="135"/>
    </row>
    <row r="78" spans="1:17" x14ac:dyDescent="0.2">
      <c r="B78" s="139"/>
      <c r="C78" s="267" t="s">
        <v>285</v>
      </c>
      <c r="D78" s="268"/>
      <c r="E78" s="170"/>
      <c r="F78" s="142"/>
      <c r="G78" s="143"/>
      <c r="H78" s="143"/>
      <c r="K78" s="165"/>
      <c r="M78" s="135"/>
    </row>
    <row r="79" spans="1:17" x14ac:dyDescent="0.2">
      <c r="B79" s="139"/>
      <c r="C79" s="269" t="s">
        <v>286</v>
      </c>
      <c r="D79" s="270"/>
      <c r="E79" s="170"/>
      <c r="F79" s="142"/>
      <c r="G79" s="143"/>
      <c r="H79" s="143"/>
      <c r="K79" s="165"/>
      <c r="L79" s="171">
        <f>+M76-K76</f>
        <v>999793</v>
      </c>
      <c r="M79" s="135">
        <f t="shared" si="2"/>
        <v>999793</v>
      </c>
    </row>
    <row r="80" spans="1:17" ht="15.75" thickBot="1" x14ac:dyDescent="0.25">
      <c r="B80" s="139"/>
      <c r="C80" s="271" t="s">
        <v>287</v>
      </c>
      <c r="D80" s="272"/>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F5D8890D4AF3E4F9F7F071BBE247FFE" ma:contentTypeVersion="16" ma:contentTypeDescription="" ma:contentTypeScope="" ma:versionID="5acd5e225fa8b3fbced0d13fe8c0211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Pending</CaseStatus>
    <OpenedDate xmlns="dc463f71-b30c-4ab2-9473-d307f9d35888">2024-11-15T08:00:00+00:00</OpenedDate>
    <SignificantOrder xmlns="dc463f71-b30c-4ab2-9473-d307f9d35888">false</SignificantOrder>
    <Date1 xmlns="dc463f71-b30c-4ab2-9473-d307f9d35888">2024-11-15T08:00:00+00:00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240889</DocketNumber>
    <DelegatedOrder xmlns="dc463f71-b30c-4ab2-9473-d307f9d35888">false</DelegatedOrder>
  </documentManagement>
</p:properties>
</file>

<file path=customXml/itemProps1.xml><?xml version="1.0" encoding="utf-8"?>
<ds:datastoreItem xmlns:ds="http://schemas.openxmlformats.org/officeDocument/2006/customXml" ds:itemID="{548A9D22-0F52-4C22-8E04-61BEC047227A}"/>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F2D7C1FC-7A47-4167-B7FA-EC5237A62635}"/>
</file>

<file path=customXml/itemProps5.xml><?xml version="1.0" encoding="utf-8"?>
<ds:datastoreItem xmlns:ds="http://schemas.openxmlformats.org/officeDocument/2006/customXml" ds:itemID="{1B65255B-8812-4473-BBBA-40CEC500DB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2024-11-15T23:36:41Z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0x0101006E56B4D1795A2E4DB2F0B01679ED314A00EF5D8890D4AF3E4F9F7F071BBE247FFE</vt:lpwstr>
  </property>
  <property fmtid="{D5CDD505-2E9C-101B-9397-08002B2CF9AE}" pid="3" name="Category">
    <vt:lpwstr>;#Solid Waste Carriers;#</vt:lpwstr>
  </property>
  <property fmtid="{D5CDD505-2E9C-101B-9397-08002B2CF9AE}" pid="4" name="Document Type">
    <vt:lpwstr>Other Fillable Form</vt:lpwstr>
  </property>
</Properties>
</file>