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metadata.xml" ContentType="application/vnd.openxmlformats-officedocument.spreadsheetml.sheetMetadata+xml"/>
  <Override PartName="/xl/externalLinks/externalLink25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10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ept\Rates\Advice Filings\2024\Washington\W24-09-05 CARES Cost Recovery\"/>
    </mc:Choice>
  </mc:AlternateContent>
  <xr:revisionPtr revIDLastSave="0" documentId="13_ncr:1_{B800BE95-B7CD-4557-904B-1B0B299D0009}" xr6:coauthVersionLast="47" xr6:coauthVersionMax="47" xr10:uidLastSave="{00000000-0000-0000-0000-000000000000}"/>
  <bookViews>
    <workbookView xWindow="-120" yWindow="-120" windowWidth="29040" windowHeight="15840" tabRatio="934" firstSheet="9" activeTab="9" xr2:uid="{EAF6DFE6-A071-4917-8A22-E24CF41308EF}"/>
  </bookViews>
  <sheets>
    <sheet name="CARES Cost" sheetId="1" r:id="rId1"/>
    <sheet name="CARES Summary of Def. Accts." sheetId="23" r:id="rId2"/>
    <sheet name="Cost Recovery and Rates" sheetId="19" r:id="rId3"/>
    <sheet name="CARES Amount Change" sheetId="17" r:id="rId4"/>
    <sheet name="CARES Incremental Rate" sheetId="18" r:id="rId5"/>
    <sheet name="WEAF Amount Change" sheetId="12" r:id="rId6"/>
    <sheet name="Combined Amount Change" sheetId="20" r:id="rId7"/>
    <sheet name="Rate Impact" sheetId="21" r:id="rId8"/>
    <sheet name="Workpapers ==&gt;" sheetId="16" r:id="rId9"/>
    <sheet name="EstimatedBalances" sheetId="24" r:id="rId10"/>
    <sheet name=" Int during Amort" sheetId="25" r:id="rId11"/>
    <sheet name="Int calc thru 10-31-2024" sheetId="26" r:id="rId12"/>
    <sheet name="Bills-Therms-Revs" sheetId="4" r:id="rId13"/>
    <sheet name="CARES Deferral Balances" sheetId="11" r:id="rId14"/>
    <sheet name="CARES Discount" sheetId="9" r:id="rId15"/>
    <sheet name="CARES Grants" sheetId="10" r:id="rId16"/>
    <sheet name="Forecasted Volumes" sheetId="3" r:id="rId17"/>
  </sheets>
  <externalReferences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</externalReferences>
  <definedNames>
    <definedName name="\0" localSheetId="10">#REF!</definedName>
    <definedName name="\0" localSheetId="1">#REF!</definedName>
    <definedName name="\0" localSheetId="9">#REF!</definedName>
    <definedName name="\0" localSheetId="11">#REF!</definedName>
    <definedName name="\0">#REF!</definedName>
    <definedName name="\a" localSheetId="10">#REF!</definedName>
    <definedName name="\a" localSheetId="1">#REF!</definedName>
    <definedName name="\a" localSheetId="9">#REF!</definedName>
    <definedName name="\a" localSheetId="11">#REF!</definedName>
    <definedName name="\a">#REF!</definedName>
    <definedName name="\b" localSheetId="10">#REF!</definedName>
    <definedName name="\b" localSheetId="1">#REF!</definedName>
    <definedName name="\b" localSheetId="9">#REF!</definedName>
    <definedName name="\b" localSheetId="11">#REF!</definedName>
    <definedName name="\b">#REF!</definedName>
    <definedName name="\bb" localSheetId="3">'[1]Input Data'!$C$181</definedName>
    <definedName name="\bb" localSheetId="6">'[1]Input Data'!$C$181</definedName>
    <definedName name="\bb" localSheetId="5">'[1]Input Data'!$C$181</definedName>
    <definedName name="\bb">'[1]Input Data'!$C$181</definedName>
    <definedName name="\c" localSheetId="10">#REF!</definedName>
    <definedName name="\c" localSheetId="3">#REF!</definedName>
    <definedName name="\c" localSheetId="1">#REF!</definedName>
    <definedName name="\c" localSheetId="6">#REF!</definedName>
    <definedName name="\c" localSheetId="9">#REF!</definedName>
    <definedName name="\c" localSheetId="11">#REF!</definedName>
    <definedName name="\c" localSheetId="5">#REF!</definedName>
    <definedName name="\c">#REF!</definedName>
    <definedName name="\d" localSheetId="10">#REF!</definedName>
    <definedName name="\d" localSheetId="3">#REF!</definedName>
    <definedName name="\d" localSheetId="1">#REF!</definedName>
    <definedName name="\d" localSheetId="6">#REF!</definedName>
    <definedName name="\d" localSheetId="9">#REF!</definedName>
    <definedName name="\d" localSheetId="11">#REF!</definedName>
    <definedName name="\d" localSheetId="5">#REF!</definedName>
    <definedName name="\d">#REF!</definedName>
    <definedName name="\e" localSheetId="10">#REF!</definedName>
    <definedName name="\e" localSheetId="3">#REF!</definedName>
    <definedName name="\e" localSheetId="1">#REF!</definedName>
    <definedName name="\e" localSheetId="6">#REF!</definedName>
    <definedName name="\e" localSheetId="9">#REF!</definedName>
    <definedName name="\e" localSheetId="11">#REF!</definedName>
    <definedName name="\e" localSheetId="5">#REF!</definedName>
    <definedName name="\e">#REF!</definedName>
    <definedName name="\f" localSheetId="10">#REF!</definedName>
    <definedName name="\f" localSheetId="1">#REF!</definedName>
    <definedName name="\f" localSheetId="9">#REF!</definedName>
    <definedName name="\f" localSheetId="11">#REF!</definedName>
    <definedName name="\f">#REF!</definedName>
    <definedName name="\g" localSheetId="10">#REF!</definedName>
    <definedName name="\g" localSheetId="1">#REF!</definedName>
    <definedName name="\g" localSheetId="9">#REF!</definedName>
    <definedName name="\g" localSheetId="11">#REF!</definedName>
    <definedName name="\g">#REF!</definedName>
    <definedName name="\i" localSheetId="10">#REF!</definedName>
    <definedName name="\i" localSheetId="1">#REF!</definedName>
    <definedName name="\i" localSheetId="9">#REF!</definedName>
    <definedName name="\i" localSheetId="11">#REF!</definedName>
    <definedName name="\i">#REF!</definedName>
    <definedName name="\k" localSheetId="10">#REF!</definedName>
    <definedName name="\k" localSheetId="1">#REF!</definedName>
    <definedName name="\k" localSheetId="9">#REF!</definedName>
    <definedName name="\k" localSheetId="11">#REF!</definedName>
    <definedName name="\k">#REF!</definedName>
    <definedName name="\m" localSheetId="10">#REF!</definedName>
    <definedName name="\m" localSheetId="1">#REF!</definedName>
    <definedName name="\m" localSheetId="9">#REF!</definedName>
    <definedName name="\m" localSheetId="11">#REF!</definedName>
    <definedName name="\m">#REF!</definedName>
    <definedName name="\n" localSheetId="10">#REF!</definedName>
    <definedName name="\n" localSheetId="1">#REF!</definedName>
    <definedName name="\n" localSheetId="9">#REF!</definedName>
    <definedName name="\n" localSheetId="11">#REF!</definedName>
    <definedName name="\n">#REF!</definedName>
    <definedName name="\p" localSheetId="10">#REF!</definedName>
    <definedName name="\p" localSheetId="1">#REF!</definedName>
    <definedName name="\p" localSheetId="9">#REF!</definedName>
    <definedName name="\p" localSheetId="11">#REF!</definedName>
    <definedName name="\p">#REF!</definedName>
    <definedName name="\q" localSheetId="10">#REF!</definedName>
    <definedName name="\q" localSheetId="1">#REF!</definedName>
    <definedName name="\q" localSheetId="9">#REF!</definedName>
    <definedName name="\q" localSheetId="11">#REF!</definedName>
    <definedName name="\q">#REF!</definedName>
    <definedName name="\s" localSheetId="10">#REF!</definedName>
    <definedName name="\s" localSheetId="1">#REF!</definedName>
    <definedName name="\s" localSheetId="9">#REF!</definedName>
    <definedName name="\s" localSheetId="11">#REF!</definedName>
    <definedName name="\s">#REF!</definedName>
    <definedName name="\t" localSheetId="10">#REF!</definedName>
    <definedName name="\t" localSheetId="1">#REF!</definedName>
    <definedName name="\t" localSheetId="9">#REF!</definedName>
    <definedName name="\t" localSheetId="11">#REF!</definedName>
    <definedName name="\t">#REF!</definedName>
    <definedName name="\v" localSheetId="10">#REF!</definedName>
    <definedName name="\v" localSheetId="1">#REF!</definedName>
    <definedName name="\v" localSheetId="9">#REF!</definedName>
    <definedName name="\v" localSheetId="11">#REF!</definedName>
    <definedName name="\v">#REF!</definedName>
    <definedName name="\zzz" localSheetId="3">'[1]Input Data'!#REF!</definedName>
    <definedName name="\zzz" localSheetId="6">'[1]Input Data'!#REF!</definedName>
    <definedName name="\zzz" localSheetId="5">'[1]Input Data'!#REF!</definedName>
    <definedName name="\zzz">'[1]Input Data'!#REF!</definedName>
    <definedName name="___apr99">'[2]185'!#REF!</definedName>
    <definedName name="___re22">'[3]St.of Op. '!$B$807:$N$817</definedName>
    <definedName name="___y1212">[3]Actual.Rev!$C$1036:$O$1049</definedName>
    <definedName name="__apr98">[4]Detail!$B$822:$N$832</definedName>
    <definedName name="__aug98">[5]Detail!$C$280:$K$285</definedName>
    <definedName name="__Aug99">[6]Detail!$B$1198:$N$1212</definedName>
    <definedName name="__dec98">[5]Detail!$C$310:$K$315</definedName>
    <definedName name="__dec99">[6]Detail!$B$1265:$N$1324</definedName>
    <definedName name="__feb98">[4]Detail!$B$796:$I$806</definedName>
    <definedName name="__FEB99">'[7]185'!#REF!</definedName>
    <definedName name="__jan98">[4]Detail!$B$783:$N$793</definedName>
    <definedName name="__jan99">'[7]185'!#REF!</definedName>
    <definedName name="__jul98">[5]Detail!$C$271:$K$276</definedName>
    <definedName name="__jul99">[6]Detail!$B$1180:$N$1194</definedName>
    <definedName name="__jun98">[4]Detail!$B$848:$N$859</definedName>
    <definedName name="__mar98">[4]Detail!$B$809:$N$819</definedName>
    <definedName name="__MAR99">'[7]185'!#REF!</definedName>
    <definedName name="__may98">[4]Detail!$B$835:$N$845</definedName>
    <definedName name="__may99">'[7]185'!#REF!</definedName>
    <definedName name="__nov98">[5]Detail!$C$303:$K$308</definedName>
    <definedName name="__nov99">[6]Detail!$B$1248:$N$1262</definedName>
    <definedName name="__oct98">[5]Detail!$C$296:$K$301</definedName>
    <definedName name="__oct99">[6]Detail!$B$1232:$N$1246</definedName>
    <definedName name="__sep98">[5]Detail!$C$288:$K$293</definedName>
    <definedName name="__sep99">[6]Detail!$B$1215:$N$1229</definedName>
    <definedName name="_12_91" localSheetId="10">#REF!</definedName>
    <definedName name="_12_91" localSheetId="3">#REF!</definedName>
    <definedName name="_12_91" localSheetId="1">#REF!</definedName>
    <definedName name="_12_91" localSheetId="6">#REF!</definedName>
    <definedName name="_12_91" localSheetId="9">#REF!</definedName>
    <definedName name="_12_91" localSheetId="11">#REF!</definedName>
    <definedName name="_12_91" localSheetId="5">#REF!</definedName>
    <definedName name="_12_91">#REF!</definedName>
    <definedName name="_1994DD" localSheetId="10">#REF!</definedName>
    <definedName name="_1994DD" localSheetId="3">#REF!</definedName>
    <definedName name="_1994DD" localSheetId="1">#REF!</definedName>
    <definedName name="_1994DD" localSheetId="6">#REF!</definedName>
    <definedName name="_1994DD" localSheetId="9">#REF!</definedName>
    <definedName name="_1994DD" localSheetId="11">#REF!</definedName>
    <definedName name="_1994DD" localSheetId="5">#REF!</definedName>
    <definedName name="_1994DD">#REF!</definedName>
    <definedName name="_228" localSheetId="10">'[8]Interest Rates'!#REF!</definedName>
    <definedName name="_228" localSheetId="3">'[8]Interest Rates'!#REF!</definedName>
    <definedName name="_228" localSheetId="1">'[8]Interest Rates'!#REF!</definedName>
    <definedName name="_228" localSheetId="6">'[8]Interest Rates'!#REF!</definedName>
    <definedName name="_228" localSheetId="9">'[8]Interest Rates'!#REF!</definedName>
    <definedName name="_228" localSheetId="11">'[8]Interest Rates'!#REF!</definedName>
    <definedName name="_228" localSheetId="5">'[8]Interest Rates'!#REF!</definedName>
    <definedName name="_228">'[8]Interest Rates'!#REF!</definedName>
    <definedName name="_230" localSheetId="10">'[8]Interest Rates'!#REF!</definedName>
    <definedName name="_230" localSheetId="3">'[8]Interest Rates'!#REF!</definedName>
    <definedName name="_230" localSheetId="1">'[8]Interest Rates'!#REF!</definedName>
    <definedName name="_230" localSheetId="6">'[8]Interest Rates'!#REF!</definedName>
    <definedName name="_230" localSheetId="9">'[8]Interest Rates'!#REF!</definedName>
    <definedName name="_230" localSheetId="11">'[8]Interest Rates'!#REF!</definedName>
    <definedName name="_230" localSheetId="5">'[8]Interest Rates'!#REF!</definedName>
    <definedName name="_230">'[8]Interest Rates'!#REF!</definedName>
    <definedName name="_244" localSheetId="10">'[9]Int Rates'!#REF!</definedName>
    <definedName name="_244" localSheetId="3">'[9]Int Rates'!#REF!</definedName>
    <definedName name="_244" localSheetId="1">'[9]Int Rates'!#REF!</definedName>
    <definedName name="_244" localSheetId="6">'[9]Int Rates'!#REF!</definedName>
    <definedName name="_244" localSheetId="9">'[9]Int Rates'!#REF!</definedName>
    <definedName name="_244" localSheetId="11">'[9]Int Rates'!#REF!</definedName>
    <definedName name="_244" localSheetId="5">'[9]Int Rates'!#REF!</definedName>
    <definedName name="_244">'[9]Int Rates'!#REF!</definedName>
    <definedName name="_246" localSheetId="10">'[9]Int Rates'!#REF!</definedName>
    <definedName name="_246" localSheetId="3">'[9]Int Rates'!#REF!</definedName>
    <definedName name="_246" localSheetId="1">'[9]Int Rates'!#REF!</definedName>
    <definedName name="_246" localSheetId="6">'[9]Int Rates'!#REF!</definedName>
    <definedName name="_246" localSheetId="9">'[9]Int Rates'!#REF!</definedName>
    <definedName name="_246" localSheetId="11">'[9]Int Rates'!#REF!</definedName>
    <definedName name="_246" localSheetId="5">'[9]Int Rates'!#REF!</definedName>
    <definedName name="_246">'[9]Int Rates'!#REF!</definedName>
    <definedName name="_4000" localSheetId="10">#REF!</definedName>
    <definedName name="_4000" localSheetId="3">#REF!</definedName>
    <definedName name="_4000" localSheetId="1">#REF!</definedName>
    <definedName name="_4000" localSheetId="6">#REF!</definedName>
    <definedName name="_4000" localSheetId="9">#REF!</definedName>
    <definedName name="_4000" localSheetId="11">#REF!</definedName>
    <definedName name="_4000" localSheetId="5">#REF!</definedName>
    <definedName name="_4000">#REF!</definedName>
    <definedName name="_403" localSheetId="10">#REF!</definedName>
    <definedName name="_403" localSheetId="3">#REF!</definedName>
    <definedName name="_403" localSheetId="1">#REF!</definedName>
    <definedName name="_403" localSheetId="6">#REF!</definedName>
    <definedName name="_403" localSheetId="9">#REF!</definedName>
    <definedName name="_403" localSheetId="11">#REF!</definedName>
    <definedName name="_403" localSheetId="5">#REF!</definedName>
    <definedName name="_403">#REF!</definedName>
    <definedName name="_4030" localSheetId="10">#REF!</definedName>
    <definedName name="_4030" localSheetId="3">#REF!</definedName>
    <definedName name="_4030" localSheetId="1">#REF!</definedName>
    <definedName name="_4030" localSheetId="6">#REF!</definedName>
    <definedName name="_4030" localSheetId="9">#REF!</definedName>
    <definedName name="_4030" localSheetId="11">#REF!</definedName>
    <definedName name="_4030" localSheetId="5">#REF!</definedName>
    <definedName name="_4030">#REF!</definedName>
    <definedName name="_4085" localSheetId="10">#REF!</definedName>
    <definedName name="_4085" localSheetId="1">#REF!</definedName>
    <definedName name="_4085" localSheetId="9">#REF!</definedName>
    <definedName name="_4085" localSheetId="11">#REF!</definedName>
    <definedName name="_4085">#REF!</definedName>
    <definedName name="_4091" localSheetId="10">#REF!</definedName>
    <definedName name="_4091" localSheetId="1">#REF!</definedName>
    <definedName name="_4091" localSheetId="9">#REF!</definedName>
    <definedName name="_4091" localSheetId="11">#REF!</definedName>
    <definedName name="_4091">#REF!</definedName>
    <definedName name="_4150" localSheetId="10">#REF!</definedName>
    <definedName name="_4150" localSheetId="1">#REF!</definedName>
    <definedName name="_4150" localSheetId="9">#REF!</definedName>
    <definedName name="_4150" localSheetId="11">#REF!</definedName>
    <definedName name="_4150">#REF!</definedName>
    <definedName name="_4170" localSheetId="10">#REF!</definedName>
    <definedName name="_4170" localSheetId="1">#REF!</definedName>
    <definedName name="_4170" localSheetId="9">#REF!</definedName>
    <definedName name="_4170" localSheetId="11">#REF!</definedName>
    <definedName name="_4170">#REF!</definedName>
    <definedName name="_4181" localSheetId="10">#REF!</definedName>
    <definedName name="_4181" localSheetId="1">#REF!</definedName>
    <definedName name="_4181" localSheetId="9">#REF!</definedName>
    <definedName name="_4181" localSheetId="11">#REF!</definedName>
    <definedName name="_4181">#REF!</definedName>
    <definedName name="_4190" localSheetId="10">#REF!</definedName>
    <definedName name="_4190" localSheetId="1">#REF!</definedName>
    <definedName name="_4190" localSheetId="9">#REF!</definedName>
    <definedName name="_4190" localSheetId="11">#REF!</definedName>
    <definedName name="_4190">#REF!</definedName>
    <definedName name="_4270" localSheetId="10">#REF!</definedName>
    <definedName name="_4270" localSheetId="1">#REF!</definedName>
    <definedName name="_4270" localSheetId="9">#REF!</definedName>
    <definedName name="_4270" localSheetId="11">#REF!</definedName>
    <definedName name="_4270">#REF!</definedName>
    <definedName name="_428" localSheetId="10">#REF!</definedName>
    <definedName name="_428" localSheetId="1">#REF!</definedName>
    <definedName name="_428" localSheetId="9">#REF!</definedName>
    <definedName name="_428" localSheetId="11">#REF!</definedName>
    <definedName name="_428">#REF!</definedName>
    <definedName name="_4281" localSheetId="10">#REF!</definedName>
    <definedName name="_4281" localSheetId="1">#REF!</definedName>
    <definedName name="_4281" localSheetId="9">#REF!</definedName>
    <definedName name="_4281" localSheetId="11">#REF!</definedName>
    <definedName name="_4281">#REF!</definedName>
    <definedName name="_4310" localSheetId="10">#REF!</definedName>
    <definedName name="_4310" localSheetId="1">#REF!</definedName>
    <definedName name="_4310" localSheetId="9">#REF!</definedName>
    <definedName name="_4310" localSheetId="11">#REF!</definedName>
    <definedName name="_4310">#REF!</definedName>
    <definedName name="_4311" localSheetId="10">#REF!</definedName>
    <definedName name="_4311" localSheetId="1">#REF!</definedName>
    <definedName name="_4311" localSheetId="9">#REF!</definedName>
    <definedName name="_4311" localSheetId="11">#REF!</definedName>
    <definedName name="_4311">#REF!</definedName>
    <definedName name="_432" localSheetId="10">#REF!</definedName>
    <definedName name="_432" localSheetId="1">#REF!</definedName>
    <definedName name="_432" localSheetId="9">#REF!</definedName>
    <definedName name="_432" localSheetId="11">#REF!</definedName>
    <definedName name="_432">#REF!</definedName>
    <definedName name="_4320" localSheetId="10">#REF!</definedName>
    <definedName name="_4320" localSheetId="1">#REF!</definedName>
    <definedName name="_4320" localSheetId="9">#REF!</definedName>
    <definedName name="_4320" localSheetId="11">#REF!</definedName>
    <definedName name="_4320">#REF!</definedName>
    <definedName name="_4800" localSheetId="10">#REF!</definedName>
    <definedName name="_4800" localSheetId="1">#REF!</definedName>
    <definedName name="_4800" localSheetId="9">#REF!</definedName>
    <definedName name="_4800" localSheetId="11">#REF!</definedName>
    <definedName name="_4800">#REF!</definedName>
    <definedName name="_4930" localSheetId="10">#REF!</definedName>
    <definedName name="_4930" localSheetId="1">#REF!</definedName>
    <definedName name="_4930" localSheetId="9">#REF!</definedName>
    <definedName name="_4930" localSheetId="11">#REF!</definedName>
    <definedName name="_4930">#REF!</definedName>
    <definedName name="_7120" localSheetId="10">#REF!</definedName>
    <definedName name="_7120" localSheetId="1">#REF!</definedName>
    <definedName name="_7120" localSheetId="9">#REF!</definedName>
    <definedName name="_7120" localSheetId="11">#REF!</definedName>
    <definedName name="_7120">#REF!</definedName>
    <definedName name="_8040" localSheetId="10">#REF!</definedName>
    <definedName name="_8040" localSheetId="1">#REF!</definedName>
    <definedName name="_8040" localSheetId="9">#REF!</definedName>
    <definedName name="_8040" localSheetId="11">#REF!</definedName>
    <definedName name="_8040">#REF!</definedName>
    <definedName name="_8120" localSheetId="10">#REF!</definedName>
    <definedName name="_8120" localSheetId="1">#REF!</definedName>
    <definedName name="_8120" localSheetId="9">#REF!</definedName>
    <definedName name="_8120" localSheetId="11">#REF!</definedName>
    <definedName name="_8120">#REF!</definedName>
    <definedName name="_8700">#N/A</definedName>
    <definedName name="_8743" localSheetId="10">#REF!</definedName>
    <definedName name="_8743" localSheetId="1">#REF!</definedName>
    <definedName name="_8743" localSheetId="9">#REF!</definedName>
    <definedName name="_8743" localSheetId="11">#REF!</definedName>
    <definedName name="_8743">#REF!</definedName>
    <definedName name="_8750" localSheetId="10">#REF!</definedName>
    <definedName name="_8750" localSheetId="1">#REF!</definedName>
    <definedName name="_8750" localSheetId="9">#REF!</definedName>
    <definedName name="_8750" localSheetId="11">#REF!</definedName>
    <definedName name="_8750">#REF!</definedName>
    <definedName name="_8873" localSheetId="10">#REF!</definedName>
    <definedName name="_8873" localSheetId="1">#REF!</definedName>
    <definedName name="_8873" localSheetId="9">#REF!</definedName>
    <definedName name="_8873" localSheetId="11">#REF!</definedName>
    <definedName name="_8873">#REF!</definedName>
    <definedName name="_8890" localSheetId="10">#REF!</definedName>
    <definedName name="_8890" localSheetId="1">#REF!</definedName>
    <definedName name="_8890" localSheetId="9">#REF!</definedName>
    <definedName name="_8890" localSheetId="11">#REF!</definedName>
    <definedName name="_8890">#REF!</definedName>
    <definedName name="_89">#N/A</definedName>
    <definedName name="_9010" localSheetId="10">#REF!</definedName>
    <definedName name="_9010" localSheetId="1">#REF!</definedName>
    <definedName name="_9010" localSheetId="9">#REF!</definedName>
    <definedName name="_9010" localSheetId="11">#REF!</definedName>
    <definedName name="_9010">#REF!</definedName>
    <definedName name="_9070" localSheetId="10">#REF!</definedName>
    <definedName name="_9070" localSheetId="1">#REF!</definedName>
    <definedName name="_9070" localSheetId="9">#REF!</definedName>
    <definedName name="_9070" localSheetId="11">#REF!</definedName>
    <definedName name="_9070">#REF!</definedName>
    <definedName name="_9110" localSheetId="10">#REF!</definedName>
    <definedName name="_9110" localSheetId="1">#REF!</definedName>
    <definedName name="_9110" localSheetId="9">#REF!</definedName>
    <definedName name="_9110" localSheetId="11">#REF!</definedName>
    <definedName name="_9110">#REF!</definedName>
    <definedName name="_9200" localSheetId="10">#REF!</definedName>
    <definedName name="_9200" localSheetId="1">#REF!</definedName>
    <definedName name="_9200" localSheetId="9">#REF!</definedName>
    <definedName name="_9200" localSheetId="11">#REF!</definedName>
    <definedName name="_9200">#REF!</definedName>
    <definedName name="_9304" localSheetId="10">#REF!</definedName>
    <definedName name="_9304" localSheetId="1">#REF!</definedName>
    <definedName name="_9304" localSheetId="9">#REF!</definedName>
    <definedName name="_9304" localSheetId="11">#REF!</definedName>
    <definedName name="_9304">#REF!</definedName>
    <definedName name="_9310" localSheetId="10">#REF!</definedName>
    <definedName name="_9310" localSheetId="1">#REF!</definedName>
    <definedName name="_9310" localSheetId="9">#REF!</definedName>
    <definedName name="_9310" localSheetId="11">#REF!</definedName>
    <definedName name="_9310">#REF!</definedName>
    <definedName name="_apr99" localSheetId="3">'[2]185'!#REF!</definedName>
    <definedName name="_apr99" localSheetId="6">'[2]185'!#REF!</definedName>
    <definedName name="_apr99" localSheetId="5">'[2]185'!#REF!</definedName>
    <definedName name="_AUG92" localSheetId="10">#REF!</definedName>
    <definedName name="_AUG92" localSheetId="3">#REF!</definedName>
    <definedName name="_AUG92" localSheetId="1">#REF!</definedName>
    <definedName name="_AUG92" localSheetId="6">#REF!</definedName>
    <definedName name="_AUG92" localSheetId="9">#REF!</definedName>
    <definedName name="_AUG92" localSheetId="11">#REF!</definedName>
    <definedName name="_AUG92" localSheetId="5">#REF!</definedName>
    <definedName name="_AUG92">#REF!</definedName>
    <definedName name="_DEC91" localSheetId="10">#REF!</definedName>
    <definedName name="_DEC91" localSheetId="1">#REF!</definedName>
    <definedName name="_DEC91" localSheetId="9">#REF!</definedName>
    <definedName name="_DEC91" localSheetId="11">#REF!</definedName>
    <definedName name="_DEC91">#REF!</definedName>
    <definedName name="_JUL92" localSheetId="10">#REF!</definedName>
    <definedName name="_JUL92" localSheetId="3">#REF!</definedName>
    <definedName name="_JUL92" localSheetId="1">#REF!</definedName>
    <definedName name="_JUL92" localSheetId="6">#REF!</definedName>
    <definedName name="_JUL92" localSheetId="9">#REF!</definedName>
    <definedName name="_JUL92" localSheetId="11">#REF!</definedName>
    <definedName name="_JUL92" localSheetId="5">#REF!</definedName>
    <definedName name="_JUL92">#REF!</definedName>
    <definedName name="_JUN92" localSheetId="10">#REF!</definedName>
    <definedName name="_JUN92" localSheetId="1">#REF!</definedName>
    <definedName name="_JUN92" localSheetId="9">#REF!</definedName>
    <definedName name="_JUN92" localSheetId="11">#REF!</definedName>
    <definedName name="_JUN92">#REF!</definedName>
    <definedName name="_JUN99" localSheetId="10">#REF!</definedName>
    <definedName name="_JUN99" localSheetId="1">#REF!</definedName>
    <definedName name="_JUN99" localSheetId="9">#REF!</definedName>
    <definedName name="_JUN99" localSheetId="11">#REF!</definedName>
    <definedName name="_JUN99">#REF!</definedName>
    <definedName name="_MAY92" localSheetId="10">#REF!</definedName>
    <definedName name="_MAY92" localSheetId="1">#REF!</definedName>
    <definedName name="_MAY92" localSheetId="9">#REF!</definedName>
    <definedName name="_MAY92" localSheetId="11">#REF!</definedName>
    <definedName name="_MAY92">#REF!</definedName>
    <definedName name="_OR321" localSheetId="10">#REF!</definedName>
    <definedName name="_OR321" localSheetId="1">#REF!</definedName>
    <definedName name="_OR321" localSheetId="9">#REF!</definedName>
    <definedName name="_OR321" localSheetId="11">#REF!</definedName>
    <definedName name="_OR321">#REF!</definedName>
    <definedName name="_OR324" localSheetId="10">#REF!</definedName>
    <definedName name="_OR324" localSheetId="1">#REF!</definedName>
    <definedName name="_OR324" localSheetId="9">#REF!</definedName>
    <definedName name="_OR324" localSheetId="11">#REF!</definedName>
    <definedName name="_OR324">#REF!</definedName>
    <definedName name="_OR325" localSheetId="10">#REF!</definedName>
    <definedName name="_OR325" localSheetId="1">#REF!</definedName>
    <definedName name="_OR325" localSheetId="9">#REF!</definedName>
    <definedName name="_OR325" localSheetId="11">#REF!</definedName>
    <definedName name="_OR325">#REF!</definedName>
    <definedName name="_re22" localSheetId="3">'[3]St.of Op. '!$B$807:$N$817</definedName>
    <definedName name="_re22" localSheetId="6">'[3]St.of Op. '!$B$807:$N$817</definedName>
    <definedName name="_re22" localSheetId="5">'[3]St.of Op. '!$B$807:$N$817</definedName>
    <definedName name="_SEP92" localSheetId="10">#REF!</definedName>
    <definedName name="_SEP92" localSheetId="3">#REF!</definedName>
    <definedName name="_SEP92" localSheetId="1">#REF!</definedName>
    <definedName name="_SEP92" localSheetId="6">#REF!</definedName>
    <definedName name="_SEP92" localSheetId="9">#REF!</definedName>
    <definedName name="_SEP92" localSheetId="11">#REF!</definedName>
    <definedName name="_SEP92" localSheetId="5">#REF!</definedName>
    <definedName name="_SEP92">#REF!</definedName>
    <definedName name="_WA321" localSheetId="10">#REF!</definedName>
    <definedName name="_WA321" localSheetId="1">#REF!</definedName>
    <definedName name="_WA321" localSheetId="9">#REF!</definedName>
    <definedName name="_WA321" localSheetId="11">#REF!</definedName>
    <definedName name="_WA321">#REF!</definedName>
    <definedName name="_WA324" localSheetId="10">#REF!</definedName>
    <definedName name="_WA324" localSheetId="1">#REF!</definedName>
    <definedName name="_WA324" localSheetId="9">#REF!</definedName>
    <definedName name="_WA324" localSheetId="11">#REF!</definedName>
    <definedName name="_WA324">#REF!</definedName>
    <definedName name="_WA325" localSheetId="10">#REF!</definedName>
    <definedName name="_WA325" localSheetId="1">#REF!</definedName>
    <definedName name="_WA325" localSheetId="9">#REF!</definedName>
    <definedName name="_WA325" localSheetId="11">#REF!</definedName>
    <definedName name="_WA325">#REF!</definedName>
    <definedName name="_y1212" localSheetId="3">[3]Actual.Rev!$C$1036:$O$1049</definedName>
    <definedName name="_y1212" localSheetId="6">[3]Actual.Rev!$C$1036:$O$1049</definedName>
    <definedName name="_y1212" localSheetId="5">[3]Actual.Rev!$C$1036:$O$1049</definedName>
    <definedName name="ACODINT22">'[10]ACOD Interest Rates'!$A$10:$C$21</definedName>
    <definedName name="ACODINT23">'[10]ACOD Interest Rates'!$A$22:$C$33</definedName>
    <definedName name="ACODINT24">'[10]ACOD Interest Rates'!$A$34:$C$45</definedName>
    <definedName name="AGREE" localSheetId="10">[11]SETUP!#REF!</definedName>
    <definedName name="AGREE" localSheetId="3">[11]SETUP!#REF!</definedName>
    <definedName name="AGREE" localSheetId="1">[11]SETUP!#REF!</definedName>
    <definedName name="AGREE" localSheetId="6">[11]SETUP!#REF!</definedName>
    <definedName name="AGREE" localSheetId="9">[11]SETUP!#REF!</definedName>
    <definedName name="AGREE" localSheetId="11">[11]SETUP!#REF!</definedName>
    <definedName name="AGREE" localSheetId="5">[11]SETUP!#REF!</definedName>
    <definedName name="AGREE">[11]SETUP!#REF!</definedName>
    <definedName name="alc" localSheetId="10">[12]SETUP!#REF!</definedName>
    <definedName name="alc" localSheetId="3">[12]SETUP!#REF!</definedName>
    <definedName name="alc" localSheetId="1">[12]SETUP!#REF!</definedName>
    <definedName name="alc" localSheetId="6">[12]SETUP!#REF!</definedName>
    <definedName name="alc" localSheetId="9">[12]SETUP!#REF!</definedName>
    <definedName name="alc" localSheetId="11">[12]SETUP!#REF!</definedName>
    <definedName name="alc" localSheetId="5">[12]SETUP!#REF!</definedName>
    <definedName name="alc">[12]SETUP!#REF!</definedName>
    <definedName name="ALCOA1" localSheetId="3">[11]SETUP!#REF!</definedName>
    <definedName name="ALCOA1" localSheetId="6">[11]SETUP!#REF!</definedName>
    <definedName name="ALCOA1" localSheetId="5">[11]SETUP!#REF!</definedName>
    <definedName name="ALCOA1">[11]SETUP!#REF!</definedName>
    <definedName name="ALCOA2" localSheetId="3">[11]SETUP!#REF!</definedName>
    <definedName name="ALCOA2" localSheetId="6">[11]SETUP!#REF!</definedName>
    <definedName name="ALCOA2" localSheetId="5">[11]SETUP!#REF!</definedName>
    <definedName name="ALCOA2">[11]SETUP!#REF!</definedName>
    <definedName name="ARORINT22">'[10]AROR Interest Rates'!$A$10:$C$21</definedName>
    <definedName name="ARORINT23">'[10]AROR Interest Rates'!$A$22:$C$33</definedName>
    <definedName name="ARORINT24">'[10]AROR Interest Rates'!$A$34:$C$45</definedName>
    <definedName name="BalancesJuly" localSheetId="10">#REF!</definedName>
    <definedName name="BalancesJuly" localSheetId="1">#REF!</definedName>
    <definedName name="BalancesJuly" localSheetId="9">#REF!</definedName>
    <definedName name="BalancesJuly" localSheetId="11">#REF!</definedName>
    <definedName name="BalancesJuly">#REF!</definedName>
    <definedName name="BEGINNING">#N/A</definedName>
    <definedName name="BELLINGHAM_24_H" localSheetId="10">#REF!</definedName>
    <definedName name="BELLINGHAM_24_H" localSheetId="1">#REF!</definedName>
    <definedName name="BELLINGHAM_24_H" localSheetId="9">#REF!</definedName>
    <definedName name="BELLINGHAM_24_H" localSheetId="11">#REF!</definedName>
    <definedName name="BELLINGHAM_24_H">#REF!</definedName>
    <definedName name="BELLINGHAM_MAX" localSheetId="10">#REF!</definedName>
    <definedName name="BELLINGHAM_MAX" localSheetId="1">#REF!</definedName>
    <definedName name="BELLINGHAM_MAX" localSheetId="9">#REF!</definedName>
    <definedName name="BELLINGHAM_MAX" localSheetId="11">#REF!</definedName>
    <definedName name="BELLINGHAM_MAX">#REF!</definedName>
    <definedName name="BELLINGHAM_MAX_" localSheetId="10">#REF!</definedName>
    <definedName name="BELLINGHAM_MAX_" localSheetId="1">#REF!</definedName>
    <definedName name="BELLINGHAM_MAX_" localSheetId="9">#REF!</definedName>
    <definedName name="BELLINGHAM_MAX_" localSheetId="11">#REF!</definedName>
    <definedName name="BELLINGHAM_MAX_">#REF!</definedName>
    <definedName name="BELLINGHAM_MIN" localSheetId="10">#REF!</definedName>
    <definedName name="BELLINGHAM_MIN" localSheetId="1">#REF!</definedName>
    <definedName name="BELLINGHAM_MIN" localSheetId="9">#REF!</definedName>
    <definedName name="BELLINGHAM_MIN" localSheetId="11">#REF!</definedName>
    <definedName name="BELLINGHAM_MIN">#REF!</definedName>
    <definedName name="BUYSELL">[13]SETUP!#REF!</definedName>
    <definedName name="C_" localSheetId="10">#REF!</definedName>
    <definedName name="C_" localSheetId="3">#REF!</definedName>
    <definedName name="C_" localSheetId="1">#REF!</definedName>
    <definedName name="C_" localSheetId="6">#REF!</definedName>
    <definedName name="C_" localSheetId="9">#REF!</definedName>
    <definedName name="C_" localSheetId="11">#REF!</definedName>
    <definedName name="C_" localSheetId="5">#REF!</definedName>
    <definedName name="C_">#REF!</definedName>
    <definedName name="canadian_toll_DataTable" localSheetId="10">#REF!</definedName>
    <definedName name="canadian_toll_DataTable" localSheetId="3">#REF!</definedName>
    <definedName name="canadian_toll_DataTable" localSheetId="1">#REF!</definedName>
    <definedName name="canadian_toll_DataTable" localSheetId="6">#REF!</definedName>
    <definedName name="canadian_toll_DataTable" localSheetId="9">#REF!</definedName>
    <definedName name="canadian_toll_DataTable" localSheetId="11">#REF!</definedName>
    <definedName name="canadian_toll_DataTable" localSheetId="5">#REF!</definedName>
    <definedName name="canadian_toll_DataTable">#REF!</definedName>
    <definedName name="Canadian_tolls_DataTable" localSheetId="10">#REF!</definedName>
    <definedName name="Canadian_tolls_DataTable" localSheetId="3">#REF!</definedName>
    <definedName name="Canadian_tolls_DataTable" localSheetId="1">#REF!</definedName>
    <definedName name="Canadian_tolls_DataTable" localSheetId="6">#REF!</definedName>
    <definedName name="Canadian_tolls_DataTable" localSheetId="9">#REF!</definedName>
    <definedName name="Canadian_tolls_DataTable" localSheetId="11">#REF!</definedName>
    <definedName name="Canadian_tolls_DataTable" localSheetId="5">#REF!</definedName>
    <definedName name="Canadian_tolls_DataTable">#REF!</definedName>
    <definedName name="CAP" localSheetId="10">'[14]Int Rates'!#REF!</definedName>
    <definedName name="CAP" localSheetId="3">'[14]Int Rates'!#REF!</definedName>
    <definedName name="CAP" localSheetId="1">'[14]Int Rates'!#REF!</definedName>
    <definedName name="CAP" localSheetId="6">'[14]Int Rates'!#REF!</definedName>
    <definedName name="CAP" localSheetId="9">'[14]Int Rates'!#REF!</definedName>
    <definedName name="CAP" localSheetId="11">'[14]Int Rates'!#REF!</definedName>
    <definedName name="CAP" localSheetId="5">'[14]Int Rates'!#REF!</definedName>
    <definedName name="CAP">'[14]Int Rates'!#REF!</definedName>
    <definedName name="CENTRAL_STORES" localSheetId="10">#REF!</definedName>
    <definedName name="CENTRAL_STORES" localSheetId="3">#REF!</definedName>
    <definedName name="CENTRAL_STORES" localSheetId="1">#REF!</definedName>
    <definedName name="CENTRAL_STORES" localSheetId="6">#REF!</definedName>
    <definedName name="CENTRAL_STORES" localSheetId="9">#REF!</definedName>
    <definedName name="CENTRAL_STORES" localSheetId="11">#REF!</definedName>
    <definedName name="CENTRAL_STORES" localSheetId="5">#REF!</definedName>
    <definedName name="CENTRAL_STORES">#REF!</definedName>
    <definedName name="Citygate_all_monts_DataTable" localSheetId="10">#REF!</definedName>
    <definedName name="Citygate_all_monts_DataTable" localSheetId="3">#REF!</definedName>
    <definedName name="Citygate_all_monts_DataTable" localSheetId="1">#REF!</definedName>
    <definedName name="Citygate_all_monts_DataTable" localSheetId="6">#REF!</definedName>
    <definedName name="Citygate_all_monts_DataTable" localSheetId="9">#REF!</definedName>
    <definedName name="Citygate_all_monts_DataTable" localSheetId="11">#REF!</definedName>
    <definedName name="Citygate_all_monts_DataTable" localSheetId="5">#REF!</definedName>
    <definedName name="Citygate_all_monts_DataTable">#REF!</definedName>
    <definedName name="Citygate_DataTable" localSheetId="10">#REF!</definedName>
    <definedName name="Citygate_DataTable" localSheetId="3">#REF!</definedName>
    <definedName name="Citygate_DataTable" localSheetId="1">#REF!</definedName>
    <definedName name="Citygate_DataTable" localSheetId="6">#REF!</definedName>
    <definedName name="Citygate_DataTable" localSheetId="9">#REF!</definedName>
    <definedName name="Citygate_DataTable" localSheetId="11">#REF!</definedName>
    <definedName name="Citygate_DataTable" localSheetId="5">#REF!</definedName>
    <definedName name="Citygate_DataTable">#REF!</definedName>
    <definedName name="Citygate_Delivery_DataTable" localSheetId="10">#REF!</definedName>
    <definedName name="Citygate_Delivery_DataTable" localSheetId="1">#REF!</definedName>
    <definedName name="Citygate_Delivery_DataTable" localSheetId="9">#REF!</definedName>
    <definedName name="Citygate_Delivery_DataTable" localSheetId="11">#REF!</definedName>
    <definedName name="Citygate_Delivery_DataTable">#REF!</definedName>
    <definedName name="Citygate_info_DataTable" localSheetId="10">#REF!</definedName>
    <definedName name="Citygate_info_DataTable" localSheetId="1">#REF!</definedName>
    <definedName name="Citygate_info_DataTable" localSheetId="9">#REF!</definedName>
    <definedName name="Citygate_info_DataTable" localSheetId="11">#REF!</definedName>
    <definedName name="Citygate_info_DataTable">#REF!</definedName>
    <definedName name="CODINT22">'[10]COD Interest Rates'!$A$11:$C$22</definedName>
    <definedName name="CODINT23">'[10]COD Interest Rates'!$A$23:$C$34</definedName>
    <definedName name="CODINT24">'[10]COD Interest Rates'!$A$35:$C$46</definedName>
    <definedName name="COMBINTAX" localSheetId="10">#REF!</definedName>
    <definedName name="COMBINTAX" localSheetId="1">#REF!</definedName>
    <definedName name="COMBINTAX" localSheetId="9">#REF!</definedName>
    <definedName name="COMBINTAX" localSheetId="11">#REF!</definedName>
    <definedName name="COMBINTAX">#REF!</definedName>
    <definedName name="CPRINT">#N/A</definedName>
    <definedName name="_xlnm.Criteria" localSheetId="10">#REF!</definedName>
    <definedName name="_xlnm.Criteria" localSheetId="1">#REF!</definedName>
    <definedName name="_xlnm.Criteria" localSheetId="9">#REF!</definedName>
    <definedName name="_xlnm.Criteria" localSheetId="11">#REF!</definedName>
    <definedName name="_xlnm.Criteria">#REF!</definedName>
    <definedName name="Criteria_MI" localSheetId="10">#REF!</definedName>
    <definedName name="Criteria_MI" localSheetId="1">#REF!</definedName>
    <definedName name="Criteria_MI" localSheetId="9">#REF!</definedName>
    <definedName name="Criteria_MI" localSheetId="11">#REF!</definedName>
    <definedName name="Criteria_MI">#REF!</definedName>
    <definedName name="CUST">[13]SETUP!#REF!</definedName>
    <definedName name="Daily_Flow_DataTable" localSheetId="10">#REF!</definedName>
    <definedName name="Daily_Flow_DataTable" localSheetId="3">#REF!</definedName>
    <definedName name="Daily_Flow_DataTable" localSheetId="1">#REF!</definedName>
    <definedName name="Daily_Flow_DataTable" localSheetId="6">#REF!</definedName>
    <definedName name="Daily_Flow_DataTable" localSheetId="9">#REF!</definedName>
    <definedName name="Daily_Flow_DataTable" localSheetId="11">#REF!</definedName>
    <definedName name="Daily_Flow_DataTable" localSheetId="5">#REF!</definedName>
    <definedName name="Daily_Flow_DataTable">#REF!</definedName>
    <definedName name="Data">'[15]Section 7 Storage History'!$D$7:$W$102</definedName>
    <definedName name="_xlnm.Database" localSheetId="10">#REF!</definedName>
    <definedName name="_xlnm.Database" localSheetId="3">#REF!</definedName>
    <definedName name="_xlnm.Database" localSheetId="1">#REF!</definedName>
    <definedName name="_xlnm.Database" localSheetId="6">#REF!</definedName>
    <definedName name="_xlnm.Database" localSheetId="9">#REF!</definedName>
    <definedName name="_xlnm.Database" localSheetId="11">#REF!</definedName>
    <definedName name="_xlnm.Database" localSheetId="5">#REF!</definedName>
    <definedName name="_xlnm.Database">#REF!</definedName>
    <definedName name="Database_MI" localSheetId="10">#REF!</definedName>
    <definedName name="Database_MI" localSheetId="1">#REF!</definedName>
    <definedName name="Database_MI" localSheetId="9">#REF!</definedName>
    <definedName name="Database_MI" localSheetId="11">#REF!</definedName>
    <definedName name="Database_MI">#REF!</definedName>
    <definedName name="DATE" localSheetId="10">#REF!</definedName>
    <definedName name="DATE" localSheetId="1">#REF!</definedName>
    <definedName name="DATE" localSheetId="9">#REF!</definedName>
    <definedName name="DATE" localSheetId="11">#REF!</definedName>
    <definedName name="DATE">#REF!</definedName>
    <definedName name="DAY" localSheetId="10">[13]SETUP!#REF!</definedName>
    <definedName name="DAY" localSheetId="1">[13]SETUP!#REF!</definedName>
    <definedName name="DAY" localSheetId="9">[13]SETUP!#REF!</definedName>
    <definedName name="DAY" localSheetId="11">[13]SETUP!#REF!</definedName>
    <definedName name="DAY">[13]SETUP!#REF!</definedName>
    <definedName name="DECJUN">#N/A</definedName>
    <definedName name="DECNOV">#N/A</definedName>
    <definedName name="DECSEP">#N/A</definedName>
    <definedName name="DEM_COST___DEPR">#N/A</definedName>
    <definedName name="DEMAND_OR">#N/A</definedName>
    <definedName name="DEMAND_WA">#N/A</definedName>
    <definedName name="EstimatedBalances" localSheetId="10">#REF!</definedName>
    <definedName name="EstimatedBalances" localSheetId="1">#REF!</definedName>
    <definedName name="EstimatedBalances" localSheetId="9">#REF!</definedName>
    <definedName name="EstimatedBalances" localSheetId="11">#REF!</definedName>
    <definedName name="EstimatedBalances">#REF!</definedName>
    <definedName name="FERC" localSheetId="10">#REF!</definedName>
    <definedName name="FERC" localSheetId="1">#REF!</definedName>
    <definedName name="FERC" localSheetId="9">#REF!</definedName>
    <definedName name="FERC" localSheetId="11">#REF!</definedName>
    <definedName name="FERC">#REF!</definedName>
    <definedName name="FERC320A" localSheetId="10">#REF!</definedName>
    <definedName name="FERC320A" localSheetId="1">#REF!</definedName>
    <definedName name="FERC320A" localSheetId="9">#REF!</definedName>
    <definedName name="FERC320A" localSheetId="11">#REF!</definedName>
    <definedName name="FERC320A">#REF!</definedName>
    <definedName name="FERC321" localSheetId="10">#REF!</definedName>
    <definedName name="FERC321" localSheetId="1">#REF!</definedName>
    <definedName name="FERC321" localSheetId="9">#REF!</definedName>
    <definedName name="FERC321" localSheetId="11">#REF!</definedName>
    <definedName name="FERC321">#REF!</definedName>
    <definedName name="FERC324" localSheetId="10">#REF!</definedName>
    <definedName name="FERC324" localSheetId="1">#REF!</definedName>
    <definedName name="FERC324" localSheetId="9">#REF!</definedName>
    <definedName name="FERC324" localSheetId="11">#REF!</definedName>
    <definedName name="FERC324">#REF!</definedName>
    <definedName name="FERC325" localSheetId="10">#REF!</definedName>
    <definedName name="FERC325" localSheetId="1">#REF!</definedName>
    <definedName name="FERC325" localSheetId="9">#REF!</definedName>
    <definedName name="FERC325" localSheetId="11">#REF!</definedName>
    <definedName name="FERC325">#REF!</definedName>
    <definedName name="FERCINT05">'[16]New FERC Int. Rates'!$A$44:$C$55</definedName>
    <definedName name="FERCINT06">'[16]New FERC Int. Rates'!$A$56:$C$67</definedName>
    <definedName name="FERCINT07" localSheetId="3">'[17]New FERC Int. Rates'!$A$68:$C$79</definedName>
    <definedName name="FERCINT07" localSheetId="6">'[17]New FERC Int. Rates'!$A$68:$C$79</definedName>
    <definedName name="FERCINT07" localSheetId="5">'[17]New FERC Int. Rates'!$A$68:$C$79</definedName>
    <definedName name="FERCINT07">'[17]New FERC Int. Rates'!$A$68:$C$79</definedName>
    <definedName name="FERCINT08" localSheetId="3">'[17]New FERC Int. Rates'!$A$80:$C$94</definedName>
    <definedName name="FERCINT08" localSheetId="6">'[17]New FERC Int. Rates'!$A$80:$C$94</definedName>
    <definedName name="FERCINT08" localSheetId="5">'[17]New FERC Int. Rates'!$A$80:$C$94</definedName>
    <definedName name="FERCINT08">'[17]New FERC Int. Rates'!$A$80:$C$94</definedName>
    <definedName name="FERCINT09" localSheetId="3">'[17]New FERC Int. Rates'!$A$95:$C$106</definedName>
    <definedName name="FERCINT09" localSheetId="6">'[17]New FERC Int. Rates'!$A$95:$C$106</definedName>
    <definedName name="FERCINT09" localSheetId="5">'[17]New FERC Int. Rates'!$A$95:$C$106</definedName>
    <definedName name="FERCINT09">'[17]New FERC Int. Rates'!$A$95:$C$106</definedName>
    <definedName name="FERCINT10">'[16]New FERC Int. Rates'!$A$107:$C$118</definedName>
    <definedName name="FERCINT13">'[10]FERC Interest Rates'!$A$10:$C$21</definedName>
    <definedName name="FERCINT14">'[10]FERC Interest Rates'!$A$22:$C$33</definedName>
    <definedName name="FERCINT15">'[10]FERC Interest Rates'!$A$34:$C$45</definedName>
    <definedName name="FERCINT16">'[10]FERC Interest Rates'!$A$46:$C$57</definedName>
    <definedName name="FERCINT17">'[10]FERC Interest Rates'!$A$58:$C$69</definedName>
    <definedName name="FERCINT18">'[10]FERC Interest Rates'!$A$70:$C$81</definedName>
    <definedName name="FERCINT19">'[10]FERC Interest Rates'!$A$82:$C$93</definedName>
    <definedName name="FERCINT20">'[10]FERC Interest Rates'!$A$94:$C$105</definedName>
    <definedName name="FERCINT21">'[10]FERC Interest Rates'!$A$106:$C$117</definedName>
    <definedName name="FERCINT22">'[10]FERC Interest Rates'!$A$118:$C$129</definedName>
    <definedName name="FERCINT23">'[10]FERC Interest Rates'!$A$130:$C$141</definedName>
    <definedName name="FERCINT24">'[10]FERC Interest Rates'!$A$142:$C$153</definedName>
    <definedName name="FERCINTRATE" localSheetId="3">'[17]New FERC Int. Rates'!$A$5:$C$10</definedName>
    <definedName name="FERCINTRATE" localSheetId="6">'[17]New FERC Int. Rates'!$A$5:$C$10</definedName>
    <definedName name="FERCINTRATE" localSheetId="5">'[17]New FERC Int. Rates'!$A$5:$C$10</definedName>
    <definedName name="FERCINTRATE">'[17]New FERC Int. Rates'!$A$5:$C$10</definedName>
    <definedName name="FERCINTRATE02" localSheetId="3">'[17]New FERC Int. Rates'!$A$11:$C$22</definedName>
    <definedName name="FERCINTRATE02" localSheetId="6">'[17]New FERC Int. Rates'!$A$11:$C$22</definedName>
    <definedName name="FERCINTRATE02" localSheetId="5">'[17]New FERC Int. Rates'!$A$11:$C$22</definedName>
    <definedName name="FERCINTRATE02">'[17]New FERC Int. Rates'!$A$11:$C$22</definedName>
    <definedName name="FERCINTRATE03">'[16]New FERC Int. Rates'!$A$23:$C$34</definedName>
    <definedName name="FERCOR" localSheetId="10">#REF!</definedName>
    <definedName name="FERCOR" localSheetId="3">#REF!</definedName>
    <definedName name="FERCOR" localSheetId="1">#REF!</definedName>
    <definedName name="FERCOR" localSheetId="6">#REF!</definedName>
    <definedName name="FERCOR" localSheetId="9">#REF!</definedName>
    <definedName name="FERCOR" localSheetId="11">#REF!</definedName>
    <definedName name="FERCOR" localSheetId="5">#REF!</definedName>
    <definedName name="FERCOR">#REF!</definedName>
    <definedName name="FERCWA" localSheetId="10">#REF!</definedName>
    <definedName name="FERCWA" localSheetId="3">#REF!</definedName>
    <definedName name="FERCWA" localSheetId="1">#REF!</definedName>
    <definedName name="FERCWA" localSheetId="6">#REF!</definedName>
    <definedName name="FERCWA" localSheetId="9">#REF!</definedName>
    <definedName name="FERCWA" localSheetId="11">#REF!</definedName>
    <definedName name="FERCWA" localSheetId="5">#REF!</definedName>
    <definedName name="FERCWA">#REF!</definedName>
    <definedName name="FILE" localSheetId="3">[18]input!$C$4</definedName>
    <definedName name="FILE" localSheetId="6">[18]input!$C$4</definedName>
    <definedName name="FILE" localSheetId="5">[18]input!$C$4</definedName>
    <definedName name="FILE">[18]input!$C$4</definedName>
    <definedName name="FIT" localSheetId="3">[18]input!$C$16</definedName>
    <definedName name="FIT" localSheetId="6">[18]input!$C$16</definedName>
    <definedName name="FIT" localSheetId="5">[18]input!$C$16</definedName>
    <definedName name="FIT">[18]input!$C$16</definedName>
    <definedName name="FITRBADJ" localSheetId="3">[18]input!$C$52</definedName>
    <definedName name="FITRBADJ" localSheetId="6">[18]input!$C$52</definedName>
    <definedName name="FITRBADJ" localSheetId="5">[18]input!$C$52</definedName>
    <definedName name="FITRBADJ">[18]input!$C$52</definedName>
    <definedName name="FO3_4">#N/A</definedName>
    <definedName name="FORM2259" localSheetId="10">#REF!</definedName>
    <definedName name="FORM2259" localSheetId="1">#REF!</definedName>
    <definedName name="FORM2259" localSheetId="9">#REF!</definedName>
    <definedName name="FORM2259" localSheetId="11">#REF!</definedName>
    <definedName name="FORM2259">#REF!</definedName>
    <definedName name="Gas_Price_DataTable" localSheetId="10">#REF!</definedName>
    <definedName name="Gas_Price_DataTable" localSheetId="1">#REF!</definedName>
    <definedName name="Gas_Price_DataTable" localSheetId="9">#REF!</definedName>
    <definedName name="Gas_Price_DataTable" localSheetId="11">#REF!</definedName>
    <definedName name="Gas_Price_DataTable">#REF!</definedName>
    <definedName name="gas_yr2009_10_DataTable" localSheetId="10">#REF!</definedName>
    <definedName name="gas_yr2009_10_DataTable" localSheetId="1">#REF!</definedName>
    <definedName name="gas_yr2009_10_DataTable" localSheetId="9">#REF!</definedName>
    <definedName name="gas_yr2009_10_DataTable" localSheetId="11">#REF!</definedName>
    <definedName name="gas_yr2009_10_DataTable">#REF!</definedName>
    <definedName name="GC">[19]Notes!#REF!</definedName>
    <definedName name="gcnew">[20]Notes!#REF!</definedName>
    <definedName name="GEN_OFFICE" localSheetId="10">#REF!</definedName>
    <definedName name="GEN_OFFICE" localSheetId="3">#REF!</definedName>
    <definedName name="GEN_OFFICE" localSheetId="1">#REF!</definedName>
    <definedName name="GEN_OFFICE" localSheetId="6">#REF!</definedName>
    <definedName name="GEN_OFFICE" localSheetId="9">#REF!</definedName>
    <definedName name="GEN_OFFICE" localSheetId="11">#REF!</definedName>
    <definedName name="GEN_OFFICE" localSheetId="5">#REF!</definedName>
    <definedName name="GEN_OFFICE">#REF!</definedName>
    <definedName name="HOQUIAM_24_HR_A" localSheetId="10">#REF!</definedName>
    <definedName name="HOQUIAM_24_HR_A" localSheetId="3">#REF!</definedName>
    <definedName name="HOQUIAM_24_HR_A" localSheetId="1">#REF!</definedName>
    <definedName name="HOQUIAM_24_HR_A" localSheetId="6">#REF!</definedName>
    <definedName name="HOQUIAM_24_HR_A" localSheetId="9">#REF!</definedName>
    <definedName name="HOQUIAM_24_HR_A" localSheetId="11">#REF!</definedName>
    <definedName name="HOQUIAM_24_HR_A" localSheetId="5">#REF!</definedName>
    <definedName name="HOQUIAM_24_HR_A">#REF!</definedName>
    <definedName name="HOQUIAM_MAX" localSheetId="10">#REF!</definedName>
    <definedName name="HOQUIAM_MAX" localSheetId="1">#REF!</definedName>
    <definedName name="HOQUIAM_MAX" localSheetId="9">#REF!</definedName>
    <definedName name="HOQUIAM_MAX" localSheetId="11">#REF!</definedName>
    <definedName name="HOQUIAM_MAX">#REF!</definedName>
    <definedName name="HOQUIAM_MAX_MIN" localSheetId="10">#REF!</definedName>
    <definedName name="HOQUIAM_MAX_MIN" localSheetId="1">#REF!</definedName>
    <definedName name="HOQUIAM_MAX_MIN" localSheetId="9">#REF!</definedName>
    <definedName name="HOQUIAM_MAX_MIN" localSheetId="11">#REF!</definedName>
    <definedName name="HOQUIAM_MAX_MIN">#REF!</definedName>
    <definedName name="HOQUIAM_MIN" localSheetId="10">#REF!</definedName>
    <definedName name="HOQUIAM_MIN" localSheetId="1">#REF!</definedName>
    <definedName name="HOQUIAM_MIN" localSheetId="9">#REF!</definedName>
    <definedName name="HOQUIAM_MIN" localSheetId="11">#REF!</definedName>
    <definedName name="HOQUIAM_MIN">#REF!</definedName>
    <definedName name="I">[13]SETUP!#REF!</definedName>
    <definedName name="ID" localSheetId="3">'[21]JTS-5 S1p1'!#REF!</definedName>
    <definedName name="ID" localSheetId="6">'[21]JTS-5 S1p1'!#REF!</definedName>
    <definedName name="ID" localSheetId="5">'[21]JTS-5 S1p1'!#REF!</definedName>
    <definedName name="ID">'[21]JTS-5 S1p1'!#REF!</definedName>
    <definedName name="IMPORT" localSheetId="10">#REF!</definedName>
    <definedName name="IMPORT" localSheetId="3">#REF!</definedName>
    <definedName name="IMPORT" localSheetId="1">#REF!</definedName>
    <definedName name="IMPORT" localSheetId="6">#REF!</definedName>
    <definedName name="IMPORT" localSheetId="9">#REF!</definedName>
    <definedName name="IMPORT" localSheetId="11">#REF!</definedName>
    <definedName name="IMPORT" localSheetId="5">#REF!</definedName>
    <definedName name="IMPORT">#REF!</definedName>
    <definedName name="INCOMETAX" localSheetId="10">#REF!</definedName>
    <definedName name="INCOMETAX" localSheetId="3">#REF!</definedName>
    <definedName name="INCOMETAX" localSheetId="1">#REF!</definedName>
    <definedName name="INCOMETAX" localSheetId="6">#REF!</definedName>
    <definedName name="INCOMETAX" localSheetId="9">#REF!</definedName>
    <definedName name="INCOMETAX" localSheetId="11">#REF!</definedName>
    <definedName name="INCOMETAX" localSheetId="5">#REF!</definedName>
    <definedName name="INCOMETAX">#REF!</definedName>
    <definedName name="INCTAX4092" localSheetId="10">#REF!</definedName>
    <definedName name="INCTAX4092" localSheetId="1">#REF!</definedName>
    <definedName name="INCTAX4092" localSheetId="9">#REF!</definedName>
    <definedName name="INCTAX4092" localSheetId="11">#REF!</definedName>
    <definedName name="INCTAX4092">#REF!</definedName>
    <definedName name="INCTAXOP" localSheetId="10">#REF!</definedName>
    <definedName name="INCTAXOP" localSheetId="1">#REF!</definedName>
    <definedName name="INCTAXOP" localSheetId="9">#REF!</definedName>
    <definedName name="INCTAXOP" localSheetId="11">#REF!</definedName>
    <definedName name="INCTAXOP">#REF!</definedName>
    <definedName name="Index_DataTable" localSheetId="10">#REF!</definedName>
    <definedName name="Index_DataTable" localSheetId="1">#REF!</definedName>
    <definedName name="Index_DataTable" localSheetId="9">#REF!</definedName>
    <definedName name="Index_DataTable" localSheetId="11">#REF!</definedName>
    <definedName name="Index_DataTable">#REF!</definedName>
    <definedName name="INPUT" localSheetId="10">#REF!</definedName>
    <definedName name="INPUT" localSheetId="1">#REF!</definedName>
    <definedName name="INPUT" localSheetId="9">#REF!</definedName>
    <definedName name="INPUT" localSheetId="11">#REF!</definedName>
    <definedName name="INPUT">#REF!</definedName>
    <definedName name="INSTRUCTIONS" localSheetId="10">#REF!</definedName>
    <definedName name="INSTRUCTIONS" localSheetId="1">#REF!</definedName>
    <definedName name="INSTRUCTIONS" localSheetId="9">#REF!</definedName>
    <definedName name="INSTRUCTIONS" localSheetId="11">#REF!</definedName>
    <definedName name="INSTRUCTIONS">#REF!</definedName>
    <definedName name="INTCY08" localSheetId="3">'[22]Interest Rates'!$A$231:$C$245</definedName>
    <definedName name="INTCY08" localSheetId="6">'[22]Interest Rates'!$A$231:$C$245</definedName>
    <definedName name="INTCY08" localSheetId="5">'[22]Interest Rates'!$A$231:$C$245</definedName>
    <definedName name="INTCY08">'[22]Interest Rates'!$A$231:$C$245</definedName>
    <definedName name="IntCY09" localSheetId="3">'[23]Interest Rates-new amort'!$A$246:$C$267</definedName>
    <definedName name="IntCY09" localSheetId="6">'[23]Interest Rates-new amort'!$A$246:$C$267</definedName>
    <definedName name="IntCY09" localSheetId="5">'[23]Interest Rates-new amort'!$A$246:$C$267</definedName>
    <definedName name="IntCY09">'[23]Interest Rates-new amort'!$A$246:$C$267</definedName>
    <definedName name="intdate">'[24]Interest Rates'!$A$5:$C$159</definedName>
    <definedName name="InterestDuringAmort" localSheetId="10">#REF!</definedName>
    <definedName name="InterestDuringAmort" localSheetId="1">#REF!</definedName>
    <definedName name="InterestDuringAmort" localSheetId="9">#REF!</definedName>
    <definedName name="InterestDuringAmort" localSheetId="11">#REF!</definedName>
    <definedName name="InterestDuringAmort">#REF!</definedName>
    <definedName name="INTERSTATE" localSheetId="10">#REF!</definedName>
    <definedName name="INTERSTATE" localSheetId="3">#REF!</definedName>
    <definedName name="INTERSTATE" localSheetId="1">#REF!</definedName>
    <definedName name="INTERSTATE" localSheetId="6">#REF!</definedName>
    <definedName name="INTERSTATE" localSheetId="9">#REF!</definedName>
    <definedName name="INTERSTATE" localSheetId="11">#REF!</definedName>
    <definedName name="INTERSTATE" localSheetId="5">#REF!</definedName>
    <definedName name="INTERSTATE">#REF!</definedName>
    <definedName name="INTFY05">'[16]Int Rates DO NOT USE'!$A$176:$C$187</definedName>
    <definedName name="INTFY06">'[16]Int Rates DO NOT USE'!$A$188:$C$199</definedName>
    <definedName name="INTFY07" localSheetId="3">'[22]Interest Rates'!$A$218:$C$230</definedName>
    <definedName name="INTFY07" localSheetId="6">'[22]Interest Rates'!$A$218:$C$230</definedName>
    <definedName name="INTFY07" localSheetId="5">'[22]Interest Rates'!$A$218:$C$230</definedName>
    <definedName name="INTFY07">'[22]Interest Rates'!$A$218:$C$230</definedName>
    <definedName name="JANSEP">#N/A</definedName>
    <definedName name="jjjj" localSheetId="10">'[3]Actual therms'!#REF!</definedName>
    <definedName name="jjjj" localSheetId="3">'[3]Actual therms'!#REF!</definedName>
    <definedName name="jjjj" localSheetId="1">'[3]Actual therms'!#REF!</definedName>
    <definedName name="jjjj" localSheetId="6">'[3]Actual therms'!#REF!</definedName>
    <definedName name="jjjj" localSheetId="9">'[3]Actual therms'!#REF!</definedName>
    <definedName name="jjjj" localSheetId="11">'[3]Actual therms'!#REF!</definedName>
    <definedName name="jjjj" localSheetId="5">'[3]Actual therms'!#REF!</definedName>
    <definedName name="jjjj">'[3]Actual therms'!#REF!</definedName>
    <definedName name="jjjjjjjjj" localSheetId="10">'[3]Actual therms'!#REF!</definedName>
    <definedName name="jjjjjjjjj" localSheetId="3">'[3]Actual therms'!#REF!</definedName>
    <definedName name="jjjjjjjjj" localSheetId="1">'[3]Actual therms'!#REF!</definedName>
    <definedName name="jjjjjjjjj" localSheetId="6">'[3]Actual therms'!#REF!</definedName>
    <definedName name="jjjjjjjjj" localSheetId="9">'[3]Actual therms'!#REF!</definedName>
    <definedName name="jjjjjjjjj" localSheetId="11">'[3]Actual therms'!#REF!</definedName>
    <definedName name="jjjjjjjjj" localSheetId="5">'[3]Actual therms'!#REF!</definedName>
    <definedName name="jjjjjjjjj">'[3]Actual therms'!#REF!</definedName>
    <definedName name="JRS" localSheetId="10">#REF!</definedName>
    <definedName name="JRS" localSheetId="3">#REF!</definedName>
    <definedName name="JRS" localSheetId="1">#REF!</definedName>
    <definedName name="JRS" localSheetId="6">#REF!</definedName>
    <definedName name="JRS" localSheetId="9">#REF!</definedName>
    <definedName name="JRS" localSheetId="11">#REF!</definedName>
    <definedName name="JRS" localSheetId="5">#REF!</definedName>
    <definedName name="JRS">#REF!</definedName>
    <definedName name="july_int_rate" localSheetId="3">'[25]July Int Rate for Amort'!$B$17</definedName>
    <definedName name="july_int_rate" localSheetId="6">'[25]July Int Rate for Amort'!$B$17</definedName>
    <definedName name="july_int_rate" localSheetId="5">'[25]July Int Rate for Amort'!$B$17</definedName>
    <definedName name="july_int_rate">'[25]July Int Rate for Amort'!$B$17</definedName>
    <definedName name="kkkkkk" localSheetId="10">[3]Bills!#REF!</definedName>
    <definedName name="kkkkkk" localSheetId="3">[3]Bills!#REF!</definedName>
    <definedName name="kkkkkk" localSheetId="1">[3]Bills!#REF!</definedName>
    <definedName name="kkkkkk" localSheetId="6">[3]Bills!#REF!</definedName>
    <definedName name="kkkkkk" localSheetId="9">[3]Bills!#REF!</definedName>
    <definedName name="kkkkkk" localSheetId="11">[3]Bills!#REF!</definedName>
    <definedName name="kkkkkk" localSheetId="5">[3]Bills!#REF!</definedName>
    <definedName name="kkkkkk">[3]Bills!#REF!</definedName>
    <definedName name="LEGEND" localSheetId="10">#REF!</definedName>
    <definedName name="LEGEND" localSheetId="3">#REF!</definedName>
    <definedName name="LEGEND" localSheetId="1">#REF!</definedName>
    <definedName name="LEGEND" localSheetId="6">#REF!</definedName>
    <definedName name="LEGEND" localSheetId="9">#REF!</definedName>
    <definedName name="LEGEND" localSheetId="11">#REF!</definedName>
    <definedName name="LEGEND" localSheetId="5">#REF!</definedName>
    <definedName name="LEGEND">#REF!</definedName>
    <definedName name="llllll" localSheetId="10">[3]Bills!#REF!</definedName>
    <definedName name="llllll" localSheetId="3">[3]Bills!#REF!</definedName>
    <definedName name="llllll" localSheetId="1">[3]Bills!#REF!</definedName>
    <definedName name="llllll" localSheetId="6">[3]Bills!#REF!</definedName>
    <definedName name="llllll" localSheetId="9">[3]Bills!#REF!</definedName>
    <definedName name="llllll" localSheetId="11">[3]Bills!#REF!</definedName>
    <definedName name="llllll" localSheetId="5">[3]Bills!#REF!</definedName>
    <definedName name="llllll">[3]Bills!#REF!</definedName>
    <definedName name="M" localSheetId="10">[13]SETUP!#REF!</definedName>
    <definedName name="M" localSheetId="1">[13]SETUP!#REF!</definedName>
    <definedName name="M" localSheetId="9">[13]SETUP!#REF!</definedName>
    <definedName name="M" localSheetId="11">[13]SETUP!#REF!</definedName>
    <definedName name="M">[13]SETUP!#REF!</definedName>
    <definedName name="M___R" localSheetId="10">#REF!</definedName>
    <definedName name="M___R" localSheetId="3">#REF!</definedName>
    <definedName name="M___R" localSheetId="1">#REF!</definedName>
    <definedName name="M___R" localSheetId="6">#REF!</definedName>
    <definedName name="M___R" localSheetId="9">#REF!</definedName>
    <definedName name="M___R" localSheetId="11">#REF!</definedName>
    <definedName name="M___R" localSheetId="5">#REF!</definedName>
    <definedName name="M___R">#REF!</definedName>
    <definedName name="MACRO">#N/A</definedName>
    <definedName name="MACROS" localSheetId="10">#REF!</definedName>
    <definedName name="MACROS" localSheetId="3">#REF!</definedName>
    <definedName name="MACROS" localSheetId="1">#REF!</definedName>
    <definedName name="MACROS" localSheetId="6">#REF!</definedName>
    <definedName name="MACROS" localSheetId="9">#REF!</definedName>
    <definedName name="MACROS" localSheetId="11">#REF!</definedName>
    <definedName name="MACROS" localSheetId="5">#REF!</definedName>
    <definedName name="MACROS">#REF!</definedName>
    <definedName name="MAIN_AB" localSheetId="10">#REF!</definedName>
    <definedName name="MAIN_AB" localSheetId="1">#REF!</definedName>
    <definedName name="MAIN_AB" localSheetId="9">#REF!</definedName>
    <definedName name="MAIN_AB" localSheetId="11">#REF!</definedName>
    <definedName name="MAIN_AB">#REF!</definedName>
    <definedName name="MAIN_CR" localSheetId="10">#REF!</definedName>
    <definedName name="MAIN_CR" localSheetId="1">#REF!</definedName>
    <definedName name="MAIN_CR" localSheetId="9">#REF!</definedName>
    <definedName name="MAIN_CR" localSheetId="11">#REF!</definedName>
    <definedName name="MAIN_CR">#REF!</definedName>
    <definedName name="MAIN_DB" localSheetId="10">#REF!</definedName>
    <definedName name="MAIN_DB" localSheetId="1">#REF!</definedName>
    <definedName name="MAIN_DB" localSheetId="9">#REF!</definedName>
    <definedName name="MAIN_DB" localSheetId="11">#REF!</definedName>
    <definedName name="MAIN_DB">#REF!</definedName>
    <definedName name="MAIN_DF" localSheetId="10">#REF!</definedName>
    <definedName name="MAIN_DF" localSheetId="1">#REF!</definedName>
    <definedName name="MAIN_DF" localSheetId="9">#REF!</definedName>
    <definedName name="MAIN_DF" localSheetId="11">#REF!</definedName>
    <definedName name="MAIN_DF">#REF!</definedName>
    <definedName name="MAIN_EN" localSheetId="10">#REF!</definedName>
    <definedName name="MAIN_EN" localSheetId="1">#REF!</definedName>
    <definedName name="MAIN_EN" localSheetId="9">#REF!</definedName>
    <definedName name="MAIN_EN" localSheetId="11">#REF!</definedName>
    <definedName name="MAIN_EN">#REF!</definedName>
    <definedName name="MAIN_MA" localSheetId="10">#REF!</definedName>
    <definedName name="MAIN_MA" localSheetId="1">#REF!</definedName>
    <definedName name="MAIN_MA" localSheetId="9">#REF!</definedName>
    <definedName name="MAIN_MA" localSheetId="11">#REF!</definedName>
    <definedName name="MAIN_MA">#REF!</definedName>
    <definedName name="MARDEMAND">#N/A</definedName>
    <definedName name="MARDEPREC" localSheetId="10">#REF!</definedName>
    <definedName name="MARDEPREC" localSheetId="1">#REF!</definedName>
    <definedName name="MARDEPREC" localSheetId="9">#REF!</definedName>
    <definedName name="MARDEPREC" localSheetId="11">#REF!</definedName>
    <definedName name="MARDEPREC">#REF!</definedName>
    <definedName name="MENU" localSheetId="10">#REF!</definedName>
    <definedName name="MENU" localSheetId="1">#REF!</definedName>
    <definedName name="MENU" localSheetId="9">#REF!</definedName>
    <definedName name="MENU" localSheetId="11">#REF!</definedName>
    <definedName name="MENU">#REF!</definedName>
    <definedName name="MONTH" localSheetId="10">#REF!</definedName>
    <definedName name="MONTH" localSheetId="1">#REF!</definedName>
    <definedName name="MONTH" localSheetId="9">#REF!</definedName>
    <definedName name="MONTH" localSheetId="11">#REF!</definedName>
    <definedName name="MONTH">#REF!</definedName>
    <definedName name="Monthly_index_DataTable" localSheetId="10">#REF!</definedName>
    <definedName name="Monthly_index_DataTable" localSheetId="1">#REF!</definedName>
    <definedName name="Monthly_index_DataTable" localSheetId="9">#REF!</definedName>
    <definedName name="Monthly_index_DataTable" localSheetId="11">#REF!</definedName>
    <definedName name="Monthly_index_DataTable">#REF!</definedName>
    <definedName name="Monthly_storage_DataTable" localSheetId="10">#REF!</definedName>
    <definedName name="Monthly_storage_DataTable" localSheetId="1">#REF!</definedName>
    <definedName name="Monthly_storage_DataTable" localSheetId="9">#REF!</definedName>
    <definedName name="Monthly_storage_DataTable" localSheetId="11">#REF!</definedName>
    <definedName name="Monthly_storage_DataTable">#REF!</definedName>
    <definedName name="Monthly_Volumes_DataTable" localSheetId="10">#REF!</definedName>
    <definedName name="Monthly_Volumes_DataTable" localSheetId="1">#REF!</definedName>
    <definedName name="Monthly_Volumes_DataTable" localSheetId="9">#REF!</definedName>
    <definedName name="Monthly_Volumes_DataTable" localSheetId="11">#REF!</definedName>
    <definedName name="Monthly_Volumes_DataTable">#REF!</definedName>
    <definedName name="N">[13]SETUP!#REF!</definedName>
    <definedName name="NCT">[13]SETUP!#REF!</definedName>
    <definedName name="new" localSheetId="10">#REF!</definedName>
    <definedName name="new" localSheetId="3">#REF!</definedName>
    <definedName name="new" localSheetId="1">#REF!</definedName>
    <definedName name="new" localSheetId="6">#REF!</definedName>
    <definedName name="new" localSheetId="9">#REF!</definedName>
    <definedName name="new" localSheetId="11">#REF!</definedName>
    <definedName name="new" localSheetId="5">#REF!</definedName>
    <definedName name="new">#REF!</definedName>
    <definedName name="new_int" localSheetId="10">#REF!</definedName>
    <definedName name="new_int" localSheetId="1">#REF!</definedName>
    <definedName name="new_int" localSheetId="9">#REF!</definedName>
    <definedName name="new_int" localSheetId="11">#REF!</definedName>
    <definedName name="new_int">#REF!</definedName>
    <definedName name="njnjn" localSheetId="10">#REF!</definedName>
    <definedName name="njnjn" localSheetId="3">#REF!</definedName>
    <definedName name="njnjn" localSheetId="1">#REF!</definedName>
    <definedName name="njnjn" localSheetId="6">#REF!</definedName>
    <definedName name="njnjn" localSheetId="9">#REF!</definedName>
    <definedName name="njnjn" localSheetId="11">#REF!</definedName>
    <definedName name="njnjn" localSheetId="5">#REF!</definedName>
    <definedName name="njnjn">#REF!</definedName>
    <definedName name="NN">[13]SETUP!#REF!</definedName>
    <definedName name="nnnnn" localSheetId="3">[3]Bills!#REF!</definedName>
    <definedName name="nnnnn" localSheetId="6">[3]Bills!#REF!</definedName>
    <definedName name="nnnnn" localSheetId="5">[3]Bills!#REF!</definedName>
    <definedName name="nnnnn">[3]Bills!#REF!</definedName>
    <definedName name="Oct_07">"INTCY08"</definedName>
    <definedName name="OF">[13]SETUP!#REF!</definedName>
    <definedName name="old_int" localSheetId="10">#REF!</definedName>
    <definedName name="old_int" localSheetId="3">#REF!</definedName>
    <definedName name="old_int" localSheetId="1">#REF!</definedName>
    <definedName name="old_int" localSheetId="6">#REF!</definedName>
    <definedName name="old_int" localSheetId="9">#REF!</definedName>
    <definedName name="old_int" localSheetId="11">#REF!</definedName>
    <definedName name="old_int" localSheetId="5">#REF!</definedName>
    <definedName name="old_int">#REF!</definedName>
    <definedName name="OR" localSheetId="10">#REF!</definedName>
    <definedName name="OR" localSheetId="3">#REF!</definedName>
    <definedName name="OR" localSheetId="1">#REF!</definedName>
    <definedName name="OR" localSheetId="6">#REF!</definedName>
    <definedName name="OR" localSheetId="9">#REF!</definedName>
    <definedName name="OR" localSheetId="11">#REF!</definedName>
    <definedName name="OR" localSheetId="5">#REF!</definedName>
    <definedName name="OR">#REF!</definedName>
    <definedName name="OR_3_FACTOR" localSheetId="10">#REF!</definedName>
    <definedName name="OR_3_FACTOR" localSheetId="1">#REF!</definedName>
    <definedName name="OR_3_FACTOR" localSheetId="9">#REF!</definedName>
    <definedName name="OR_3_FACTOR" localSheetId="11">#REF!</definedName>
    <definedName name="OR_3_FACTOR">#REF!</definedName>
    <definedName name="OR_CUST" localSheetId="10">#REF!</definedName>
    <definedName name="OR_CUST" localSheetId="1">#REF!</definedName>
    <definedName name="OR_CUST" localSheetId="9">#REF!</definedName>
    <definedName name="OR_CUST" localSheetId="11">#REF!</definedName>
    <definedName name="OR_CUST">#REF!</definedName>
    <definedName name="OR_PEAK_DAY" localSheetId="10">#REF!</definedName>
    <definedName name="OR_PEAK_DAY" localSheetId="1">#REF!</definedName>
    <definedName name="OR_PEAK_DAY" localSheetId="9">#REF!</definedName>
    <definedName name="OR_PEAK_DAY" localSheetId="11">#REF!</definedName>
    <definedName name="OR_PEAK_DAY">#REF!</definedName>
    <definedName name="OR_PLANT" localSheetId="10">#REF!</definedName>
    <definedName name="OR_PLANT" localSheetId="1">#REF!</definedName>
    <definedName name="OR_PLANT" localSheetId="9">#REF!</definedName>
    <definedName name="OR_PLANT" localSheetId="11">#REF!</definedName>
    <definedName name="OR_PLANT">#REF!</definedName>
    <definedName name="OR320A" localSheetId="10">#REF!</definedName>
    <definedName name="OR320A" localSheetId="1">#REF!</definedName>
    <definedName name="OR320A" localSheetId="9">#REF!</definedName>
    <definedName name="OR320A" localSheetId="11">#REF!</definedName>
    <definedName name="OR320A">#REF!</definedName>
    <definedName name="OREGON_24_HR_AV" localSheetId="10">#REF!</definedName>
    <definedName name="OREGON_24_HR_AV" localSheetId="1">#REF!</definedName>
    <definedName name="OREGON_24_HR_AV" localSheetId="9">#REF!</definedName>
    <definedName name="OREGON_24_HR_AV" localSheetId="11">#REF!</definedName>
    <definedName name="OREGON_24_HR_AV">#REF!</definedName>
    <definedName name="OREGON_MAX" localSheetId="10">#REF!</definedName>
    <definedName name="OREGON_MAX" localSheetId="1">#REF!</definedName>
    <definedName name="OREGON_MAX" localSheetId="9">#REF!</definedName>
    <definedName name="OREGON_MAX" localSheetId="11">#REF!</definedName>
    <definedName name="OREGON_MAX">#REF!</definedName>
    <definedName name="OREGON_MAX_MIN" localSheetId="10">#REF!</definedName>
    <definedName name="OREGON_MAX_MIN" localSheetId="1">#REF!</definedName>
    <definedName name="OREGON_MAX_MIN" localSheetId="9">#REF!</definedName>
    <definedName name="OREGON_MAX_MIN" localSheetId="11">#REF!</definedName>
    <definedName name="OREGON_MAX_MIN">#REF!</definedName>
    <definedName name="OREGON_MIN" localSheetId="10">#REF!</definedName>
    <definedName name="OREGON_MIN" localSheetId="1">#REF!</definedName>
    <definedName name="OREGON_MIN" localSheetId="9">#REF!</definedName>
    <definedName name="OREGON_MIN" localSheetId="11">#REF!</definedName>
    <definedName name="OREGON_MIN">#REF!</definedName>
    <definedName name="ORTAXES" localSheetId="10">#REF!</definedName>
    <definedName name="ORTAXES" localSheetId="1">#REF!</definedName>
    <definedName name="ORTAXES" localSheetId="9">#REF!</definedName>
    <definedName name="ORTAXES" localSheetId="11">#REF!</definedName>
    <definedName name="ORTAXES">#REF!</definedName>
    <definedName name="ORTAXS" localSheetId="10">#REF!</definedName>
    <definedName name="ORTAXS" localSheetId="1">#REF!</definedName>
    <definedName name="ORTAXS" localSheetId="9">#REF!</definedName>
    <definedName name="ORTAXS" localSheetId="11">#REF!</definedName>
    <definedName name="ORTAXS">#REF!</definedName>
    <definedName name="OTI" localSheetId="3">[18]input!$C$18</definedName>
    <definedName name="OTI" localSheetId="6">[18]input!$C$18</definedName>
    <definedName name="OTI" localSheetId="5">[18]input!$C$18</definedName>
    <definedName name="OTI">[18]input!$C$18</definedName>
    <definedName name="OVER">[13]SETUP!#REF!</definedName>
    <definedName name="Page1" localSheetId="10">#REF!</definedName>
    <definedName name="Page1" localSheetId="3">#REF!</definedName>
    <definedName name="Page1" localSheetId="1">#REF!</definedName>
    <definedName name="Page1" localSheetId="6">#REF!</definedName>
    <definedName name="Page1" localSheetId="9">#REF!</definedName>
    <definedName name="Page1" localSheetId="11">#REF!</definedName>
    <definedName name="Page1" localSheetId="5">#REF!</definedName>
    <definedName name="Page1">#REF!</definedName>
    <definedName name="Page2" localSheetId="10">#REF!</definedName>
    <definedName name="Page2" localSheetId="3">#REF!</definedName>
    <definedName name="Page2" localSheetId="1">#REF!</definedName>
    <definedName name="Page2" localSheetId="6">#REF!</definedName>
    <definedName name="Page2" localSheetId="9">#REF!</definedName>
    <definedName name="Page2" localSheetId="11">#REF!</definedName>
    <definedName name="Page2" localSheetId="5">#REF!</definedName>
    <definedName name="Page2">#REF!</definedName>
    <definedName name="Page4" localSheetId="10">#REF!</definedName>
    <definedName name="Page4" localSheetId="3">#REF!</definedName>
    <definedName name="Page4" localSheetId="1">#REF!</definedName>
    <definedName name="Page4" localSheetId="6">#REF!</definedName>
    <definedName name="Page4" localSheetId="9">#REF!</definedName>
    <definedName name="Page4" localSheetId="11">#REF!</definedName>
    <definedName name="Page4" localSheetId="5">#REF!</definedName>
    <definedName name="Page4">#REF!</definedName>
    <definedName name="Page5" localSheetId="10">#REF!</definedName>
    <definedName name="Page5" localSheetId="3">#REF!</definedName>
    <definedName name="Page5" localSheetId="1">#REF!</definedName>
    <definedName name="Page5" localSheetId="6">#REF!</definedName>
    <definedName name="Page5" localSheetId="9">#REF!</definedName>
    <definedName name="Page5" localSheetId="11">#REF!</definedName>
    <definedName name="Page5" localSheetId="5">#REF!</definedName>
    <definedName name="Page5">#REF!</definedName>
    <definedName name="page6" localSheetId="10">#REF!</definedName>
    <definedName name="page6" localSheetId="3">#REF!</definedName>
    <definedName name="page6" localSheetId="1">#REF!</definedName>
    <definedName name="page6" localSheetId="6">#REF!</definedName>
    <definedName name="page6" localSheetId="9">#REF!</definedName>
    <definedName name="page6" localSheetId="11">#REF!</definedName>
    <definedName name="page6" localSheetId="5">#REF!</definedName>
    <definedName name="page6">#REF!</definedName>
    <definedName name="Penalty__DataTable" localSheetId="10">#REF!</definedName>
    <definedName name="Penalty__DataTable" localSheetId="1">#REF!</definedName>
    <definedName name="Penalty__DataTable" localSheetId="9">#REF!</definedName>
    <definedName name="Penalty__DataTable" localSheetId="11">#REF!</definedName>
    <definedName name="Penalty__DataTable">#REF!</definedName>
    <definedName name="Penalty_cost_DataTable" localSheetId="10">#REF!</definedName>
    <definedName name="Penalty_cost_DataTable" localSheetId="1">#REF!</definedName>
    <definedName name="Penalty_cost_DataTable" localSheetId="9">#REF!</definedName>
    <definedName name="Penalty_cost_DataTable" localSheetId="11">#REF!</definedName>
    <definedName name="Penalty_cost_DataTable">#REF!</definedName>
    <definedName name="Penalty_DataTable" localSheetId="10">#REF!</definedName>
    <definedName name="Penalty_DataTable" localSheetId="1">#REF!</definedName>
    <definedName name="Penalty_DataTable" localSheetId="9">#REF!</definedName>
    <definedName name="Penalty_DataTable" localSheetId="11">#REF!</definedName>
    <definedName name="Penalty_DataTable">#REF!</definedName>
    <definedName name="penalty_info_DataTable" localSheetId="10">#REF!</definedName>
    <definedName name="penalty_info_DataTable" localSheetId="1">#REF!</definedName>
    <definedName name="penalty_info_DataTable" localSheetId="9">#REF!</definedName>
    <definedName name="penalty_info_DataTable" localSheetId="11">#REF!</definedName>
    <definedName name="penalty_info_DataTable">#REF!</definedName>
    <definedName name="PFU" localSheetId="3">[18]input!$C$12</definedName>
    <definedName name="PFU" localSheetId="6">[18]input!$C$12</definedName>
    <definedName name="PFU" localSheetId="5">[18]input!$C$12</definedName>
    <definedName name="PFU">[18]input!$C$12</definedName>
    <definedName name="PGAPeriodVolumes" localSheetId="10">'[26]Test Period Volumes'!#REF!</definedName>
    <definedName name="PGAPeriodVolumes" localSheetId="1">'[26]Test Period Volumes'!#REF!</definedName>
    <definedName name="PGAPeriodVolumes" localSheetId="9">'[26]Test Period Volumes'!#REF!</definedName>
    <definedName name="PGAPeriodVolumes" localSheetId="11">'[26]Test Period Volumes'!#REF!</definedName>
    <definedName name="PGAPeriodVolumes">'[27]Test Period Volumes'!#REF!</definedName>
    <definedName name="pint3" localSheetId="10">' Int during Amort'!pint3</definedName>
    <definedName name="pint3" localSheetId="3">'CARES Amount Change'!pint3</definedName>
    <definedName name="pint3" localSheetId="1">'CARES Summary of Def. Accts.'!pint3</definedName>
    <definedName name="pint3" localSheetId="6">'Combined Amount Change'!pint3</definedName>
    <definedName name="pint3" localSheetId="9">EstimatedBalances!pint3</definedName>
    <definedName name="pint3" localSheetId="11">'Int calc thru 10-31-2024'!pint3</definedName>
    <definedName name="pint3" localSheetId="5">'WEAF Amount Change'!pint3</definedName>
    <definedName name="pint3">[0]!pint3</definedName>
    <definedName name="pint3r" localSheetId="10">' Int during Amort'!pint3r</definedName>
    <definedName name="pint3r" localSheetId="3">'CARES Amount Change'!pint3r</definedName>
    <definedName name="pint3r" localSheetId="1">'CARES Summary of Def. Accts.'!pint3r</definedName>
    <definedName name="pint3r" localSheetId="6">'Combined Amount Change'!pint3r</definedName>
    <definedName name="pint3r" localSheetId="9">EstimatedBalances!pint3r</definedName>
    <definedName name="pint3r" localSheetId="11">'Int calc thru 10-31-2024'!pint3r</definedName>
    <definedName name="pint3r" localSheetId="5">'WEAF Amount Change'!pint3r</definedName>
    <definedName name="pint3r">[0]!pint3r</definedName>
    <definedName name="ppopo" localSheetId="10">#REF!</definedName>
    <definedName name="ppopo" localSheetId="3">#REF!</definedName>
    <definedName name="ppopo" localSheetId="1">#REF!</definedName>
    <definedName name="ppopo" localSheetId="6">#REF!</definedName>
    <definedName name="ppopo" localSheetId="9">#REF!</definedName>
    <definedName name="ppopo" localSheetId="11">#REF!</definedName>
    <definedName name="ppopo" localSheetId="5">#REF!</definedName>
    <definedName name="ppopo">#REF!</definedName>
    <definedName name="ppppp" localSheetId="10">#REF!</definedName>
    <definedName name="ppppp" localSheetId="3">#REF!</definedName>
    <definedName name="ppppp" localSheetId="1">#REF!</definedName>
    <definedName name="ppppp" localSheetId="6">#REF!</definedName>
    <definedName name="ppppp" localSheetId="9">#REF!</definedName>
    <definedName name="ppppp" localSheetId="11">#REF!</definedName>
    <definedName name="ppppp" localSheetId="5">#REF!</definedName>
    <definedName name="ppppp">#REF!</definedName>
    <definedName name="PRINT" localSheetId="10">#REF!</definedName>
    <definedName name="PRINT" localSheetId="3">#REF!</definedName>
    <definedName name="PRINT" localSheetId="1">#REF!</definedName>
    <definedName name="PRINT" localSheetId="6">#REF!</definedName>
    <definedName name="PRINT" localSheetId="9">#REF!</definedName>
    <definedName name="PRINT" localSheetId="11">#REF!</definedName>
    <definedName name="PRINT" localSheetId="5">#REF!</definedName>
    <definedName name="PRINT">#REF!</definedName>
    <definedName name="_xlnm.Print_Area" localSheetId="10">' Int during Amort'!$A$1:$T$51</definedName>
    <definedName name="_xlnm.Print_Area" localSheetId="3">'CARES Amount Change'!$A$1:$M$28</definedName>
    <definedName name="_xlnm.Print_Area" localSheetId="0">'CARES Cost'!$A$1:$D$26</definedName>
    <definedName name="_xlnm.Print_Area" localSheetId="4">'CARES Incremental Rate'!$B$1:$H$21</definedName>
    <definedName name="_xlnm.Print_Area" localSheetId="1">'CARES Summary of Def. Accts.'!$A$1:$G$21</definedName>
    <definedName name="_xlnm.Print_Area" localSheetId="6">'Combined Amount Change'!$A$4:$N$28</definedName>
    <definedName name="_xlnm.Print_Area" localSheetId="2">'Cost Recovery and Rates'!$A$1:$G$24</definedName>
    <definedName name="_xlnm.Print_Area" localSheetId="7">'Rate Impact'!$A$1:$K$43</definedName>
    <definedName name="_xlnm.Print_Area" localSheetId="5">'WEAF Amount Change'!$A$1:$M$28</definedName>
    <definedName name="Print_Area_MI" localSheetId="10">#REF!</definedName>
    <definedName name="Print_Area_MI" localSheetId="3">#REF!</definedName>
    <definedName name="Print_Area_MI" localSheetId="1">#REF!</definedName>
    <definedName name="Print_Area_MI" localSheetId="6">#REF!</definedName>
    <definedName name="Print_Area_MI" localSheetId="9">#REF!</definedName>
    <definedName name="Print_Area_MI" localSheetId="11">#REF!</definedName>
    <definedName name="Print_Area_MI" localSheetId="5">#REF!</definedName>
    <definedName name="Print_Area_MI">#REF!</definedName>
    <definedName name="_xlnm.Print_Titles" localSheetId="10">' Int during Amort'!$A:$C,' Int during Amort'!#REF!</definedName>
    <definedName name="print1" localSheetId="3">[14]!print1</definedName>
    <definedName name="print1" localSheetId="6">[14]!print1</definedName>
    <definedName name="print1" localSheetId="7">[14]!print1</definedName>
    <definedName name="print1">[14]!print1</definedName>
    <definedName name="print10" localSheetId="10">' Int during Amort'!print10</definedName>
    <definedName name="print10" localSheetId="3">'CARES Amount Change'!print10</definedName>
    <definedName name="print10" localSheetId="1">'CARES Summary of Def. Accts.'!print10</definedName>
    <definedName name="print10" localSheetId="6">'Combined Amount Change'!print10</definedName>
    <definedName name="print10" localSheetId="9">EstimatedBalances!print10</definedName>
    <definedName name="print10" localSheetId="11">'Int calc thru 10-31-2024'!print10</definedName>
    <definedName name="print10" localSheetId="5">'WEAF Amount Change'!print10</definedName>
    <definedName name="print10">[0]!print10</definedName>
    <definedName name="print2" localSheetId="3">[14]!print2</definedName>
    <definedName name="print2" localSheetId="6">[14]!print2</definedName>
    <definedName name="print2" localSheetId="7">[14]!print2</definedName>
    <definedName name="print2">[14]!print2</definedName>
    <definedName name="print3" localSheetId="3">[14]!print3</definedName>
    <definedName name="print3" localSheetId="6">[14]!print3</definedName>
    <definedName name="print3" localSheetId="7">[14]!print3</definedName>
    <definedName name="print3">[14]!print3</definedName>
    <definedName name="pzint3" localSheetId="10">' Int during Amort'!pzint3</definedName>
    <definedName name="pzint3" localSheetId="3">'CARES Amount Change'!pzint3</definedName>
    <definedName name="pzint3" localSheetId="1">'CARES Summary of Def. Accts.'!pzint3</definedName>
    <definedName name="pzint3" localSheetId="6">'Combined Amount Change'!pzint3</definedName>
    <definedName name="pzint3" localSheetId="9">EstimatedBalances!pzint3</definedName>
    <definedName name="pzint3" localSheetId="11">'Int calc thru 10-31-2024'!pzint3</definedName>
    <definedName name="pzint3" localSheetId="5">'WEAF Amount Change'!pzint3</definedName>
    <definedName name="pzint3">[0]!pzint3</definedName>
    <definedName name="qqqq" localSheetId="10">#REF!</definedName>
    <definedName name="qqqq" localSheetId="3">#REF!</definedName>
    <definedName name="qqqq" localSheetId="1">#REF!</definedName>
    <definedName name="qqqq" localSheetId="6">#REF!</definedName>
    <definedName name="qqqq" localSheetId="9">#REF!</definedName>
    <definedName name="qqqq" localSheetId="11">#REF!</definedName>
    <definedName name="qqqq" localSheetId="5">#REF!</definedName>
    <definedName name="qqqq">#REF!</definedName>
    <definedName name="QUIT" localSheetId="10">#REF!</definedName>
    <definedName name="QUIT" localSheetId="3">#REF!</definedName>
    <definedName name="QUIT" localSheetId="1">#REF!</definedName>
    <definedName name="QUIT" localSheetId="6">#REF!</definedName>
    <definedName name="QUIT" localSheetId="9">#REF!</definedName>
    <definedName name="QUIT" localSheetId="11">#REF!</definedName>
    <definedName name="QUIT" localSheetId="5">#REF!</definedName>
    <definedName name="QUIT">#REF!</definedName>
    <definedName name="revsens" localSheetId="3">'[28]General Inputs'!$D$10</definedName>
    <definedName name="revsens" localSheetId="6">'[28]General Inputs'!$D$10</definedName>
    <definedName name="revsens" localSheetId="5">'[28]General Inputs'!$D$10</definedName>
    <definedName name="revsens">'[28]General Inputs'!$D$10</definedName>
    <definedName name="S">[13]SETUP!#REF!</definedName>
    <definedName name="SAVE" localSheetId="10">#REF!</definedName>
    <definedName name="SAVE" localSheetId="3">#REF!</definedName>
    <definedName name="SAVE" localSheetId="1">#REF!</definedName>
    <definedName name="SAVE" localSheetId="6">#REF!</definedName>
    <definedName name="SAVE" localSheetId="9">#REF!</definedName>
    <definedName name="SAVE" localSheetId="11">#REF!</definedName>
    <definedName name="SAVE" localSheetId="5">#REF!</definedName>
    <definedName name="SAVE">#REF!</definedName>
    <definedName name="scenario_2790_DataTable" localSheetId="10">#REF!</definedName>
    <definedName name="scenario_2790_DataTable" localSheetId="3">#REF!</definedName>
    <definedName name="scenario_2790_DataTable" localSheetId="1">#REF!</definedName>
    <definedName name="scenario_2790_DataTable" localSheetId="6">#REF!</definedName>
    <definedName name="scenario_2790_DataTable" localSheetId="9">#REF!</definedName>
    <definedName name="scenario_2790_DataTable" localSheetId="11">#REF!</definedName>
    <definedName name="scenario_2790_DataTable" localSheetId="5">#REF!</definedName>
    <definedName name="scenario_2790_DataTable">#REF!</definedName>
    <definedName name="Sheet1_DataTable" localSheetId="10">#REF!</definedName>
    <definedName name="Sheet1_DataTable" localSheetId="3">#REF!</definedName>
    <definedName name="Sheet1_DataTable" localSheetId="1">#REF!</definedName>
    <definedName name="Sheet1_DataTable" localSheetId="6">#REF!</definedName>
    <definedName name="Sheet1_DataTable" localSheetId="9">#REF!</definedName>
    <definedName name="Sheet1_DataTable" localSheetId="11">#REF!</definedName>
    <definedName name="Sheet1_DataTable" localSheetId="5">#REF!</definedName>
    <definedName name="Sheet1_DataTable">#REF!</definedName>
    <definedName name="Sheet3_DataTable" localSheetId="10">#REF!</definedName>
    <definedName name="Sheet3_DataTable" localSheetId="1">#REF!</definedName>
    <definedName name="Sheet3_DataTable" localSheetId="9">#REF!</definedName>
    <definedName name="Sheet3_DataTable" localSheetId="11">#REF!</definedName>
    <definedName name="Sheet3_DataTable">#REF!</definedName>
    <definedName name="Sheet5_DataTable" localSheetId="10">#REF!</definedName>
    <definedName name="Sheet5_DataTable" localSheetId="1">#REF!</definedName>
    <definedName name="Sheet5_DataTable" localSheetId="9">#REF!</definedName>
    <definedName name="Sheet5_DataTable" localSheetId="11">#REF!</definedName>
    <definedName name="Sheet5_DataTable">#REF!</definedName>
    <definedName name="SSPBILL">'[14]Int Rates'!#REF!</definedName>
    <definedName name="SSPREF">'[14]Int Rates'!#REF!</definedName>
    <definedName name="Storage_DataTable" localSheetId="10">#REF!</definedName>
    <definedName name="Storage_DataTable" localSheetId="3">#REF!</definedName>
    <definedName name="Storage_DataTable" localSheetId="1">#REF!</definedName>
    <definedName name="Storage_DataTable" localSheetId="6">#REF!</definedName>
    <definedName name="Storage_DataTable" localSheetId="9">#REF!</definedName>
    <definedName name="Storage_DataTable" localSheetId="11">#REF!</definedName>
    <definedName name="Storage_DataTable" localSheetId="5">#REF!</definedName>
    <definedName name="Storage_DataTable">#REF!</definedName>
    <definedName name="storage_info_DataTable" localSheetId="10">#REF!</definedName>
    <definedName name="storage_info_DataTable" localSheetId="3">#REF!</definedName>
    <definedName name="storage_info_DataTable" localSheetId="1">#REF!</definedName>
    <definedName name="storage_info_DataTable" localSheetId="6">#REF!</definedName>
    <definedName name="storage_info_DataTable" localSheetId="9">#REF!</definedName>
    <definedName name="storage_info_DataTable" localSheetId="11">#REF!</definedName>
    <definedName name="storage_info_DataTable" localSheetId="5">#REF!</definedName>
    <definedName name="storage_info_DataTable">#REF!</definedName>
    <definedName name="Storage_Inj_DataTable" localSheetId="10">#REF!</definedName>
    <definedName name="Storage_Inj_DataTable" localSheetId="3">#REF!</definedName>
    <definedName name="Storage_Inj_DataTable" localSheetId="1">#REF!</definedName>
    <definedName name="Storage_Inj_DataTable" localSheetId="6">#REF!</definedName>
    <definedName name="Storage_Inj_DataTable" localSheetId="9">#REF!</definedName>
    <definedName name="Storage_Inj_DataTable" localSheetId="11">#REF!</definedName>
    <definedName name="Storage_Inj_DataTable" localSheetId="5">#REF!</definedName>
    <definedName name="Storage_Inj_DataTable">#REF!</definedName>
    <definedName name="Storage_Monthly_DataTable" localSheetId="10">#REF!</definedName>
    <definedName name="Storage_Monthly_DataTable" localSheetId="1">#REF!</definedName>
    <definedName name="Storage_Monthly_DataTable" localSheetId="9">#REF!</definedName>
    <definedName name="Storage_Monthly_DataTable" localSheetId="11">#REF!</definedName>
    <definedName name="Storage_Monthly_DataTable">#REF!</definedName>
    <definedName name="Supply_DataTable" localSheetId="10">#REF!</definedName>
    <definedName name="Supply_DataTable" localSheetId="1">#REF!</definedName>
    <definedName name="Supply_DataTable" localSheetId="9">#REF!</definedName>
    <definedName name="Supply_DataTable" localSheetId="11">#REF!</definedName>
    <definedName name="Supply_DataTable">#REF!</definedName>
    <definedName name="Supply_Info_all_years_DataTable" localSheetId="10">#REF!</definedName>
    <definedName name="Supply_Info_all_years_DataTable" localSheetId="1">#REF!</definedName>
    <definedName name="Supply_Info_all_years_DataTable" localSheetId="9">#REF!</definedName>
    <definedName name="Supply_Info_all_years_DataTable" localSheetId="11">#REF!</definedName>
    <definedName name="Supply_Info_all_years_DataTable">#REF!</definedName>
    <definedName name="Supply_Info_DataTable" localSheetId="10">#REF!</definedName>
    <definedName name="Supply_Info_DataTable" localSheetId="1">#REF!</definedName>
    <definedName name="Supply_Info_DataTable" localSheetId="9">#REF!</definedName>
    <definedName name="Supply_Info_DataTable" localSheetId="11">#REF!</definedName>
    <definedName name="Supply_Info_DataTable">#REF!</definedName>
    <definedName name="supply_pull_DataTable" localSheetId="10">#REF!</definedName>
    <definedName name="supply_pull_DataTable" localSheetId="1">#REF!</definedName>
    <definedName name="supply_pull_DataTable" localSheetId="9">#REF!</definedName>
    <definedName name="supply_pull_DataTable" localSheetId="11">#REF!</definedName>
    <definedName name="supply_pull_DataTable">#REF!</definedName>
    <definedName name="T">[13]SETUP!#REF!</definedName>
    <definedName name="TAXINT18" localSheetId="10">'[29]TAX Interest Rates'!$A$10:$C$21</definedName>
    <definedName name="TAXINT18" localSheetId="3">'[29]TAX Interest Rates'!$A$10:$C$21</definedName>
    <definedName name="TAXINT18" localSheetId="1">'[29]TAX Interest Rates'!$A$10:$C$21</definedName>
    <definedName name="TAXINT18" localSheetId="6">'[29]TAX Interest Rates'!$A$10:$C$21</definedName>
    <definedName name="TAXINT18" localSheetId="9">'[29]TAX Interest Rates'!$A$10:$C$21</definedName>
    <definedName name="TAXINT18" localSheetId="11">'[29]TAX Interest Rates'!$A$10:$C$21</definedName>
    <definedName name="TAXINT18" localSheetId="5">'[29]TAX Interest Rates'!$A$10:$C$21</definedName>
    <definedName name="TAXINT18">'[30]TAX Interest Rates'!$A$10:$C$21</definedName>
    <definedName name="TAXINT19" localSheetId="10">'[29]TAX Interest Rates'!$A$22:$C$33</definedName>
    <definedName name="TAXINT19" localSheetId="3">'[29]TAX Interest Rates'!$A$22:$C$33</definedName>
    <definedName name="TAXINT19" localSheetId="1">'[29]TAX Interest Rates'!$A$22:$C$33</definedName>
    <definedName name="TAXINT19" localSheetId="6">'[29]TAX Interest Rates'!$A$22:$C$33</definedName>
    <definedName name="TAXINT19" localSheetId="9">'[29]TAX Interest Rates'!$A$22:$C$33</definedName>
    <definedName name="TAXINT19" localSheetId="11">'[29]TAX Interest Rates'!$A$22:$C$33</definedName>
    <definedName name="TAXINT19" localSheetId="5">'[29]TAX Interest Rates'!$A$22:$C$33</definedName>
    <definedName name="TAXINT19">'[30]TAX Interest Rates'!$A$22:$C$33</definedName>
    <definedName name="TAXINT20">'[30]TAX Interest Rates'!$A$34:$C$45</definedName>
    <definedName name="TAXINT21">'[30]TAX Interest Rates'!$A$46:$C$57</definedName>
    <definedName name="TAXINT22">'[30]TAX Interest Rates'!$A$58:$C$69</definedName>
    <definedName name="TAXINT23">'[30]TAX Interest Rates'!$A$70:$C$81</definedName>
    <definedName name="TESTPERIOD" localSheetId="3">[18]input!$C$5</definedName>
    <definedName name="TESTPERIOD" localSheetId="6">[18]input!$C$5</definedName>
    <definedName name="TESTPERIOD" localSheetId="5">[18]input!$C$5</definedName>
    <definedName name="TESTPERIOD">[18]input!$C$5</definedName>
    <definedName name="TestPeriodVolumes" localSheetId="10">'[26]Test Period Volumes'!#REF!</definedName>
    <definedName name="TestPeriodVolumes" localSheetId="1">'[26]Test Period Volumes'!#REF!</definedName>
    <definedName name="TestPeriodVolumes" localSheetId="9">'[26]Test Period Volumes'!#REF!</definedName>
    <definedName name="TestPeriodVolumes" localSheetId="11">'[26]Test Period Volumes'!#REF!</definedName>
    <definedName name="TestPeriodVolumes">'[27]Test Period Volumes'!#REF!</definedName>
    <definedName name="TITLES" localSheetId="10">#REF!</definedName>
    <definedName name="TITLES" localSheetId="3">#REF!</definedName>
    <definedName name="TITLES" localSheetId="1">#REF!</definedName>
    <definedName name="TITLES" localSheetId="6">#REF!</definedName>
    <definedName name="TITLES" localSheetId="9">#REF!</definedName>
    <definedName name="TITLES" localSheetId="11">#REF!</definedName>
    <definedName name="TITLES" localSheetId="5">#REF!</definedName>
    <definedName name="TITLES">#REF!</definedName>
    <definedName name="TRANSPORT" localSheetId="10">[13]SETUP!#REF!</definedName>
    <definedName name="TRANSPORT" localSheetId="3">[13]SETUP!#REF!</definedName>
    <definedName name="TRANSPORT" localSheetId="1">[13]SETUP!#REF!</definedName>
    <definedName name="TRANSPORT" localSheetId="6">[13]SETUP!#REF!</definedName>
    <definedName name="TRANSPORT" localSheetId="9">[13]SETUP!#REF!</definedName>
    <definedName name="TRANSPORT" localSheetId="11">[13]SETUP!#REF!</definedName>
    <definedName name="TRANSPORT" localSheetId="5">[13]SETUP!#REF!</definedName>
    <definedName name="TRANSPORT">[13]SETUP!#REF!</definedName>
    <definedName name="Transport_DataTable" localSheetId="10">#REF!</definedName>
    <definedName name="Transport_DataTable" localSheetId="3">#REF!</definedName>
    <definedName name="Transport_DataTable" localSheetId="1">#REF!</definedName>
    <definedName name="Transport_DataTable" localSheetId="6">#REF!</definedName>
    <definedName name="Transport_DataTable" localSheetId="9">#REF!</definedName>
    <definedName name="Transport_DataTable" localSheetId="11">#REF!</definedName>
    <definedName name="Transport_DataTable" localSheetId="5">#REF!</definedName>
    <definedName name="Transport_DataTable">#REF!</definedName>
    <definedName name="Transport_Info_DataTable" localSheetId="10">#REF!</definedName>
    <definedName name="Transport_Info_DataTable" localSheetId="3">#REF!</definedName>
    <definedName name="Transport_Info_DataTable" localSheetId="1">#REF!</definedName>
    <definedName name="Transport_Info_DataTable" localSheetId="6">#REF!</definedName>
    <definedName name="Transport_Info_DataTable" localSheetId="9">#REF!</definedName>
    <definedName name="Transport_Info_DataTable" localSheetId="11">#REF!</definedName>
    <definedName name="Transport_Info_DataTable" localSheetId="5">#REF!</definedName>
    <definedName name="Transport_Info_DataTable">#REF!</definedName>
    <definedName name="TRNSPTREV" localSheetId="3">[18]input!$C$51</definedName>
    <definedName name="TRNSPTREV" localSheetId="6">[18]input!$C$51</definedName>
    <definedName name="TRNSPTREV" localSheetId="5">[18]input!$C$51</definedName>
    <definedName name="TRNSPTREV">[18]input!$C$51</definedName>
    <definedName name="VARIANCE" localSheetId="10">#REF!</definedName>
    <definedName name="VARIANCE" localSheetId="3">#REF!</definedName>
    <definedName name="VARIANCE" localSheetId="1">#REF!</definedName>
    <definedName name="VARIANCE" localSheetId="6">#REF!</definedName>
    <definedName name="VARIANCE" localSheetId="9">#REF!</definedName>
    <definedName name="VARIANCE" localSheetId="11">#REF!</definedName>
    <definedName name="VARIANCE" localSheetId="5">#REF!</definedName>
    <definedName name="VARIANCE">#REF!</definedName>
    <definedName name="VARIANCEREVENUE" localSheetId="10">#REF!</definedName>
    <definedName name="VARIANCEREVENUE" localSheetId="3">#REF!</definedName>
    <definedName name="VARIANCEREVENUE" localSheetId="1">#REF!</definedName>
    <definedName name="VARIANCEREVENUE" localSheetId="6">#REF!</definedName>
    <definedName name="VARIANCEREVENUE" localSheetId="9">#REF!</definedName>
    <definedName name="VARIANCEREVENUE" localSheetId="11">#REF!</definedName>
    <definedName name="VARIANCEREVENUE" localSheetId="5">#REF!</definedName>
    <definedName name="VARIANCEREVENUE">#REF!</definedName>
    <definedName name="WA" localSheetId="10">#REF!</definedName>
    <definedName name="WA" localSheetId="3">#REF!</definedName>
    <definedName name="WA" localSheetId="1">#REF!</definedName>
    <definedName name="WA" localSheetId="6">#REF!</definedName>
    <definedName name="WA" localSheetId="9">#REF!</definedName>
    <definedName name="WA" localSheetId="11">#REF!</definedName>
    <definedName name="WA" localSheetId="5">#REF!</definedName>
    <definedName name="WA">#REF!</definedName>
    <definedName name="WA_3_FACTOR" localSheetId="10">#REF!</definedName>
    <definedName name="WA_3_FACTOR" localSheetId="1">#REF!</definedName>
    <definedName name="WA_3_FACTOR" localSheetId="9">#REF!</definedName>
    <definedName name="WA_3_FACTOR" localSheetId="11">#REF!</definedName>
    <definedName name="WA_3_FACTOR">#REF!</definedName>
    <definedName name="WA_CUST" localSheetId="10">#REF!</definedName>
    <definedName name="WA_CUST" localSheetId="1">#REF!</definedName>
    <definedName name="WA_CUST" localSheetId="9">#REF!</definedName>
    <definedName name="WA_CUST" localSheetId="11">#REF!</definedName>
    <definedName name="WA_CUST">#REF!</definedName>
    <definedName name="WA_PLANT" localSheetId="10">#REF!</definedName>
    <definedName name="WA_PLANT" localSheetId="1">#REF!</definedName>
    <definedName name="WA_PLANT" localSheetId="9">#REF!</definedName>
    <definedName name="WA_PLANT" localSheetId="11">#REF!</definedName>
    <definedName name="WA_PLANT">#REF!</definedName>
    <definedName name="wa_revsens" localSheetId="3">'[28]General Inputs'!$E$10</definedName>
    <definedName name="wa_revsens" localSheetId="6">'[28]General Inputs'!$E$10</definedName>
    <definedName name="wa_revsens" localSheetId="5">'[28]General Inputs'!$E$10</definedName>
    <definedName name="wa_revsens">'[28]General Inputs'!$E$10</definedName>
    <definedName name="WA320A" localSheetId="10">#REF!</definedName>
    <definedName name="WA320A" localSheetId="3">#REF!</definedName>
    <definedName name="WA320A" localSheetId="1">#REF!</definedName>
    <definedName name="WA320A" localSheetId="6">#REF!</definedName>
    <definedName name="WA320A" localSheetId="9">#REF!</definedName>
    <definedName name="WA320A" localSheetId="11">#REF!</definedName>
    <definedName name="WA320A" localSheetId="5">#REF!</definedName>
    <definedName name="WA320A">#REF!</definedName>
    <definedName name="WACOG" localSheetId="10">#REF!</definedName>
    <definedName name="WACOG" localSheetId="3">#REF!</definedName>
    <definedName name="WACOG" localSheetId="1">#REF!</definedName>
    <definedName name="WACOG" localSheetId="6">#REF!</definedName>
    <definedName name="WACOG" localSheetId="9">#REF!</definedName>
    <definedName name="WACOG" localSheetId="11">#REF!</definedName>
    <definedName name="WACOG" localSheetId="5">#REF!</definedName>
    <definedName name="WACOG">#REF!</definedName>
    <definedName name="WALLA_WALLA_24_" localSheetId="10">#REF!</definedName>
    <definedName name="WALLA_WALLA_24_" localSheetId="1">#REF!</definedName>
    <definedName name="WALLA_WALLA_24_" localSheetId="9">#REF!</definedName>
    <definedName name="WALLA_WALLA_24_" localSheetId="11">#REF!</definedName>
    <definedName name="WALLA_WALLA_24_">#REF!</definedName>
    <definedName name="WALLA_WALLA_MAX" localSheetId="10">#REF!</definedName>
    <definedName name="WALLA_WALLA_MAX" localSheetId="1">#REF!</definedName>
    <definedName name="WALLA_WALLA_MAX" localSheetId="9">#REF!</definedName>
    <definedName name="WALLA_WALLA_MAX" localSheetId="11">#REF!</definedName>
    <definedName name="WALLA_WALLA_MAX">#REF!</definedName>
    <definedName name="WALLA_WALLA_MIN" localSheetId="10">#REF!</definedName>
    <definedName name="WALLA_WALLA_MIN" localSheetId="1">#REF!</definedName>
    <definedName name="WALLA_WALLA_MIN" localSheetId="9">#REF!</definedName>
    <definedName name="WALLA_WALLA_MIN" localSheetId="11">#REF!</definedName>
    <definedName name="WALLA_WALLA_MIN">#REF!</definedName>
    <definedName name="WATAXES" localSheetId="10">#REF!</definedName>
    <definedName name="WATAXES" localSheetId="1">#REF!</definedName>
    <definedName name="WATAXES" localSheetId="9">#REF!</definedName>
    <definedName name="WATAXES" localSheetId="11">#REF!</definedName>
    <definedName name="WATAXES">#REF!</definedName>
    <definedName name="WATAXS" localSheetId="10">#REF!</definedName>
    <definedName name="WATAXS" localSheetId="1">#REF!</definedName>
    <definedName name="WATAXS" localSheetId="9">#REF!</definedName>
    <definedName name="WATAXS" localSheetId="11">#REF!</definedName>
    <definedName name="WATAXS">#REF!</definedName>
    <definedName name="WCALL">#N/A</definedName>
    <definedName name="xyz5" localSheetId="10">#N/A</definedName>
    <definedName name="xyz5" localSheetId="3">'CARES Amount Change'!xyz5</definedName>
    <definedName name="xyz5" localSheetId="1">#N/A</definedName>
    <definedName name="xyz5" localSheetId="6">'Combined Amount Change'!xyz5</definedName>
    <definedName name="xyz5" localSheetId="9">#N/A</definedName>
    <definedName name="xyz5" localSheetId="11">#N/A</definedName>
    <definedName name="xyz5" localSheetId="5">'WEAF Amount Change'!xyz5</definedName>
    <definedName name="xyz5">#N/A</definedName>
    <definedName name="YAKIMA_24_HR_AV" localSheetId="10">#REF!</definedName>
    <definedName name="YAKIMA_24_HR_AV" localSheetId="3">#REF!</definedName>
    <definedName name="YAKIMA_24_HR_AV" localSheetId="1">#REF!</definedName>
    <definedName name="YAKIMA_24_HR_AV" localSheetId="6">#REF!</definedName>
    <definedName name="YAKIMA_24_HR_AV" localSheetId="9">#REF!</definedName>
    <definedName name="YAKIMA_24_HR_AV" localSheetId="11">#REF!</definedName>
    <definedName name="YAKIMA_24_HR_AV" localSheetId="5">#REF!</definedName>
    <definedName name="YAKIMA_24_HR_AV">#REF!</definedName>
    <definedName name="YAKIMA_MAX" localSheetId="10">#REF!</definedName>
    <definedName name="YAKIMA_MAX" localSheetId="1">#REF!</definedName>
    <definedName name="YAKIMA_MAX" localSheetId="9">#REF!</definedName>
    <definedName name="YAKIMA_MAX" localSheetId="11">#REF!</definedName>
    <definedName name="YAKIMA_MAX">#REF!</definedName>
    <definedName name="YAKIMA_MAX_MIN_" localSheetId="10">#REF!</definedName>
    <definedName name="YAKIMA_MAX_MIN_" localSheetId="1">#REF!</definedName>
    <definedName name="YAKIMA_MAX_MIN_" localSheetId="9">#REF!</definedName>
    <definedName name="YAKIMA_MAX_MIN_" localSheetId="11">#REF!</definedName>
    <definedName name="YAKIMA_MAX_MIN_">#REF!</definedName>
    <definedName name="YAKIMA_MIN" localSheetId="10">#REF!</definedName>
    <definedName name="YAKIMA_MIN" localSheetId="1">#REF!</definedName>
    <definedName name="YAKIMA_MIN" localSheetId="9">#REF!</definedName>
    <definedName name="YAKIMA_MIN" localSheetId="11">#REF!</definedName>
    <definedName name="YAKIMA_MIN">#REF!</definedName>
    <definedName name="YEAR" localSheetId="10">#REF!</definedName>
    <definedName name="YEAR" localSheetId="1">#REF!</definedName>
    <definedName name="YEAR" localSheetId="9">#REF!</definedName>
    <definedName name="YEAR" localSheetId="11">#REF!</definedName>
    <definedName name="YEAR">#REF!</definedName>
    <definedName name="YTD_Firm_therms_query" localSheetId="10">#REF!</definedName>
    <definedName name="YTD_Firm_therms_query" localSheetId="1">#REF!</definedName>
    <definedName name="YTD_Firm_therms_query" localSheetId="9">#REF!</definedName>
    <definedName name="YTD_Firm_therms_query" localSheetId="11">#REF!</definedName>
    <definedName name="YTD_Firm_therms_query">#REF!</definedName>
    <definedName name="Z" localSheetId="10">#REF!</definedName>
    <definedName name="Z" localSheetId="1">#REF!</definedName>
    <definedName name="Z" localSheetId="9">#REF!</definedName>
    <definedName name="Z" localSheetId="11">#REF!</definedName>
    <definedName name="Z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9" i="1" l="1"/>
  <c r="B20" i="1" l="1"/>
  <c r="M7" i="10"/>
  <c r="O7" i="9"/>
  <c r="B18" i="1"/>
  <c r="L10" i="10"/>
  <c r="K7" i="10"/>
  <c r="B14" i="1"/>
  <c r="B11" i="1"/>
  <c r="B10" i="1"/>
  <c r="M4" i="10" l="1"/>
  <c r="L4" i="10"/>
  <c r="O4" i="9"/>
  <c r="N4" i="9"/>
  <c r="M5" i="9"/>
  <c r="M4" i="9"/>
  <c r="A26" i="25" l="1"/>
  <c r="R9" i="25"/>
  <c r="R10" i="25"/>
  <c r="R11" i="25"/>
  <c r="R8" i="25"/>
  <c r="E16" i="25"/>
  <c r="Q9" i="25"/>
  <c r="Q10" i="25"/>
  <c r="Q11" i="25"/>
  <c r="Q8" i="25"/>
  <c r="P9" i="25"/>
  <c r="P10" i="25"/>
  <c r="P11" i="25"/>
  <c r="P8" i="25"/>
  <c r="O9" i="25"/>
  <c r="O10" i="25"/>
  <c r="O11" i="25"/>
  <c r="O8" i="25"/>
  <c r="N9" i="25"/>
  <c r="N10" i="25"/>
  <c r="N11" i="25"/>
  <c r="N8" i="25"/>
  <c r="M9" i="25"/>
  <c r="M10" i="25"/>
  <c r="M11" i="25"/>
  <c r="M8" i="25"/>
  <c r="L9" i="25"/>
  <c r="L10" i="25"/>
  <c r="L11" i="25"/>
  <c r="L8" i="25"/>
  <c r="K9" i="25"/>
  <c r="K10" i="25"/>
  <c r="K11" i="25"/>
  <c r="K8" i="25"/>
  <c r="J9" i="25"/>
  <c r="J10" i="25"/>
  <c r="J11" i="25"/>
  <c r="J8" i="25"/>
  <c r="I9" i="25"/>
  <c r="I10" i="25"/>
  <c r="I11" i="25"/>
  <c r="I8" i="25"/>
  <c r="H9" i="25"/>
  <c r="H10" i="25"/>
  <c r="H11" i="25"/>
  <c r="H8" i="25"/>
  <c r="G9" i="25"/>
  <c r="G10" i="25"/>
  <c r="G11" i="25"/>
  <c r="G8" i="25"/>
  <c r="R16" i="25" l="1"/>
  <c r="H16" i="25"/>
  <c r="K16" i="25"/>
  <c r="N16" i="25"/>
  <c r="Q16" i="25"/>
  <c r="I16" i="25"/>
  <c r="L16" i="25"/>
  <c r="O16" i="25"/>
  <c r="G16" i="25"/>
  <c r="J16" i="25"/>
  <c r="M16" i="25"/>
  <c r="P16" i="25"/>
  <c r="C20" i="25" l="1"/>
  <c r="P20" i="25" s="1"/>
  <c r="J20" i="3"/>
  <c r="J8" i="3"/>
  <c r="J9" i="3"/>
  <c r="J10" i="3"/>
  <c r="J11" i="3"/>
  <c r="J12" i="3"/>
  <c r="J13" i="3"/>
  <c r="J14" i="3"/>
  <c r="J15" i="3"/>
  <c r="J16" i="3"/>
  <c r="J17" i="3"/>
  <c r="J18" i="3"/>
  <c r="J7" i="3"/>
  <c r="D8" i="26"/>
  <c r="C8" i="26"/>
  <c r="B26" i="25"/>
  <c r="D21" i="25"/>
  <c r="C21" i="25"/>
  <c r="Q20" i="25"/>
  <c r="D24" i="25"/>
  <c r="C24" i="25"/>
  <c r="B24" i="25"/>
  <c r="A24" i="25"/>
  <c r="D23" i="25"/>
  <c r="C23" i="25"/>
  <c r="B23" i="25"/>
  <c r="A23" i="25"/>
  <c r="D22" i="25"/>
  <c r="C22" i="25"/>
  <c r="B22" i="25"/>
  <c r="A22" i="25"/>
  <c r="S8" i="25"/>
  <c r="B21" i="25"/>
  <c r="A21" i="25"/>
  <c r="S10" i="25" l="1"/>
  <c r="S11" i="25"/>
  <c r="K20" i="25"/>
  <c r="L20" i="25"/>
  <c r="G20" i="25"/>
  <c r="H20" i="25"/>
  <c r="M20" i="25"/>
  <c r="I20" i="25"/>
  <c r="N20" i="25"/>
  <c r="O20" i="25"/>
  <c r="R20" i="25"/>
  <c r="S9" i="25"/>
  <c r="J20" i="25"/>
  <c r="S16" i="25" l="1"/>
  <c r="S15" i="25"/>
  <c r="G40" i="21" l="1"/>
  <c r="G39" i="21"/>
  <c r="G43" i="21" s="1"/>
  <c r="G34" i="21"/>
  <c r="G36" i="21" s="1"/>
  <c r="G28" i="21"/>
  <c r="G31" i="21" s="1"/>
  <c r="G23" i="21"/>
  <c r="G22" i="21"/>
  <c r="G19" i="21"/>
  <c r="G17" i="21"/>
  <c r="G12" i="21"/>
  <c r="J24" i="20"/>
  <c r="J18" i="20"/>
  <c r="J19" i="20"/>
  <c r="J20" i="20"/>
  <c r="J21" i="20"/>
  <c r="J17" i="20"/>
  <c r="H24" i="20"/>
  <c r="H25" i="20" s="1"/>
  <c r="F24" i="20"/>
  <c r="F25" i="20" s="1"/>
  <c r="E24" i="20"/>
  <c r="E25" i="20" s="1"/>
  <c r="H21" i="20"/>
  <c r="F21" i="20"/>
  <c r="E21" i="20"/>
  <c r="H20" i="20"/>
  <c r="F20" i="20"/>
  <c r="E20" i="20"/>
  <c r="H19" i="20"/>
  <c r="F19" i="20"/>
  <c r="E19" i="20"/>
  <c r="H18" i="20"/>
  <c r="F18" i="20"/>
  <c r="E18" i="20"/>
  <c r="H17" i="20"/>
  <c r="F17" i="20"/>
  <c r="E17" i="20"/>
  <c r="C10" i="19"/>
  <c r="D10" i="19"/>
  <c r="E10" i="19"/>
  <c r="F10" i="19"/>
  <c r="G10" i="19"/>
  <c r="B10" i="19"/>
  <c r="I5" i="19"/>
  <c r="C6" i="19" s="1"/>
  <c r="H23" i="17"/>
  <c r="H24" i="17" s="1"/>
  <c r="F23" i="17"/>
  <c r="F24" i="17" s="1"/>
  <c r="E23" i="17"/>
  <c r="E24" i="17" s="1"/>
  <c r="H20" i="17"/>
  <c r="F20" i="17"/>
  <c r="E20" i="17"/>
  <c r="H19" i="17"/>
  <c r="F19" i="17"/>
  <c r="E19" i="17"/>
  <c r="H18" i="17"/>
  <c r="F18" i="17"/>
  <c r="E18" i="17"/>
  <c r="H17" i="17"/>
  <c r="F17" i="17"/>
  <c r="E17" i="17"/>
  <c r="H16" i="17"/>
  <c r="H21" i="17" s="1"/>
  <c r="F16" i="17"/>
  <c r="E16" i="17"/>
  <c r="G25" i="21" l="1"/>
  <c r="J25" i="20"/>
  <c r="E22" i="20"/>
  <c r="H22" i="20"/>
  <c r="H27" i="20" s="1"/>
  <c r="E27" i="20"/>
  <c r="F22" i="20"/>
  <c r="F27" i="20" s="1"/>
  <c r="B6" i="19"/>
  <c r="G6" i="19"/>
  <c r="F6" i="19"/>
  <c r="E6" i="19"/>
  <c r="D6" i="19"/>
  <c r="E21" i="17"/>
  <c r="E26" i="17" s="1"/>
  <c r="H26" i="17"/>
  <c r="F21" i="17"/>
  <c r="F26" i="17" s="1"/>
  <c r="H19" i="12"/>
  <c r="H18" i="12"/>
  <c r="H17" i="12"/>
  <c r="H23" i="12"/>
  <c r="H20" i="12"/>
  <c r="H16" i="12"/>
  <c r="E23" i="12"/>
  <c r="E24" i="12" s="1"/>
  <c r="E17" i="12"/>
  <c r="E20" i="12"/>
  <c r="E19" i="12"/>
  <c r="E18" i="12"/>
  <c r="E16" i="12"/>
  <c r="H24" i="12"/>
  <c r="J22" i="20" l="1"/>
  <c r="H21" i="12"/>
  <c r="H26" i="12" s="1"/>
  <c r="E21" i="12"/>
  <c r="E26" i="12" s="1"/>
  <c r="D20" i="11"/>
  <c r="B20" i="11"/>
  <c r="E20" i="11"/>
  <c r="C20" i="11"/>
  <c r="K5" i="10"/>
  <c r="K4" i="10"/>
  <c r="M7" i="9"/>
  <c r="B6" i="1" s="1"/>
  <c r="B17" i="1" s="1"/>
  <c r="I8" i="3"/>
  <c r="I9" i="3"/>
  <c r="I10" i="3"/>
  <c r="I11" i="3"/>
  <c r="I12" i="3"/>
  <c r="I13" i="3"/>
  <c r="I14" i="3"/>
  <c r="I15" i="3"/>
  <c r="I16" i="3"/>
  <c r="I17" i="3"/>
  <c r="I18" i="3"/>
  <c r="I7" i="3"/>
  <c r="H20" i="3"/>
  <c r="F23" i="12" s="1"/>
  <c r="G20" i="3"/>
  <c r="F20" i="12" s="1"/>
  <c r="K20" i="12" s="1"/>
  <c r="L20" i="12" s="1"/>
  <c r="F20" i="3"/>
  <c r="F19" i="12" s="1"/>
  <c r="K19" i="12" s="1"/>
  <c r="L19" i="12" s="1"/>
  <c r="E20" i="3"/>
  <c r="F18" i="12" s="1"/>
  <c r="K18" i="12" s="1"/>
  <c r="L18" i="12" s="1"/>
  <c r="D20" i="3"/>
  <c r="F17" i="12" s="1"/>
  <c r="K17" i="12" s="1"/>
  <c r="L17" i="12" s="1"/>
  <c r="C20" i="3"/>
  <c r="F16" i="12" s="1"/>
  <c r="K16" i="12" s="1"/>
  <c r="L16" i="12" s="1"/>
  <c r="C16" i="23" l="1"/>
  <c r="C13" i="24"/>
  <c r="C13" i="26"/>
  <c r="C11" i="26"/>
  <c r="C14" i="23"/>
  <c r="C11" i="24"/>
  <c r="C10" i="24"/>
  <c r="C10" i="26"/>
  <c r="C13" i="23"/>
  <c r="F20" i="11"/>
  <c r="C12" i="24"/>
  <c r="C15" i="23"/>
  <c r="C12" i="26"/>
  <c r="J27" i="20"/>
  <c r="K21" i="12"/>
  <c r="L21" i="12" s="1"/>
  <c r="I20" i="3"/>
  <c r="F21" i="12"/>
  <c r="K23" i="12"/>
  <c r="F24" i="12"/>
  <c r="D12" i="24" l="1"/>
  <c r="D12" i="26"/>
  <c r="E12" i="24" s="1"/>
  <c r="C19" i="23"/>
  <c r="D11" i="24"/>
  <c r="C14" i="26"/>
  <c r="C14" i="24"/>
  <c r="D10" i="24"/>
  <c r="D13" i="24"/>
  <c r="F12" i="26"/>
  <c r="F26" i="12"/>
  <c r="K24" i="12"/>
  <c r="K26" i="12" s="1"/>
  <c r="L26" i="12" s="1"/>
  <c r="L23" i="12"/>
  <c r="D13" i="26" l="1"/>
  <c r="F13" i="26" s="1"/>
  <c r="D11" i="26"/>
  <c r="F11" i="26" s="1"/>
  <c r="F10" i="25"/>
  <c r="G12" i="24"/>
  <c r="D15" i="23" s="1"/>
  <c r="D10" i="26"/>
  <c r="D14" i="24"/>
  <c r="E13" i="24" l="1"/>
  <c r="E11" i="24"/>
  <c r="T10" i="25"/>
  <c r="I23" i="25"/>
  <c r="J23" i="25"/>
  <c r="H23" i="25"/>
  <c r="O23" i="25"/>
  <c r="M23" i="25"/>
  <c r="Q23" i="25"/>
  <c r="P23" i="25"/>
  <c r="L23" i="25"/>
  <c r="K23" i="25"/>
  <c r="R23" i="25"/>
  <c r="G23" i="25"/>
  <c r="N23" i="25"/>
  <c r="F9" i="25"/>
  <c r="G11" i="24"/>
  <c r="D14" i="23" s="1"/>
  <c r="F11" i="25"/>
  <c r="G13" i="24"/>
  <c r="D16" i="23" s="1"/>
  <c r="T11" i="25" l="1"/>
  <c r="Q24" i="25"/>
  <c r="N24" i="25"/>
  <c r="J24" i="25"/>
  <c r="O24" i="25"/>
  <c r="K24" i="25"/>
  <c r="H24" i="25"/>
  <c r="I24" i="25"/>
  <c r="G24" i="25"/>
  <c r="L24" i="25"/>
  <c r="M24" i="25"/>
  <c r="R24" i="25"/>
  <c r="P24" i="25"/>
  <c r="Q22" i="25"/>
  <c r="I22" i="25"/>
  <c r="J22" i="25"/>
  <c r="N22" i="25"/>
  <c r="O22" i="25"/>
  <c r="H22" i="25"/>
  <c r="P22" i="25"/>
  <c r="K22" i="25"/>
  <c r="L22" i="25"/>
  <c r="M22" i="25"/>
  <c r="R22" i="25"/>
  <c r="G22" i="25"/>
  <c r="T9" i="25"/>
  <c r="T16" i="25" s="1"/>
  <c r="S23" i="25"/>
  <c r="E15" i="23" s="1"/>
  <c r="F15" i="23" s="1" a="1"/>
  <c r="F15" i="23" s="1"/>
  <c r="G15" i="23" s="1"/>
  <c r="S24" i="25" l="1"/>
  <c r="E16" i="23" s="1"/>
  <c r="F16" i="23" s="1" a="1"/>
  <c r="F16" i="23" s="1"/>
  <c r="G16" i="23" s="1"/>
  <c r="S22" i="25"/>
  <c r="E14" i="23" s="1"/>
  <c r="F14" i="23" s="1" a="1"/>
  <c r="F14" i="23" s="1"/>
  <c r="G14" i="23" s="1"/>
  <c r="I46" i="4" l="1"/>
  <c r="G46" i="4"/>
  <c r="F46" i="4"/>
  <c r="I39" i="4"/>
  <c r="G39" i="4"/>
  <c r="F39" i="4"/>
  <c r="I32" i="4"/>
  <c r="G32" i="4"/>
  <c r="G40" i="4" s="1"/>
  <c r="G47" i="4" s="1"/>
  <c r="F32" i="4"/>
  <c r="I26" i="4"/>
  <c r="G26" i="4"/>
  <c r="F26" i="4"/>
  <c r="C22" i="4"/>
  <c r="C31" i="4" s="1"/>
  <c r="C36" i="4" s="1"/>
  <c r="C21" i="4"/>
  <c r="C30" i="4" s="1"/>
  <c r="C35" i="4" s="1"/>
  <c r="F19" i="4"/>
  <c r="G16" i="4"/>
  <c r="F16" i="4"/>
  <c r="I12" i="4"/>
  <c r="I16" i="4" s="1"/>
  <c r="I40" i="4" l="1"/>
  <c r="F40" i="4"/>
  <c r="F47" i="4"/>
  <c r="I47" i="4" l="1"/>
  <c r="K47" i="4"/>
  <c r="B22" i="1"/>
  <c r="B26" i="1" l="1"/>
  <c r="B21" i="19" s="1"/>
  <c r="C8" i="19" l="1"/>
  <c r="C12" i="19" s="1"/>
  <c r="C18" i="19" s="1"/>
  <c r="E8" i="19"/>
  <c r="E12" i="19" s="1"/>
  <c r="F8" i="19"/>
  <c r="F12" i="19" s="1"/>
  <c r="G8" i="19"/>
  <c r="G12" i="19" s="1"/>
  <c r="B8" i="19"/>
  <c r="B12" i="19" s="1"/>
  <c r="B18" i="19" s="1"/>
  <c r="D8" i="19"/>
  <c r="D12" i="19" s="1"/>
  <c r="F10" i="26" l="1"/>
  <c r="F14" i="26" s="1"/>
  <c r="D14" i="26"/>
  <c r="E10" i="24"/>
  <c r="F8" i="25" s="1"/>
  <c r="J21" i="25" s="1"/>
  <c r="J26" i="25" s="1"/>
  <c r="Q21" i="25" l="1"/>
  <c r="Q26" i="25" s="1"/>
  <c r="G10" i="24"/>
  <c r="H21" i="25"/>
  <c r="H26" i="25" s="1"/>
  <c r="E14" i="24"/>
  <c r="K21" i="25"/>
  <c r="K26" i="25" s="1"/>
  <c r="T8" i="25"/>
  <c r="F16" i="25"/>
  <c r="G15" i="25" s="1"/>
  <c r="H15" i="25" s="1"/>
  <c r="I15" i="25" s="1"/>
  <c r="J15" i="25" s="1"/>
  <c r="K15" i="25" s="1"/>
  <c r="L15" i="25" s="1"/>
  <c r="M15" i="25" s="1"/>
  <c r="N15" i="25" s="1"/>
  <c r="O15" i="25" s="1"/>
  <c r="P15" i="25" s="1"/>
  <c r="Q15" i="25" s="1"/>
  <c r="R15" i="25" s="1"/>
  <c r="O21" i="25"/>
  <c r="O26" i="25" s="1"/>
  <c r="P21" i="25"/>
  <c r="P26" i="25" s="1"/>
  <c r="R21" i="25"/>
  <c r="R26" i="25" s="1"/>
  <c r="G21" i="25"/>
  <c r="M21" i="25"/>
  <c r="M26" i="25" s="1"/>
  <c r="N21" i="25"/>
  <c r="N26" i="25" s="1"/>
  <c r="L21" i="25"/>
  <c r="L26" i="25" s="1"/>
  <c r="I21" i="25"/>
  <c r="I26" i="25" s="1"/>
  <c r="D13" i="23" l="1"/>
  <c r="D19" i="23" s="1"/>
  <c r="G14" i="24"/>
  <c r="G26" i="25"/>
  <c r="S21" i="25"/>
  <c r="S26" i="25" l="1"/>
  <c r="E13" i="23"/>
  <c r="E19" i="23" l="1"/>
  <c r="F13" i="23" a="1"/>
  <c r="F13" i="23" s="1"/>
  <c r="F19" i="23" s="1"/>
  <c r="G13" i="23" l="1"/>
  <c r="G19" i="23" l="1"/>
  <c r="B20" i="19" s="1"/>
  <c r="D14" i="19" s="1"/>
  <c r="D16" i="19" s="1"/>
  <c r="D18" i="19" s="1"/>
  <c r="E14" i="18" s="1"/>
  <c r="B14" i="19" l="1"/>
  <c r="B16" i="19" s="1"/>
  <c r="E12" i="18" s="1"/>
  <c r="F12" i="18" s="1"/>
  <c r="G14" i="19"/>
  <c r="G16" i="19" s="1"/>
  <c r="G18" i="19" s="1"/>
  <c r="E17" i="18" s="1"/>
  <c r="G17" i="18" s="1"/>
  <c r="E14" i="19"/>
  <c r="E16" i="19" s="1"/>
  <c r="E18" i="19" s="1"/>
  <c r="E15" i="18" s="1"/>
  <c r="F15" i="18" s="1"/>
  <c r="C14" i="19"/>
  <c r="C16" i="19" s="1"/>
  <c r="E13" i="18" s="1"/>
  <c r="G13" i="18" s="1"/>
  <c r="F14" i="19"/>
  <c r="F16" i="19" s="1"/>
  <c r="F18" i="19" s="1"/>
  <c r="E16" i="18" s="1"/>
  <c r="F16" i="18" s="1"/>
  <c r="G14" i="18"/>
  <c r="F14" i="18"/>
  <c r="G12" i="18" l="1"/>
  <c r="G15" i="18"/>
  <c r="F17" i="18"/>
  <c r="H39" i="21" s="1"/>
  <c r="I39" i="21" s="1"/>
  <c r="G16" i="18"/>
  <c r="F13" i="18"/>
  <c r="J17" i="17" s="1"/>
  <c r="K17" i="17" s="1"/>
  <c r="J20" i="17"/>
  <c r="K20" i="17" s="1"/>
  <c r="H35" i="21"/>
  <c r="H34" i="21"/>
  <c r="I34" i="21" s="1"/>
  <c r="I36" i="21" s="1"/>
  <c r="J36" i="21" s="1"/>
  <c r="K36" i="21" s="1"/>
  <c r="J16" i="17"/>
  <c r="K16" i="17" s="1"/>
  <c r="H17" i="21"/>
  <c r="I17" i="21" s="1"/>
  <c r="J17" i="21" s="1"/>
  <c r="K17" i="21" s="1"/>
  <c r="H30" i="21"/>
  <c r="H29" i="21"/>
  <c r="H28" i="21"/>
  <c r="I28" i="21" s="1"/>
  <c r="I31" i="21" s="1"/>
  <c r="J31" i="21" s="1"/>
  <c r="K31" i="21" s="1"/>
  <c r="J19" i="17"/>
  <c r="K19" i="17" s="1"/>
  <c r="J18" i="17"/>
  <c r="K18" i="17" s="1"/>
  <c r="H22" i="21"/>
  <c r="I22" i="21" s="1"/>
  <c r="H23" i="21"/>
  <c r="I23" i="21" s="1"/>
  <c r="H24" i="21"/>
  <c r="J23" i="17" l="1"/>
  <c r="K23" i="17" s="1"/>
  <c r="K24" i="20" s="1"/>
  <c r="H40" i="21"/>
  <c r="I40" i="21" s="1"/>
  <c r="I43" i="21" s="1"/>
  <c r="J43" i="21" s="1"/>
  <c r="K43" i="21" s="1"/>
  <c r="H19" i="21"/>
  <c r="I19" i="21" s="1"/>
  <c r="J19" i="21" s="1"/>
  <c r="K19" i="21" s="1"/>
  <c r="L16" i="17"/>
  <c r="K17" i="20"/>
  <c r="K21" i="17"/>
  <c r="L21" i="17" s="1"/>
  <c r="I25" i="21"/>
  <c r="J25" i="21" s="1"/>
  <c r="K25" i="21" s="1"/>
  <c r="L17" i="17"/>
  <c r="K18" i="20"/>
  <c r="L18" i="20" s="1"/>
  <c r="M18" i="20" s="1"/>
  <c r="L18" i="17"/>
  <c r="K19" i="20"/>
  <c r="L19" i="20" s="1"/>
  <c r="M19" i="20" s="1"/>
  <c r="K20" i="20"/>
  <c r="L20" i="20" s="1"/>
  <c r="M20" i="20" s="1"/>
  <c r="L19" i="17"/>
  <c r="L20" i="17"/>
  <c r="K21" i="20"/>
  <c r="L21" i="20" s="1"/>
  <c r="M21" i="20" s="1"/>
  <c r="K24" i="17" l="1"/>
  <c r="K26" i="17" s="1"/>
  <c r="L26" i="17" s="1"/>
  <c r="L23" i="17"/>
  <c r="L24" i="20"/>
  <c r="K25" i="20"/>
  <c r="L17" i="20"/>
  <c r="K22" i="20"/>
  <c r="M17" i="20" l="1"/>
  <c r="L22" i="20"/>
  <c r="M22" i="20" s="1"/>
  <c r="K27" i="20"/>
  <c r="L25" i="20"/>
  <c r="M24" i="20"/>
  <c r="L27" i="20" l="1"/>
  <c r="M27" i="20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<sst xmlns="http://schemas.openxmlformats.org/spreadsheetml/2006/main" count="734" uniqueCount="260">
  <si>
    <t>Cascade Natural Gas W24-09-02</t>
  </si>
  <si>
    <t>CARES Cost Recovery Work Paper</t>
  </si>
  <si>
    <t xml:space="preserve">NOTES: </t>
  </si>
  <si>
    <t>Average Discount</t>
  </si>
  <si>
    <t>Average monthly CARES Discount issued during the 2023-2024 CARES Program Year (PY)</t>
  </si>
  <si>
    <t>Average Grant</t>
  </si>
  <si>
    <t>Average grant issued in PY 2024-2025</t>
  </si>
  <si>
    <t>Total Discount</t>
  </si>
  <si>
    <t>Actual Discounts through August 2024</t>
  </si>
  <si>
    <t>Total Grants</t>
  </si>
  <si>
    <t>Actuals Grants through August 2024</t>
  </si>
  <si>
    <t>Assumed Program Penetration:</t>
  </si>
  <si>
    <t xml:space="preserve">Per Order No. 01 issued in UG-240141, CARES will have a program penetration of 20% by Dec. 31, 2024. Cascade expects to add an addional 10% in the remainder of the PY. </t>
  </si>
  <si>
    <t>Total Customers:</t>
  </si>
  <si>
    <t>Estimated low-income customers in CNGC WA service territory is 59,909 as determined in the Low Income Needs Assessment used to develop CARES and filed in UG-230551</t>
  </si>
  <si>
    <t>Cost of Discount</t>
  </si>
  <si>
    <t>Cost of average discount for 12 months</t>
  </si>
  <si>
    <t>Grants</t>
  </si>
  <si>
    <t>Total Grants for PY 2023-2024 with 30% growth for PY 2024-2025</t>
  </si>
  <si>
    <t>Administrative</t>
  </si>
  <si>
    <t>6% of budget based on UG-230551 and conservative industry average</t>
  </si>
  <si>
    <t>Agency</t>
  </si>
  <si>
    <t>Per Rule 20, PY 2024-2025 Agency Fees is 25% of prior year program benefits</t>
  </si>
  <si>
    <t xml:space="preserve">Community Based Organizations (CBO) Pilot </t>
  </si>
  <si>
    <t>Per Order No. 09 issued in Docket UG-210755, annual budget is the greater of 5% of arrearage relief grants or $73,000</t>
  </si>
  <si>
    <t>Estimated CARES Costs</t>
  </si>
  <si>
    <t>Revenue Sensitive</t>
  </si>
  <si>
    <t>Grand Total</t>
  </si>
  <si>
    <t>CARES CALCULATION OF PER THERM RATES TO AMORTIZE DEFERRED ACCOUNTS</t>
  </si>
  <si>
    <t>Line No.</t>
  </si>
  <si>
    <t>Consolidated Account</t>
  </si>
  <si>
    <t>Account Balance 8/31/2024</t>
  </si>
  <si>
    <t>Interest Assignments &amp; Amortization through 10/31/2024</t>
  </si>
  <si>
    <t>Interest Accruals Through Am.</t>
  </si>
  <si>
    <t>Revenue Sensitive costs</t>
  </si>
  <si>
    <t>Amount</t>
  </si>
  <si>
    <t>(a)</t>
  </si>
  <si>
    <t>(b)</t>
  </si>
  <si>
    <t>(c)</t>
  </si>
  <si>
    <t>(d)</t>
  </si>
  <si>
    <t>(e)</t>
  </si>
  <si>
    <t xml:space="preserve"> (f)</t>
  </si>
  <si>
    <t>WA Cares EDP-AMP Bill Discounts (Current)</t>
  </si>
  <si>
    <t>WA Cares EDP-AMP Admin Costs (Current)</t>
  </si>
  <si>
    <t>WA Cares EDP-AMP Arrears Forgiveness (Current)</t>
  </si>
  <si>
    <t>WA Cares (EDP-AMP) Recovery</t>
  </si>
  <si>
    <t xml:space="preserve">TOTAL </t>
  </si>
  <si>
    <t>Sch. 503</t>
  </si>
  <si>
    <t>Sch. 504</t>
  </si>
  <si>
    <t>Sch. 505</t>
  </si>
  <si>
    <t>Sch. 511</t>
  </si>
  <si>
    <t>Sch. 570</t>
  </si>
  <si>
    <t>Sch. 663</t>
  </si>
  <si>
    <t>Total</t>
  </si>
  <si>
    <t>Base Revenue*</t>
  </si>
  <si>
    <t>% of Total</t>
  </si>
  <si>
    <t>Allocated CARES Amount</t>
  </si>
  <si>
    <t>Forecasted Volumes</t>
  </si>
  <si>
    <t>CARES Rate Adjustment</t>
  </si>
  <si>
    <t>Allocated Amort. of Deferred Accts</t>
  </si>
  <si>
    <t>Allocated Amort. Rate (1 Year)</t>
  </si>
  <si>
    <t>Total CARES Rate Adjustment</t>
  </si>
  <si>
    <t>Deferral/Amortization</t>
  </si>
  <si>
    <t>CARES Amount</t>
  </si>
  <si>
    <t>Notes:</t>
  </si>
  <si>
    <t>Base Revenue from General Rate Case UG-200568.</t>
  </si>
  <si>
    <t>Cascade Natural Gas Corporation</t>
  </si>
  <si>
    <t>CARES AMOUNT OF CHANGE BY RATE SCHEDULE</t>
  </si>
  <si>
    <t>Bills and Revenues Based Upon the Twelve Months Ended 7/31/24</t>
  </si>
  <si>
    <t>State of Washington</t>
  </si>
  <si>
    <t>Per Therm</t>
  </si>
  <si>
    <t>Line</t>
  </si>
  <si>
    <t>Rate</t>
  </si>
  <si>
    <t>Average</t>
  </si>
  <si>
    <t>Forecasted</t>
  </si>
  <si>
    <t xml:space="preserve">  Actual</t>
  </si>
  <si>
    <t>CARES</t>
  </si>
  <si>
    <t>Amount of</t>
  </si>
  <si>
    <t>Percentage</t>
  </si>
  <si>
    <t>No.</t>
  </si>
  <si>
    <t>Description</t>
  </si>
  <si>
    <t>Schedule</t>
  </si>
  <si>
    <t># of Bills</t>
  </si>
  <si>
    <t>Therms Sold</t>
  </si>
  <si>
    <t xml:space="preserve">  Revenue</t>
  </si>
  <si>
    <t>Change</t>
  </si>
  <si>
    <t xml:space="preserve">  (e)</t>
  </si>
  <si>
    <t>(f)</t>
  </si>
  <si>
    <t>(g)</t>
  </si>
  <si>
    <t>(h)</t>
  </si>
  <si>
    <t xml:space="preserve"> CORE MARKET RATE SCHEDULES</t>
  </si>
  <si>
    <t xml:space="preserve">    Residential</t>
  </si>
  <si>
    <t>503</t>
  </si>
  <si>
    <t xml:space="preserve">    Commercial</t>
  </si>
  <si>
    <t>504</t>
  </si>
  <si>
    <t xml:space="preserve">    Industrial Firm</t>
  </si>
  <si>
    <t>505</t>
  </si>
  <si>
    <t xml:space="preserve">    Large Volume</t>
  </si>
  <si>
    <t>511</t>
  </si>
  <si>
    <t xml:space="preserve">    Industrial Interruptible</t>
  </si>
  <si>
    <t>570</t>
  </si>
  <si>
    <t xml:space="preserve">  Subtotal  Core</t>
  </si>
  <si>
    <t xml:space="preserve"> NONCORE MARKET RATE SCHEDULES</t>
  </si>
  <si>
    <t xml:space="preserve">     Distribution</t>
  </si>
  <si>
    <t>Subtotal Non-core</t>
  </si>
  <si>
    <t>CORE &amp; NON-CORE</t>
  </si>
  <si>
    <t>DERIVATION OF PROPOSED RATE LEVEL WITHIN</t>
  </si>
  <si>
    <t>RATE ADDITION SCHEDULE NO. 592</t>
  </si>
  <si>
    <t>Rate Schedule</t>
  </si>
  <si>
    <t>Reverse Prior CARES Rate Adj.</t>
  </si>
  <si>
    <t>CARES Rate Adj.</t>
  </si>
  <si>
    <t>Incremental Rate Change</t>
  </si>
  <si>
    <t>Posted R/S 592 Tariff Rate</t>
  </si>
  <si>
    <t xml:space="preserve">  CORE MARKET RATE SCHEDULES</t>
  </si>
  <si>
    <t>Residential</t>
  </si>
  <si>
    <t>Commercial</t>
  </si>
  <si>
    <t>Industrial Firm</t>
  </si>
  <si>
    <t>Com-Ind Dual Service</t>
  </si>
  <si>
    <t>Industrial Interr.</t>
  </si>
  <si>
    <t>Transportation</t>
  </si>
  <si>
    <t>WEAF AMOUNT OF CHANGE BY RATE SCHEDULE</t>
  </si>
  <si>
    <t>WEAF</t>
  </si>
  <si>
    <t>(i)</t>
  </si>
  <si>
    <t xml:space="preserve"> PROPOSED TYPICAL MONTHLY BILL BY  CLASS</t>
  </si>
  <si>
    <t>FOR TWELVE MONTHS ENDED 6/30/08</t>
  </si>
  <si>
    <t>UG-210755</t>
  </si>
  <si>
    <t>Typical</t>
  </si>
  <si>
    <t>Current</t>
  </si>
  <si>
    <t>Proposed</t>
  </si>
  <si>
    <t>Monthly</t>
  </si>
  <si>
    <t>Basic</t>
  </si>
  <si>
    <t>Bill</t>
  </si>
  <si>
    <t>Type of Service</t>
  </si>
  <si>
    <t>Therm Used</t>
  </si>
  <si>
    <t>Service Charge</t>
  </si>
  <si>
    <t>Billing Rates</t>
  </si>
  <si>
    <t>Average Bill</t>
  </si>
  <si>
    <t>Difference</t>
  </si>
  <si>
    <t>% Bill Change</t>
  </si>
  <si>
    <t>e=c+(b*d)</t>
  </si>
  <si>
    <t>g=c+(b*f)</t>
  </si>
  <si>
    <t>Residential, Schedule 503</t>
  </si>
  <si>
    <t>Commercial, Schedule 504</t>
  </si>
  <si>
    <t>Industrial Firm, Schedule 505</t>
  </si>
  <si>
    <t>First 500 therms</t>
  </si>
  <si>
    <t>Next 3,500 therms</t>
  </si>
  <si>
    <t>Over 4,000 therms</t>
  </si>
  <si>
    <t>Total 505</t>
  </si>
  <si>
    <t>Large Volume, Schedule 511</t>
  </si>
  <si>
    <t>First 20,000 therms</t>
  </si>
  <si>
    <t>Next 80,000 therms</t>
  </si>
  <si>
    <t>Over 100,000 therms</t>
  </si>
  <si>
    <t>Total 511</t>
  </si>
  <si>
    <t>Industrial Interruptible, Schedule 570</t>
  </si>
  <si>
    <t>First 30,000 therms</t>
  </si>
  <si>
    <t>Over 30,000 therms</t>
  </si>
  <si>
    <t>Total 570</t>
  </si>
  <si>
    <t>Transport, Schedule 663</t>
  </si>
  <si>
    <t>First 100,000 therms</t>
  </si>
  <si>
    <t>Next 200,000 therms</t>
  </si>
  <si>
    <t>Over 500,000 therms</t>
  </si>
  <si>
    <t>Total 663</t>
  </si>
  <si>
    <t>ESTIMATED BALANCES FOR DEFERRED ACCOUNTS PERIOD ENDING: 10/31/2024</t>
  </si>
  <si>
    <t xml:space="preserve">Interest </t>
  </si>
  <si>
    <t>ENDING</t>
  </si>
  <si>
    <t>Thru</t>
  </si>
  <si>
    <t>ACCT NO</t>
  </si>
  <si>
    <t>BALANCE</t>
  </si>
  <si>
    <t>-</t>
  </si>
  <si>
    <t>47WA.1823.2073</t>
  </si>
  <si>
    <t>47WA.1823.2074</t>
  </si>
  <si>
    <t>47WA.1823.2075</t>
  </si>
  <si>
    <t>47WA.1823.2076</t>
  </si>
  <si>
    <t>TOTAL</t>
  </si>
  <si>
    <t>INTEREST CALCULATIONS FOR AMORTIZATION PERIOD 11/1/2024 TO 10/31/2025</t>
  </si>
  <si>
    <t>Amortization Calculations</t>
  </si>
  <si>
    <t>Proposed Amortization by Month</t>
  </si>
  <si>
    <t>Market</t>
  </si>
  <si>
    <t>Calculated Amortization
Rate</t>
  </si>
  <si>
    <t>10/31/2024
Balance</t>
  </si>
  <si>
    <t>Total Amortization</t>
  </si>
  <si>
    <t>Remaining
Balance</t>
  </si>
  <si>
    <t>ALL</t>
  </si>
  <si>
    <t>All Class</t>
  </si>
  <si>
    <t>Total CARES</t>
  </si>
  <si>
    <t>Interest During Amortization</t>
  </si>
  <si>
    <t>Interest Rate:</t>
  </si>
  <si>
    <t>Total Interest</t>
  </si>
  <si>
    <t>Annual and Monthly Interest Rate</t>
  </si>
  <si>
    <t>DATE</t>
  </si>
  <si>
    <t>ANNUAL INTEREST RATE</t>
  </si>
  <si>
    <t xml:space="preserve">through </t>
  </si>
  <si>
    <t>MONTHLY INTEREST RATE</t>
  </si>
  <si>
    <t>Acct</t>
  </si>
  <si>
    <t>ACTUAL BILL, THERMS, AND REVENUE</t>
  </si>
  <si>
    <t>BASED UPON THE  TWELVE MONTHS ENDED 7/31/2024</t>
  </si>
  <si>
    <t xml:space="preserve"> Actual</t>
  </si>
  <si>
    <t>General Service</t>
  </si>
  <si>
    <t>EOM</t>
  </si>
  <si>
    <t>LM</t>
  </si>
  <si>
    <t>Total Residential</t>
  </si>
  <si>
    <t>Large Volume</t>
  </si>
  <si>
    <t>Less Company Use</t>
  </si>
  <si>
    <t>Total Commercial</t>
  </si>
  <si>
    <t>Total Industrial Firm</t>
  </si>
  <si>
    <t>Interruptible</t>
  </si>
  <si>
    <t>General</t>
  </si>
  <si>
    <t>Total Institut. Interr.</t>
  </si>
  <si>
    <t>Subtotal  Core</t>
  </si>
  <si>
    <t xml:space="preserve"> Distribution</t>
  </si>
  <si>
    <t>663</t>
  </si>
  <si>
    <t>Special Contracts</t>
  </si>
  <si>
    <t>9xx</t>
  </si>
  <si>
    <t>Subtotal  Noncore</t>
  </si>
  <si>
    <t>TOTAL CORE AND NONCORE</t>
  </si>
  <si>
    <t>Date</t>
  </si>
  <si>
    <t>Estimate Through Sept</t>
  </si>
  <si>
    <t>AS_OF</t>
  </si>
  <si>
    <t>MO</t>
  </si>
  <si>
    <t>TIER</t>
  </si>
  <si>
    <t>YR</t>
  </si>
  <si>
    <t>TOTAL_DISCOUNT</t>
  </si>
  <si>
    <t>AVG_DISCOUNT</t>
  </si>
  <si>
    <t>AVG_PRE_DISCOUNT</t>
  </si>
  <si>
    <t>AVG_CUR_AMT</t>
  </si>
  <si>
    <t>NBR</t>
  </si>
  <si>
    <t>Through August</t>
  </si>
  <si>
    <t>Monthly Avg</t>
  </si>
  <si>
    <t>09</t>
  </si>
  <si>
    <t>WA-T1</t>
  </si>
  <si>
    <t>Total # Discounts</t>
  </si>
  <si>
    <t>WA-T2</t>
  </si>
  <si>
    <t>Total $ Discount</t>
  </si>
  <si>
    <t>WA-T3</t>
  </si>
  <si>
    <t>WA-T4</t>
  </si>
  <si>
    <t>WA-T5</t>
  </si>
  <si>
    <t>08</t>
  </si>
  <si>
    <t>07</t>
  </si>
  <si>
    <t>06</t>
  </si>
  <si>
    <t>05</t>
  </si>
  <si>
    <t>04</t>
  </si>
  <si>
    <t>03</t>
  </si>
  <si>
    <t>02</t>
  </si>
  <si>
    <t>01</t>
  </si>
  <si>
    <t>12</t>
  </si>
  <si>
    <t>11</t>
  </si>
  <si>
    <t>10</t>
  </si>
  <si>
    <t>GRANT_TOTAL</t>
  </si>
  <si>
    <t>AVG_PAYMENT</t>
  </si>
  <si>
    <t>Through Aug</t>
  </si>
  <si>
    <t>No Discount</t>
  </si>
  <si>
    <t>Total # Grants</t>
  </si>
  <si>
    <t>Total $ Grants</t>
  </si>
  <si>
    <t>Avg. Grant</t>
  </si>
  <si>
    <t>Full 12 Months of Grants</t>
  </si>
  <si>
    <t>TEST PERIOD VOLUME - WEATHER NORMALIZED</t>
  </si>
  <si>
    <t>Month</t>
  </si>
  <si>
    <t>Total Core</t>
  </si>
  <si>
    <t xml:space="preserve">12 month 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</si>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</sst>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5"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General_)"/>
    <numFmt numFmtId="166" formatCode="_(* #,##0_);_(* \(#,##0\);_(* &quot;-&quot;??_);_(@_)"/>
    <numFmt numFmtId="167" formatCode="0_);\(0\)"/>
    <numFmt numFmtId="168" formatCode="_(&quot;$&quot;* #,##0.00000_);_(&quot;$&quot;* \(#,##0.00000\);_(&quot;$&quot;* &quot;-&quot;??_);_(@_)"/>
    <numFmt numFmtId="169" formatCode="&quot;$&quot;#,##0.00"/>
    <numFmt numFmtId="170" formatCode="&quot;$&quot;#,##0"/>
    <numFmt numFmtId="171" formatCode="0.00000"/>
    <numFmt numFmtId="172" formatCode="&quot;$&quot;#,##0.00000"/>
    <numFmt numFmtId="173" formatCode="#,##0;\-#,##0"/>
    <numFmt numFmtId="174" formatCode="[$$]\ #,##0.00"/>
    <numFmt numFmtId="175" formatCode="mm/dd/yyyy"/>
    <numFmt numFmtId="176" formatCode="[$$-380A]\ #,##0.00"/>
    <numFmt numFmtId="177" formatCode="_(* #,##0.00000_);_(* \(#,##0.00000\);_(* &quot;-&quot;??_);_(@_)"/>
    <numFmt numFmtId="178" formatCode="&quot;$&quot;#,##0.00000_);\(&quot;$&quot;#,##0.00000\)"/>
    <numFmt numFmtId="179" formatCode="0.0000000%"/>
    <numFmt numFmtId="180" formatCode="0.0000%"/>
    <numFmt numFmtId="181" formatCode="0.000%"/>
    <numFmt numFmtId="182" formatCode="0.000000_)"/>
  </numFmts>
  <fonts count="40"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i/>
      <sz val="10"/>
      <color indexed="8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name val="Calibri"/>
      <family val="2"/>
      <scheme val="minor"/>
    </font>
    <font>
      <sz val="10"/>
      <name val="Courier"/>
      <family val="3"/>
    </font>
    <font>
      <b/>
      <sz val="11"/>
      <name val="Calibri"/>
      <family val="2"/>
      <scheme val="minor"/>
    </font>
    <font>
      <sz val="11"/>
      <name val="Calibri"/>
      <family val="2"/>
    </font>
    <font>
      <b/>
      <sz val="8"/>
      <name val="Helv"/>
    </font>
    <font>
      <sz val="12"/>
      <name val="Helv"/>
    </font>
    <font>
      <sz val="12"/>
      <name val="Times New Roman"/>
      <family val="1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9.6"/>
      <color indexed="12"/>
      <name val="Helv"/>
    </font>
    <font>
      <sz val="10"/>
      <name val="Arial"/>
      <family val="2"/>
    </font>
    <font>
      <b/>
      <sz val="11"/>
      <name val="Calibri"/>
      <family val="2"/>
    </font>
    <font>
      <i/>
      <sz val="11"/>
      <name val="Calibri"/>
      <family val="2"/>
      <scheme val="minor"/>
    </font>
    <font>
      <sz val="8"/>
      <name val="Helv"/>
    </font>
    <font>
      <sz val="10"/>
      <name val="Times New Roman"/>
      <family val="1"/>
    </font>
    <font>
      <b/>
      <sz val="11"/>
      <color indexed="8"/>
      <name val="Calibri"/>
      <family val="2"/>
      <scheme val="minor"/>
    </font>
    <font>
      <b/>
      <sz val="12"/>
      <name val="Times New Roman"/>
      <family val="1"/>
    </font>
    <font>
      <sz val="10"/>
      <name val="Times"/>
    </font>
    <font>
      <b/>
      <sz val="12"/>
      <color indexed="8"/>
      <name val="Times New Roman"/>
      <family val="1"/>
    </font>
    <font>
      <b/>
      <i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78">
    <xf numFmtId="0" fontId="0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6" fillId="2" borderId="4" applyNumberFormat="0" applyAlignment="0" applyProtection="0"/>
    <xf numFmtId="165" fontId="8" fillId="0" borderId="0"/>
    <xf numFmtId="165" fontId="8" fillId="0" borderId="0"/>
    <xf numFmtId="39" fontId="12" fillId="0" borderId="0"/>
    <xf numFmtId="43" fontId="13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19" applyNumberFormat="0" applyFill="0" applyAlignment="0" applyProtection="0"/>
    <xf numFmtId="0" fontId="16" fillId="0" borderId="20" applyNumberFormat="0" applyFill="0" applyAlignment="0" applyProtection="0"/>
    <xf numFmtId="0" fontId="17" fillId="0" borderId="21" applyNumberFormat="0" applyFill="0" applyAlignment="0" applyProtection="0"/>
    <xf numFmtId="0" fontId="17" fillId="0" borderId="0" applyNumberFormat="0" applyFill="0" applyBorder="0" applyAlignment="0" applyProtection="0"/>
    <xf numFmtId="0" fontId="18" fillId="3" borderId="0" applyNumberFormat="0" applyBorder="0" applyAlignment="0" applyProtection="0"/>
    <xf numFmtId="0" fontId="19" fillId="4" borderId="0" applyNumberFormat="0" applyBorder="0" applyAlignment="0" applyProtection="0"/>
    <xf numFmtId="0" fontId="20" fillId="5" borderId="0" applyNumberFormat="0" applyBorder="0" applyAlignment="0" applyProtection="0"/>
    <xf numFmtId="0" fontId="21" fillId="6" borderId="22" applyNumberFormat="0" applyAlignment="0" applyProtection="0"/>
    <xf numFmtId="0" fontId="22" fillId="6" borderId="4" applyNumberFormat="0" applyAlignment="0" applyProtection="0"/>
    <xf numFmtId="0" fontId="23" fillId="0" borderId="23" applyNumberFormat="0" applyFill="0" applyAlignment="0" applyProtection="0"/>
    <xf numFmtId="0" fontId="24" fillId="7" borderId="24" applyNumberFormat="0" applyAlignment="0" applyProtection="0"/>
    <xf numFmtId="0" fontId="3" fillId="0" borderId="0" applyNumberFormat="0" applyFill="0" applyBorder="0" applyAlignment="0" applyProtection="0"/>
    <xf numFmtId="0" fontId="5" fillId="8" borderId="25" applyNumberFormat="0" applyFont="0" applyAlignment="0" applyProtection="0"/>
    <xf numFmtId="0" fontId="25" fillId="0" borderId="0" applyNumberFormat="0" applyFill="0" applyBorder="0" applyAlignment="0" applyProtection="0"/>
    <xf numFmtId="0" fontId="4" fillId="0" borderId="26" applyNumberFormat="0" applyFill="0" applyAlignment="0" applyProtection="0"/>
    <xf numFmtId="0" fontId="26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26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26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26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26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26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1" fillId="0" borderId="0" applyProtection="0"/>
    <xf numFmtId="0" fontId="27" fillId="0" borderId="0" applyNumberFormat="0" applyFill="0" applyBorder="0" applyAlignment="0" applyProtection="0">
      <alignment vertical="top"/>
      <protection locked="0"/>
    </xf>
    <xf numFmtId="0" fontId="28" fillId="0" borderId="0"/>
    <xf numFmtId="9" fontId="13" fillId="0" borderId="0" applyFont="0" applyFill="0" applyBorder="0" applyAlignment="0" applyProtection="0"/>
    <xf numFmtId="0" fontId="1" fillId="0" borderId="0"/>
    <xf numFmtId="43" fontId="5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44" fontId="28" fillId="0" borderId="0" applyFont="0" applyFill="0" applyBorder="0" applyAlignment="0" applyProtection="0"/>
    <xf numFmtId="0" fontId="28" fillId="0" borderId="0"/>
    <xf numFmtId="0" fontId="5" fillId="0" borderId="0"/>
    <xf numFmtId="165" fontId="31" fillId="0" borderId="0"/>
    <xf numFmtId="9" fontId="32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5" fillId="0" borderId="0" applyFont="0" applyFill="0" applyBorder="0" applyAlignment="0" applyProtection="0"/>
    <xf numFmtId="165" fontId="8" fillId="0" borderId="0"/>
    <xf numFmtId="0" fontId="28" fillId="0" borderId="0"/>
    <xf numFmtId="39" fontId="12" fillId="0" borderId="0"/>
    <xf numFmtId="10" fontId="8" fillId="0" borderId="0"/>
  </cellStyleXfs>
  <cellXfs count="402">
    <xf numFmtId="0" fontId="0" fillId="0" borderId="0" xfId="0"/>
    <xf numFmtId="8" fontId="0" fillId="0" borderId="0" xfId="0" applyNumberFormat="1"/>
    <xf numFmtId="16" fontId="0" fillId="0" borderId="0" xfId="0" applyNumberFormat="1"/>
    <xf numFmtId="0" fontId="2" fillId="0" borderId="1" xfId="1" applyFont="1" applyBorder="1" applyAlignment="1">
      <alignment horizontal="center"/>
    </xf>
    <xf numFmtId="164" fontId="0" fillId="0" borderId="0" xfId="4" applyNumberFormat="1" applyFont="1"/>
    <xf numFmtId="0" fontId="7" fillId="0" borderId="0" xfId="0" applyFont="1"/>
    <xf numFmtId="165" fontId="7" fillId="0" borderId="0" xfId="7" quotePrefix="1" applyFont="1" applyAlignment="1">
      <alignment horizontal="left"/>
    </xf>
    <xf numFmtId="165" fontId="7" fillId="0" borderId="0" xfId="7" applyFont="1" applyAlignment="1">
      <alignment horizontal="center"/>
    </xf>
    <xf numFmtId="165" fontId="7" fillId="0" borderId="0" xfId="7" applyFont="1"/>
    <xf numFmtId="165" fontId="7" fillId="0" borderId="9" xfId="7" applyFont="1" applyBorder="1" applyAlignment="1">
      <alignment horizontal="center"/>
    </xf>
    <xf numFmtId="165" fontId="7" fillId="0" borderId="10" xfId="7" applyFont="1" applyBorder="1"/>
    <xf numFmtId="165" fontId="7" fillId="0" borderId="7" xfId="7" applyFont="1" applyBorder="1" applyAlignment="1">
      <alignment horizontal="center"/>
    </xf>
    <xf numFmtId="165" fontId="7" fillId="0" borderId="0" xfId="7" applyFont="1" applyAlignment="1">
      <alignment horizontal="left"/>
    </xf>
    <xf numFmtId="165" fontId="7" fillId="0" borderId="8" xfId="7" applyFont="1" applyBorder="1" applyAlignment="1">
      <alignment horizontal="center"/>
    </xf>
    <xf numFmtId="165" fontId="7" fillId="0" borderId="11" xfId="7" applyFont="1" applyBorder="1" applyAlignment="1">
      <alignment horizontal="center"/>
    </xf>
    <xf numFmtId="165" fontId="9" fillId="0" borderId="11" xfId="7" applyFont="1" applyBorder="1" applyAlignment="1">
      <alignment horizontal="left"/>
    </xf>
    <xf numFmtId="165" fontId="7" fillId="0" borderId="11" xfId="7" applyFont="1" applyBorder="1"/>
    <xf numFmtId="37" fontId="7" fillId="0" borderId="11" xfId="7" applyNumberFormat="1" applyFont="1" applyBorder="1"/>
    <xf numFmtId="165" fontId="7" fillId="0" borderId="12" xfId="7" applyFont="1" applyBorder="1" applyAlignment="1">
      <alignment horizontal="left"/>
    </xf>
    <xf numFmtId="165" fontId="7" fillId="0" borderId="13" xfId="7" applyFont="1" applyBorder="1"/>
    <xf numFmtId="165" fontId="7" fillId="0" borderId="13" xfId="7" applyFont="1" applyBorder="1" applyAlignment="1">
      <alignment horizontal="center"/>
    </xf>
    <xf numFmtId="165" fontId="7" fillId="0" borderId="9" xfId="7" applyFont="1" applyBorder="1"/>
    <xf numFmtId="165" fontId="7" fillId="0" borderId="14" xfId="7" applyFont="1" applyBorder="1" applyAlignment="1">
      <alignment horizontal="left" indent="1"/>
    </xf>
    <xf numFmtId="165" fontId="7" fillId="0" borderId="15" xfId="7" applyFont="1" applyBorder="1"/>
    <xf numFmtId="165" fontId="7" fillId="0" borderId="15" xfId="7" applyFont="1" applyBorder="1" applyAlignment="1">
      <alignment horizontal="center"/>
    </xf>
    <xf numFmtId="37" fontId="7" fillId="0" borderId="15" xfId="0" applyNumberFormat="1" applyFont="1" applyBorder="1"/>
    <xf numFmtId="37" fontId="7" fillId="0" borderId="7" xfId="7" applyNumberFormat="1" applyFont="1" applyBorder="1"/>
    <xf numFmtId="164" fontId="7" fillId="0" borderId="7" xfId="4" applyNumberFormat="1" applyFont="1" applyFill="1" applyBorder="1"/>
    <xf numFmtId="37" fontId="7" fillId="0" borderId="0" xfId="7" applyNumberFormat="1" applyFont="1"/>
    <xf numFmtId="43" fontId="7" fillId="0" borderId="0" xfId="5" applyFont="1" applyFill="1" applyBorder="1" applyProtection="1"/>
    <xf numFmtId="165" fontId="7" fillId="0" borderId="14" xfId="8" applyFont="1" applyBorder="1"/>
    <xf numFmtId="165" fontId="7" fillId="0" borderId="16" xfId="8" applyFont="1" applyBorder="1"/>
    <xf numFmtId="165" fontId="7" fillId="0" borderId="2" xfId="7" applyFont="1" applyBorder="1"/>
    <xf numFmtId="37" fontId="7" fillId="0" borderId="17" xfId="0" applyNumberFormat="1" applyFont="1" applyBorder="1"/>
    <xf numFmtId="37" fontId="7" fillId="0" borderId="8" xfId="7" applyNumberFormat="1" applyFont="1" applyBorder="1"/>
    <xf numFmtId="164" fontId="7" fillId="0" borderId="8" xfId="4" applyNumberFormat="1" applyFont="1" applyFill="1" applyBorder="1" applyProtection="1"/>
    <xf numFmtId="165" fontId="9" fillId="0" borderId="0" xfId="7" applyFont="1"/>
    <xf numFmtId="165" fontId="9" fillId="0" borderId="11" xfId="7" applyFont="1" applyBorder="1" applyAlignment="1">
      <alignment horizontal="left" indent="1"/>
    </xf>
    <xf numFmtId="165" fontId="9" fillId="0" borderId="17" xfId="7" applyFont="1" applyBorder="1"/>
    <xf numFmtId="165" fontId="9" fillId="0" borderId="6" xfId="7" applyFont="1" applyBorder="1" applyAlignment="1">
      <alignment horizontal="center"/>
    </xf>
    <xf numFmtId="37" fontId="9" fillId="0" borderId="11" xfId="7" applyNumberFormat="1" applyFont="1" applyBorder="1"/>
    <xf numFmtId="37" fontId="9" fillId="0" borderId="5" xfId="7" applyNumberFormat="1" applyFont="1" applyBorder="1"/>
    <xf numFmtId="37" fontId="9" fillId="0" borderId="0" xfId="7" applyNumberFormat="1" applyFont="1"/>
    <xf numFmtId="164" fontId="9" fillId="0" borderId="5" xfId="4" applyNumberFormat="1" applyFont="1" applyFill="1" applyBorder="1"/>
    <xf numFmtId="10" fontId="9" fillId="0" borderId="0" xfId="5" applyNumberFormat="1" applyFont="1" applyFill="1" applyBorder="1" applyProtection="1"/>
    <xf numFmtId="10" fontId="7" fillId="0" borderId="0" xfId="7" applyNumberFormat="1" applyFont="1"/>
    <xf numFmtId="165" fontId="7" fillId="0" borderId="0" xfId="7" applyFont="1" applyAlignment="1">
      <alignment horizontal="left" indent="1"/>
    </xf>
    <xf numFmtId="164" fontId="7" fillId="0" borderId="7" xfId="4" applyNumberFormat="1" applyFont="1" applyFill="1" applyBorder="1" applyProtection="1"/>
    <xf numFmtId="10" fontId="7" fillId="0" borderId="0" xfId="5" applyNumberFormat="1" applyFont="1" applyFill="1" applyBorder="1" applyProtection="1"/>
    <xf numFmtId="165" fontId="9" fillId="0" borderId="6" xfId="7" applyFont="1" applyBorder="1"/>
    <xf numFmtId="167" fontId="7" fillId="0" borderId="7" xfId="7" applyNumberFormat="1" applyFont="1" applyBorder="1"/>
    <xf numFmtId="164" fontId="9" fillId="0" borderId="5" xfId="4" applyNumberFormat="1" applyFont="1" applyFill="1" applyBorder="1" applyProtection="1"/>
    <xf numFmtId="165" fontId="9" fillId="0" borderId="0" xfId="7" applyFont="1" applyAlignment="1">
      <alignment horizontal="left" indent="1"/>
    </xf>
    <xf numFmtId="165" fontId="9" fillId="0" borderId="5" xfId="7" applyFont="1" applyBorder="1" applyAlignment="1">
      <alignment horizontal="center"/>
    </xf>
    <xf numFmtId="44" fontId="7" fillId="0" borderId="0" xfId="4" applyFont="1" applyFill="1" applyBorder="1"/>
    <xf numFmtId="37" fontId="7" fillId="0" borderId="0" xfId="7" applyNumberFormat="1" applyFont="1" applyAlignment="1">
      <alignment horizontal="left"/>
    </xf>
    <xf numFmtId="44" fontId="7" fillId="0" borderId="9" xfId="4" applyFont="1" applyFill="1" applyBorder="1"/>
    <xf numFmtId="165" fontId="7" fillId="0" borderId="14" xfId="7" applyFont="1" applyBorder="1" applyAlignment="1">
      <alignment horizontal="left"/>
    </xf>
    <xf numFmtId="44" fontId="7" fillId="0" borderId="7" xfId="4" applyFont="1" applyFill="1" applyBorder="1"/>
    <xf numFmtId="37" fontId="7" fillId="0" borderId="16" xfId="7" applyNumberFormat="1" applyFont="1" applyBorder="1"/>
    <xf numFmtId="165" fontId="9" fillId="0" borderId="18" xfId="7" applyFont="1" applyBorder="1" applyAlignment="1">
      <alignment horizontal="left" indent="1"/>
    </xf>
    <xf numFmtId="37" fontId="9" fillId="0" borderId="2" xfId="7" applyNumberFormat="1" applyFont="1" applyBorder="1"/>
    <xf numFmtId="37" fontId="9" fillId="0" borderId="8" xfId="7" applyNumberFormat="1" applyFont="1" applyBorder="1"/>
    <xf numFmtId="164" fontId="9" fillId="0" borderId="8" xfId="4" applyNumberFormat="1" applyFont="1" applyFill="1" applyBorder="1"/>
    <xf numFmtId="165" fontId="9" fillId="0" borderId="11" xfId="7" applyFont="1" applyBorder="1"/>
    <xf numFmtId="165" fontId="7" fillId="0" borderId="0" xfId="7" quotePrefix="1" applyFont="1" applyAlignment="1">
      <alignment horizontal="center"/>
    </xf>
    <xf numFmtId="43" fontId="7" fillId="0" borderId="0" xfId="5" applyFont="1" applyFill="1" applyAlignment="1" applyProtection="1">
      <alignment horizontal="left"/>
    </xf>
    <xf numFmtId="165" fontId="9" fillId="0" borderId="0" xfId="7" quotePrefix="1" applyFont="1" applyAlignment="1">
      <alignment horizontal="left"/>
    </xf>
    <xf numFmtId="43" fontId="9" fillId="0" borderId="0" xfId="5" quotePrefix="1" applyFont="1" applyFill="1" applyAlignment="1">
      <alignment horizontal="left"/>
    </xf>
    <xf numFmtId="0" fontId="9" fillId="0" borderId="0" xfId="0" applyFont="1" applyAlignment="1">
      <alignment horizontal="center"/>
    </xf>
    <xf numFmtId="165" fontId="9" fillId="0" borderId="0" xfId="55" applyFont="1" applyAlignment="1" applyProtection="1">
      <alignment horizontal="center"/>
    </xf>
    <xf numFmtId="3" fontId="7" fillId="0" borderId="0" xfId="53" applyNumberFormat="1" applyFont="1" applyFill="1"/>
    <xf numFmtId="166" fontId="7" fillId="0" borderId="0" xfId="53" applyNumberFormat="1" applyFont="1" applyFill="1"/>
    <xf numFmtId="17" fontId="7" fillId="0" borderId="0" xfId="55" applyNumberFormat="1" applyFont="1"/>
    <xf numFmtId="165" fontId="11" fillId="0" borderId="0" xfId="55" applyFont="1" applyAlignment="1">
      <alignment horizontal="center"/>
    </xf>
    <xf numFmtId="44" fontId="0" fillId="0" borderId="0" xfId="2" applyFont="1"/>
    <xf numFmtId="165" fontId="9" fillId="0" borderId="0" xfId="55" applyFont="1" applyAlignment="1">
      <alignment horizontal="center"/>
    </xf>
    <xf numFmtId="165" fontId="10" fillId="0" borderId="0" xfId="55" applyFont="1"/>
    <xf numFmtId="165" fontId="31" fillId="0" borderId="0" xfId="55"/>
    <xf numFmtId="175" fontId="1" fillId="0" borderId="0" xfId="1" applyNumberFormat="1"/>
    <xf numFmtId="165" fontId="9" fillId="0" borderId="2" xfId="55" applyFont="1" applyBorder="1" applyAlignment="1">
      <alignment horizontal="center"/>
    </xf>
    <xf numFmtId="174" fontId="1" fillId="0" borderId="0" xfId="1" applyNumberFormat="1"/>
    <xf numFmtId="3" fontId="9" fillId="0" borderId="0" xfId="53" applyNumberFormat="1" applyFont="1" applyFill="1" applyAlignment="1">
      <alignment horizontal="center"/>
    </xf>
    <xf numFmtId="174" fontId="1" fillId="0" borderId="15" xfId="1" applyNumberFormat="1" applyBorder="1"/>
    <xf numFmtId="168" fontId="0" fillId="0" borderId="0" xfId="4" applyNumberFormat="1" applyFont="1"/>
    <xf numFmtId="166" fontId="1" fillId="0" borderId="0" xfId="5" applyNumberFormat="1" applyFont="1"/>
    <xf numFmtId="0" fontId="1" fillId="0" borderId="12" xfId="1" applyBorder="1"/>
    <xf numFmtId="0" fontId="1" fillId="0" borderId="14" xfId="1" applyBorder="1"/>
    <xf numFmtId="0" fontId="1" fillId="0" borderId="13" xfId="1" applyBorder="1"/>
    <xf numFmtId="0" fontId="1" fillId="0" borderId="15" xfId="1" applyBorder="1"/>
    <xf numFmtId="176" fontId="1" fillId="0" borderId="0" xfId="1" applyNumberFormat="1"/>
    <xf numFmtId="0" fontId="1" fillId="0" borderId="16" xfId="1" applyBorder="1"/>
    <xf numFmtId="43" fontId="0" fillId="0" borderId="15" xfId="54" applyFont="1" applyBorder="1"/>
    <xf numFmtId="44" fontId="0" fillId="0" borderId="17" xfId="2" applyFont="1" applyBorder="1"/>
    <xf numFmtId="173" fontId="1" fillId="0" borderId="0" xfId="1" applyNumberFormat="1"/>
    <xf numFmtId="165" fontId="9" fillId="0" borderId="2" xfId="55" applyFont="1" applyBorder="1" applyAlignment="1" applyProtection="1">
      <alignment horizontal="center"/>
    </xf>
    <xf numFmtId="0" fontId="1" fillId="0" borderId="0" xfId="1"/>
    <xf numFmtId="166" fontId="0" fillId="0" borderId="0" xfId="5" applyNumberFormat="1" applyFont="1"/>
    <xf numFmtId="9" fontId="0" fillId="0" borderId="0" xfId="12" applyFont="1"/>
    <xf numFmtId="164" fontId="0" fillId="0" borderId="0" xfId="0" applyNumberFormat="1"/>
    <xf numFmtId="0" fontId="33" fillId="0" borderId="0" xfId="1" applyFont="1" applyAlignment="1">
      <alignment horizontal="center"/>
    </xf>
    <xf numFmtId="0" fontId="29" fillId="0" borderId="0" xfId="1" applyFont="1"/>
    <xf numFmtId="17" fontId="1" fillId="0" borderId="0" xfId="1" applyNumberFormat="1"/>
    <xf numFmtId="44" fontId="1" fillId="0" borderId="0" xfId="1" applyNumberFormat="1"/>
    <xf numFmtId="0" fontId="33" fillId="0" borderId="0" xfId="1" applyFont="1"/>
    <xf numFmtId="165" fontId="13" fillId="0" borderId="0" xfId="68" applyFont="1"/>
    <xf numFmtId="177" fontId="13" fillId="0" borderId="0" xfId="68" applyNumberFormat="1" applyFont="1"/>
    <xf numFmtId="10" fontId="13" fillId="0" borderId="0" xfId="69" applyNumberFormat="1" applyFont="1" applyFill="1"/>
    <xf numFmtId="44" fontId="13" fillId="0" borderId="0" xfId="70" applyFont="1" applyFill="1"/>
    <xf numFmtId="10" fontId="13" fillId="0" borderId="5" xfId="68" applyNumberFormat="1" applyFont="1" applyBorder="1"/>
    <xf numFmtId="164" fontId="34" fillId="0" borderId="5" xfId="71" applyNumberFormat="1" applyFont="1" applyFill="1" applyBorder="1"/>
    <xf numFmtId="166" fontId="34" fillId="0" borderId="11" xfId="72" applyNumberFormat="1" applyFont="1" applyFill="1" applyBorder="1"/>
    <xf numFmtId="166" fontId="34" fillId="0" borderId="5" xfId="72" applyNumberFormat="1" applyFont="1" applyFill="1" applyBorder="1"/>
    <xf numFmtId="166" fontId="34" fillId="0" borderId="18" xfId="72" applyNumberFormat="1" applyFont="1" applyFill="1" applyBorder="1"/>
    <xf numFmtId="165" fontId="34" fillId="0" borderId="11" xfId="68" applyFont="1" applyBorder="1"/>
    <xf numFmtId="165" fontId="34" fillId="0" borderId="18" xfId="68" applyFont="1" applyBorder="1" applyAlignment="1">
      <alignment horizontal="left"/>
    </xf>
    <xf numFmtId="165" fontId="13" fillId="0" borderId="18" xfId="68" applyFont="1" applyBorder="1" applyAlignment="1">
      <alignment horizontal="center"/>
    </xf>
    <xf numFmtId="10" fontId="13" fillId="0" borderId="15" xfId="68" applyNumberFormat="1" applyFont="1" applyBorder="1"/>
    <xf numFmtId="10" fontId="34" fillId="0" borderId="0" xfId="69" applyNumberFormat="1" applyFont="1" applyFill="1" applyBorder="1"/>
    <xf numFmtId="164" fontId="34" fillId="0" borderId="0" xfId="71" applyNumberFormat="1" applyFont="1" applyFill="1" applyBorder="1"/>
    <xf numFmtId="165" fontId="34" fillId="0" borderId="0" xfId="68" applyFont="1"/>
    <xf numFmtId="166" fontId="34" fillId="0" borderId="10" xfId="72" applyNumberFormat="1" applyFont="1" applyFill="1" applyBorder="1"/>
    <xf numFmtId="165" fontId="34" fillId="0" borderId="7" xfId="68" applyFont="1" applyBorder="1"/>
    <xf numFmtId="166" fontId="34" fillId="0" borderId="0" xfId="72" applyNumberFormat="1" applyFont="1" applyFill="1" applyBorder="1"/>
    <xf numFmtId="165" fontId="34" fillId="0" borderId="0" xfId="68" applyFont="1" applyAlignment="1">
      <alignment horizontal="left"/>
    </xf>
    <xf numFmtId="165" fontId="13" fillId="0" borderId="14" xfId="68" applyFont="1" applyBorder="1" applyAlignment="1">
      <alignment horizontal="center"/>
    </xf>
    <xf numFmtId="166" fontId="13" fillId="0" borderId="18" xfId="72" applyNumberFormat="1" applyFont="1" applyFill="1" applyBorder="1"/>
    <xf numFmtId="166" fontId="13" fillId="0" borderId="5" xfId="72" applyNumberFormat="1" applyFont="1" applyFill="1" applyBorder="1"/>
    <xf numFmtId="165" fontId="34" fillId="0" borderId="5" xfId="68" applyFont="1" applyBorder="1"/>
    <xf numFmtId="165" fontId="13" fillId="0" borderId="5" xfId="68" applyFont="1" applyBorder="1" applyAlignment="1">
      <alignment horizontal="center"/>
    </xf>
    <xf numFmtId="177" fontId="13" fillId="0" borderId="9" xfId="71" applyNumberFormat="1" applyFont="1" applyFill="1" applyBorder="1"/>
    <xf numFmtId="165" fontId="13" fillId="0" borderId="9" xfId="68" applyFont="1" applyBorder="1"/>
    <xf numFmtId="166" fontId="13" fillId="0" borderId="12" xfId="72" applyNumberFormat="1" applyFont="1" applyFill="1" applyBorder="1" applyProtection="1"/>
    <xf numFmtId="166" fontId="13" fillId="0" borderId="9" xfId="72" applyNumberFormat="1" applyFont="1" applyFill="1" applyBorder="1"/>
    <xf numFmtId="165" fontId="13" fillId="0" borderId="9" xfId="68" applyFont="1" applyBorder="1" applyAlignment="1">
      <alignment horizontal="center"/>
    </xf>
    <xf numFmtId="165" fontId="13" fillId="0" borderId="10" xfId="68" applyFont="1" applyBorder="1"/>
    <xf numFmtId="165" fontId="13" fillId="0" borderId="14" xfId="68" applyFont="1" applyBorder="1" applyAlignment="1">
      <alignment horizontal="left"/>
    </xf>
    <xf numFmtId="10" fontId="13" fillId="0" borderId="2" xfId="69" applyNumberFormat="1" applyFont="1" applyFill="1" applyBorder="1" applyProtection="1"/>
    <xf numFmtId="177" fontId="13" fillId="0" borderId="2" xfId="71" applyNumberFormat="1" applyFont="1" applyFill="1" applyBorder="1" applyProtection="1"/>
    <xf numFmtId="166" fontId="13" fillId="0" borderId="2" xfId="72" applyNumberFormat="1" applyFont="1" applyFill="1" applyBorder="1"/>
    <xf numFmtId="37" fontId="13" fillId="0" borderId="0" xfId="68" applyNumberFormat="1" applyFont="1"/>
    <xf numFmtId="166" fontId="13" fillId="0" borderId="2" xfId="72" applyNumberFormat="1" applyFont="1" applyFill="1" applyBorder="1" applyProtection="1"/>
    <xf numFmtId="165" fontId="13" fillId="0" borderId="2" xfId="68" applyFont="1" applyBorder="1"/>
    <xf numFmtId="165" fontId="34" fillId="0" borderId="2" xfId="68" applyFont="1" applyBorder="1" applyAlignment="1">
      <alignment horizontal="left"/>
    </xf>
    <xf numFmtId="165" fontId="13" fillId="0" borderId="16" xfId="68" applyFont="1" applyBorder="1" applyAlignment="1">
      <alignment horizontal="center"/>
    </xf>
    <xf numFmtId="37" fontId="13" fillId="0" borderId="5" xfId="68" applyNumberFormat="1" applyFont="1" applyBorder="1"/>
    <xf numFmtId="177" fontId="13" fillId="0" borderId="5" xfId="68" applyNumberFormat="1" applyFont="1" applyBorder="1"/>
    <xf numFmtId="37" fontId="13" fillId="0" borderId="6" xfId="68" applyNumberFormat="1" applyFont="1" applyBorder="1"/>
    <xf numFmtId="37" fontId="13" fillId="0" borderId="11" xfId="68" applyNumberFormat="1" applyFont="1" applyBorder="1"/>
    <xf numFmtId="165" fontId="13" fillId="0" borderId="6" xfId="68" applyFont="1" applyBorder="1"/>
    <xf numFmtId="165" fontId="13" fillId="0" borderId="11" xfId="68" applyFont="1" applyBorder="1" applyAlignment="1">
      <alignment horizontal="left"/>
    </xf>
    <xf numFmtId="165" fontId="13" fillId="0" borderId="8" xfId="68" applyFont="1" applyBorder="1" applyAlignment="1">
      <alignment horizontal="center"/>
    </xf>
    <xf numFmtId="10" fontId="13" fillId="0" borderId="7" xfId="68" applyNumberFormat="1" applyFont="1" applyBorder="1"/>
    <xf numFmtId="177" fontId="13" fillId="0" borderId="15" xfId="73" applyNumberFormat="1" applyFont="1" applyFill="1" applyBorder="1" applyProtection="1"/>
    <xf numFmtId="165" fontId="13" fillId="0" borderId="15" xfId="68" applyFont="1" applyBorder="1"/>
    <xf numFmtId="166" fontId="13" fillId="0" borderId="7" xfId="73" applyNumberFormat="1" applyFont="1" applyFill="1" applyBorder="1"/>
    <xf numFmtId="37" fontId="13" fillId="0" borderId="7" xfId="68" applyNumberFormat="1" applyFont="1" applyBorder="1"/>
    <xf numFmtId="37" fontId="13" fillId="0" borderId="15" xfId="68" applyNumberFormat="1" applyFont="1" applyBorder="1"/>
    <xf numFmtId="165" fontId="13" fillId="0" borderId="15" xfId="68" applyFont="1" applyBorder="1" applyAlignment="1">
      <alignment horizontal="center"/>
    </xf>
    <xf numFmtId="165" fontId="13" fillId="0" borderId="0" xfId="68" applyFont="1" applyAlignment="1">
      <alignment horizontal="left"/>
    </xf>
    <xf numFmtId="165" fontId="13" fillId="0" borderId="7" xfId="68" applyFont="1" applyBorder="1" applyAlignment="1">
      <alignment horizontal="center"/>
    </xf>
    <xf numFmtId="165" fontId="13" fillId="0" borderId="7" xfId="68" applyFont="1" applyBorder="1"/>
    <xf numFmtId="165" fontId="13" fillId="0" borderId="15" xfId="68" quotePrefix="1" applyFont="1" applyBorder="1" applyAlignment="1">
      <alignment horizontal="left"/>
    </xf>
    <xf numFmtId="177" fontId="13" fillId="0" borderId="15" xfId="68" applyNumberFormat="1" applyFont="1" applyBorder="1"/>
    <xf numFmtId="165" fontId="13" fillId="0" borderId="5" xfId="68" applyFont="1" applyBorder="1"/>
    <xf numFmtId="165" fontId="13" fillId="0" borderId="11" xfId="68" applyFont="1" applyBorder="1"/>
    <xf numFmtId="165" fontId="34" fillId="0" borderId="11" xfId="68" applyFont="1" applyBorder="1" applyAlignment="1">
      <alignment horizontal="left"/>
    </xf>
    <xf numFmtId="165" fontId="13" fillId="0" borderId="18" xfId="68" applyFont="1" applyBorder="1"/>
    <xf numFmtId="177" fontId="13" fillId="0" borderId="15" xfId="68" applyNumberFormat="1" applyFont="1" applyBorder="1" applyAlignment="1">
      <alignment horizontal="center"/>
    </xf>
    <xf numFmtId="165" fontId="13" fillId="0" borderId="15" xfId="68" applyFont="1" applyBorder="1" applyAlignment="1">
      <alignment horizontal="centerContinuous"/>
    </xf>
    <xf numFmtId="165" fontId="13" fillId="0" borderId="0" xfId="68" applyFont="1" applyAlignment="1">
      <alignment horizontal="centerContinuous"/>
    </xf>
    <xf numFmtId="177" fontId="13" fillId="0" borderId="15" xfId="68" applyNumberFormat="1" applyFont="1" applyBorder="1" applyAlignment="1">
      <alignment horizontal="centerContinuous"/>
    </xf>
    <xf numFmtId="165" fontId="13" fillId="0" borderId="7" xfId="68" applyFont="1" applyBorder="1" applyAlignment="1">
      <alignment horizontal="left"/>
    </xf>
    <xf numFmtId="165" fontId="13" fillId="0" borderId="15" xfId="68" quotePrefix="1" applyFont="1" applyBorder="1"/>
    <xf numFmtId="165" fontId="13" fillId="0" borderId="13" xfId="68" applyFont="1" applyBorder="1"/>
    <xf numFmtId="177" fontId="13" fillId="0" borderId="13" xfId="68" applyNumberFormat="1" applyFont="1" applyBorder="1" applyAlignment="1">
      <alignment horizontal="centerContinuous"/>
    </xf>
    <xf numFmtId="165" fontId="13" fillId="0" borderId="13" xfId="68" applyFont="1" applyBorder="1" applyAlignment="1">
      <alignment horizontal="center"/>
    </xf>
    <xf numFmtId="177" fontId="13" fillId="0" borderId="0" xfId="68" applyNumberFormat="1" applyFont="1" applyAlignment="1">
      <alignment horizontal="centerContinuous"/>
    </xf>
    <xf numFmtId="165" fontId="34" fillId="0" borderId="0" xfId="68" applyFont="1" applyAlignment="1">
      <alignment horizontal="centerContinuous"/>
    </xf>
    <xf numFmtId="165" fontId="36" fillId="0" borderId="0" xfId="68" applyFont="1" applyAlignment="1">
      <alignment horizontal="centerContinuous"/>
    </xf>
    <xf numFmtId="165" fontId="13" fillId="0" borderId="0" xfId="68" quotePrefix="1" applyFont="1" applyAlignment="1">
      <alignment horizontal="left"/>
    </xf>
    <xf numFmtId="165" fontId="13" fillId="0" borderId="0" xfId="74" applyFont="1"/>
    <xf numFmtId="165" fontId="32" fillId="0" borderId="0" xfId="68" applyFont="1"/>
    <xf numFmtId="165" fontId="32" fillId="0" borderId="0" xfId="68" applyFont="1" applyAlignment="1">
      <alignment horizontal="left"/>
    </xf>
    <xf numFmtId="165" fontId="13" fillId="0" borderId="0" xfId="74" applyFont="1" applyAlignment="1">
      <alignment horizontal="left"/>
    </xf>
    <xf numFmtId="165" fontId="13" fillId="0" borderId="0" xfId="74" applyFont="1" applyAlignment="1">
      <alignment horizontal="centerContinuous"/>
    </xf>
    <xf numFmtId="165" fontId="34" fillId="0" borderId="0" xfId="7" applyFont="1"/>
    <xf numFmtId="165" fontId="34" fillId="0" borderId="0" xfId="74" applyFont="1" applyAlignment="1">
      <alignment horizontal="centerContinuous"/>
    </xf>
    <xf numFmtId="165" fontId="13" fillId="0" borderId="0" xfId="74" applyFont="1" applyAlignment="1">
      <alignment horizontal="center"/>
    </xf>
    <xf numFmtId="14" fontId="13" fillId="0" borderId="0" xfId="74" applyNumberFormat="1" applyFont="1" applyAlignment="1">
      <alignment horizontal="center"/>
    </xf>
    <xf numFmtId="165" fontId="13" fillId="0" borderId="0" xfId="74" applyFont="1" applyAlignment="1">
      <alignment horizontal="right"/>
    </xf>
    <xf numFmtId="165" fontId="13" fillId="0" borderId="2" xfId="74" applyFont="1" applyBorder="1" applyAlignment="1">
      <alignment horizontal="center"/>
    </xf>
    <xf numFmtId="1" fontId="13" fillId="0" borderId="0" xfId="74" applyNumberFormat="1" applyFont="1" applyAlignment="1">
      <alignment horizontal="center"/>
    </xf>
    <xf numFmtId="170" fontId="13" fillId="0" borderId="0" xfId="74" applyNumberFormat="1" applyFont="1" applyAlignment="1">
      <alignment horizontal="center"/>
    </xf>
    <xf numFmtId="172" fontId="13" fillId="0" borderId="0" xfId="74" applyNumberFormat="1" applyFont="1" applyAlignment="1">
      <alignment horizontal="center"/>
    </xf>
    <xf numFmtId="7" fontId="13" fillId="0" borderId="0" xfId="74" applyNumberFormat="1" applyFont="1"/>
    <xf numFmtId="7" fontId="13" fillId="0" borderId="0" xfId="74" applyNumberFormat="1" applyFont="1" applyAlignment="1">
      <alignment horizontal="center"/>
    </xf>
    <xf numFmtId="169" fontId="13" fillId="0" borderId="0" xfId="74" applyNumberFormat="1" applyFont="1" applyAlignment="1">
      <alignment horizontal="center"/>
    </xf>
    <xf numFmtId="10" fontId="13" fillId="0" borderId="0" xfId="74" applyNumberFormat="1" applyFont="1"/>
    <xf numFmtId="178" fontId="13" fillId="0" borderId="0" xfId="74" applyNumberFormat="1" applyFont="1"/>
    <xf numFmtId="3" fontId="13" fillId="0" borderId="0" xfId="74" applyNumberFormat="1" applyFont="1" applyAlignment="1">
      <alignment horizontal="center"/>
    </xf>
    <xf numFmtId="165" fontId="13" fillId="0" borderId="2" xfId="74" applyFont="1" applyBorder="1"/>
    <xf numFmtId="0" fontId="4" fillId="0" borderId="27" xfId="0" applyFont="1" applyBorder="1"/>
    <xf numFmtId="6" fontId="0" fillId="0" borderId="0" xfId="0" applyNumberFormat="1"/>
    <xf numFmtId="166" fontId="13" fillId="0" borderId="0" xfId="5" applyNumberFormat="1" applyFont="1"/>
    <xf numFmtId="10" fontId="13" fillId="0" borderId="0" xfId="69" applyNumberFormat="1" applyFont="1" applyFill="1" applyBorder="1" applyAlignment="1" applyProtection="1">
      <alignment horizontal="center"/>
    </xf>
    <xf numFmtId="165" fontId="13" fillId="0" borderId="2" xfId="74" applyFont="1" applyBorder="1" applyAlignment="1">
      <alignment horizontal="centerContinuous"/>
    </xf>
    <xf numFmtId="0" fontId="7" fillId="0" borderId="0" xfId="75" applyFont="1"/>
    <xf numFmtId="0" fontId="13" fillId="0" borderId="0" xfId="75" applyFont="1"/>
    <xf numFmtId="0" fontId="13" fillId="0" borderId="0" xfId="75" applyFont="1" applyAlignment="1">
      <alignment horizontal="center"/>
    </xf>
    <xf numFmtId="0" fontId="7" fillId="0" borderId="0" xfId="75" applyFont="1" applyAlignment="1">
      <alignment horizontal="center"/>
    </xf>
    <xf numFmtId="0" fontId="13" fillId="0" borderId="9" xfId="75" applyFont="1" applyBorder="1" applyAlignment="1">
      <alignment horizontal="center" wrapText="1"/>
    </xf>
    <xf numFmtId="0" fontId="13" fillId="0" borderId="13" xfId="75" applyFont="1" applyBorder="1" applyAlignment="1">
      <alignment horizontal="center" wrapText="1"/>
    </xf>
    <xf numFmtId="0" fontId="13" fillId="0" borderId="12" xfId="75" applyFont="1" applyBorder="1" applyAlignment="1">
      <alignment horizontal="center" wrapText="1"/>
    </xf>
    <xf numFmtId="0" fontId="7" fillId="0" borderId="0" xfId="75" applyFont="1" applyAlignment="1">
      <alignment horizontal="center" wrapText="1"/>
    </xf>
    <xf numFmtId="0" fontId="7" fillId="0" borderId="0" xfId="75" applyFont="1" applyAlignment="1">
      <alignment wrapText="1"/>
    </xf>
    <xf numFmtId="0" fontId="13" fillId="0" borderId="8" xfId="75" applyFont="1" applyBorder="1" applyAlignment="1">
      <alignment horizontal="center"/>
    </xf>
    <xf numFmtId="0" fontId="13" fillId="0" borderId="17" xfId="75" applyFont="1" applyBorder="1" applyAlignment="1">
      <alignment horizontal="center"/>
    </xf>
    <xf numFmtId="0" fontId="13" fillId="0" borderId="8" xfId="75" quotePrefix="1" applyFont="1" applyBorder="1" applyAlignment="1">
      <alignment horizontal="center"/>
    </xf>
    <xf numFmtId="0" fontId="13" fillId="0" borderId="2" xfId="75" quotePrefix="1" applyFont="1" applyBorder="1" applyAlignment="1">
      <alignment horizontal="center"/>
    </xf>
    <xf numFmtId="0" fontId="13" fillId="0" borderId="17" xfId="75" quotePrefix="1" applyFont="1" applyBorder="1" applyAlignment="1">
      <alignment horizontal="center"/>
    </xf>
    <xf numFmtId="0" fontId="34" fillId="0" borderId="11" xfId="75" applyFont="1" applyBorder="1" applyAlignment="1">
      <alignment horizontal="left"/>
    </xf>
    <xf numFmtId="0" fontId="13" fillId="0" borderId="11" xfId="75" applyFont="1" applyBorder="1"/>
    <xf numFmtId="0" fontId="13" fillId="0" borderId="6" xfId="75" applyFont="1" applyBorder="1"/>
    <xf numFmtId="0" fontId="13" fillId="0" borderId="14" xfId="75" applyFont="1" applyBorder="1" applyAlignment="1">
      <alignment horizontal="left"/>
    </xf>
    <xf numFmtId="0" fontId="13" fillId="0" borderId="7" xfId="75" quotePrefix="1" applyFont="1" applyBorder="1" applyAlignment="1">
      <alignment horizontal="center"/>
    </xf>
    <xf numFmtId="168" fontId="13" fillId="0" borderId="7" xfId="71" applyNumberFormat="1" applyFont="1" applyFill="1" applyBorder="1"/>
    <xf numFmtId="168" fontId="13" fillId="0" borderId="14" xfId="71" applyNumberFormat="1" applyFont="1" applyFill="1" applyBorder="1"/>
    <xf numFmtId="168" fontId="13" fillId="0" borderId="7" xfId="75" applyNumberFormat="1" applyFont="1" applyBorder="1"/>
    <xf numFmtId="168" fontId="13" fillId="0" borderId="15" xfId="75" applyNumberFormat="1" applyFont="1" applyBorder="1"/>
    <xf numFmtId="165" fontId="7" fillId="0" borderId="0" xfId="8" applyFont="1" applyAlignment="1">
      <alignment horizontal="center"/>
    </xf>
    <xf numFmtId="168" fontId="7" fillId="0" borderId="0" xfId="71" applyNumberFormat="1" applyFont="1" applyFill="1" applyBorder="1"/>
    <xf numFmtId="168" fontId="7" fillId="0" borderId="0" xfId="71" applyNumberFormat="1" applyFont="1" applyFill="1"/>
    <xf numFmtId="0" fontId="13" fillId="0" borderId="7" xfId="75" applyFont="1" applyBorder="1" applyAlignment="1">
      <alignment horizontal="center"/>
    </xf>
    <xf numFmtId="0" fontId="13" fillId="0" borderId="16" xfId="75" applyFont="1" applyBorder="1" applyAlignment="1">
      <alignment horizontal="left"/>
    </xf>
    <xf numFmtId="0" fontId="7" fillId="0" borderId="0" xfId="75" applyFont="1" applyAlignment="1">
      <alignment horizontal="left"/>
    </xf>
    <xf numFmtId="0" fontId="30" fillId="0" borderId="0" xfId="75" quotePrefix="1" applyFont="1" applyAlignment="1">
      <alignment horizontal="left"/>
    </xf>
    <xf numFmtId="168" fontId="7" fillId="0" borderId="0" xfId="75" applyNumberFormat="1" applyFont="1"/>
    <xf numFmtId="166" fontId="7" fillId="0" borderId="0" xfId="72" applyNumberFormat="1" applyFont="1" applyFill="1"/>
    <xf numFmtId="44" fontId="7" fillId="0" borderId="0" xfId="71" applyFont="1" applyFill="1"/>
    <xf numFmtId="179" fontId="7" fillId="0" borderId="0" xfId="69" applyNumberFormat="1" applyFont="1" applyFill="1" applyBorder="1" applyAlignment="1">
      <alignment horizontal="right"/>
    </xf>
    <xf numFmtId="0" fontId="7" fillId="0" borderId="0" xfId="75" applyFont="1" applyAlignment="1">
      <alignment horizontal="right"/>
    </xf>
    <xf numFmtId="168" fontId="13" fillId="0" borderId="8" xfId="71" applyNumberFormat="1" applyFont="1" applyFill="1" applyBorder="1"/>
    <xf numFmtId="0" fontId="2" fillId="0" borderId="0" xfId="1" applyFont="1" applyAlignment="1">
      <alignment horizontal="center"/>
    </xf>
    <xf numFmtId="10" fontId="0" fillId="0" borderId="0" xfId="12" applyNumberFormat="1" applyFont="1"/>
    <xf numFmtId="168" fontId="13" fillId="0" borderId="8" xfId="75" applyNumberFormat="1" applyFont="1" applyBorder="1"/>
    <xf numFmtId="168" fontId="13" fillId="0" borderId="15" xfId="4" applyNumberFormat="1" applyFont="1" applyFill="1" applyBorder="1" applyProtection="1"/>
    <xf numFmtId="168" fontId="13" fillId="0" borderId="9" xfId="4" applyNumberFormat="1" applyFont="1" applyFill="1" applyBorder="1"/>
    <xf numFmtId="177" fontId="34" fillId="0" borderId="0" xfId="68" applyNumberFormat="1" applyFont="1" applyAlignment="1">
      <alignment horizontal="center"/>
    </xf>
    <xf numFmtId="10" fontId="13" fillId="0" borderId="8" xfId="68" applyNumberFormat="1" applyFont="1" applyBorder="1"/>
    <xf numFmtId="10" fontId="13" fillId="0" borderId="11" xfId="69" applyNumberFormat="1" applyFont="1" applyFill="1" applyBorder="1" applyProtection="1"/>
    <xf numFmtId="6" fontId="4" fillId="0" borderId="28" xfId="0" applyNumberFormat="1" applyFont="1" applyBorder="1"/>
    <xf numFmtId="171" fontId="0" fillId="33" borderId="0" xfId="0" applyNumberFormat="1" applyFill="1"/>
    <xf numFmtId="166" fontId="7" fillId="0" borderId="0" xfId="0" applyNumberFormat="1" applyFont="1"/>
    <xf numFmtId="44" fontId="7" fillId="0" borderId="0" xfId="4" applyFont="1"/>
    <xf numFmtId="168" fontId="5" fillId="0" borderId="0" xfId="4" applyNumberFormat="1" applyFont="1" applyBorder="1"/>
    <xf numFmtId="165" fontId="7" fillId="0" borderId="0" xfId="55" applyFont="1" applyAlignment="1">
      <alignment horizontal="center"/>
    </xf>
    <xf numFmtId="165" fontId="7" fillId="0" borderId="0" xfId="55" applyFont="1"/>
    <xf numFmtId="165" fontId="13" fillId="0" borderId="0" xfId="55" applyFont="1"/>
    <xf numFmtId="165" fontId="34" fillId="0" borderId="0" xfId="55" applyFont="1" applyAlignment="1">
      <alignment horizontal="center"/>
    </xf>
    <xf numFmtId="43" fontId="7" fillId="0" borderId="0" xfId="72" applyFont="1" applyFill="1"/>
    <xf numFmtId="165" fontId="34" fillId="0" borderId="0" xfId="55" applyFont="1" applyAlignment="1">
      <alignment horizontal="centerContinuous"/>
    </xf>
    <xf numFmtId="165" fontId="13" fillId="0" borderId="0" xfId="55" applyFont="1" applyAlignment="1">
      <alignment horizontal="centerContinuous"/>
    </xf>
    <xf numFmtId="165" fontId="13" fillId="0" borderId="0" xfId="55" applyFont="1" applyAlignment="1">
      <alignment horizontal="center"/>
    </xf>
    <xf numFmtId="165" fontId="13" fillId="0" borderId="0" xfId="55" applyFont="1" applyAlignment="1" applyProtection="1">
      <alignment horizontal="center"/>
    </xf>
    <xf numFmtId="43" fontId="13" fillId="0" borderId="0" xfId="72" applyFont="1" applyFill="1" applyAlignment="1">
      <alignment horizontal="center"/>
    </xf>
    <xf numFmtId="165" fontId="13" fillId="0" borderId="0" xfId="55" applyFont="1" applyAlignment="1">
      <alignment horizontal="center" wrapText="1"/>
    </xf>
    <xf numFmtId="165" fontId="7" fillId="0" borderId="0" xfId="55" applyFont="1" applyAlignment="1" applyProtection="1">
      <alignment horizontal="center" wrapText="1"/>
    </xf>
    <xf numFmtId="165" fontId="13" fillId="0" borderId="0" xfId="55" quotePrefix="1" applyFont="1" applyAlignment="1">
      <alignment horizontal="center" wrapText="1"/>
    </xf>
    <xf numFmtId="165" fontId="7" fillId="0" borderId="2" xfId="55" applyFont="1" applyBorder="1" applyAlignment="1">
      <alignment horizontal="center"/>
    </xf>
    <xf numFmtId="165" fontId="7" fillId="0" borderId="2" xfId="55" applyFont="1" applyBorder="1" applyAlignment="1" applyProtection="1">
      <alignment horizontal="center"/>
    </xf>
    <xf numFmtId="165" fontId="13" fillId="0" borderId="2" xfId="55" applyFont="1" applyBorder="1" applyAlignment="1" applyProtection="1">
      <alignment horizontal="center"/>
    </xf>
    <xf numFmtId="165" fontId="7" fillId="0" borderId="0" xfId="55" applyFont="1" applyAlignment="1" applyProtection="1">
      <alignment horizontal="centerContinuous"/>
    </xf>
    <xf numFmtId="164" fontId="13" fillId="0" borderId="0" xfId="71" applyNumberFormat="1" applyFont="1" applyFill="1" applyBorder="1" applyAlignment="1" applyProtection="1">
      <alignment horizontal="center"/>
    </xf>
    <xf numFmtId="165" fontId="34" fillId="0" borderId="0" xfId="55" applyFont="1" applyAlignment="1" applyProtection="1">
      <alignment horizontal="center"/>
    </xf>
    <xf numFmtId="165" fontId="7" fillId="0" borderId="0" xfId="55" applyFont="1" applyAlignment="1" applyProtection="1">
      <alignment horizontal="center"/>
    </xf>
    <xf numFmtId="164" fontId="13" fillId="0" borderId="0" xfId="71" applyNumberFormat="1" applyFont="1" applyFill="1"/>
    <xf numFmtId="164" fontId="13" fillId="0" borderId="0" xfId="71" applyNumberFormat="1" applyFont="1" applyFill="1" applyProtection="1"/>
    <xf numFmtId="42" fontId="13" fillId="0" borderId="0" xfId="71" applyNumberFormat="1" applyFont="1" applyFill="1" applyProtection="1"/>
    <xf numFmtId="165" fontId="7" fillId="0" borderId="0" xfId="55" applyFont="1" applyAlignment="1" applyProtection="1">
      <alignment horizontal="left"/>
    </xf>
    <xf numFmtId="166" fontId="13" fillId="0" borderId="0" xfId="72" applyNumberFormat="1" applyFont="1" applyFill="1" applyBorder="1" applyProtection="1"/>
    <xf numFmtId="7" fontId="9" fillId="0" borderId="0" xfId="55" applyNumberFormat="1" applyFont="1" applyAlignment="1" applyProtection="1">
      <alignment horizontal="right"/>
    </xf>
    <xf numFmtId="164" fontId="34" fillId="0" borderId="0" xfId="71" applyNumberFormat="1" applyFont="1" applyFill="1" applyProtection="1"/>
    <xf numFmtId="171" fontId="13" fillId="0" borderId="0" xfId="55" applyNumberFormat="1" applyFont="1"/>
    <xf numFmtId="168" fontId="4" fillId="0" borderId="29" xfId="0" applyNumberFormat="1" applyFont="1" applyBorder="1"/>
    <xf numFmtId="168" fontId="4" fillId="0" borderId="28" xfId="0" applyNumberFormat="1" applyFont="1" applyBorder="1"/>
    <xf numFmtId="14" fontId="9" fillId="0" borderId="0" xfId="55" applyNumberFormat="1" applyFont="1" applyAlignment="1" applyProtection="1">
      <alignment horizontal="center"/>
    </xf>
    <xf numFmtId="17" fontId="9" fillId="0" borderId="0" xfId="55" quotePrefix="1" applyNumberFormat="1" applyFont="1" applyAlignment="1" applyProtection="1">
      <alignment horizontal="center"/>
    </xf>
    <xf numFmtId="165" fontId="9" fillId="0" borderId="0" xfId="55" applyFont="1" applyAlignment="1">
      <alignment horizontal="centerContinuous"/>
    </xf>
    <xf numFmtId="165" fontId="9" fillId="0" borderId="0" xfId="55" applyFont="1" applyAlignment="1" applyProtection="1">
      <alignment horizontal="left"/>
    </xf>
    <xf numFmtId="165" fontId="37" fillId="0" borderId="0" xfId="55" applyFont="1" applyAlignment="1">
      <alignment horizontal="center"/>
    </xf>
    <xf numFmtId="165" fontId="7" fillId="0" borderId="0" xfId="55" applyFont="1" applyAlignment="1" applyProtection="1">
      <alignment horizontal="fill"/>
    </xf>
    <xf numFmtId="39" fontId="7" fillId="0" borderId="0" xfId="76" applyFont="1" applyAlignment="1">
      <alignment horizontal="right"/>
    </xf>
    <xf numFmtId="7" fontId="7" fillId="0" borderId="0" xfId="55" applyNumberFormat="1" applyFont="1" applyProtection="1"/>
    <xf numFmtId="38" fontId="7" fillId="0" borderId="0" xfId="77" applyNumberFormat="1" applyFont="1" applyAlignment="1" applyProtection="1">
      <alignment horizontal="left"/>
      <protection locked="0"/>
    </xf>
    <xf numFmtId="164" fontId="7" fillId="0" borderId="0" xfId="71" applyNumberFormat="1" applyFont="1" applyFill="1" applyProtection="1"/>
    <xf numFmtId="164" fontId="7" fillId="0" borderId="0" xfId="71" applyNumberFormat="1" applyFont="1" applyFill="1"/>
    <xf numFmtId="164" fontId="7" fillId="0" borderId="0" xfId="71" applyNumberFormat="1" applyFont="1" applyFill="1" applyAlignment="1" applyProtection="1">
      <alignment horizontal="left"/>
      <protection locked="0"/>
    </xf>
    <xf numFmtId="164" fontId="9" fillId="0" borderId="3" xfId="71" applyNumberFormat="1" applyFont="1" applyFill="1" applyBorder="1" applyProtection="1"/>
    <xf numFmtId="165" fontId="9" fillId="0" borderId="0" xfId="55" applyFont="1"/>
    <xf numFmtId="44" fontId="7" fillId="0" borderId="0" xfId="55" applyNumberFormat="1" applyFont="1" applyProtection="1"/>
    <xf numFmtId="4" fontId="7" fillId="0" borderId="0" xfId="55" applyNumberFormat="1" applyFont="1"/>
    <xf numFmtId="39" fontId="7" fillId="0" borderId="0" xfId="55" applyNumberFormat="1" applyFont="1"/>
    <xf numFmtId="165" fontId="9" fillId="0" borderId="0" xfId="55" quotePrefix="1" applyFont="1"/>
    <xf numFmtId="165" fontId="7" fillId="0" borderId="2" xfId="55" applyFont="1" applyBorder="1" applyAlignment="1">
      <alignment horizontal="center" vertical="center" wrapText="1"/>
    </xf>
    <xf numFmtId="165" fontId="7" fillId="0" borderId="2" xfId="55" quotePrefix="1" applyFont="1" applyBorder="1" applyAlignment="1">
      <alignment horizontal="center" wrapText="1"/>
    </xf>
    <xf numFmtId="17" fontId="7" fillId="0" borderId="2" xfId="55" applyNumberFormat="1" applyFont="1" applyBorder="1" applyAlignment="1">
      <alignment horizontal="center"/>
    </xf>
    <xf numFmtId="165" fontId="7" fillId="0" borderId="2" xfId="55" applyFont="1" applyBorder="1" applyAlignment="1">
      <alignment horizontal="center" wrapText="1"/>
    </xf>
    <xf numFmtId="37" fontId="7" fillId="0" borderId="0" xfId="55" applyNumberFormat="1" applyFont="1"/>
    <xf numFmtId="168" fontId="9" fillId="0" borderId="0" xfId="71" applyNumberFormat="1" applyFont="1" applyFill="1"/>
    <xf numFmtId="164" fontId="9" fillId="0" borderId="0" xfId="71" applyNumberFormat="1" applyFont="1" applyFill="1"/>
    <xf numFmtId="37" fontId="9" fillId="0" borderId="0" xfId="71" applyNumberFormat="1" applyFont="1" applyFill="1"/>
    <xf numFmtId="164" fontId="9" fillId="0" borderId="0" xfId="71" applyNumberFormat="1" applyFont="1" applyFill="1" applyBorder="1"/>
    <xf numFmtId="37" fontId="7" fillId="0" borderId="0" xfId="71" applyNumberFormat="1" applyFont="1" applyFill="1"/>
    <xf numFmtId="166" fontId="7" fillId="0" borderId="0" xfId="72" applyNumberFormat="1" applyFont="1" applyFill="1" applyBorder="1"/>
    <xf numFmtId="165" fontId="9" fillId="0" borderId="0" xfId="55" applyFont="1" applyAlignment="1">
      <alignment horizontal="right"/>
    </xf>
    <xf numFmtId="10" fontId="9" fillId="0" borderId="0" xfId="69" applyNumberFormat="1" applyFont="1" applyFill="1"/>
    <xf numFmtId="180" fontId="9" fillId="0" borderId="0" xfId="69" applyNumberFormat="1" applyFont="1" applyFill="1"/>
    <xf numFmtId="180" fontId="9" fillId="0" borderId="0" xfId="69" applyNumberFormat="1" applyFont="1" applyFill="1" applyBorder="1"/>
    <xf numFmtId="166" fontId="9" fillId="0" borderId="0" xfId="72" applyNumberFormat="1" applyFont="1" applyFill="1" applyAlignment="1">
      <alignment horizontal="center"/>
    </xf>
    <xf numFmtId="164" fontId="7" fillId="0" borderId="0" xfId="71" applyNumberFormat="1" applyFont="1" applyFill="1" applyBorder="1"/>
    <xf numFmtId="44" fontId="7" fillId="0" borderId="0" xfId="71" applyFont="1" applyFill="1" applyBorder="1"/>
    <xf numFmtId="166" fontId="9" fillId="0" borderId="0" xfId="72" applyNumberFormat="1" applyFont="1" applyFill="1"/>
    <xf numFmtId="164" fontId="9" fillId="0" borderId="0" xfId="72" applyNumberFormat="1" applyFont="1" applyFill="1"/>
    <xf numFmtId="164" fontId="7" fillId="0" borderId="0" xfId="72" applyNumberFormat="1" applyFont="1" applyFill="1" applyBorder="1"/>
    <xf numFmtId="164" fontId="7" fillId="0" borderId="0" xfId="72" applyNumberFormat="1" applyFont="1" applyFill="1"/>
    <xf numFmtId="165" fontId="7" fillId="0" borderId="30" xfId="55" applyFont="1" applyBorder="1"/>
    <xf numFmtId="165" fontId="7" fillId="0" borderId="30" xfId="55" applyFont="1" applyBorder="1" applyAlignment="1">
      <alignment horizontal="center"/>
    </xf>
    <xf numFmtId="17" fontId="9" fillId="0" borderId="0" xfId="55" applyNumberFormat="1" applyFont="1" applyAlignment="1" applyProtection="1">
      <alignment horizontal="right"/>
    </xf>
    <xf numFmtId="165" fontId="37" fillId="0" borderId="0" xfId="55" applyFont="1" applyAlignment="1" applyProtection="1">
      <alignment horizontal="left"/>
    </xf>
    <xf numFmtId="165" fontId="37" fillId="0" borderId="0" xfId="55" applyFont="1"/>
    <xf numFmtId="10" fontId="37" fillId="0" borderId="0" xfId="55" applyNumberFormat="1" applyFont="1" applyProtection="1"/>
    <xf numFmtId="182" fontId="37" fillId="0" borderId="0" xfId="55" applyNumberFormat="1" applyFont="1" applyProtection="1"/>
    <xf numFmtId="14" fontId="37" fillId="0" borderId="0" xfId="55" applyNumberFormat="1" applyFont="1" applyAlignment="1">
      <alignment horizontal="centerContinuous"/>
    </xf>
    <xf numFmtId="165" fontId="38" fillId="0" borderId="0" xfId="55" applyFont="1" applyAlignment="1" applyProtection="1">
      <alignment horizontal="center"/>
    </xf>
    <xf numFmtId="165" fontId="38" fillId="0" borderId="0" xfId="55" applyFont="1" applyAlignment="1">
      <alignment horizontal="center"/>
    </xf>
    <xf numFmtId="164" fontId="7" fillId="0" borderId="3" xfId="71" applyNumberFormat="1" applyFont="1" applyFill="1" applyBorder="1"/>
    <xf numFmtId="7" fontId="7" fillId="0" borderId="0" xfId="72" applyNumberFormat="1" applyFont="1" applyFill="1" applyBorder="1"/>
    <xf numFmtId="181" fontId="37" fillId="0" borderId="0" xfId="55" applyNumberFormat="1" applyFont="1" applyProtection="1"/>
    <xf numFmtId="164" fontId="13" fillId="0" borderId="0" xfId="55" applyNumberFormat="1" applyFont="1" applyProtection="1"/>
    <xf numFmtId="164" fontId="13" fillId="0" borderId="0" xfId="55" applyNumberFormat="1" applyFont="1"/>
    <xf numFmtId="165" fontId="13" fillId="0" borderId="0" xfId="55" applyFont="1" applyAlignment="1" applyProtection="1">
      <alignment horizontal="left"/>
    </xf>
    <xf numFmtId="0" fontId="7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4" fillId="0" borderId="0" xfId="0" applyFont="1"/>
    <xf numFmtId="44" fontId="0" fillId="0" borderId="0" xfId="0" applyNumberFormat="1"/>
    <xf numFmtId="43" fontId="1" fillId="0" borderId="0" xfId="1" applyNumberFormat="1"/>
    <xf numFmtId="43" fontId="0" fillId="0" borderId="16" xfId="54" applyFont="1" applyBorder="1"/>
    <xf numFmtId="43" fontId="1" fillId="0" borderId="17" xfId="1" applyNumberFormat="1" applyBorder="1"/>
    <xf numFmtId="0" fontId="39" fillId="0" borderId="0" xfId="0" applyFont="1"/>
    <xf numFmtId="43" fontId="0" fillId="0" borderId="0" xfId="0" applyNumberFormat="1"/>
    <xf numFmtId="44" fontId="0" fillId="0" borderId="0" xfId="4" applyFont="1"/>
    <xf numFmtId="44" fontId="1" fillId="0" borderId="0" xfId="4" applyFont="1"/>
    <xf numFmtId="10" fontId="1" fillId="0" borderId="0" xfId="12" applyNumberFormat="1" applyFont="1"/>
    <xf numFmtId="44" fontId="0" fillId="0" borderId="0" xfId="4" applyFont="1" applyFill="1"/>
    <xf numFmtId="164" fontId="0" fillId="0" borderId="0" xfId="4" applyNumberFormat="1" applyFont="1" applyFill="1"/>
    <xf numFmtId="176" fontId="1" fillId="0" borderId="5" xfId="1" applyNumberFormat="1" applyBorder="1"/>
    <xf numFmtId="3" fontId="0" fillId="0" borderId="0" xfId="0" applyNumberFormat="1"/>
    <xf numFmtId="3" fontId="7" fillId="0" borderId="0" xfId="0" applyNumberFormat="1" applyFont="1"/>
    <xf numFmtId="166" fontId="0" fillId="0" borderId="0" xfId="5" applyNumberFormat="1" applyFont="1" applyFill="1"/>
    <xf numFmtId="9" fontId="0" fillId="0" borderId="0" xfId="0" applyNumberFormat="1"/>
    <xf numFmtId="9" fontId="0" fillId="0" borderId="0" xfId="0" applyNumberFormat="1" applyAlignment="1">
      <alignment wrapText="1"/>
    </xf>
    <xf numFmtId="3" fontId="0" fillId="0" borderId="0" xfId="0" applyNumberFormat="1" applyAlignment="1">
      <alignment wrapText="1"/>
    </xf>
    <xf numFmtId="164" fontId="0" fillId="0" borderId="2" xfId="4" applyNumberFormat="1" applyFont="1" applyFill="1" applyBorder="1"/>
    <xf numFmtId="8" fontId="0" fillId="0" borderId="0" xfId="0" applyNumberFormat="1" applyAlignment="1">
      <alignment wrapText="1"/>
    </xf>
    <xf numFmtId="164" fontId="4" fillId="0" borderId="0" xfId="4" applyNumberFormat="1" applyFont="1" applyFill="1"/>
    <xf numFmtId="164" fontId="0" fillId="0" borderId="0" xfId="4" applyNumberFormat="1" applyFont="1" applyFill="1" applyBorder="1"/>
    <xf numFmtId="6" fontId="4" fillId="0" borderId="0" xfId="0" applyNumberFormat="1" applyFont="1"/>
    <xf numFmtId="164" fontId="1" fillId="0" borderId="0" xfId="4" applyNumberFormat="1" applyFont="1" applyFill="1" applyProtection="1"/>
    <xf numFmtId="164" fontId="5" fillId="0" borderId="0" xfId="4" applyNumberFormat="1" applyFont="1"/>
    <xf numFmtId="164" fontId="13" fillId="0" borderId="7" xfId="4" applyNumberFormat="1" applyFont="1" applyFill="1" applyBorder="1"/>
    <xf numFmtId="164" fontId="13" fillId="0" borderId="11" xfId="4" applyNumberFormat="1" applyFont="1" applyFill="1" applyBorder="1"/>
    <xf numFmtId="164" fontId="13" fillId="0" borderId="13" xfId="4" applyNumberFormat="1" applyFont="1" applyFill="1" applyBorder="1"/>
    <xf numFmtId="164" fontId="13" fillId="0" borderId="6" xfId="4" applyNumberFormat="1" applyFont="1" applyFill="1" applyBorder="1"/>
    <xf numFmtId="164" fontId="34" fillId="0" borderId="6" xfId="4" applyNumberFormat="1" applyFont="1" applyFill="1" applyBorder="1"/>
    <xf numFmtId="164" fontId="13" fillId="0" borderId="15" xfId="4" applyNumberFormat="1" applyFont="1" applyBorder="1"/>
    <xf numFmtId="164" fontId="13" fillId="0" borderId="5" xfId="4" applyNumberFormat="1" applyFont="1" applyBorder="1"/>
    <xf numFmtId="164" fontId="13" fillId="0" borderId="9" xfId="4" applyNumberFormat="1" applyFont="1" applyFill="1" applyBorder="1" applyProtection="1"/>
    <xf numFmtId="164" fontId="34" fillId="0" borderId="5" xfId="4" applyNumberFormat="1" applyFont="1" applyFill="1" applyBorder="1"/>
    <xf numFmtId="164" fontId="34" fillId="0" borderId="5" xfId="4" applyNumberFormat="1" applyFont="1" applyBorder="1"/>
    <xf numFmtId="44" fontId="13" fillId="0" borderId="0" xfId="4" applyFont="1" applyAlignment="1">
      <alignment horizontal="center"/>
    </xf>
    <xf numFmtId="168" fontId="13" fillId="0" borderId="0" xfId="4" applyNumberFormat="1" applyFont="1" applyAlignment="1">
      <alignment horizontal="center"/>
    </xf>
    <xf numFmtId="44" fontId="13" fillId="0" borderId="0" xfId="4" applyFont="1"/>
    <xf numFmtId="44" fontId="13" fillId="0" borderId="0" xfId="4" applyFont="1" applyAlignment="1"/>
    <xf numFmtId="44" fontId="13" fillId="0" borderId="0" xfId="4" applyFont="1" applyFill="1"/>
    <xf numFmtId="164" fontId="0" fillId="0" borderId="0" xfId="2" applyNumberFormat="1" applyFont="1"/>
    <xf numFmtId="164" fontId="0" fillId="0" borderId="0" xfId="2" applyNumberFormat="1" applyFont="1" applyFill="1"/>
    <xf numFmtId="164" fontId="33" fillId="0" borderId="0" xfId="1" applyNumberFormat="1" applyFont="1"/>
    <xf numFmtId="164" fontId="1" fillId="0" borderId="0" xfId="1" applyNumberFormat="1"/>
    <xf numFmtId="0" fontId="9" fillId="0" borderId="0" xfId="0" applyFont="1"/>
    <xf numFmtId="165" fontId="34" fillId="0" borderId="0" xfId="55" applyFont="1" applyAlignment="1">
      <alignment horizontal="center"/>
    </xf>
    <xf numFmtId="165" fontId="34" fillId="0" borderId="0" xfId="55" applyFont="1" applyAlignment="1" applyProtection="1">
      <alignment horizontal="center"/>
    </xf>
    <xf numFmtId="177" fontId="34" fillId="0" borderId="0" xfId="68" quotePrefix="1" applyNumberFormat="1" applyFont="1" applyAlignment="1">
      <alignment horizontal="center"/>
    </xf>
    <xf numFmtId="177" fontId="34" fillId="0" borderId="0" xfId="68" applyNumberFormat="1" applyFont="1" applyAlignment="1">
      <alignment horizontal="center"/>
    </xf>
    <xf numFmtId="165" fontId="34" fillId="0" borderId="0" xfId="7" applyFont="1" applyAlignment="1">
      <alignment horizontal="center"/>
    </xf>
    <xf numFmtId="165" fontId="34" fillId="0" borderId="0" xfId="74" applyFont="1" applyAlignment="1">
      <alignment horizontal="center"/>
    </xf>
    <xf numFmtId="165" fontId="9" fillId="0" borderId="0" xfId="7" applyFont="1" applyAlignment="1">
      <alignment horizontal="center"/>
    </xf>
    <xf numFmtId="165" fontId="9" fillId="0" borderId="0" xfId="55" quotePrefix="1" applyFont="1" applyAlignment="1">
      <alignment horizontal="center"/>
    </xf>
    <xf numFmtId="165" fontId="7" fillId="0" borderId="0" xfId="55" applyFont="1" applyAlignment="1">
      <alignment horizontal="center"/>
    </xf>
    <xf numFmtId="165" fontId="9" fillId="0" borderId="0" xfId="7" quotePrefix="1" applyFont="1" applyAlignment="1">
      <alignment horizontal="center"/>
    </xf>
    <xf numFmtId="165" fontId="9" fillId="0" borderId="0" xfId="55" applyFont="1" applyAlignment="1" applyProtection="1">
      <alignment horizontal="center"/>
    </xf>
    <xf numFmtId="165" fontId="7" fillId="0" borderId="0" xfId="7" applyFont="1" applyAlignment="1"/>
  </cellXfs>
  <cellStyles count="78">
    <cellStyle name="20% - Accent1" xfId="30" builtinId="30" customBuiltin="1"/>
    <cellStyle name="20% - Accent2" xfId="34" builtinId="34" customBuiltin="1"/>
    <cellStyle name="20% - Accent3" xfId="38" builtinId="38" customBuiltin="1"/>
    <cellStyle name="20% - Accent4" xfId="42" builtinId="42" customBuiltin="1"/>
    <cellStyle name="20% - Accent5" xfId="46" builtinId="46" customBuiltin="1"/>
    <cellStyle name="20% - Accent6" xfId="50" builtinId="50" customBuiltin="1"/>
    <cellStyle name="40% - Accent1" xfId="31" builtinId="31" customBuiltin="1"/>
    <cellStyle name="40% - Accent2" xfId="35" builtinId="35" customBuiltin="1"/>
    <cellStyle name="40% - Accent3" xfId="39" builtinId="39" customBuiltin="1"/>
    <cellStyle name="40% - Accent4" xfId="43" builtinId="43" customBuiltin="1"/>
    <cellStyle name="40% - Accent5" xfId="47" builtinId="47" customBuiltin="1"/>
    <cellStyle name="40% - Accent6" xfId="51" builtinId="51" customBuiltin="1"/>
    <cellStyle name="60% - Accent1" xfId="32" builtinId="32" customBuiltin="1"/>
    <cellStyle name="60% - Accent2" xfId="36" builtinId="36" customBuiltin="1"/>
    <cellStyle name="60% - Accent3" xfId="40" builtinId="40" customBuiltin="1"/>
    <cellStyle name="60% - Accent4" xfId="44" builtinId="44" customBuiltin="1"/>
    <cellStyle name="60% - Accent5" xfId="48" builtinId="48" customBuiltin="1"/>
    <cellStyle name="60% - Accent6" xfId="52" builtinId="52" customBuiltin="1"/>
    <cellStyle name="Accent1" xfId="29" builtinId="29" customBuiltin="1"/>
    <cellStyle name="Accent2" xfId="33" builtinId="33" customBuiltin="1"/>
    <cellStyle name="Accent3" xfId="37" builtinId="37" customBuiltin="1"/>
    <cellStyle name="Accent4" xfId="41" builtinId="41" customBuiltin="1"/>
    <cellStyle name="Accent5" xfId="45" builtinId="45" customBuiltin="1"/>
    <cellStyle name="Accent6" xfId="49" builtinId="49" customBuiltin="1"/>
    <cellStyle name="Bad" xfId="19" builtinId="27" customBuiltin="1"/>
    <cellStyle name="Calculation" xfId="22" builtinId="22" customBuiltin="1"/>
    <cellStyle name="Check Cell" xfId="24" builtinId="23" customBuiltin="1"/>
    <cellStyle name="Comma" xfId="5" builtinId="3"/>
    <cellStyle name="Comma 13 4" xfId="72" xr:uid="{5548A2FB-966B-4A85-851E-6359EDB654E0}"/>
    <cellStyle name="Comma 2" xfId="10" xr:uid="{82A663B1-951D-4084-BC92-6DD63FB05243}"/>
    <cellStyle name="Comma 3" xfId="60" xr:uid="{1185035A-674E-4EDA-838B-726EEE5B3D55}"/>
    <cellStyle name="Comma 4" xfId="53" xr:uid="{FB8330F9-CA80-4EF6-B5CF-84BC881DBF15}"/>
    <cellStyle name="Comma 5" xfId="54" xr:uid="{766365D9-400C-40C7-BDC6-35D91F8F914F}"/>
    <cellStyle name="Comma 6 3 2" xfId="73" xr:uid="{1A146CAE-9D8D-4B3B-A61B-1625399C88D8}"/>
    <cellStyle name="Currency" xfId="4" builtinId="4"/>
    <cellStyle name="Currency 12 18" xfId="71" xr:uid="{A997E8BC-F0E9-4671-B659-EAABBEE9F6CB}"/>
    <cellStyle name="Currency 2" xfId="2" xr:uid="{4CAD3612-A245-4FDD-8D5B-03382D797DE5}"/>
    <cellStyle name="Currency 2 2" xfId="65" xr:uid="{B96523DA-2BA7-40C2-B2C3-DC8A17F53CC6}"/>
    <cellStyle name="Currency 20" xfId="70" xr:uid="{097F3932-C7BA-4E4A-90F7-C6A2CF74D985}"/>
    <cellStyle name="Explanatory Text" xfId="27" builtinId="53" customBuiltin="1"/>
    <cellStyle name="Good" xfId="18" builtinId="26" customBuiltin="1"/>
    <cellStyle name="Heading 1" xfId="14" builtinId="16" customBuiltin="1"/>
    <cellStyle name="Heading 2" xfId="15" builtinId="17" customBuiltin="1"/>
    <cellStyle name="Heading 3" xfId="16" builtinId="18" customBuiltin="1"/>
    <cellStyle name="Heading 4" xfId="17" builtinId="19" customBuiltin="1"/>
    <cellStyle name="Hyperlink 2" xfId="56" xr:uid="{D0BBC557-0F3F-4451-8600-F73D4A08F464}"/>
    <cellStyle name="Input" xfId="6" builtinId="20" customBuiltin="1"/>
    <cellStyle name="Linked Cell" xfId="23" builtinId="24" customBuiltin="1"/>
    <cellStyle name="Neutral" xfId="20" builtinId="28" customBuiltin="1"/>
    <cellStyle name="Normal" xfId="0" builtinId="0"/>
    <cellStyle name="Normal 2" xfId="9" xr:uid="{7461B0C3-3176-4138-B053-011F4A2BC331}"/>
    <cellStyle name="Normal 2 2" xfId="66" xr:uid="{95072DDA-E042-4D07-B5C2-9D02D7C236F9}"/>
    <cellStyle name="Normal 2 3" xfId="67" xr:uid="{C244E135-2913-46BA-874A-3AA04ABC16C1}"/>
    <cellStyle name="Normal 2 4 2" xfId="11" xr:uid="{C5AF557A-72BF-4AB4-B0EE-5DB5F61E5972}"/>
    <cellStyle name="Normal 25 3" xfId="68" xr:uid="{150E3C9A-C87A-4D65-88BA-D860563246FB}"/>
    <cellStyle name="Normal 3" xfId="57" xr:uid="{7FC65861-0B5F-44CB-A3B9-0822F761AD98}"/>
    <cellStyle name="Normal 4" xfId="64" xr:uid="{3197E831-95B9-4037-B7B4-E0B9B40B5558}"/>
    <cellStyle name="Normal 5" xfId="1" xr:uid="{565C0BDE-F3DA-4B47-AB74-838ECD531AA6}"/>
    <cellStyle name="Normal 6" xfId="55" xr:uid="{C190FE1A-35FA-4EA5-9702-A98E75735E26}"/>
    <cellStyle name="Normal 8" xfId="59" xr:uid="{5FD31443-B202-4C6E-9F42-729B0704E1B5}"/>
    <cellStyle name="Normal 81" xfId="63" xr:uid="{7CF201F3-AD86-4A00-ACE1-53C81D61BB90}"/>
    <cellStyle name="Normal 92" xfId="61" xr:uid="{3F506186-70FB-44B2-BB1F-BDC0DFE97681}"/>
    <cellStyle name="Normal 93" xfId="62" xr:uid="{6565DFF4-6863-4BCD-B60D-E53C646EB08E}"/>
    <cellStyle name="Normal_Book2" xfId="75" xr:uid="{371B410D-36E7-460E-B8AD-3882203D1DD9}"/>
    <cellStyle name="Normal_CNGC Deferral Workpapers" xfId="7" xr:uid="{B3F52469-D19E-4344-B469-165F9091E1C1}"/>
    <cellStyle name="Normal_CNGC Deferral Workpapers 2" xfId="74" xr:uid="{0AB2A7C1-6FC2-4606-8DCF-9E0332954966}"/>
    <cellStyle name="Normal_DEFSUMO2" xfId="77" xr:uid="{CAE840B1-72B0-458C-9668-CE32CAE94DA0}"/>
    <cellStyle name="Normal_INDEX &amp; PRINTER" xfId="76" xr:uid="{2387F94B-17CC-4E69-9A95-DDC798C9A1EC}"/>
    <cellStyle name="Normal_RORO9912" xfId="8" xr:uid="{9A66856C-36D6-4D9E-8643-2762F4D9DAB9}"/>
    <cellStyle name="Note" xfId="26" builtinId="10" customBuiltin="1"/>
    <cellStyle name="Output" xfId="21" builtinId="21" customBuiltin="1"/>
    <cellStyle name="Percent" xfId="12" builtinId="5"/>
    <cellStyle name="Percent 2" xfId="58" xr:uid="{7FAE5985-C45D-45A4-8A0D-13BB2015075F}"/>
    <cellStyle name="Percent 2 26" xfId="69" xr:uid="{F06AB546-1E09-480C-9246-05A1EB378054}"/>
    <cellStyle name="Percent 3" xfId="3" xr:uid="{007F1EE1-6773-4DC7-8D75-44BAB2F2D164}"/>
    <cellStyle name="Title" xfId="13" builtinId="15" customBuiltin="1"/>
    <cellStyle name="Total" xfId="28" builtinId="25" customBuiltin="1"/>
    <cellStyle name="Warning Text" xfId="25" builtinId="11" customBuiltin="1"/>
  </cellStyles>
  <dxfs count="0"/>
  <tableStyles count="1" defaultTableStyle="TableStyleMedium2" defaultPivotStyle="PivotStyleLight16">
    <tableStyle name="Invisible" pivot="0" table="0" count="0" xr9:uid="{A4A90094-B0B7-460D-86F7-09D823574339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26" Type="http://schemas.openxmlformats.org/officeDocument/2006/relationships/externalLink" Target="externalLinks/externalLink9.xml"/><Relationship Id="rId39" Type="http://schemas.openxmlformats.org/officeDocument/2006/relationships/externalLink" Target="externalLinks/externalLink22.xml"/><Relationship Id="rId21" Type="http://schemas.openxmlformats.org/officeDocument/2006/relationships/externalLink" Target="externalLinks/externalLink4.xml"/><Relationship Id="rId34" Type="http://schemas.openxmlformats.org/officeDocument/2006/relationships/externalLink" Target="externalLinks/externalLink17.xml"/><Relationship Id="rId42" Type="http://schemas.openxmlformats.org/officeDocument/2006/relationships/externalLink" Target="externalLinks/externalLink25.xml"/><Relationship Id="rId47" Type="http://schemas.openxmlformats.org/officeDocument/2006/relationships/externalLink" Target="externalLinks/externalLink30.xml"/><Relationship Id="rId50" Type="http://schemas.openxmlformats.org/officeDocument/2006/relationships/sharedStrings" Target="sharedStrings.xml"/><Relationship Id="rId55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externalLink" Target="externalLinks/externalLink12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7.xml"/><Relationship Id="rId32" Type="http://schemas.openxmlformats.org/officeDocument/2006/relationships/externalLink" Target="externalLinks/externalLink15.xml"/><Relationship Id="rId37" Type="http://schemas.openxmlformats.org/officeDocument/2006/relationships/externalLink" Target="externalLinks/externalLink20.xml"/><Relationship Id="rId40" Type="http://schemas.openxmlformats.org/officeDocument/2006/relationships/externalLink" Target="externalLinks/externalLink23.xml"/><Relationship Id="rId45" Type="http://schemas.openxmlformats.org/officeDocument/2006/relationships/externalLink" Target="externalLinks/externalLink28.xml"/><Relationship Id="rId53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31" Type="http://schemas.openxmlformats.org/officeDocument/2006/relationships/externalLink" Target="externalLinks/externalLink14.xml"/><Relationship Id="rId44" Type="http://schemas.openxmlformats.org/officeDocument/2006/relationships/externalLink" Target="externalLinks/externalLink27.xml"/><Relationship Id="rId52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5.xml"/><Relationship Id="rId27" Type="http://schemas.openxmlformats.org/officeDocument/2006/relationships/externalLink" Target="externalLinks/externalLink10.xml"/><Relationship Id="rId30" Type="http://schemas.openxmlformats.org/officeDocument/2006/relationships/externalLink" Target="externalLinks/externalLink13.xml"/><Relationship Id="rId35" Type="http://schemas.openxmlformats.org/officeDocument/2006/relationships/externalLink" Target="externalLinks/externalLink18.xml"/><Relationship Id="rId43" Type="http://schemas.openxmlformats.org/officeDocument/2006/relationships/externalLink" Target="externalLinks/externalLink26.xml"/><Relationship Id="rId48" Type="http://schemas.openxmlformats.org/officeDocument/2006/relationships/theme" Target="theme/theme1.xml"/><Relationship Id="rId56" Type="http://schemas.openxmlformats.org/officeDocument/2006/relationships/customXml" Target="../customXml/item4.xml"/><Relationship Id="rId8" Type="http://schemas.openxmlformats.org/officeDocument/2006/relationships/worksheet" Target="worksheets/sheet8.xml"/><Relationship Id="rId51" Type="http://schemas.openxmlformats.org/officeDocument/2006/relationships/sheetMetadata" Target="metadata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8.xml"/><Relationship Id="rId33" Type="http://schemas.openxmlformats.org/officeDocument/2006/relationships/externalLink" Target="externalLinks/externalLink16.xml"/><Relationship Id="rId38" Type="http://schemas.openxmlformats.org/officeDocument/2006/relationships/externalLink" Target="externalLinks/externalLink21.xml"/><Relationship Id="rId46" Type="http://schemas.openxmlformats.org/officeDocument/2006/relationships/externalLink" Target="externalLinks/externalLink29.xml"/><Relationship Id="rId20" Type="http://schemas.openxmlformats.org/officeDocument/2006/relationships/externalLink" Target="externalLinks/externalLink3.xml"/><Relationship Id="rId41" Type="http://schemas.openxmlformats.org/officeDocument/2006/relationships/externalLink" Target="externalLinks/externalLink24.xml"/><Relationship Id="rId54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6.xml"/><Relationship Id="rId28" Type="http://schemas.openxmlformats.org/officeDocument/2006/relationships/externalLink" Target="externalLinks/externalLink11.xml"/><Relationship Id="rId36" Type="http://schemas.openxmlformats.org/officeDocument/2006/relationships/externalLink" Target="externalLinks/externalLink19.xml"/><Relationship Id="rId4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ates\Allocation\mar02allo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transpor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ates\EXCEL\RATES\KATHIE\semiannual\Rorw090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A1\VOL4\FS1I\EXCEL\RATES\PATRICIA\ma_files\MA90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A1\VOL4\EXCEL\RATES\PATRICIA\ma_files\MA90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Rates\EXCEL\RATES\PATRICIA\ma_files\MA90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TEMP\transport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ates\EXCEL\RATES\PATRICIA\Deferral\Oregon\DEFSUMO2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S1G\GA\gascst99\DEFSUMWA.XLS" TargetMode="External"/></Relationships>
</file>

<file path=xl/externalLinks/_rels/externalLink10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mduresources-my.sharepoint.com/personal/jennifer_gross_cngc_com/Documents/Documents/Low%20Income%20Bill%20Pay%20Assistance/WA%20Low%20Income%20Bill%20Pay%20Assistance/2024/Annual%20CARES%20Cost%20Recovery%20Filing/7-24%20DEFSUMWA.xlsx" TargetMode="External"/><Relationship Id="rId1" Type="http://schemas.openxmlformats.org/officeDocument/2006/relationships/externalLinkPath" Target="https://mduresources-my.sharepoint.com/personal/jennifer_gross_cngc_com/Documents/Documents/Low%20Income%20Bill%20Pay%20Assistance/WA%20Low%20Income%20Bill%20Pay%20Assistance/2024/Annual%20CARES%20Cost%20Recovery%20Filing/7-24%20DEFSUMWA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XCEL\RATES\PATRICIA\tran\2000\Tran0001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ates\EXCEL\RATES\PATRICIA\tran\2001\Tran0103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EXCEL\RATES\PATRICIA\tran\2000\Tran0001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S1G\GA\gascst99\DEFSUMWA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ept\Rates\PGA%202014\Oregon\August%20Worksheets\Combined%20CNGC%20Gas%20Cost%20PGA%20Nov14-Oct15%20Workpapers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kathie.barnard\Local%20Settings\Temporary%20Internet%20Files\Content.Outlook\GMUW2DQR\DEFSUMWA_2010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kathie.barnard\Desktop\DEFSUMWA_2009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UG05XX2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EXCEL\RATES\KATHIE\semiannual\RORO9912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a1\vol4\FS1I\EXCEL\RATES\PATRICIA\ROR\OR\RORO9912c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UG05XX4a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ccounting\GA\GASCOST\Gas%20Cost%20CY2008\Deferrals%20&amp;%20Amortizations\OR\DEFSUMOR_2008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lmartin\Local%20Settings\Temporary%20Internet%20Files\Content.Outlook\4J4AMHQP\2009\Cascade%20Deferral%20Filing%20Development%20WPs%20(August)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Rates\EXCEL\RATES\PATRICIA\Deferral\Oregon\DEFSUMOR_030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lmartin\Local%20Settings\Temporary%20Internet%20Files\Content.Outlook\4J4AMHQP\2009\NWN%202009-10%20Proposed%20Temps%20Oregon%202009-10%20PGA%20October%20filing.xls" TargetMode="External"/></Relationships>
</file>

<file path=xl/externalLinks/_rels/externalLink2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zachary.harris\AppData\Local\Microsoft\Windows\INetCache\Content.Outlook\WB3NY420\NEW-CNGC-W24-09-05-CARES-WP-09-13-24.xlsx" TargetMode="External"/><Relationship Id="rId1" Type="http://schemas.openxmlformats.org/officeDocument/2006/relationships/externalLinkPath" Target="file:///C:\Users\zachary.harris\AppData\Local\Microsoft\Windows\INetCache\Content.Outlook\WB3NY420\NEW-CNGC-W24-09-05-CARES-WP-09-13-24.xlsx" TargetMode="External"/></Relationships>
</file>

<file path=xl/externalLinks/_rels/externalLink2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Dept\Rates\PGA%202024\WA%20PGA\EDIT\E-Filed%209-13-24\NEW-CNGC-W24-09-04-EDIT-WP-09-13-24.xlsx" TargetMode="External"/><Relationship Id="rId1" Type="http://schemas.openxmlformats.org/officeDocument/2006/relationships/externalLinkPath" Target="/Dept/Rates/PGA%202024/WA%20PGA/EDIT/E-Filed%209-13-24/NEW-CNGC-W24-09-04-EDIT-WP-09-13-24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ncs\Local%20Settings\Temporary%20Internet%20Files\Temporary%20Internet%20Files\OLK82\2009\NWN%202009-10%20PGA%20gas%20cost%20file%20October%20filing%20(3)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ept\Rates\Accounting%20Reports\DEFSUMWA-TAX\07-2019%20DEFSUMWATAX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duresources-my.sharepoint.com/Dept/Accounting/GA/GASCOST/Gas%20Cost%20CY2023/Deferrals%20&amp;%20Amortizations/WA/DEFSUMWATAX2023%20-%20(Nov%2022-Oct%202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llocation WP"/>
      <sheetName val="Input Data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85"/>
      <sheetName val="INACTIVE (2)"/>
      <sheetName val="USED ACCT NO."/>
      <sheetName val="186"/>
      <sheetName val="matrix"/>
      <sheetName val="customer matrix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A Sep 04-final"/>
      <sheetName val="Weather (2)"/>
      <sheetName val="KBJ-2"/>
      <sheetName val="KBJ-3"/>
      <sheetName val="Wage Adj"/>
      <sheetName val="Anacortes"/>
      <sheetName val="AMR"/>
      <sheetName val="St.of Op. "/>
      <sheetName val="C Reps"/>
      <sheetName val="Advtise Exp"/>
      <sheetName val="0904 cap struc"/>
      <sheetName val="DOn't use"/>
      <sheetName val="KBJ-5"/>
      <sheetName val="KBJ-7"/>
      <sheetName val="KBJ-8"/>
      <sheetName val="KJB-9"/>
      <sheetName val="KJB-10"/>
      <sheetName val="KJB-11"/>
      <sheetName val="Restate w Shifts"/>
      <sheetName val="Bills"/>
      <sheetName val="Actual therms"/>
      <sheetName val="therm shifts"/>
      <sheetName val="ROE cal"/>
      <sheetName val="shifts"/>
      <sheetName val="Therms"/>
      <sheetName val="Actual.Rev"/>
      <sheetName val="revenue shifts"/>
      <sheetName val="Revenue"/>
      <sheetName val="Post-Shift"/>
      <sheetName val="Restate 901"/>
      <sheetName val="685"/>
      <sheetName val="885"/>
      <sheetName val="Restate wo Shif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tail"/>
      <sheetName val="cust th summary - 98"/>
      <sheetName val="Summary"/>
      <sheetName val="cust th summary - 97"/>
      <sheetName val="cust th summary - 9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tail"/>
      <sheetName val="Summary"/>
      <sheetName val="cust th summary - 97"/>
      <sheetName val="cust th summary - 98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Detail"/>
      <sheetName val="cust th summary - 99"/>
      <sheetName val="cust th summary - 98"/>
      <sheetName val="cust th summary - 97"/>
    </sheetNames>
    <sheetDataSet>
      <sheetData sheetId="0"/>
      <sheetData sheetId="1" refreshError="1"/>
      <sheetData sheetId="2"/>
      <sheetData sheetId="3"/>
      <sheetData sheetId="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85"/>
      <sheetName val="INACTIVE (2)"/>
      <sheetName val="USED ACCT NO."/>
      <sheetName val="186"/>
      <sheetName val="matrix"/>
      <sheetName val="customer matrix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 &amp; PRINTER"/>
      <sheetName val="Interest Rates"/>
      <sheetName val="G10148"/>
      <sheetName val="G10158"/>
      <sheetName val="G10159"/>
      <sheetName val="G10160"/>
      <sheetName val="OR Sales Therms"/>
      <sheetName val="RS 164 Excl"/>
      <sheetName val="DEFFERALS"/>
      <sheetName val="G10153"/>
      <sheetName val="G10154"/>
      <sheetName val="G10155"/>
      <sheetName val="G10156"/>
      <sheetName val="G10157"/>
      <sheetName val="AMORT"/>
      <sheetName val="Sheet1"/>
      <sheetName val="D10123"/>
      <sheetName val="G10134"/>
      <sheetName val="G10135"/>
      <sheetName val="G10136"/>
      <sheetName val="G10137"/>
      <sheetName val="G10138"/>
      <sheetName val="G10139"/>
      <sheetName val="G10140"/>
      <sheetName val="G10147"/>
      <sheetName val="G10149"/>
      <sheetName val="G10150"/>
      <sheetName val="G10151"/>
      <sheetName val="G10152"/>
      <sheetName val="T10007"/>
      <sheetName val="T10009"/>
      <sheetName val="T20012"/>
      <sheetName val="ZBA-00"/>
      <sheetName val="ON HOLD"/>
      <sheetName val="Module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 Rates"/>
      <sheetName val="INDEX"/>
      <sheetName val="Adjustments - make in may"/>
      <sheetName val="Therm Sales"/>
      <sheetName val="DEFERRAL"/>
      <sheetName val="G10135"/>
      <sheetName val="G10136"/>
      <sheetName val="G10137"/>
      <sheetName val="G10138"/>
      <sheetName val="G10139"/>
      <sheetName val="G10140"/>
      <sheetName val="AMORT"/>
      <sheetName val="G10031"/>
      <sheetName val="G10036"/>
      <sheetName val="G10045"/>
      <sheetName val="G10113"/>
      <sheetName val="G10114"/>
      <sheetName val="G10115"/>
      <sheetName val="G10116"/>
      <sheetName val="G10120"/>
      <sheetName val="G10051"/>
      <sheetName val="G10052"/>
      <sheetName val="G10053"/>
      <sheetName val="G10054"/>
      <sheetName val="G10055"/>
      <sheetName val="G10071"/>
      <sheetName val="G10075"/>
      <sheetName val="G10079"/>
      <sheetName val="G10086"/>
      <sheetName val="G10088"/>
      <sheetName val="G10090"/>
      <sheetName val="G10096"/>
      <sheetName val="G10098"/>
      <sheetName val="G10108"/>
      <sheetName val="G10109"/>
      <sheetName val="G10110"/>
      <sheetName val="G10111"/>
      <sheetName val="G10117"/>
      <sheetName val="G10121"/>
      <sheetName val="G10126"/>
      <sheetName val="G10127"/>
      <sheetName val="G10128"/>
      <sheetName val="G10129"/>
      <sheetName val="G10130"/>
      <sheetName val="G10132"/>
      <sheetName val="Sheet1"/>
      <sheetName val="G10133"/>
      <sheetName val="G10141"/>
      <sheetName val="G10142"/>
      <sheetName val="G10143"/>
      <sheetName val="G10144"/>
      <sheetName val="G10145"/>
      <sheetName val="G10147"/>
      <sheetName val="T10006 "/>
      <sheetName val="T90001"/>
      <sheetName val="D10009"/>
      <sheetName val="T90005"/>
      <sheetName val="ON HOLD"/>
      <sheetName val="Closed"/>
      <sheetName val="G10002"/>
      <sheetName val="G10003"/>
      <sheetName val="G10004"/>
      <sheetName val="G10005"/>
      <sheetName val="G10010"/>
      <sheetName val="G10011"/>
      <sheetName val="G10012"/>
      <sheetName val="G10013"/>
      <sheetName val="G10014"/>
      <sheetName val="G10019"/>
      <sheetName val="G10020"/>
      <sheetName val="G10021"/>
      <sheetName val="G10022"/>
      <sheetName val="G10023"/>
      <sheetName val="G10029"/>
      <sheetName val="G10030"/>
      <sheetName val="G10032"/>
      <sheetName val="G10033"/>
      <sheetName val="G10034"/>
      <sheetName val="G10037"/>
      <sheetName val="G10038"/>
      <sheetName val="G10043"/>
      <sheetName val="G10044"/>
      <sheetName val="G10050"/>
      <sheetName val="G10056"/>
      <sheetName val="G10058"/>
      <sheetName val="G10059"/>
      <sheetName val="G10060"/>
      <sheetName val="G10061"/>
      <sheetName val="G10062"/>
      <sheetName val="G10063"/>
      <sheetName val="G10064"/>
      <sheetName val="G10065"/>
      <sheetName val="G10072"/>
      <sheetName val="G10077"/>
      <sheetName val="T10001"/>
      <sheetName val="T10002"/>
      <sheetName val="T90002"/>
      <sheetName val="G10081"/>
      <sheetName val="G10103"/>
      <sheetName val="G10104"/>
      <sheetName val="G10105"/>
      <sheetName val="G10106"/>
      <sheetName val="G10107"/>
      <sheetName val="G10118"/>
      <sheetName val="G10119-NEW"/>
      <sheetName val="G10119"/>
      <sheetName val="INDEX &amp; PRINTER"/>
      <sheetName val="G10113 -booked"/>
      <sheetName val="Module1"/>
      <sheetName val="Module2"/>
      <sheetName val="G10162(old)"/>
      <sheetName val="DEFSUMW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VSD JE UPLOAD"/>
      <sheetName val="Jul AJE True-up"/>
      <sheetName val="FERC Interest Rates"/>
      <sheetName val="ACOD Interest Rates"/>
      <sheetName val="AROR Interest Rates"/>
      <sheetName val="COD Interest Rates"/>
      <sheetName val="Therm Sales"/>
      <sheetName val="Therm Sales-EDIT Master"/>
      <sheetName val="DEFERRALS"/>
      <sheetName val="DG 1910.01253"/>
      <sheetName val="DG 1910.01254"/>
      <sheetName val="RA 1862.20477"/>
      <sheetName val="RA 1860.20460-liab less exp"/>
      <sheetName val="RA 1860.20460-exp only"/>
      <sheetName val="RA 1860.20461"/>
      <sheetName val="1860.20489"/>
      <sheetName val="2530.01290"/>
      <sheetName val="RA 1860.20479"/>
      <sheetName val="UTC 1860.20490"/>
      <sheetName val="CCA 1823.2058"/>
      <sheetName val="CCA 1823.2063"/>
      <sheetName val="CCA 1823.2064"/>
      <sheetName val="CCA 1823.2065"/>
      <sheetName val="CCA 1823.2066"/>
      <sheetName val="CCA 2540.20490"/>
      <sheetName val="CCA 2540.20491"/>
      <sheetName val="Intvnr 1823.2059"/>
      <sheetName val="RA 1823.47020430"/>
      <sheetName val="RA 1823.47020431"/>
      <sheetName val="RA 1823.47020444"/>
      <sheetName val="RA 1823.47020449"/>
      <sheetName val="AMORTIZATIONS"/>
      <sheetName val="DG 1910.01286"/>
      <sheetName val="DG 1910.01289"/>
      <sheetName val="RA 1823.47020478"/>
      <sheetName val="RA 1862.20480"/>
      <sheetName val="Decoupling-Therm Sales"/>
      <sheetName val="2540.20483"/>
      <sheetName val="Unprotected EDIT Base"/>
      <sheetName val="2540.20484"/>
      <sheetName val="Unprotected EDIT Gross up"/>
      <sheetName val="CCA Def-1823.2058,2065,2066"/>
      <sheetName val="CCA Deferral-Therm Sales"/>
      <sheetName val="CCA Consign-2540.20490"/>
      <sheetName val="CCA Consignment-Cust Credits"/>
      <sheetName val="RA 1860.20484"/>
      <sheetName val="RA 1860.20485"/>
      <sheetName val="RA 1860.20486"/>
      <sheetName val="ZBA 13"/>
      <sheetName val="June AJE True-up"/>
      <sheetName val="EDIT RCL-C 1823.2061"/>
      <sheetName val="EDIT RCL-NC 1823.2062"/>
      <sheetName val="8-22 AJE Correction"/>
      <sheetName val="DG 1910.01288"/>
      <sheetName val="RA 1860.2048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TUP"/>
      <sheetName val="DEL"/>
      <sheetName val="MAIN"/>
      <sheetName val="NOTES"/>
      <sheetName val="AGR"/>
      <sheetName val="AGR2"/>
      <sheetName val="COG"/>
      <sheetName val="CIS"/>
      <sheetName val="CIS2"/>
      <sheetName val="EGEN"/>
      <sheetName val="GP1"/>
      <sheetName val="GP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TUP"/>
      <sheetName val="DEL"/>
      <sheetName val="MAIN"/>
      <sheetName val="NOTES"/>
      <sheetName val="AGR"/>
      <sheetName val="AGR2"/>
      <sheetName val="COG"/>
      <sheetName val="CIS"/>
      <sheetName val="CIS2"/>
      <sheetName val="EGEN"/>
      <sheetName val="GP1"/>
      <sheetName val="GP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TUP"/>
      <sheetName val="DEL"/>
      <sheetName val="MAIN"/>
      <sheetName val="NOTES"/>
      <sheetName val="AGR"/>
      <sheetName val="AGR2"/>
      <sheetName val="COG"/>
      <sheetName val="CIS"/>
      <sheetName val="CIS2"/>
      <sheetName val="EGEN"/>
      <sheetName val="GP1"/>
      <sheetName val="GP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 Rates"/>
      <sheetName val="INDEX"/>
      <sheetName val="Adjustments - make in may"/>
      <sheetName val="Therm Sales"/>
      <sheetName val="DEFERRAL"/>
      <sheetName val="G10135"/>
      <sheetName val="G10136"/>
      <sheetName val="G10137"/>
      <sheetName val="G10138"/>
      <sheetName val="G10139"/>
      <sheetName val="G10140"/>
      <sheetName val="AMORT"/>
      <sheetName val="G10031"/>
      <sheetName val="G10036"/>
      <sheetName val="G10045"/>
      <sheetName val="G10113"/>
      <sheetName val="G10114"/>
      <sheetName val="G10115"/>
      <sheetName val="G10116"/>
      <sheetName val="G10120"/>
      <sheetName val="G10051"/>
      <sheetName val="G10052"/>
      <sheetName val="G10053"/>
      <sheetName val="G10054"/>
      <sheetName val="G10055"/>
      <sheetName val="G10071"/>
      <sheetName val="G10075"/>
      <sheetName val="G10079"/>
      <sheetName val="G10086"/>
      <sheetName val="G10088"/>
      <sheetName val="G10090"/>
      <sheetName val="G10096"/>
      <sheetName val="G10098"/>
      <sheetName val="G10108"/>
      <sheetName val="G10109"/>
      <sheetName val="G10110"/>
      <sheetName val="G10111"/>
      <sheetName val="G10117"/>
      <sheetName val="G10121"/>
      <sheetName val="G10126"/>
      <sheetName val="G10127"/>
      <sheetName val="G10128"/>
      <sheetName val="G10129"/>
      <sheetName val="G10130"/>
      <sheetName val="G10132"/>
      <sheetName val="Sheet1"/>
      <sheetName val="G10133"/>
      <sheetName val="G10141"/>
      <sheetName val="G10142"/>
      <sheetName val="G10143"/>
      <sheetName val="G10144"/>
      <sheetName val="G10145"/>
      <sheetName val="G10147"/>
      <sheetName val="T10006 "/>
      <sheetName val="T90001"/>
      <sheetName val="D10009"/>
      <sheetName val="T90005"/>
      <sheetName val="ON HOLD"/>
      <sheetName val="Closed"/>
      <sheetName val="G10002"/>
      <sheetName val="G10003"/>
      <sheetName val="G10004"/>
      <sheetName val="G10005"/>
      <sheetName val="G10010"/>
      <sheetName val="G10011"/>
      <sheetName val="G10012"/>
      <sheetName val="G10013"/>
      <sheetName val="G10014"/>
      <sheetName val="G10019"/>
      <sheetName val="G10020"/>
      <sheetName val="G10021"/>
      <sheetName val="G10022"/>
      <sheetName val="G10023"/>
      <sheetName val="G10029"/>
      <sheetName val="G10030"/>
      <sheetName val="G10032"/>
      <sheetName val="G10033"/>
      <sheetName val="G10034"/>
      <sheetName val="G10037"/>
      <sheetName val="G10038"/>
      <sheetName val="G10043"/>
      <sheetName val="G10044"/>
      <sheetName val="G10050"/>
      <sheetName val="G10056"/>
      <sheetName val="G10058"/>
      <sheetName val="G10059"/>
      <sheetName val="G10060"/>
      <sheetName val="G10061"/>
      <sheetName val="G10062"/>
      <sheetName val="G10063"/>
      <sheetName val="G10064"/>
      <sheetName val="G10065"/>
      <sheetName val="G10072"/>
      <sheetName val="G10077"/>
      <sheetName val="T10001"/>
      <sheetName val="T10002"/>
      <sheetName val="T90002"/>
      <sheetName val="G10081"/>
      <sheetName val="G10103"/>
      <sheetName val="G10104"/>
      <sheetName val="G10105"/>
      <sheetName val="G10106"/>
      <sheetName val="G10107"/>
      <sheetName val="G10118"/>
      <sheetName val="G10119-NEW"/>
      <sheetName val="G10119"/>
      <sheetName val="INDEX &amp; PRINTER"/>
      <sheetName val="G10113 -booked"/>
      <sheetName val="Module1"/>
      <sheetName val="Module2"/>
      <sheetName val="G10162(old)"/>
      <sheetName val="DEFSUMWA"/>
    </sheetNames>
    <definedNames>
      <definedName name="print1"/>
      <definedName name="print2"/>
      <definedName name="print3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R Gas Cost Tracking App"/>
      <sheetName val="WA Gas Cost Tracking App"/>
      <sheetName val="OR version of E1sp123-WA"/>
      <sheetName val="E1s1p123 WA old pga format"/>
      <sheetName val="Recap for Res Planning"/>
      <sheetName val="Gas Cost Workpapers Index--&gt;"/>
      <sheetName val="Load Forecast"/>
      <sheetName val="Load Factors "/>
      <sheetName val="Incrm Views of Forecast"/>
      <sheetName val="Pipeline Transport Agmt CD"/>
      <sheetName val="Pipeline Transport Rates Fuels"/>
      <sheetName val="Transport at Distr by state"/>
      <sheetName val="Transport Misc - CDN and Ruby "/>
      <sheetName val="Transport Cap Release Credits"/>
      <sheetName val="Transport Demand by Month"/>
      <sheetName val="Transport Demand Summary"/>
      <sheetName val="Supply Contract Summary"/>
      <sheetName val="Index Price"/>
      <sheetName val="Supply All Schedule and Costs"/>
      <sheetName val="Supply Schedule at Starr Rd"/>
      <sheetName val="Supply Rsv Chrg and state alloc"/>
      <sheetName val="Citygate Supplies"/>
      <sheetName val="OR Pipeline Comm Costs by Month"/>
      <sheetName val="Financial Swaps"/>
      <sheetName val="Supply Summary-Price and Types "/>
      <sheetName val="Storage Valuation Summary"/>
      <sheetName val="Storage cost &amp; flow"/>
      <sheetName val="Storage &amp; Layers --&gt;"/>
      <sheetName val="Storage Current Year Layers "/>
      <sheetName val="SGS-01 Detail Layers "/>
      <sheetName val="SGS EXP Detail Layers"/>
      <sheetName val="SGS 03 Detail Layers"/>
      <sheetName val="LNG (Plymouth) Detail Layers"/>
      <sheetName val="Storage  and 7c LNG-contracts"/>
      <sheetName val="Storage 7d-injections"/>
      <sheetName val="Storage 7e-withdrawls"/>
      <sheetName val="Storage 7f- description of cost"/>
      <sheetName val="Storage -injections cost"/>
      <sheetName val="Section 7 Storage Histor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JE UPLOAD"/>
      <sheetName val="New FERC Int. Rates"/>
      <sheetName val="Therm Sales"/>
      <sheetName val="DEFERRAL"/>
      <sheetName val="DG261"/>
      <sheetName val="01268"/>
      <sheetName val="01270"/>
      <sheetName val="DG253"/>
      <sheetName val="DG254"/>
      <sheetName val="DG255"/>
      <sheetName val="DG256"/>
      <sheetName val="RA47"/>
      <sheetName val="20460"/>
      <sheetName val="AMORT"/>
      <sheetName val="G10051"/>
      <sheetName val="G10052"/>
      <sheetName val="G10053"/>
      <sheetName val="G10054"/>
      <sheetName val="G10055"/>
      <sheetName val="G10071"/>
      <sheetName val="G10075"/>
      <sheetName val="G10079"/>
      <sheetName val="G10086"/>
      <sheetName val="G10088"/>
      <sheetName val="G10090"/>
      <sheetName val="G10096"/>
      <sheetName val="G10098"/>
      <sheetName val="G10108"/>
      <sheetName val="G10109"/>
      <sheetName val="G10110"/>
      <sheetName val="G10111"/>
      <sheetName val="G10117"/>
      <sheetName val="G10126"/>
      <sheetName val="G10127"/>
      <sheetName val="G10128"/>
      <sheetName val="G10129"/>
      <sheetName val="RA30"/>
      <sheetName val="RA31"/>
      <sheetName val="RA44"/>
      <sheetName val="RA49"/>
      <sheetName val="DG152"/>
      <sheetName val="20218"/>
      <sheetName val="UG 061721"/>
      <sheetName val="DG257"/>
      <sheetName val="DG258"/>
      <sheetName val="DG241"/>
      <sheetName val="RA21 "/>
      <sheetName val="20458"/>
      <sheetName val="RL16 (2)"/>
      <sheetName val="HEDGING"/>
      <sheetName val="RA24"/>
      <sheetName val="RA26"/>
      <sheetName val="ZBA 09"/>
      <sheetName val="RA34"/>
      <sheetName val="RA47 ORIGINAL"/>
      <sheetName val="RA53"/>
      <sheetName val="RA53 ORIGINAL"/>
      <sheetName val="DR05"/>
      <sheetName val="RL16"/>
      <sheetName val="ZBA 08"/>
      <sheetName val="Int Rates DO NOT USE"/>
      <sheetName val="RL16 (2) NEED TO DELETE"/>
      <sheetName val="RL08"/>
      <sheetName val="RL10"/>
      <sheetName val="23607411"/>
      <sheetName val="DG234"/>
      <sheetName val="DG235"/>
      <sheetName val="DG236"/>
      <sheetName val="DG237"/>
      <sheetName val="DG245"/>
      <sheetName val="DG247"/>
      <sheetName val="DG249"/>
      <sheetName val="RL14"/>
      <sheetName val="RL15"/>
      <sheetName val="DG238"/>
      <sheetName val="DG239"/>
      <sheetName val="DG240"/>
      <sheetName val="RA50"/>
      <sheetName val="---ZBA---"/>
      <sheetName val="D10009"/>
      <sheetName val="DG196"/>
      <sheetName val="DG197"/>
      <sheetName val="DG198"/>
      <sheetName val="DG199"/>
      <sheetName val="DG200"/>
      <sheetName val="DG210"/>
      <sheetName val="DG211"/>
      <sheetName val="DG212"/>
      <sheetName val="DG213"/>
      <sheetName val="DG214"/>
      <sheetName val="DG216"/>
      <sheetName val="DG217"/>
      <sheetName val="DG218"/>
      <sheetName val="DG219"/>
      <sheetName val="DG226"/>
      <sheetName val="DG228"/>
      <sheetName val="DG230"/>
      <sheetName val="DG231"/>
      <sheetName val="DG195"/>
      <sheetName val="DG194"/>
      <sheetName val="DG193"/>
      <sheetName val="DG192"/>
      <sheetName val="DG191"/>
      <sheetName val="DG189"/>
      <sheetName val="DG184"/>
      <sheetName val="DG178"/>
      <sheetName val="DG177"/>
      <sheetName val="DG176"/>
      <sheetName val="DG175"/>
      <sheetName val="DG173"/>
      <sheetName val="DG132"/>
      <sheetName val="DG133"/>
      <sheetName val="DG174"/>
      <sheetName val="DG157"/>
      <sheetName val="DG160"/>
      <sheetName val="DG161"/>
      <sheetName val="DG162"/>
      <sheetName val="DG163"/>
      <sheetName val="DG169"/>
      <sheetName val="DG134"/>
      <sheetName val="DG135"/>
      <sheetName val="DG159"/>
      <sheetName val="DG143"/>
      <sheetName val="DG144"/>
      <sheetName val="DG145"/>
      <sheetName val="DG146"/>
      <sheetName val="DG153"/>
      <sheetName val="DG158"/>
      <sheetName val="DR06"/>
      <sheetName val="DG142"/>
      <sheetName val="DG140"/>
      <sheetName val="DG131"/>
      <sheetName val="DG124"/>
      <sheetName val="DG118"/>
      <sheetName val="DG117"/>
      <sheetName val="DG116"/>
      <sheetName val="DG115"/>
      <sheetName val="DG114"/>
      <sheetName val="DG111"/>
      <sheetName val="DG104 (new rate)"/>
      <sheetName val="DG104"/>
      <sheetName val="DG103 (New Rate)"/>
      <sheetName val="DG103"/>
      <sheetName val="DG102 (New Rate)"/>
      <sheetName val="DG102"/>
      <sheetName val="DG101 (New Rate)"/>
      <sheetName val="DG101"/>
      <sheetName val="DG87"/>
      <sheetName val="DG86"/>
      <sheetName val="DG45"/>
      <sheetName val="DG44"/>
      <sheetName val="DG43"/>
      <sheetName val="DG42"/>
      <sheetName val="DG141"/>
      <sheetName val="DG130"/>
      <sheetName val="DG109"/>
      <sheetName val="DG107"/>
      <sheetName val="DG95"/>
      <sheetName val="DG88"/>
      <sheetName val="G10162(old)"/>
      <sheetName val="G10163(old)"/>
      <sheetName val="Closed"/>
      <sheetName val="G10002"/>
      <sheetName val="G10003"/>
      <sheetName val="G10004"/>
      <sheetName val="G10005"/>
      <sheetName val="G10010"/>
      <sheetName val="G10011"/>
      <sheetName val="G10012"/>
      <sheetName val="G10013"/>
      <sheetName val="G10014"/>
      <sheetName val="G10019"/>
      <sheetName val="G10020"/>
      <sheetName val="G10021"/>
      <sheetName val="G10022"/>
      <sheetName val="G10023"/>
      <sheetName val="G10029"/>
      <sheetName val="G10030"/>
      <sheetName val="G10032"/>
      <sheetName val="G10033"/>
      <sheetName val="G10034"/>
      <sheetName val="G10037"/>
      <sheetName val="G10038"/>
      <sheetName val="G10043"/>
      <sheetName val="G10044"/>
      <sheetName val="G10050"/>
      <sheetName val="G10056"/>
      <sheetName val="G10058"/>
      <sheetName val="G10059"/>
      <sheetName val="G10060"/>
      <sheetName val="G10061"/>
      <sheetName val="G10062"/>
      <sheetName val="G10063"/>
      <sheetName val="G10064"/>
      <sheetName val="G10065"/>
      <sheetName val="G10072"/>
      <sheetName val="G10077"/>
      <sheetName val="T10001"/>
      <sheetName val="T10002"/>
      <sheetName val="T90002"/>
      <sheetName val="G10081"/>
      <sheetName val="G10103"/>
      <sheetName val="G10104"/>
      <sheetName val="G10105"/>
      <sheetName val="G10106"/>
      <sheetName val="G10107"/>
      <sheetName val="G10118"/>
      <sheetName val="G10119-NEW"/>
      <sheetName val="G10119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JE UPLOAD"/>
      <sheetName val="Int Rates"/>
      <sheetName val="New FERC Int. Rates"/>
      <sheetName val="DR05"/>
      <sheetName val="Therm Sales"/>
      <sheetName val="DEFERRAL"/>
      <sheetName val="DG261"/>
      <sheetName val="DG253"/>
      <sheetName val="DG254"/>
      <sheetName val="DG255"/>
      <sheetName val="DG256"/>
      <sheetName val="RA47"/>
      <sheetName val="RA47-R"/>
      <sheetName val="RA47 - C"/>
      <sheetName val="RA53"/>
      <sheetName val="AMORT"/>
      <sheetName val="G10051"/>
      <sheetName val="G10052"/>
      <sheetName val="G10053"/>
      <sheetName val="G10054"/>
      <sheetName val="G10055"/>
      <sheetName val="G10071"/>
      <sheetName val="G10075"/>
      <sheetName val="G10079"/>
      <sheetName val="G10086"/>
      <sheetName val="G10088"/>
      <sheetName val="G10090"/>
      <sheetName val="G10096"/>
      <sheetName val="G10098"/>
      <sheetName val="G10108"/>
      <sheetName val="G10109"/>
      <sheetName val="G10110"/>
      <sheetName val="G10111"/>
      <sheetName val="G10117"/>
      <sheetName val="G10126"/>
      <sheetName val="G10127"/>
      <sheetName val="G10128"/>
      <sheetName val="G10129"/>
      <sheetName val="RA30"/>
      <sheetName val="RA31"/>
      <sheetName val="RA44"/>
      <sheetName val="RA49"/>
      <sheetName val="DG152"/>
      <sheetName val="RL16"/>
      <sheetName val="UM 1283"/>
      <sheetName val="DG257"/>
      <sheetName val="DG258"/>
      <sheetName val="DG241"/>
      <sheetName val="RA21 "/>
      <sheetName val="RA34"/>
      <sheetName val="23607411"/>
      <sheetName val="HEDGING"/>
      <sheetName val="RA24"/>
      <sheetName val="RA26"/>
      <sheetName val="RL08"/>
      <sheetName val="RL10"/>
      <sheetName val="ZBA 08"/>
      <sheetName val="DG234"/>
      <sheetName val="DG235"/>
      <sheetName val="DG236"/>
      <sheetName val="DG237"/>
      <sheetName val="DG245"/>
      <sheetName val="DG247"/>
      <sheetName val="DG249"/>
      <sheetName val="RL14"/>
      <sheetName val="RL15"/>
      <sheetName val="DG238"/>
      <sheetName val="DG239"/>
      <sheetName val="DG240"/>
      <sheetName val="RA50"/>
      <sheetName val="---ZBA---"/>
      <sheetName val="D10009"/>
      <sheetName val="DG196"/>
      <sheetName val="DG197"/>
      <sheetName val="DG198"/>
      <sheetName val="DG199"/>
      <sheetName val="DG200"/>
      <sheetName val="DG210"/>
      <sheetName val="DG211"/>
      <sheetName val="DG212"/>
      <sheetName val="DG213"/>
      <sheetName val="DG214"/>
      <sheetName val="DG216"/>
      <sheetName val="DG217"/>
      <sheetName val="DG218"/>
      <sheetName val="DG219"/>
      <sheetName val="DG226"/>
      <sheetName val="DG228"/>
      <sheetName val="DG230"/>
      <sheetName val="DG231"/>
      <sheetName val="DG195"/>
      <sheetName val="DG194"/>
      <sheetName val="DG193"/>
      <sheetName val="DG192"/>
      <sheetName val="DG191"/>
      <sheetName val="DG189"/>
      <sheetName val="DG184"/>
      <sheetName val="DG178"/>
      <sheetName val="DG177"/>
      <sheetName val="DG176"/>
      <sheetName val="DG175"/>
      <sheetName val="DG173"/>
      <sheetName val="DG132"/>
      <sheetName val="DG133"/>
      <sheetName val="DG174"/>
      <sheetName val="DG157"/>
      <sheetName val="DG160"/>
      <sheetName val="DG161"/>
      <sheetName val="DG162"/>
      <sheetName val="DG163"/>
      <sheetName val="DG169"/>
      <sheetName val="DG134"/>
      <sheetName val="DG135"/>
      <sheetName val="DG159"/>
      <sheetName val="DG143"/>
      <sheetName val="DG144"/>
      <sheetName val="DG145"/>
      <sheetName val="DG146"/>
      <sheetName val="DG153"/>
      <sheetName val="DG158"/>
      <sheetName val="DR06"/>
      <sheetName val="DG142"/>
      <sheetName val="DG140"/>
      <sheetName val="DG131"/>
      <sheetName val="DG124"/>
      <sheetName val="DG118"/>
      <sheetName val="DG117"/>
      <sheetName val="DG116"/>
      <sheetName val="DG115"/>
      <sheetName val="DG114"/>
      <sheetName val="DG111"/>
      <sheetName val="DG104 (new rate)"/>
      <sheetName val="DG104"/>
      <sheetName val="DG103 (New Rate)"/>
      <sheetName val="DG103"/>
      <sheetName val="DG102 (New Rate)"/>
      <sheetName val="DG102"/>
      <sheetName val="DG101 (New Rate)"/>
      <sheetName val="DG101"/>
      <sheetName val="DG87"/>
      <sheetName val="DG86"/>
      <sheetName val="DG45"/>
      <sheetName val="DG44"/>
      <sheetName val="DG43"/>
      <sheetName val="DG42"/>
      <sheetName val="DG141"/>
      <sheetName val="DG130"/>
      <sheetName val="DG109"/>
      <sheetName val="DG107"/>
      <sheetName val="DG95"/>
      <sheetName val="DG88"/>
      <sheetName val="G10162(old)"/>
      <sheetName val="G10163(old)"/>
      <sheetName val="Closed"/>
      <sheetName val="G10002"/>
      <sheetName val="G10003"/>
      <sheetName val="G10004"/>
      <sheetName val="G10005"/>
      <sheetName val="G10010"/>
      <sheetName val="G10011"/>
      <sheetName val="G10012"/>
      <sheetName val="G10013"/>
      <sheetName val="G10014"/>
      <sheetName val="G10019"/>
      <sheetName val="G10020"/>
      <sheetName val="G10021"/>
      <sheetName val="G10022"/>
      <sheetName val="G10023"/>
      <sheetName val="G10029"/>
      <sheetName val="G10030"/>
      <sheetName val="G10032"/>
      <sheetName val="G10033"/>
      <sheetName val="G10034"/>
      <sheetName val="G10037"/>
      <sheetName val="G10038"/>
      <sheetName val="G10043"/>
      <sheetName val="G10044"/>
      <sheetName val="G10050"/>
      <sheetName val="G10056"/>
      <sheetName val="G10058"/>
      <sheetName val="G10059"/>
      <sheetName val="G10060"/>
      <sheetName val="G10061"/>
      <sheetName val="G10062"/>
      <sheetName val="G10063"/>
      <sheetName val="G10064"/>
      <sheetName val="G10065"/>
      <sheetName val="G10072"/>
      <sheetName val="G10077"/>
      <sheetName val="T10001"/>
      <sheetName val="T10002"/>
      <sheetName val="T90002"/>
      <sheetName val="G10081"/>
      <sheetName val="G10103"/>
      <sheetName val="G10104"/>
      <sheetName val="G10105"/>
      <sheetName val="G10106"/>
      <sheetName val="G10107"/>
      <sheetName val="G10118"/>
      <sheetName val="G10119-NEW"/>
      <sheetName val="G1011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"/>
      <sheetName val="sum-p1"/>
      <sheetName val="sum-p2"/>
      <sheetName val="Sum-p3"/>
      <sheetName val="JEH-1"/>
      <sheetName val="KBJ-2"/>
      <sheetName val="KBJ-3"/>
      <sheetName val="KBJ-4"/>
      <sheetName val="KBJ-5"/>
      <sheetName val="KBJ-6"/>
      <sheetName val="KBJ-7"/>
      <sheetName val="KBJ-8"/>
      <sheetName val="KJB-9"/>
      <sheetName val="KJB-10"/>
      <sheetName val="KJB-11"/>
      <sheetName val="AMR"/>
      <sheetName val="JDW-2"/>
      <sheetName val="JDW-1"/>
      <sheetName val="JTS-2"/>
      <sheetName val="JTS-3"/>
      <sheetName val="JTS-4"/>
      <sheetName val="JEH-4"/>
      <sheetName val="JEH-5"/>
      <sheetName val="JTS-5 S1p1"/>
      <sheetName val="JTS-5 S2 P1"/>
      <sheetName val="TARGETS"/>
      <sheetName val="JTS-5 S3 TARGET"/>
      <sheetName val="BILL-STUFFER"/>
      <sheetName val="overall"/>
      <sheetName val="JTS-5 S3 p3"/>
      <sheetName val="rate graph"/>
      <sheetName val="UG95XXXX"/>
      <sheetName val="JTS-5 S3 p2"/>
      <sheetName val="JTS-5 S3p1"/>
      <sheetName val="Sheet1"/>
      <sheetName val="Settlement Rates"/>
      <sheetName val="billF-TP"/>
      <sheetName val="501 &amp; 503"/>
      <sheetName val="Surcharge For Balancing"/>
      <sheetName val="adj Th &amp; Rev"/>
      <sheetName val="PAS-1"/>
      <sheetName val="SP CTRAX P2"/>
      <sheetName val="SP CTRAX P1"/>
      <sheetName val="Agenda"/>
      <sheetName val="DRAFT Cover"/>
      <sheetName val="page I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tual Therms"/>
      <sheetName val="Notes"/>
      <sheetName val="gassales transp"/>
      <sheetName val="Rev by BF"/>
      <sheetName val="Actual Bills"/>
      <sheetName val="bill shifts"/>
      <sheetName val="Shifted Bills"/>
      <sheetName val="Therm Shifts"/>
      <sheetName val="Shifted Therms"/>
      <sheetName val="Revenue"/>
      <sheetName val=" Revenue shifts"/>
      <sheetName val="Shifted Revenue"/>
      <sheetName val="Restate 902"/>
      <sheetName val="Summary1 w Shifts"/>
      <sheetName val="Restate wo Shifts"/>
      <sheetName val="Restate -shifts"/>
      <sheetName val="Restate"/>
      <sheetName val="Type I"/>
      <sheetName val="Type II"/>
      <sheetName val="Summary"/>
      <sheetName val="Deferral"/>
      <sheetName val="Earnings Proof"/>
      <sheetName val="Advtise Exp"/>
      <sheetName val="Dues Adj"/>
      <sheetName val="Uncollectible Expense"/>
      <sheetName val="Capital Structure 1299"/>
      <sheetName val="Type I Description"/>
      <sheetName val="Type II Description"/>
      <sheetName val="Annualizing Wage Adjustment"/>
      <sheetName val="Gas Cost Restate"/>
      <sheetName val="Sales Compensation"/>
      <sheetName val="Incentive Compensation Adj"/>
      <sheetName val="Summary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es"/>
      <sheetName val="gassales transp"/>
      <sheetName val="Rev by BF"/>
      <sheetName val="Actual Bills"/>
      <sheetName val="bill shifts"/>
      <sheetName val="Shifted Bills"/>
      <sheetName val="Actual Therms"/>
      <sheetName val="Therm Shifts"/>
      <sheetName val="Shifted Therms"/>
      <sheetName val="Revenue"/>
      <sheetName val=" Revenue shifts"/>
      <sheetName val="Shifted Revenue"/>
      <sheetName val="Restate 902"/>
      <sheetName val="Summary1"/>
      <sheetName val="Summary1 w Shifts"/>
      <sheetName val="Restate wo Shifts"/>
      <sheetName val="Restate -shifts"/>
      <sheetName val="Restate"/>
      <sheetName val="Type I"/>
      <sheetName val="Type II"/>
      <sheetName val="Summary"/>
      <sheetName val="Deferral"/>
      <sheetName val="Earnings Proof"/>
      <sheetName val="Advtise Exp"/>
      <sheetName val="Dues Adj"/>
      <sheetName val="Uncollectible Expense"/>
      <sheetName val="Capital Structure 1299"/>
      <sheetName val="Type I Description"/>
      <sheetName val="Type II Description"/>
      <sheetName val="Gas Cost Restate"/>
      <sheetName val="Incentive Compensation Adj"/>
      <sheetName val="Sales Compensation"/>
      <sheetName val="Annualizing Wage Adjustme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"/>
      <sheetName val="sum-p1"/>
      <sheetName val="sum-p2"/>
      <sheetName val="Sum-p3"/>
      <sheetName val="JEH-1"/>
      <sheetName val="KBJ-2"/>
      <sheetName val="KBJ-3"/>
      <sheetName val="KBJ-4"/>
      <sheetName val="KBJ-5"/>
      <sheetName val="KBJ-6"/>
      <sheetName val="KBJ-7"/>
      <sheetName val="KBJ-8"/>
      <sheetName val="KJB-9"/>
      <sheetName val="KJB-10"/>
      <sheetName val="KJB-11"/>
      <sheetName val="AMR"/>
      <sheetName val="JDW-2"/>
      <sheetName val="JDW-1"/>
      <sheetName val="JTS-2"/>
      <sheetName val="JTS-3"/>
      <sheetName val="JTS-4"/>
      <sheetName val="JEH-4"/>
      <sheetName val="JEH-5"/>
      <sheetName val="JTS-5 S1p1"/>
      <sheetName val="JTS-5 S2 P1"/>
      <sheetName val="TARGETS"/>
      <sheetName val="JTS-5 S3 TARGET"/>
      <sheetName val="BILL-STUFFER"/>
      <sheetName val="overall"/>
      <sheetName val="JTS-5 S3 p3"/>
      <sheetName val="rate graph"/>
      <sheetName val="UG95XXXX"/>
      <sheetName val="JTS-5 S3 p2"/>
      <sheetName val="JTS-5 S3p1"/>
      <sheetName val="Sheet1"/>
      <sheetName val="Settlement Rates"/>
      <sheetName val="billF-TP"/>
      <sheetName val="501 &amp; 503"/>
      <sheetName val="Surcharge For Balancing"/>
      <sheetName val="adj Th &amp; Rev"/>
      <sheetName val="PAS-1"/>
      <sheetName val="SP CTRAX P2"/>
      <sheetName val="SP CTRAX P1"/>
      <sheetName val="Agenda"/>
      <sheetName val="DRAFT Cover"/>
      <sheetName val="page I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 &amp; PRINTER"/>
      <sheetName val="JE Upload "/>
      <sheetName val="Interest Rates"/>
      <sheetName val="OR Sales Therms"/>
      <sheetName val="DEFERRALS"/>
      <sheetName val="DG220"/>
      <sheetName val="DG221"/>
      <sheetName val="DG222"/>
      <sheetName val="DG223"/>
      <sheetName val="DG227"/>
      <sheetName val="DG229"/>
      <sheetName val="DG232"/>
      <sheetName val="DG233"/>
      <sheetName val="DG243"/>
      <sheetName val="DG244"/>
      <sheetName val="DG246"/>
      <sheetName val="DG999"/>
      <sheetName val="DR11"/>
      <sheetName val="DR12"/>
      <sheetName val="DR13"/>
      <sheetName val="RA33"/>
      <sheetName val="RA43"/>
      <sheetName val="RA48"/>
      <sheetName val="RA45"/>
      <sheetName val="RA46"/>
      <sheetName val="OL01"/>
      <sheetName val="OL01 Interest Calc"/>
      <sheetName val="OL02"/>
      <sheetName val="OL02 interest calc"/>
      <sheetName val="RA41"/>
      <sheetName val="AMORT"/>
      <sheetName val="RL12"/>
      <sheetName val="RA35"/>
      <sheetName val="RA36"/>
      <sheetName val="DG242"/>
      <sheetName val="DG224"/>
      <sheetName val="HEDGING"/>
      <sheetName val="RA27"/>
      <sheetName val="RA25"/>
      <sheetName val="RL09"/>
      <sheetName val="RL11"/>
      <sheetName val="ZBA-06"/>
      <sheetName val="DG201"/>
      <sheetName val="DG202"/>
      <sheetName val="DG203"/>
      <sheetName val="DG204"/>
      <sheetName val="DG205"/>
      <sheetName val="DG215"/>
      <sheetName val="RA19"/>
      <sheetName val="RA20"/>
      <sheetName val="RA29"/>
      <sheetName val="RA32"/>
      <sheetName val="DG179"/>
      <sheetName val="DG180"/>
      <sheetName val="DG181"/>
      <sheetName val="DG182"/>
      <sheetName val="DG183"/>
      <sheetName val="DG190"/>
      <sheetName val="DG195"/>
      <sheetName val="DG196"/>
      <sheetName val="DG206"/>
      <sheetName val="DG207"/>
      <sheetName val="DG208"/>
      <sheetName val="DG209"/>
      <sheetName val="ZBA-05"/>
      <sheetName val="RA14"/>
      <sheetName val="RA28"/>
      <sheetName val="DG164"/>
      <sheetName val="DG165"/>
      <sheetName val="DG166"/>
      <sheetName val="DG167"/>
      <sheetName val="DG168"/>
      <sheetName val="DG169"/>
      <sheetName val="DG174"/>
      <sheetName val="DG185"/>
      <sheetName val="DG186"/>
      <sheetName val="DG187"/>
      <sheetName val="DG188"/>
      <sheetName val="RA11"/>
      <sheetName val="DR10"/>
      <sheetName val="ZBA-04"/>
      <sheetName val="RA04"/>
      <sheetName val="DR09"/>
      <sheetName val="DR08 Amort Calc"/>
      <sheetName val="DR08"/>
      <sheetName val="DG120"/>
      <sheetName val="DG147"/>
      <sheetName val="DG148"/>
      <sheetName val="DG149"/>
      <sheetName val="DG150"/>
      <sheetName val="DG151"/>
      <sheetName val="DG153"/>
      <sheetName val="DG159"/>
      <sheetName val="DG170"/>
      <sheetName val="DG171"/>
      <sheetName val="DG172"/>
      <sheetName val="RA23"/>
      <sheetName val="ZBA-03"/>
      <sheetName val="RA07"/>
      <sheetName val="RA03"/>
      <sheetName val="RA22"/>
      <sheetName val="DG119"/>
      <sheetName val="DG121"/>
      <sheetName val="DG122"/>
      <sheetName val="DG123"/>
      <sheetName val="DG136"/>
      <sheetName val="DG140"/>
      <sheetName val="DG141"/>
      <sheetName val="DG142"/>
      <sheetName val="DG154"/>
      <sheetName val="DG155"/>
      <sheetName val="DG156"/>
      <sheetName val="ZBA-02"/>
      <sheetName val="DG110"/>
      <sheetName val="DR07"/>
      <sheetName val="RA11 FY 02"/>
      <sheetName val="DG129"/>
      <sheetName val="RA14 FY 02"/>
      <sheetName val="RA04 FY 02"/>
      <sheetName val="RA03 - FY 02"/>
      <sheetName val="RL07"/>
      <sheetName val="DR04"/>
      <sheetName val="DG128"/>
      <sheetName val="DG127"/>
      <sheetName val="DG112"/>
      <sheetName val="DG137"/>
      <sheetName val="DG138"/>
      <sheetName val="DR06"/>
      <sheetName val="DG126"/>
      <sheetName val="DG125"/>
      <sheetName val="DG114"/>
      <sheetName val="DG111"/>
      <sheetName val="DG109"/>
      <sheetName val="DG107"/>
      <sheetName val="DG105"/>
      <sheetName val="DG104"/>
      <sheetName val="DG103"/>
      <sheetName val="DG102"/>
      <sheetName val="DG101"/>
      <sheetName val="DG100"/>
      <sheetName val="ON HOLD"/>
      <sheetName val="G10138(1)"/>
      <sheetName val="G10162(old)"/>
      <sheetName val="G10163(old)"/>
      <sheetName val="Sheet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ew Amortization---&gt;"/>
      <sheetName val="DG251"/>
      <sheetName val="DG252"/>
      <sheetName val="DG262"/>
      <sheetName val="RA51"/>
      <sheetName val="RA52"/>
      <sheetName val="DR13"/>
      <sheetName val="Deferrals &amp; Amort"/>
      <sheetName val="RA43-pre 09"/>
      <sheetName val="RA43-2009 deferrals"/>
      <sheetName val="RA48-pre-09"/>
      <sheetName val="RA48-09 Deferrals"/>
      <sheetName val="Residual----&gt;"/>
      <sheetName val="Considation-Core"/>
      <sheetName val="Consilidation-ResComm "/>
      <sheetName val="Considation-All"/>
      <sheetName val="DG259"/>
      <sheetName val="DG260"/>
      <sheetName val="RA45"/>
      <sheetName val="RA46"/>
      <sheetName val="RA54"/>
      <sheetName val="DR12"/>
      <sheetName val="Misc. Back-up---&gt;"/>
      <sheetName val="OR Sales Therms-Forecast"/>
      <sheetName val="Oct 09"/>
      <sheetName val="Sept 09"/>
      <sheetName val="Aug 09"/>
      <sheetName val="Jul 09"/>
      <sheetName val="Interest Rates-new amort"/>
      <sheetName val="Int Rates for Exist Amort"/>
      <sheetName val="Interruptible Cust. Shifts"/>
      <sheetName val="Sheet1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 &amp; PRINTER"/>
      <sheetName val="Interest Rates"/>
      <sheetName val="G10148"/>
      <sheetName val="G10158"/>
      <sheetName val="G10159"/>
      <sheetName val="G10160"/>
      <sheetName val="OR Sales Therms"/>
      <sheetName val="RS 164 Excl"/>
      <sheetName val="DEFFERALS"/>
      <sheetName val="D10002"/>
      <sheetName val="D10003"/>
      <sheetName val="D10015"/>
      <sheetName val="D10019"/>
      <sheetName val="G10153"/>
      <sheetName val="G10154"/>
      <sheetName val="G10155"/>
      <sheetName val="G10156"/>
      <sheetName val="G10157"/>
      <sheetName val="G10161"/>
      <sheetName val="AMORT"/>
      <sheetName val="D10123"/>
      <sheetName val="G10134"/>
      <sheetName val="G10135"/>
      <sheetName val="G10136"/>
      <sheetName val="G10137"/>
      <sheetName val="G10138"/>
      <sheetName val="G10139"/>
      <sheetName val="G10140"/>
      <sheetName val="G10147"/>
      <sheetName val="G10149"/>
      <sheetName val="G10150"/>
      <sheetName val="G10151"/>
      <sheetName val="G10152"/>
      <sheetName val="T10007"/>
      <sheetName val="T10009"/>
      <sheetName val="T10011"/>
      <sheetName val="T20012"/>
      <sheetName val="ZBA-00"/>
      <sheetName val="ON HOLD"/>
      <sheetName val="G10138(1)"/>
      <sheetName val="Module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trly Report Summary"/>
      <sheetName val="for PGA"/>
      <sheetName val="July Int Rate for Amort"/>
      <sheetName val="OR 0809 Matrix-estimate amort"/>
      <sheetName val="186291"/>
      <sheetName val="186xxx Pension Expense Credit"/>
      <sheetName val="186232 Industrial DSM"/>
      <sheetName val="186292 Amort IMP Refund"/>
      <sheetName val="186229"/>
      <sheetName val="186259 Amort Tax Kicker"/>
      <sheetName val="186360 Amort Albany Refund"/>
      <sheetName val="186304 Defer Smart Energy"/>
      <sheetName val="186308 Defer AMR"/>
      <sheetName val="186275 Defer Res Decoup"/>
      <sheetName val="186277 Amort Res Decoup"/>
      <sheetName val="186270 Defer Comm Decoup"/>
      <sheetName val="186271 Amort Comm Decoup"/>
      <sheetName val="186284 Defer Issue Fund"/>
      <sheetName val="186276 Defer CUB fund"/>
      <sheetName val="186278 Defer NWIGU Fund"/>
      <sheetName val="186286 Amort CUB Fund"/>
      <sheetName val="186288 Amort NWIGU Fund"/>
      <sheetName val="186231 Amort DSM"/>
      <sheetName val="186267 Amort Coos Bay"/>
      <sheetName val="191401 Amort WACOG"/>
      <sheetName val="191411 Amort Demand"/>
      <sheetName val="191031 Amort Storage Adj"/>
      <sheetName val="191400 Defer WACOG"/>
      <sheetName val="191410 Defer Demand"/>
      <sheetName val="191450 Defer Seasonal Demand"/>
      <sheetName val="191455"/>
      <sheetName val="191621"/>
      <sheetName val="191417 Defer Coos Deman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ARES Summary of Def. Accts."/>
      <sheetName val="CARES Proposed Rate 592"/>
      <sheetName val="CARES Amount of Change"/>
      <sheetName val="Effects of TTA Avg. Bill"/>
      <sheetName val="Workpapers---&gt;"/>
      <sheetName val="Balances at 8-31-2024"/>
      <sheetName val="Int calc thru 10-31-2024"/>
      <sheetName val="EstimatedBalances"/>
      <sheetName val=" Int during Amort"/>
      <sheetName val="Test Period Volumes"/>
      <sheetName val="Bills-Therms-Rev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582 Table of Contents"/>
      <sheetName val="Unprotected Cost Allocation"/>
      <sheetName val="Unpro. Amount Change"/>
      <sheetName val="Effects of UPT Avg. Bill"/>
      <sheetName val="Unprot. Proposed Rate Adj."/>
      <sheetName val="47WA.2540."/>
      <sheetName val="Test Period Volumes"/>
      <sheetName val="Bills-Therms-Rev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mparison to current WA"/>
      <sheetName val="Comparison to current OR"/>
      <sheetName val="Winter WACOG OR&amp;WA"/>
      <sheetName val="Derivation of Demand rates WA"/>
      <sheetName val="Derivation of Demand rates OR"/>
      <sheetName val="Demand Charges"/>
      <sheetName val="Total Commodity Summary"/>
      <sheetName val="Commodity Cost from Vol Pipe"/>
      <sheetName val="Commodity Cost from Supply VERT"/>
      <sheetName val="Hedged Spot Dispatch"/>
      <sheetName val="Commodity Cost from Supply"/>
      <sheetName val="Commodity Supply Dispatch"/>
      <sheetName val="Commodity Cost from Storage"/>
      <sheetName val="Storage Dispatch"/>
      <sheetName val="Index Prices"/>
      <sheetName val="Line loss"/>
      <sheetName val="Fuel factors"/>
      <sheetName val="General Inputs"/>
      <sheetName val="Spot contracts"/>
      <sheetName val="Supply Contracts"/>
      <sheetName val="PGA Summary UM1286 Req'd"/>
      <sheetName val="NWN 2009-10 PGA gas cost file 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RVSD JE UPLOAD"/>
      <sheetName val="TAX Interest Rates"/>
      <sheetName val="Therm Sales Master"/>
      <sheetName val="DEFERRALS"/>
      <sheetName val="47WA.2292"/>
      <sheetName val="AMORTIZATIONS"/>
      <sheetName val="2540.20481"/>
      <sheetName val="Protected EDIT Base"/>
      <sheetName val="2540.20482"/>
      <sheetName val="Protected EDIT Gross up"/>
      <sheetName val="2540.20483"/>
      <sheetName val="Unprotected EDIT Base"/>
      <sheetName val="2540.20484"/>
      <sheetName val="Unprotected EDIT Gross up"/>
      <sheetName val="2540.20485"/>
      <sheetName val="Temp Rate Credit Base"/>
      <sheetName val="2540.20486"/>
      <sheetName val="Temp Rate Credit Gross up"/>
      <sheetName val="====&gt; Unused Tabs"/>
      <sheetName val="Aug 18 True-up JE UPLOA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VSD JE UPLOAD"/>
      <sheetName val="TAX Interest Rates"/>
      <sheetName val="Therm Sales-EDIT Master"/>
      <sheetName val="DEFERRALS"/>
      <sheetName val="47WA.2292"/>
      <sheetName val="AMORTIZATIONS"/>
      <sheetName val="2540.20481"/>
      <sheetName val="Protected EDIT Base"/>
      <sheetName val="2540.20482"/>
      <sheetName val="Protected EDIT Gross up"/>
      <sheetName val="2540.20483"/>
      <sheetName val="Unprotected EDIT Base"/>
      <sheetName val="2540.20484"/>
      <sheetName val="Unprotected EDIT Gross up"/>
      <sheetName val="====&gt; Unused Tabs"/>
      <sheetName val="Aug 22 AJE Correction"/>
      <sheetName val="2540.20485"/>
      <sheetName val="Temp Rate Credit Base"/>
      <sheetName val="2540.20486"/>
      <sheetName val="Temp Rate Credit Gross up"/>
      <sheetName val="Aug 18 True-up JE UPLOA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2F16D2-19D0-4B72-9456-56BBB00162B5}">
  <dimension ref="A1:H30"/>
  <sheetViews>
    <sheetView zoomScale="90" zoomScaleNormal="90" workbookViewId="0"/>
  </sheetViews>
  <sheetFormatPr defaultRowHeight="15"/>
  <cols>
    <col min="1" max="1" width="41.140625" bestFit="1" customWidth="1"/>
    <col min="2" max="2" width="15.5703125" bestFit="1" customWidth="1"/>
    <col min="3" max="3" width="5.28515625" customWidth="1"/>
    <col min="4" max="4" width="67.85546875" customWidth="1"/>
    <col min="5" max="5" width="33.28515625" customWidth="1"/>
    <col min="7" max="7" width="14.7109375" customWidth="1"/>
    <col min="8" max="8" width="14.28515625" bestFit="1" customWidth="1"/>
  </cols>
  <sheetData>
    <row r="1" spans="1:7" ht="18.75">
      <c r="A1" s="349" t="s">
        <v>0</v>
      </c>
    </row>
    <row r="2" spans="1:7">
      <c r="A2" s="389" t="s">
        <v>1</v>
      </c>
    </row>
    <row r="5" spans="1:7">
      <c r="D5" s="344" t="s">
        <v>2</v>
      </c>
    </row>
    <row r="6" spans="1:7" ht="30">
      <c r="A6" t="s">
        <v>3</v>
      </c>
      <c r="B6" s="345">
        <f>-'CARES Discount'!M7</f>
        <v>19.869134704801652</v>
      </c>
      <c r="C6" s="345"/>
      <c r="D6" s="361" t="s">
        <v>4</v>
      </c>
    </row>
    <row r="7" spans="1:7">
      <c r="A7" t="s">
        <v>5</v>
      </c>
      <c r="B7" s="354">
        <v>305.29000000000002</v>
      </c>
      <c r="C7" s="354"/>
      <c r="D7" s="1" t="s">
        <v>6</v>
      </c>
    </row>
    <row r="10" spans="1:7">
      <c r="A10" t="s">
        <v>7</v>
      </c>
      <c r="B10" s="357">
        <f>'CARES Discount'!M4</f>
        <v>44089</v>
      </c>
      <c r="C10" s="357"/>
      <c r="D10" s="358" t="s">
        <v>8</v>
      </c>
    </row>
    <row r="11" spans="1:7">
      <c r="A11" t="s">
        <v>9</v>
      </c>
      <c r="B11" s="359">
        <f>'CARES Grants'!K4</f>
        <v>1174</v>
      </c>
      <c r="C11" s="359"/>
      <c r="D11" s="358" t="s">
        <v>10</v>
      </c>
    </row>
    <row r="13" spans="1:7" ht="45">
      <c r="A13" t="s">
        <v>11</v>
      </c>
      <c r="B13" s="360">
        <v>0.3</v>
      </c>
      <c r="C13" s="360"/>
      <c r="D13" s="361" t="s">
        <v>12</v>
      </c>
      <c r="G13" s="350"/>
    </row>
    <row r="14" spans="1:7" ht="45">
      <c r="A14" t="s">
        <v>13</v>
      </c>
      <c r="B14" s="357">
        <f>59909*B13</f>
        <v>17972.7</v>
      </c>
      <c r="C14" s="357"/>
      <c r="D14" s="362" t="s">
        <v>14</v>
      </c>
      <c r="G14" s="351"/>
    </row>
    <row r="17" spans="1:8">
      <c r="A17" t="s">
        <v>15</v>
      </c>
      <c r="B17" s="99">
        <f>B6*B14*12</f>
        <v>4285223.967707864</v>
      </c>
      <c r="C17" s="99"/>
      <c r="D17" s="1" t="s">
        <v>16</v>
      </c>
    </row>
    <row r="18" spans="1:8">
      <c r="A18" t="s">
        <v>17</v>
      </c>
      <c r="B18" s="99">
        <f>'CARES Grants'!L10*'CARES Grants'!K7*(1+B13)</f>
        <v>508298.2319999999</v>
      </c>
      <c r="C18" s="99"/>
      <c r="D18" s="1" t="s">
        <v>18</v>
      </c>
      <c r="G18" s="350"/>
      <c r="H18" s="351"/>
    </row>
    <row r="19" spans="1:8">
      <c r="A19" t="s">
        <v>19</v>
      </c>
      <c r="B19" s="355">
        <f>(B17+B18+B20+B21)*6%</f>
        <v>312191.02525519911</v>
      </c>
      <c r="C19" s="355"/>
      <c r="D19" s="1" t="s">
        <v>20</v>
      </c>
      <c r="G19" s="350"/>
      <c r="H19" s="351"/>
    </row>
    <row r="20" spans="1:8" ht="30">
      <c r="A20" t="s">
        <v>21</v>
      </c>
      <c r="B20" s="355">
        <f>(-'CARES Discount'!O7+'CARES Grants'!M7)*25%</f>
        <v>336661.55454545456</v>
      </c>
      <c r="C20" s="203"/>
      <c r="D20" s="361" t="s">
        <v>22</v>
      </c>
      <c r="G20" s="350"/>
      <c r="H20" s="351"/>
    </row>
    <row r="21" spans="1:8" ht="30">
      <c r="A21" t="s">
        <v>23</v>
      </c>
      <c r="B21" s="363">
        <v>73000</v>
      </c>
      <c r="C21" s="366"/>
      <c r="D21" s="364" t="s">
        <v>24</v>
      </c>
      <c r="G21" s="351"/>
      <c r="H21" s="351"/>
    </row>
    <row r="22" spans="1:8">
      <c r="A22" t="s">
        <v>25</v>
      </c>
      <c r="B22" s="365">
        <f>SUM(B1:B21)</f>
        <v>5578935.9386432227</v>
      </c>
      <c r="C22" s="365"/>
      <c r="D22" s="1"/>
      <c r="G22" s="350"/>
    </row>
    <row r="23" spans="1:8">
      <c r="G23" s="345"/>
      <c r="H23" s="351"/>
    </row>
    <row r="24" spans="1:8">
      <c r="A24" t="s">
        <v>26</v>
      </c>
      <c r="B24" s="252">
        <v>1.0462728581456489</v>
      </c>
      <c r="C24" s="252"/>
      <c r="G24" s="350"/>
    </row>
    <row r="25" spans="1:8" ht="15.75" thickBot="1">
      <c r="G25" s="345"/>
    </row>
    <row r="26" spans="1:8" ht="15.75" thickBot="1">
      <c r="A26" s="202" t="s">
        <v>27</v>
      </c>
      <c r="B26" s="251">
        <f>B22*B24</f>
        <v>5837089.2499357229</v>
      </c>
      <c r="C26" s="367"/>
      <c r="G26" s="351"/>
    </row>
    <row r="27" spans="1:8">
      <c r="D27" s="1"/>
    </row>
    <row r="30" spans="1:8">
      <c r="E30" s="2"/>
    </row>
  </sheetData>
  <pageMargins left="0.7" right="0.7" top="0.75" bottom="0.75" header="0.3" footer="0.3"/>
  <pageSetup scale="95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4721D-EE86-4426-82B5-C4681B215C2E}">
  <sheetPr transitionEvaluation="1"/>
  <dimension ref="A1:J35"/>
  <sheetViews>
    <sheetView view="pageBreakPreview" zoomScale="98" zoomScaleNormal="100" zoomScaleSheetLayoutView="98" workbookViewId="0"/>
  </sheetViews>
  <sheetFormatPr defaultColWidth="8.42578125" defaultRowHeight="15" customHeight="1"/>
  <cols>
    <col min="1" max="1" width="4.7109375" style="256" bestFit="1" customWidth="1"/>
    <col min="2" max="2" width="39.5703125" style="257" bestFit="1" customWidth="1"/>
    <col min="3" max="3" width="18.140625" style="257" bestFit="1" customWidth="1"/>
    <col min="4" max="4" width="15.140625" style="257" bestFit="1" customWidth="1"/>
    <col min="5" max="5" width="17" style="257" bestFit="1" customWidth="1"/>
    <col min="6" max="6" width="13.140625" style="257" bestFit="1" customWidth="1"/>
    <col min="7" max="7" width="20.42578125" style="257" customWidth="1"/>
    <col min="8" max="8" width="9.5703125" style="257" customWidth="1"/>
    <col min="9" max="9" width="11.140625" style="257" customWidth="1"/>
    <col min="10" max="10" width="11.140625" style="257" bestFit="1" customWidth="1"/>
    <col min="11" max="16384" width="8.42578125" style="257"/>
  </cols>
  <sheetData>
    <row r="1" spans="1:10" ht="15" customHeight="1">
      <c r="A1" s="349" t="s">
        <v>0</v>
      </c>
    </row>
    <row r="2" spans="1:10" ht="15" customHeight="1">
      <c r="A2" s="344" t="s">
        <v>1</v>
      </c>
      <c r="C2" s="258"/>
      <c r="D2" s="258"/>
      <c r="E2" s="258"/>
      <c r="F2" s="258"/>
      <c r="G2" s="258"/>
    </row>
    <row r="3" spans="1:10" ht="15" customHeight="1">
      <c r="A3" s="344"/>
      <c r="C3" s="258"/>
      <c r="D3" s="258"/>
      <c r="E3" s="258"/>
      <c r="F3" s="258"/>
      <c r="G3" s="258"/>
    </row>
    <row r="4" spans="1:10" ht="15" customHeight="1">
      <c r="C4" s="258"/>
      <c r="E4" s="390"/>
      <c r="F4" s="390"/>
      <c r="G4" s="390"/>
      <c r="I4" s="238"/>
      <c r="J4" s="238"/>
    </row>
    <row r="5" spans="1:10" ht="15" customHeight="1">
      <c r="B5" s="391" t="s">
        <v>28</v>
      </c>
      <c r="C5" s="391"/>
      <c r="D5" s="391"/>
      <c r="E5" s="391"/>
      <c r="F5" s="391"/>
      <c r="G5" s="391"/>
    </row>
    <row r="6" spans="1:10" ht="15" customHeight="1">
      <c r="C6" s="258"/>
      <c r="D6" s="258"/>
      <c r="E6" s="259"/>
      <c r="F6" s="259"/>
      <c r="G6" s="259"/>
      <c r="I6" s="260"/>
      <c r="J6" s="260"/>
    </row>
    <row r="7" spans="1:10" ht="15" customHeight="1">
      <c r="C7" s="258"/>
      <c r="D7" s="261"/>
      <c r="E7" s="262"/>
      <c r="F7" s="262"/>
      <c r="G7" s="262"/>
    </row>
    <row r="8" spans="1:10" s="256" customFormat="1" ht="15" customHeight="1">
      <c r="C8" s="263"/>
      <c r="D8" s="264"/>
      <c r="E8" s="263"/>
      <c r="F8" s="263"/>
      <c r="G8" s="263"/>
    </row>
    <row r="9" spans="1:10" s="256" customFormat="1" ht="15.75">
      <c r="C9" s="263"/>
      <c r="D9" s="263"/>
      <c r="E9" s="265"/>
      <c r="F9" s="265"/>
      <c r="G9" s="266"/>
    </row>
    <row r="10" spans="1:10" s="256" customFormat="1" ht="78.75">
      <c r="A10" s="267" t="s">
        <v>29</v>
      </c>
      <c r="B10" s="267" t="s">
        <v>30</v>
      </c>
      <c r="C10" s="266" t="s">
        <v>31</v>
      </c>
      <c r="D10" s="266" t="s">
        <v>32</v>
      </c>
      <c r="E10" s="268" t="s">
        <v>33</v>
      </c>
      <c r="F10" s="266" t="s">
        <v>34</v>
      </c>
      <c r="G10" s="264" t="s">
        <v>35</v>
      </c>
    </row>
    <row r="11" spans="1:10" ht="15" customHeight="1">
      <c r="A11" s="269"/>
      <c r="B11" s="270" t="s">
        <v>36</v>
      </c>
      <c r="C11" s="271" t="s">
        <v>37</v>
      </c>
      <c r="D11" s="271" t="s">
        <v>38</v>
      </c>
      <c r="E11" s="271" t="s">
        <v>39</v>
      </c>
      <c r="F11" s="271" t="s">
        <v>40</v>
      </c>
      <c r="G11" s="271" t="s">
        <v>41</v>
      </c>
    </row>
    <row r="12" spans="1:10" ht="15" customHeight="1">
      <c r="B12" s="272"/>
      <c r="C12" s="264"/>
      <c r="D12" s="273"/>
      <c r="E12" s="264"/>
      <c r="F12" s="264"/>
      <c r="G12" s="274"/>
    </row>
    <row r="13" spans="1:10" ht="15" customHeight="1">
      <c r="A13" s="275">
        <v>1</v>
      </c>
      <c r="B13" s="257" t="s">
        <v>42</v>
      </c>
      <c r="C13" s="276">
        <f>'CARES Deferral Balances'!B20</f>
        <v>895946.51</v>
      </c>
      <c r="D13" s="277">
        <f>EstimatedBalances!G10</f>
        <v>8163.5600000000559</v>
      </c>
      <c r="E13" s="276">
        <f>' Int during Amort'!S21</f>
        <v>24457.725629436994</v>
      </c>
      <c r="F13" s="278" cm="1">
        <f t="array" ref="F13">SUM(C13:E13*'CARES Cost'!$B$24)-SUM(C13:E13)</f>
        <v>42967.485885778908</v>
      </c>
      <c r="G13" s="277">
        <f>SUM(C13:F13)</f>
        <v>971535.28151521599</v>
      </c>
    </row>
    <row r="14" spans="1:10" ht="15" customHeight="1">
      <c r="A14" s="275">
        <v>2</v>
      </c>
      <c r="B14" s="257" t="s">
        <v>43</v>
      </c>
      <c r="C14" s="276">
        <f>'CARES Deferral Balances'!C20</f>
        <v>815527.07000000007</v>
      </c>
      <c r="D14" s="277">
        <f>EstimatedBalances!G11</f>
        <v>7430.7999999999302</v>
      </c>
      <c r="E14" s="276">
        <f>' Int during Amort'!S22</f>
        <v>22262.419651012067</v>
      </c>
      <c r="F14" s="278" cm="1">
        <f t="array" ref="F14">SUM(C14:E14*'CARES Cost'!$B$24)-SUM(C14:E14)</f>
        <v>39110.758564845542</v>
      </c>
      <c r="G14" s="277">
        <f t="shared" ref="G14:G16" si="0">SUM(C14:F14)</f>
        <v>884331.04821585759</v>
      </c>
    </row>
    <row r="15" spans="1:10" ht="15" customHeight="1">
      <c r="A15" s="275">
        <v>3</v>
      </c>
      <c r="B15" s="279" t="s">
        <v>44</v>
      </c>
      <c r="C15" s="276">
        <f>'CARES Deferral Balances'!D20</f>
        <v>364175.32</v>
      </c>
      <c r="D15" s="277">
        <f>EstimatedBalances!G12</f>
        <v>3318.2399999999907</v>
      </c>
      <c r="E15" s="276">
        <f>' Int during Amort'!S23</f>
        <v>9941.3301093582941</v>
      </c>
      <c r="F15" s="278" cm="1">
        <f t="array" ref="F15">SUM(C15:E15*'CARES Cost'!$B$24)-SUM(C15:E15)</f>
        <v>17464.991129248869</v>
      </c>
      <c r="G15" s="277">
        <f t="shared" si="0"/>
        <v>394899.88123860717</v>
      </c>
    </row>
    <row r="16" spans="1:10" ht="15" customHeight="1">
      <c r="A16" s="275">
        <v>4</v>
      </c>
      <c r="B16" s="279" t="s">
        <v>45</v>
      </c>
      <c r="C16" s="276">
        <f>'CARES Deferral Balances'!E20</f>
        <v>-3260367.2799999993</v>
      </c>
      <c r="D16" s="277">
        <f>EstimatedBalances!G13</f>
        <v>-29707.340000000317</v>
      </c>
      <c r="E16" s="276">
        <f>' Int during Amort'!S24</f>
        <v>-89002.1525325275</v>
      </c>
      <c r="F16" s="278" cm="1">
        <f t="array" ref="F16">SUM(C16:E16*'CARES Cost'!$B$24)-SUM(C16:E16)</f>
        <v>-156359.54015865456</v>
      </c>
      <c r="G16" s="277">
        <f t="shared" si="0"/>
        <v>-3535436.3126911819</v>
      </c>
    </row>
    <row r="17" spans="1:7" ht="15" customHeight="1">
      <c r="A17" s="275"/>
      <c r="B17" s="279"/>
      <c r="C17" s="339"/>
      <c r="D17" s="277"/>
      <c r="E17" s="277"/>
      <c r="F17" s="277"/>
      <c r="G17" s="277"/>
    </row>
    <row r="18" spans="1:7" ht="15" customHeight="1">
      <c r="A18" s="275"/>
      <c r="C18" s="340"/>
      <c r="D18" s="276"/>
      <c r="E18" s="341"/>
      <c r="F18" s="341"/>
      <c r="G18" s="280"/>
    </row>
    <row r="19" spans="1:7" ht="22.5" customHeight="1">
      <c r="A19" s="275">
        <v>5</v>
      </c>
      <c r="B19" s="281" t="s">
        <v>46</v>
      </c>
      <c r="C19" s="282">
        <f>SUM(C13:C16)</f>
        <v>-1184718.3799999992</v>
      </c>
      <c r="D19" s="282">
        <f>SUM(D13:D16)</f>
        <v>-10794.74000000034</v>
      </c>
      <c r="E19" s="282">
        <f t="shared" ref="E19:G19" si="1">SUM(E13:E16)</f>
        <v>-32340.677142720146</v>
      </c>
      <c r="F19" s="282">
        <f>SUM(F13:F16)</f>
        <v>-56816.304578781244</v>
      </c>
      <c r="G19" s="282">
        <f t="shared" si="1"/>
        <v>-1284670.101721501</v>
      </c>
    </row>
    <row r="20" spans="1:7" ht="15.75">
      <c r="A20" s="275"/>
      <c r="C20" s="258"/>
      <c r="D20" s="258"/>
      <c r="E20" s="258"/>
      <c r="F20" s="258"/>
      <c r="G20" s="283"/>
    </row>
    <row r="21" spans="1:7" ht="15" customHeight="1">
      <c r="C21" s="258"/>
      <c r="D21" s="258"/>
      <c r="E21" s="258"/>
      <c r="F21" s="258"/>
      <c r="G21" s="258"/>
    </row>
    <row r="22" spans="1:7" ht="15" customHeight="1">
      <c r="C22" s="258"/>
      <c r="D22" s="258"/>
      <c r="E22" s="258"/>
      <c r="F22" s="258"/>
      <c r="G22" s="258"/>
    </row>
    <row r="23" spans="1:7" ht="15" customHeight="1">
      <c r="A23" s="275"/>
    </row>
    <row r="26" spans="1:7" ht="15" customHeight="1">
      <c r="A26" s="275"/>
    </row>
    <row r="29" spans="1:7" ht="15" customHeight="1">
      <c r="A29" s="275"/>
    </row>
    <row r="31" spans="1:7" ht="15" customHeight="1">
      <c r="A31" s="275"/>
    </row>
    <row r="33" spans="1:1" ht="15" customHeight="1">
      <c r="A33" s="275"/>
    </row>
    <row r="34" spans="1:1" ht="15" customHeight="1">
      <c r="A34" s="275"/>
    </row>
    <row r="35" spans="1:1" ht="15" customHeight="1">
      <c r="A35" s="275"/>
    </row>
  </sheetData>
  <mergeCells count="2">
    <mergeCell ref="E4:G4"/>
    <mergeCell ref="B5:G5"/>
  </mergeCells>
  <printOptions horizontalCentered="1"/>
  <pageMargins left="0.5" right="0.5" top="1" bottom="1" header="0.5" footer="0.5"/>
  <pageSetup scale="67" orientation="landscape" r:id="rId1"/>
  <headerFooter alignWithMargins="0">
    <oddFooter>&amp;LTab Name: 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108F49-DA6F-493F-B6DE-78F29CB35497}">
  <dimension ref="A1:I24"/>
  <sheetViews>
    <sheetView view="pageBreakPreview" zoomScale="130" zoomScaleNormal="130" zoomScaleSheetLayoutView="130" workbookViewId="0">
      <selection activeCell="B1" sqref="B1"/>
    </sheetView>
  </sheetViews>
  <sheetFormatPr defaultRowHeight="15"/>
  <cols>
    <col min="1" max="1" width="30.5703125" customWidth="1"/>
    <col min="2" max="2" width="15.42578125" bestFit="1" customWidth="1"/>
    <col min="3" max="3" width="14.5703125" bestFit="1" customWidth="1"/>
    <col min="4" max="5" width="13.5703125" bestFit="1" customWidth="1"/>
    <col min="6" max="6" width="12.140625" customWidth="1"/>
    <col min="7" max="7" width="14.5703125" bestFit="1" customWidth="1"/>
    <col min="8" max="8" width="2" customWidth="1"/>
    <col min="9" max="9" width="17.28515625" bestFit="1" customWidth="1"/>
  </cols>
  <sheetData>
    <row r="1" spans="1:9" ht="18.75">
      <c r="A1" s="349" t="s">
        <v>0</v>
      </c>
    </row>
    <row r="2" spans="1:9">
      <c r="A2" s="344" t="s">
        <v>1</v>
      </c>
    </row>
    <row r="3" spans="1:9" ht="15.75" thickBot="1"/>
    <row r="4" spans="1:9">
      <c r="B4" s="3" t="s">
        <v>47</v>
      </c>
      <c r="C4" s="3" t="s">
        <v>48</v>
      </c>
      <c r="D4" s="3" t="s">
        <v>49</v>
      </c>
      <c r="E4" s="3" t="s">
        <v>50</v>
      </c>
      <c r="F4" s="3" t="s">
        <v>51</v>
      </c>
      <c r="G4" s="3" t="s">
        <v>52</v>
      </c>
      <c r="I4" s="243" t="s">
        <v>53</v>
      </c>
    </row>
    <row r="5" spans="1:9">
      <c r="A5" t="s">
        <v>54</v>
      </c>
      <c r="B5" s="368">
        <v>52465276.200000003</v>
      </c>
      <c r="C5" s="368">
        <v>28497629.350000001</v>
      </c>
      <c r="D5" s="368">
        <v>2570391.02</v>
      </c>
      <c r="E5" s="368">
        <v>2099253.16</v>
      </c>
      <c r="F5" s="368">
        <v>160716.19</v>
      </c>
      <c r="G5" s="368">
        <v>21024215.189999998</v>
      </c>
      <c r="H5" s="369"/>
      <c r="I5" s="369">
        <f>SUM(B5:G5)</f>
        <v>106817481.11</v>
      </c>
    </row>
    <row r="6" spans="1:9">
      <c r="A6" t="s">
        <v>55</v>
      </c>
      <c r="B6" s="244">
        <f>B5/$I$5</f>
        <v>0.49116750980086843</v>
      </c>
      <c r="C6" s="244">
        <f t="shared" ref="C6:G6" si="0">C5/$I$5</f>
        <v>0.26678806740118982</v>
      </c>
      <c r="D6" s="244">
        <f t="shared" si="0"/>
        <v>2.4063392932408008E-2</v>
      </c>
      <c r="E6" s="244">
        <f t="shared" si="0"/>
        <v>1.9652711692744393E-2</v>
      </c>
      <c r="F6" s="244">
        <f t="shared" si="0"/>
        <v>1.5045869676939437E-3</v>
      </c>
      <c r="G6" s="244">
        <f t="shared" si="0"/>
        <v>0.19682373120509541</v>
      </c>
      <c r="H6" s="98"/>
    </row>
    <row r="8" spans="1:9">
      <c r="A8" t="s">
        <v>56</v>
      </c>
      <c r="B8" s="4">
        <f>$B$21*B6</f>
        <v>2866988.5913763479</v>
      </c>
      <c r="C8" s="4">
        <f t="shared" ref="C8:G8" si="1">$B$21*C6</f>
        <v>1557265.7602386121</v>
      </c>
      <c r="D8" s="4">
        <f t="shared" si="1"/>
        <v>140460.17220273803</v>
      </c>
      <c r="E8" s="4">
        <f t="shared" si="1"/>
        <v>114714.63215380438</v>
      </c>
      <c r="F8" s="4">
        <f t="shared" si="1"/>
        <v>8782.4084147197045</v>
      </c>
      <c r="G8" s="4">
        <f t="shared" si="1"/>
        <v>1148877.6855495006</v>
      </c>
    </row>
    <row r="10" spans="1:9">
      <c r="A10" t="s">
        <v>57</v>
      </c>
      <c r="B10" s="97">
        <f>'Forecasted Volumes'!C20</f>
        <v>140216275.3119559</v>
      </c>
      <c r="C10" s="97">
        <f>'Forecasted Volumes'!D20</f>
        <v>103631783.38918559</v>
      </c>
      <c r="D10" s="97">
        <f>'Forecasted Volumes'!E20</f>
        <v>13457822.341199517</v>
      </c>
      <c r="E10" s="97">
        <f>'Forecasted Volumes'!F20</f>
        <v>16601133.000301499</v>
      </c>
      <c r="F10" s="97">
        <f>'Forecasted Volumes'!G20</f>
        <v>2353804.9573574951</v>
      </c>
      <c r="G10" s="97">
        <f>'Forecasted Volumes'!H20</f>
        <v>940213064</v>
      </c>
    </row>
    <row r="12" spans="1:9">
      <c r="A12" t="s">
        <v>58</v>
      </c>
      <c r="B12" s="255">
        <f>ROUND(B8/B10,5)</f>
        <v>2.0449999999999999E-2</v>
      </c>
      <c r="C12" s="255">
        <f t="shared" ref="C12:G12" si="2">ROUND(C8/C10,5)</f>
        <v>1.503E-2</v>
      </c>
      <c r="D12" s="255">
        <f t="shared" si="2"/>
        <v>1.044E-2</v>
      </c>
      <c r="E12" s="255">
        <f t="shared" si="2"/>
        <v>6.9100000000000003E-3</v>
      </c>
      <c r="F12" s="255">
        <f t="shared" si="2"/>
        <v>3.7299999999999998E-3</v>
      </c>
      <c r="G12" s="255">
        <f t="shared" si="2"/>
        <v>1.2199999999999999E-3</v>
      </c>
    </row>
    <row r="14" spans="1:9">
      <c r="A14" t="s">
        <v>59</v>
      </c>
      <c r="B14" s="99">
        <f>$B$20*B6</f>
        <v>-630988.21477817802</v>
      </c>
      <c r="C14" s="99">
        <f t="shared" ref="C14:G14" si="3">$B$20*C6</f>
        <v>-342734.65368636919</v>
      </c>
      <c r="D14" s="99">
        <f t="shared" si="3"/>
        <v>-30913.521446241044</v>
      </c>
      <c r="E14" s="99">
        <f t="shared" si="3"/>
        <v>-25247.251129421271</v>
      </c>
      <c r="F14" s="99">
        <f t="shared" si="3"/>
        <v>-1932.8978928362233</v>
      </c>
      <c r="G14" s="99">
        <f t="shared" si="3"/>
        <v>-252853.56278845528</v>
      </c>
    </row>
    <row r="16" spans="1:9">
      <c r="A16" t="s">
        <v>60</v>
      </c>
      <c r="B16" s="84">
        <f>ROUND(B14/B10,5)</f>
        <v>-4.4999999999999997E-3</v>
      </c>
      <c r="C16" s="84">
        <f t="shared" ref="C16:G16" si="4">ROUND(C14/C10,5)</f>
        <v>-3.31E-3</v>
      </c>
      <c r="D16" s="84">
        <f t="shared" si="4"/>
        <v>-2.3E-3</v>
      </c>
      <c r="E16" s="84">
        <f t="shared" si="4"/>
        <v>-1.5200000000000001E-3</v>
      </c>
      <c r="F16" s="84">
        <f t="shared" si="4"/>
        <v>-8.1999999999999998E-4</v>
      </c>
      <c r="G16" s="84">
        <f t="shared" si="4"/>
        <v>-2.7E-4</v>
      </c>
    </row>
    <row r="17" spans="1:7" ht="15.75" thickBot="1"/>
    <row r="18" spans="1:7" ht="15.75" thickBot="1">
      <c r="A18" s="202" t="s">
        <v>61</v>
      </c>
      <c r="B18" s="284">
        <f>B12+B16</f>
        <v>1.5949999999999999E-2</v>
      </c>
      <c r="C18" s="284">
        <f>C12+C16</f>
        <v>1.172E-2</v>
      </c>
      <c r="D18" s="284">
        <f t="shared" ref="D18:G18" si="5">D12+D16</f>
        <v>8.1399999999999997E-3</v>
      </c>
      <c r="E18" s="284">
        <f t="shared" si="5"/>
        <v>5.3900000000000007E-3</v>
      </c>
      <c r="F18" s="284">
        <f t="shared" si="5"/>
        <v>2.9099999999999998E-3</v>
      </c>
      <c r="G18" s="285">
        <f t="shared" si="5"/>
        <v>9.4999999999999989E-4</v>
      </c>
    </row>
    <row r="20" spans="1:7">
      <c r="A20" t="s">
        <v>62</v>
      </c>
      <c r="B20" s="99">
        <f>'CARES Summary of Def. Accts.'!G19</f>
        <v>-1284670.101721501</v>
      </c>
    </row>
    <row r="21" spans="1:7">
      <c r="A21" t="s">
        <v>63</v>
      </c>
      <c r="B21" s="4">
        <f>'CARES Cost'!B26</f>
        <v>5837089.2499357229</v>
      </c>
    </row>
    <row r="23" spans="1:7">
      <c r="A23" t="s">
        <v>64</v>
      </c>
    </row>
    <row r="24" spans="1:7">
      <c r="A24" t="s">
        <v>65</v>
      </c>
    </row>
  </sheetData>
  <protectedRanges>
    <protectedRange sqref="B5:G5" name="Data"/>
  </protectedRanges>
  <pageMargins left="0.7" right="0.7" top="0.75" bottom="0.75" header="0.3" footer="0.3"/>
  <pageSetup orientation="landscape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2371E4-9BAF-4D4D-9ED5-0A61D8AD4AF7}">
  <dimension ref="A1:O28"/>
  <sheetViews>
    <sheetView view="pageBreakPreview" zoomScale="115" zoomScaleNormal="100" zoomScaleSheetLayoutView="115" workbookViewId="0">
      <selection activeCell="B1" sqref="B1"/>
    </sheetView>
  </sheetViews>
  <sheetFormatPr defaultRowHeight="15.75"/>
  <cols>
    <col min="1" max="1" width="5.28515625" style="105" bestFit="1" customWidth="1"/>
    <col min="2" max="2" width="9.140625" style="105"/>
    <col min="3" max="3" width="18.5703125" style="105" customWidth="1"/>
    <col min="4" max="4" width="11.5703125" style="105" customWidth="1"/>
    <col min="5" max="5" width="15.42578125" style="105" bestFit="1" customWidth="1"/>
    <col min="6" max="6" width="23.28515625" style="105" bestFit="1" customWidth="1"/>
    <col min="7" max="7" width="1.5703125" style="105" customWidth="1"/>
    <col min="8" max="8" width="21.42578125" style="105" customWidth="1"/>
    <col min="9" max="9" width="1.140625" style="105" customWidth="1"/>
    <col min="10" max="10" width="13.140625" style="106" bestFit="1" customWidth="1"/>
    <col min="11" max="11" width="15.140625" style="105" bestFit="1" customWidth="1"/>
    <col min="12" max="12" width="11.5703125" style="105" bestFit="1" customWidth="1"/>
    <col min="13" max="13" width="9.140625" style="105"/>
    <col min="14" max="14" width="13.5703125" style="105" customWidth="1"/>
    <col min="15" max="15" width="10.7109375" style="105" customWidth="1"/>
    <col min="16" max="253" width="9.140625" style="105"/>
    <col min="254" max="254" width="4.28515625" style="105" customWidth="1"/>
    <col min="255" max="255" width="9.140625" style="105"/>
    <col min="256" max="256" width="18.5703125" style="105" customWidth="1"/>
    <col min="257" max="257" width="11.5703125" style="105" customWidth="1"/>
    <col min="258" max="258" width="9" style="105" customWidth="1"/>
    <col min="259" max="259" width="13" style="105" customWidth="1"/>
    <col min="260" max="260" width="3.140625" style="105" customWidth="1"/>
    <col min="261" max="261" width="11.28515625" style="105" customWidth="1"/>
    <col min="262" max="262" width="3.28515625" style="105" customWidth="1"/>
    <col min="263" max="263" width="12.85546875" style="105" customWidth="1"/>
    <col min="264" max="264" width="3.140625" style="105" customWidth="1"/>
    <col min="265" max="266" width="11.140625" style="105" customWidth="1"/>
    <col min="267" max="267" width="0" style="105" hidden="1" customWidth="1"/>
    <col min="268" max="269" width="9.140625" style="105"/>
    <col min="270" max="270" width="13.5703125" style="105" customWidth="1"/>
    <col min="271" max="509" width="9.140625" style="105"/>
    <col min="510" max="510" width="4.28515625" style="105" customWidth="1"/>
    <col min="511" max="511" width="9.140625" style="105"/>
    <col min="512" max="512" width="18.5703125" style="105" customWidth="1"/>
    <col min="513" max="513" width="11.5703125" style="105" customWidth="1"/>
    <col min="514" max="514" width="9" style="105" customWidth="1"/>
    <col min="515" max="515" width="13" style="105" customWidth="1"/>
    <col min="516" max="516" width="3.140625" style="105" customWidth="1"/>
    <col min="517" max="517" width="11.28515625" style="105" customWidth="1"/>
    <col min="518" max="518" width="3.28515625" style="105" customWidth="1"/>
    <col min="519" max="519" width="12.85546875" style="105" customWidth="1"/>
    <col min="520" max="520" width="3.140625" style="105" customWidth="1"/>
    <col min="521" max="522" width="11.140625" style="105" customWidth="1"/>
    <col min="523" max="523" width="0" style="105" hidden="1" customWidth="1"/>
    <col min="524" max="525" width="9.140625" style="105"/>
    <col min="526" max="526" width="13.5703125" style="105" customWidth="1"/>
    <col min="527" max="765" width="9.140625" style="105"/>
    <col min="766" max="766" width="4.28515625" style="105" customWidth="1"/>
    <col min="767" max="767" width="9.140625" style="105"/>
    <col min="768" max="768" width="18.5703125" style="105" customWidth="1"/>
    <col min="769" max="769" width="11.5703125" style="105" customWidth="1"/>
    <col min="770" max="770" width="9" style="105" customWidth="1"/>
    <col min="771" max="771" width="13" style="105" customWidth="1"/>
    <col min="772" max="772" width="3.140625" style="105" customWidth="1"/>
    <col min="773" max="773" width="11.28515625" style="105" customWidth="1"/>
    <col min="774" max="774" width="3.28515625" style="105" customWidth="1"/>
    <col min="775" max="775" width="12.85546875" style="105" customWidth="1"/>
    <col min="776" max="776" width="3.140625" style="105" customWidth="1"/>
    <col min="777" max="778" width="11.140625" style="105" customWidth="1"/>
    <col min="779" max="779" width="0" style="105" hidden="1" customWidth="1"/>
    <col min="780" max="781" width="9.140625" style="105"/>
    <col min="782" max="782" width="13.5703125" style="105" customWidth="1"/>
    <col min="783" max="1021" width="9.140625" style="105"/>
    <col min="1022" max="1022" width="4.28515625" style="105" customWidth="1"/>
    <col min="1023" max="1023" width="9.140625" style="105"/>
    <col min="1024" max="1024" width="18.5703125" style="105" customWidth="1"/>
    <col min="1025" max="1025" width="11.5703125" style="105" customWidth="1"/>
    <col min="1026" max="1026" width="9" style="105" customWidth="1"/>
    <col min="1027" max="1027" width="13" style="105" customWidth="1"/>
    <col min="1028" max="1028" width="3.140625" style="105" customWidth="1"/>
    <col min="1029" max="1029" width="11.28515625" style="105" customWidth="1"/>
    <col min="1030" max="1030" width="3.28515625" style="105" customWidth="1"/>
    <col min="1031" max="1031" width="12.85546875" style="105" customWidth="1"/>
    <col min="1032" max="1032" width="3.140625" style="105" customWidth="1"/>
    <col min="1033" max="1034" width="11.140625" style="105" customWidth="1"/>
    <col min="1035" max="1035" width="0" style="105" hidden="1" customWidth="1"/>
    <col min="1036" max="1037" width="9.140625" style="105"/>
    <col min="1038" max="1038" width="13.5703125" style="105" customWidth="1"/>
    <col min="1039" max="1277" width="9.140625" style="105"/>
    <col min="1278" max="1278" width="4.28515625" style="105" customWidth="1"/>
    <col min="1279" max="1279" width="9.140625" style="105"/>
    <col min="1280" max="1280" width="18.5703125" style="105" customWidth="1"/>
    <col min="1281" max="1281" width="11.5703125" style="105" customWidth="1"/>
    <col min="1282" max="1282" width="9" style="105" customWidth="1"/>
    <col min="1283" max="1283" width="13" style="105" customWidth="1"/>
    <col min="1284" max="1284" width="3.140625" style="105" customWidth="1"/>
    <col min="1285" max="1285" width="11.28515625" style="105" customWidth="1"/>
    <col min="1286" max="1286" width="3.28515625" style="105" customWidth="1"/>
    <col min="1287" max="1287" width="12.85546875" style="105" customWidth="1"/>
    <col min="1288" max="1288" width="3.140625" style="105" customWidth="1"/>
    <col min="1289" max="1290" width="11.140625" style="105" customWidth="1"/>
    <col min="1291" max="1291" width="0" style="105" hidden="1" customWidth="1"/>
    <col min="1292" max="1293" width="9.140625" style="105"/>
    <col min="1294" max="1294" width="13.5703125" style="105" customWidth="1"/>
    <col min="1295" max="1533" width="9.140625" style="105"/>
    <col min="1534" max="1534" width="4.28515625" style="105" customWidth="1"/>
    <col min="1535" max="1535" width="9.140625" style="105"/>
    <col min="1536" max="1536" width="18.5703125" style="105" customWidth="1"/>
    <col min="1537" max="1537" width="11.5703125" style="105" customWidth="1"/>
    <col min="1538" max="1538" width="9" style="105" customWidth="1"/>
    <col min="1539" max="1539" width="13" style="105" customWidth="1"/>
    <col min="1540" max="1540" width="3.140625" style="105" customWidth="1"/>
    <col min="1541" max="1541" width="11.28515625" style="105" customWidth="1"/>
    <col min="1542" max="1542" width="3.28515625" style="105" customWidth="1"/>
    <col min="1543" max="1543" width="12.85546875" style="105" customWidth="1"/>
    <col min="1544" max="1544" width="3.140625" style="105" customWidth="1"/>
    <col min="1545" max="1546" width="11.140625" style="105" customWidth="1"/>
    <col min="1547" max="1547" width="0" style="105" hidden="1" customWidth="1"/>
    <col min="1548" max="1549" width="9.140625" style="105"/>
    <col min="1550" max="1550" width="13.5703125" style="105" customWidth="1"/>
    <col min="1551" max="1789" width="9.140625" style="105"/>
    <col min="1790" max="1790" width="4.28515625" style="105" customWidth="1"/>
    <col min="1791" max="1791" width="9.140625" style="105"/>
    <col min="1792" max="1792" width="18.5703125" style="105" customWidth="1"/>
    <col min="1793" max="1793" width="11.5703125" style="105" customWidth="1"/>
    <col min="1794" max="1794" width="9" style="105" customWidth="1"/>
    <col min="1795" max="1795" width="13" style="105" customWidth="1"/>
    <col min="1796" max="1796" width="3.140625" style="105" customWidth="1"/>
    <col min="1797" max="1797" width="11.28515625" style="105" customWidth="1"/>
    <col min="1798" max="1798" width="3.28515625" style="105" customWidth="1"/>
    <col min="1799" max="1799" width="12.85546875" style="105" customWidth="1"/>
    <col min="1800" max="1800" width="3.140625" style="105" customWidth="1"/>
    <col min="1801" max="1802" width="11.140625" style="105" customWidth="1"/>
    <col min="1803" max="1803" width="0" style="105" hidden="1" customWidth="1"/>
    <col min="1804" max="1805" width="9.140625" style="105"/>
    <col min="1806" max="1806" width="13.5703125" style="105" customWidth="1"/>
    <col min="1807" max="2045" width="9.140625" style="105"/>
    <col min="2046" max="2046" width="4.28515625" style="105" customWidth="1"/>
    <col min="2047" max="2047" width="9.140625" style="105"/>
    <col min="2048" max="2048" width="18.5703125" style="105" customWidth="1"/>
    <col min="2049" max="2049" width="11.5703125" style="105" customWidth="1"/>
    <col min="2050" max="2050" width="9" style="105" customWidth="1"/>
    <col min="2051" max="2051" width="13" style="105" customWidth="1"/>
    <col min="2052" max="2052" width="3.140625" style="105" customWidth="1"/>
    <col min="2053" max="2053" width="11.28515625" style="105" customWidth="1"/>
    <col min="2054" max="2054" width="3.28515625" style="105" customWidth="1"/>
    <col min="2055" max="2055" width="12.85546875" style="105" customWidth="1"/>
    <col min="2056" max="2056" width="3.140625" style="105" customWidth="1"/>
    <col min="2057" max="2058" width="11.140625" style="105" customWidth="1"/>
    <col min="2059" max="2059" width="0" style="105" hidden="1" customWidth="1"/>
    <col min="2060" max="2061" width="9.140625" style="105"/>
    <col min="2062" max="2062" width="13.5703125" style="105" customWidth="1"/>
    <col min="2063" max="2301" width="9.140625" style="105"/>
    <col min="2302" max="2302" width="4.28515625" style="105" customWidth="1"/>
    <col min="2303" max="2303" width="9.140625" style="105"/>
    <col min="2304" max="2304" width="18.5703125" style="105" customWidth="1"/>
    <col min="2305" max="2305" width="11.5703125" style="105" customWidth="1"/>
    <col min="2306" max="2306" width="9" style="105" customWidth="1"/>
    <col min="2307" max="2307" width="13" style="105" customWidth="1"/>
    <col min="2308" max="2308" width="3.140625" style="105" customWidth="1"/>
    <col min="2309" max="2309" width="11.28515625" style="105" customWidth="1"/>
    <col min="2310" max="2310" width="3.28515625" style="105" customWidth="1"/>
    <col min="2311" max="2311" width="12.85546875" style="105" customWidth="1"/>
    <col min="2312" max="2312" width="3.140625" style="105" customWidth="1"/>
    <col min="2313" max="2314" width="11.140625" style="105" customWidth="1"/>
    <col min="2315" max="2315" width="0" style="105" hidden="1" customWidth="1"/>
    <col min="2316" max="2317" width="9.140625" style="105"/>
    <col min="2318" max="2318" width="13.5703125" style="105" customWidth="1"/>
    <col min="2319" max="2557" width="9.140625" style="105"/>
    <col min="2558" max="2558" width="4.28515625" style="105" customWidth="1"/>
    <col min="2559" max="2559" width="9.140625" style="105"/>
    <col min="2560" max="2560" width="18.5703125" style="105" customWidth="1"/>
    <col min="2561" max="2561" width="11.5703125" style="105" customWidth="1"/>
    <col min="2562" max="2562" width="9" style="105" customWidth="1"/>
    <col min="2563" max="2563" width="13" style="105" customWidth="1"/>
    <col min="2564" max="2564" width="3.140625" style="105" customWidth="1"/>
    <col min="2565" max="2565" width="11.28515625" style="105" customWidth="1"/>
    <col min="2566" max="2566" width="3.28515625" style="105" customWidth="1"/>
    <col min="2567" max="2567" width="12.85546875" style="105" customWidth="1"/>
    <col min="2568" max="2568" width="3.140625" style="105" customWidth="1"/>
    <col min="2569" max="2570" width="11.140625" style="105" customWidth="1"/>
    <col min="2571" max="2571" width="0" style="105" hidden="1" customWidth="1"/>
    <col min="2572" max="2573" width="9.140625" style="105"/>
    <col min="2574" max="2574" width="13.5703125" style="105" customWidth="1"/>
    <col min="2575" max="2813" width="9.140625" style="105"/>
    <col min="2814" max="2814" width="4.28515625" style="105" customWidth="1"/>
    <col min="2815" max="2815" width="9.140625" style="105"/>
    <col min="2816" max="2816" width="18.5703125" style="105" customWidth="1"/>
    <col min="2817" max="2817" width="11.5703125" style="105" customWidth="1"/>
    <col min="2818" max="2818" width="9" style="105" customWidth="1"/>
    <col min="2819" max="2819" width="13" style="105" customWidth="1"/>
    <col min="2820" max="2820" width="3.140625" style="105" customWidth="1"/>
    <col min="2821" max="2821" width="11.28515625" style="105" customWidth="1"/>
    <col min="2822" max="2822" width="3.28515625" style="105" customWidth="1"/>
    <col min="2823" max="2823" width="12.85546875" style="105" customWidth="1"/>
    <col min="2824" max="2824" width="3.140625" style="105" customWidth="1"/>
    <col min="2825" max="2826" width="11.140625" style="105" customWidth="1"/>
    <col min="2827" max="2827" width="0" style="105" hidden="1" customWidth="1"/>
    <col min="2828" max="2829" width="9.140625" style="105"/>
    <col min="2830" max="2830" width="13.5703125" style="105" customWidth="1"/>
    <col min="2831" max="3069" width="9.140625" style="105"/>
    <col min="3070" max="3070" width="4.28515625" style="105" customWidth="1"/>
    <col min="3071" max="3071" width="9.140625" style="105"/>
    <col min="3072" max="3072" width="18.5703125" style="105" customWidth="1"/>
    <col min="3073" max="3073" width="11.5703125" style="105" customWidth="1"/>
    <col min="3074" max="3074" width="9" style="105" customWidth="1"/>
    <col min="3075" max="3075" width="13" style="105" customWidth="1"/>
    <col min="3076" max="3076" width="3.140625" style="105" customWidth="1"/>
    <col min="3077" max="3077" width="11.28515625" style="105" customWidth="1"/>
    <col min="3078" max="3078" width="3.28515625" style="105" customWidth="1"/>
    <col min="3079" max="3079" width="12.85546875" style="105" customWidth="1"/>
    <col min="3080" max="3080" width="3.140625" style="105" customWidth="1"/>
    <col min="3081" max="3082" width="11.140625" style="105" customWidth="1"/>
    <col min="3083" max="3083" width="0" style="105" hidden="1" customWidth="1"/>
    <col min="3084" max="3085" width="9.140625" style="105"/>
    <col min="3086" max="3086" width="13.5703125" style="105" customWidth="1"/>
    <col min="3087" max="3325" width="9.140625" style="105"/>
    <col min="3326" max="3326" width="4.28515625" style="105" customWidth="1"/>
    <col min="3327" max="3327" width="9.140625" style="105"/>
    <col min="3328" max="3328" width="18.5703125" style="105" customWidth="1"/>
    <col min="3329" max="3329" width="11.5703125" style="105" customWidth="1"/>
    <col min="3330" max="3330" width="9" style="105" customWidth="1"/>
    <col min="3331" max="3331" width="13" style="105" customWidth="1"/>
    <col min="3332" max="3332" width="3.140625" style="105" customWidth="1"/>
    <col min="3333" max="3333" width="11.28515625" style="105" customWidth="1"/>
    <col min="3334" max="3334" width="3.28515625" style="105" customWidth="1"/>
    <col min="3335" max="3335" width="12.85546875" style="105" customWidth="1"/>
    <col min="3336" max="3336" width="3.140625" style="105" customWidth="1"/>
    <col min="3337" max="3338" width="11.140625" style="105" customWidth="1"/>
    <col min="3339" max="3339" width="0" style="105" hidden="1" customWidth="1"/>
    <col min="3340" max="3341" width="9.140625" style="105"/>
    <col min="3342" max="3342" width="13.5703125" style="105" customWidth="1"/>
    <col min="3343" max="3581" width="9.140625" style="105"/>
    <col min="3582" max="3582" width="4.28515625" style="105" customWidth="1"/>
    <col min="3583" max="3583" width="9.140625" style="105"/>
    <col min="3584" max="3584" width="18.5703125" style="105" customWidth="1"/>
    <col min="3585" max="3585" width="11.5703125" style="105" customWidth="1"/>
    <col min="3586" max="3586" width="9" style="105" customWidth="1"/>
    <col min="3587" max="3587" width="13" style="105" customWidth="1"/>
    <col min="3588" max="3588" width="3.140625" style="105" customWidth="1"/>
    <col min="3589" max="3589" width="11.28515625" style="105" customWidth="1"/>
    <col min="3590" max="3590" width="3.28515625" style="105" customWidth="1"/>
    <col min="3591" max="3591" width="12.85546875" style="105" customWidth="1"/>
    <col min="3592" max="3592" width="3.140625" style="105" customWidth="1"/>
    <col min="3593" max="3594" width="11.140625" style="105" customWidth="1"/>
    <col min="3595" max="3595" width="0" style="105" hidden="1" customWidth="1"/>
    <col min="3596" max="3597" width="9.140625" style="105"/>
    <col min="3598" max="3598" width="13.5703125" style="105" customWidth="1"/>
    <col min="3599" max="3837" width="9.140625" style="105"/>
    <col min="3838" max="3838" width="4.28515625" style="105" customWidth="1"/>
    <col min="3839" max="3839" width="9.140625" style="105"/>
    <col min="3840" max="3840" width="18.5703125" style="105" customWidth="1"/>
    <col min="3841" max="3841" width="11.5703125" style="105" customWidth="1"/>
    <col min="3842" max="3842" width="9" style="105" customWidth="1"/>
    <col min="3843" max="3843" width="13" style="105" customWidth="1"/>
    <col min="3844" max="3844" width="3.140625" style="105" customWidth="1"/>
    <col min="3845" max="3845" width="11.28515625" style="105" customWidth="1"/>
    <col min="3846" max="3846" width="3.28515625" style="105" customWidth="1"/>
    <col min="3847" max="3847" width="12.85546875" style="105" customWidth="1"/>
    <col min="3848" max="3848" width="3.140625" style="105" customWidth="1"/>
    <col min="3849" max="3850" width="11.140625" style="105" customWidth="1"/>
    <col min="3851" max="3851" width="0" style="105" hidden="1" customWidth="1"/>
    <col min="3852" max="3853" width="9.140625" style="105"/>
    <col min="3854" max="3854" width="13.5703125" style="105" customWidth="1"/>
    <col min="3855" max="4093" width="9.140625" style="105"/>
    <col min="4094" max="4094" width="4.28515625" style="105" customWidth="1"/>
    <col min="4095" max="4095" width="9.140625" style="105"/>
    <col min="4096" max="4096" width="18.5703125" style="105" customWidth="1"/>
    <col min="4097" max="4097" width="11.5703125" style="105" customWidth="1"/>
    <col min="4098" max="4098" width="9" style="105" customWidth="1"/>
    <col min="4099" max="4099" width="13" style="105" customWidth="1"/>
    <col min="4100" max="4100" width="3.140625" style="105" customWidth="1"/>
    <col min="4101" max="4101" width="11.28515625" style="105" customWidth="1"/>
    <col min="4102" max="4102" width="3.28515625" style="105" customWidth="1"/>
    <col min="4103" max="4103" width="12.85546875" style="105" customWidth="1"/>
    <col min="4104" max="4104" width="3.140625" style="105" customWidth="1"/>
    <col min="4105" max="4106" width="11.140625" style="105" customWidth="1"/>
    <col min="4107" max="4107" width="0" style="105" hidden="1" customWidth="1"/>
    <col min="4108" max="4109" width="9.140625" style="105"/>
    <col min="4110" max="4110" width="13.5703125" style="105" customWidth="1"/>
    <col min="4111" max="4349" width="9.140625" style="105"/>
    <col min="4350" max="4350" width="4.28515625" style="105" customWidth="1"/>
    <col min="4351" max="4351" width="9.140625" style="105"/>
    <col min="4352" max="4352" width="18.5703125" style="105" customWidth="1"/>
    <col min="4353" max="4353" width="11.5703125" style="105" customWidth="1"/>
    <col min="4354" max="4354" width="9" style="105" customWidth="1"/>
    <col min="4355" max="4355" width="13" style="105" customWidth="1"/>
    <col min="4356" max="4356" width="3.140625" style="105" customWidth="1"/>
    <col min="4357" max="4357" width="11.28515625" style="105" customWidth="1"/>
    <col min="4358" max="4358" width="3.28515625" style="105" customWidth="1"/>
    <col min="4359" max="4359" width="12.85546875" style="105" customWidth="1"/>
    <col min="4360" max="4360" width="3.140625" style="105" customWidth="1"/>
    <col min="4361" max="4362" width="11.140625" style="105" customWidth="1"/>
    <col min="4363" max="4363" width="0" style="105" hidden="1" customWidth="1"/>
    <col min="4364" max="4365" width="9.140625" style="105"/>
    <col min="4366" max="4366" width="13.5703125" style="105" customWidth="1"/>
    <col min="4367" max="4605" width="9.140625" style="105"/>
    <col min="4606" max="4606" width="4.28515625" style="105" customWidth="1"/>
    <col min="4607" max="4607" width="9.140625" style="105"/>
    <col min="4608" max="4608" width="18.5703125" style="105" customWidth="1"/>
    <col min="4609" max="4609" width="11.5703125" style="105" customWidth="1"/>
    <col min="4610" max="4610" width="9" style="105" customWidth="1"/>
    <col min="4611" max="4611" width="13" style="105" customWidth="1"/>
    <col min="4612" max="4612" width="3.140625" style="105" customWidth="1"/>
    <col min="4613" max="4613" width="11.28515625" style="105" customWidth="1"/>
    <col min="4614" max="4614" width="3.28515625" style="105" customWidth="1"/>
    <col min="4615" max="4615" width="12.85546875" style="105" customWidth="1"/>
    <col min="4616" max="4616" width="3.140625" style="105" customWidth="1"/>
    <col min="4617" max="4618" width="11.140625" style="105" customWidth="1"/>
    <col min="4619" max="4619" width="0" style="105" hidden="1" customWidth="1"/>
    <col min="4620" max="4621" width="9.140625" style="105"/>
    <col min="4622" max="4622" width="13.5703125" style="105" customWidth="1"/>
    <col min="4623" max="4861" width="9.140625" style="105"/>
    <col min="4862" max="4862" width="4.28515625" style="105" customWidth="1"/>
    <col min="4863" max="4863" width="9.140625" style="105"/>
    <col min="4864" max="4864" width="18.5703125" style="105" customWidth="1"/>
    <col min="4865" max="4865" width="11.5703125" style="105" customWidth="1"/>
    <col min="4866" max="4866" width="9" style="105" customWidth="1"/>
    <col min="4867" max="4867" width="13" style="105" customWidth="1"/>
    <col min="4868" max="4868" width="3.140625" style="105" customWidth="1"/>
    <col min="4869" max="4869" width="11.28515625" style="105" customWidth="1"/>
    <col min="4870" max="4870" width="3.28515625" style="105" customWidth="1"/>
    <col min="4871" max="4871" width="12.85546875" style="105" customWidth="1"/>
    <col min="4872" max="4872" width="3.140625" style="105" customWidth="1"/>
    <col min="4873" max="4874" width="11.140625" style="105" customWidth="1"/>
    <col min="4875" max="4875" width="0" style="105" hidden="1" customWidth="1"/>
    <col min="4876" max="4877" width="9.140625" style="105"/>
    <col min="4878" max="4878" width="13.5703125" style="105" customWidth="1"/>
    <col min="4879" max="5117" width="9.140625" style="105"/>
    <col min="5118" max="5118" width="4.28515625" style="105" customWidth="1"/>
    <col min="5119" max="5119" width="9.140625" style="105"/>
    <col min="5120" max="5120" width="18.5703125" style="105" customWidth="1"/>
    <col min="5121" max="5121" width="11.5703125" style="105" customWidth="1"/>
    <col min="5122" max="5122" width="9" style="105" customWidth="1"/>
    <col min="5123" max="5123" width="13" style="105" customWidth="1"/>
    <col min="5124" max="5124" width="3.140625" style="105" customWidth="1"/>
    <col min="5125" max="5125" width="11.28515625" style="105" customWidth="1"/>
    <col min="5126" max="5126" width="3.28515625" style="105" customWidth="1"/>
    <col min="5127" max="5127" width="12.85546875" style="105" customWidth="1"/>
    <col min="5128" max="5128" width="3.140625" style="105" customWidth="1"/>
    <col min="5129" max="5130" width="11.140625" style="105" customWidth="1"/>
    <col min="5131" max="5131" width="0" style="105" hidden="1" customWidth="1"/>
    <col min="5132" max="5133" width="9.140625" style="105"/>
    <col min="5134" max="5134" width="13.5703125" style="105" customWidth="1"/>
    <col min="5135" max="5373" width="9.140625" style="105"/>
    <col min="5374" max="5374" width="4.28515625" style="105" customWidth="1"/>
    <col min="5375" max="5375" width="9.140625" style="105"/>
    <col min="5376" max="5376" width="18.5703125" style="105" customWidth="1"/>
    <col min="5377" max="5377" width="11.5703125" style="105" customWidth="1"/>
    <col min="5378" max="5378" width="9" style="105" customWidth="1"/>
    <col min="5379" max="5379" width="13" style="105" customWidth="1"/>
    <col min="5380" max="5380" width="3.140625" style="105" customWidth="1"/>
    <col min="5381" max="5381" width="11.28515625" style="105" customWidth="1"/>
    <col min="5382" max="5382" width="3.28515625" style="105" customWidth="1"/>
    <col min="5383" max="5383" width="12.85546875" style="105" customWidth="1"/>
    <col min="5384" max="5384" width="3.140625" style="105" customWidth="1"/>
    <col min="5385" max="5386" width="11.140625" style="105" customWidth="1"/>
    <col min="5387" max="5387" width="0" style="105" hidden="1" customWidth="1"/>
    <col min="5388" max="5389" width="9.140625" style="105"/>
    <col min="5390" max="5390" width="13.5703125" style="105" customWidth="1"/>
    <col min="5391" max="5629" width="9.140625" style="105"/>
    <col min="5630" max="5630" width="4.28515625" style="105" customWidth="1"/>
    <col min="5631" max="5631" width="9.140625" style="105"/>
    <col min="5632" max="5632" width="18.5703125" style="105" customWidth="1"/>
    <col min="5633" max="5633" width="11.5703125" style="105" customWidth="1"/>
    <col min="5634" max="5634" width="9" style="105" customWidth="1"/>
    <col min="5635" max="5635" width="13" style="105" customWidth="1"/>
    <col min="5636" max="5636" width="3.140625" style="105" customWidth="1"/>
    <col min="5637" max="5637" width="11.28515625" style="105" customWidth="1"/>
    <col min="5638" max="5638" width="3.28515625" style="105" customWidth="1"/>
    <col min="5639" max="5639" width="12.85546875" style="105" customWidth="1"/>
    <col min="5640" max="5640" width="3.140625" style="105" customWidth="1"/>
    <col min="5641" max="5642" width="11.140625" style="105" customWidth="1"/>
    <col min="5643" max="5643" width="0" style="105" hidden="1" customWidth="1"/>
    <col min="5644" max="5645" width="9.140625" style="105"/>
    <col min="5646" max="5646" width="13.5703125" style="105" customWidth="1"/>
    <col min="5647" max="5885" width="9.140625" style="105"/>
    <col min="5886" max="5886" width="4.28515625" style="105" customWidth="1"/>
    <col min="5887" max="5887" width="9.140625" style="105"/>
    <col min="5888" max="5888" width="18.5703125" style="105" customWidth="1"/>
    <col min="5889" max="5889" width="11.5703125" style="105" customWidth="1"/>
    <col min="5890" max="5890" width="9" style="105" customWidth="1"/>
    <col min="5891" max="5891" width="13" style="105" customWidth="1"/>
    <col min="5892" max="5892" width="3.140625" style="105" customWidth="1"/>
    <col min="5893" max="5893" width="11.28515625" style="105" customWidth="1"/>
    <col min="5894" max="5894" width="3.28515625" style="105" customWidth="1"/>
    <col min="5895" max="5895" width="12.85546875" style="105" customWidth="1"/>
    <col min="5896" max="5896" width="3.140625" style="105" customWidth="1"/>
    <col min="5897" max="5898" width="11.140625" style="105" customWidth="1"/>
    <col min="5899" max="5899" width="0" style="105" hidden="1" customWidth="1"/>
    <col min="5900" max="5901" width="9.140625" style="105"/>
    <col min="5902" max="5902" width="13.5703125" style="105" customWidth="1"/>
    <col min="5903" max="6141" width="9.140625" style="105"/>
    <col min="6142" max="6142" width="4.28515625" style="105" customWidth="1"/>
    <col min="6143" max="6143" width="9.140625" style="105"/>
    <col min="6144" max="6144" width="18.5703125" style="105" customWidth="1"/>
    <col min="6145" max="6145" width="11.5703125" style="105" customWidth="1"/>
    <col min="6146" max="6146" width="9" style="105" customWidth="1"/>
    <col min="6147" max="6147" width="13" style="105" customWidth="1"/>
    <col min="6148" max="6148" width="3.140625" style="105" customWidth="1"/>
    <col min="6149" max="6149" width="11.28515625" style="105" customWidth="1"/>
    <col min="6150" max="6150" width="3.28515625" style="105" customWidth="1"/>
    <col min="6151" max="6151" width="12.85546875" style="105" customWidth="1"/>
    <col min="6152" max="6152" width="3.140625" style="105" customWidth="1"/>
    <col min="6153" max="6154" width="11.140625" style="105" customWidth="1"/>
    <col min="6155" max="6155" width="0" style="105" hidden="1" customWidth="1"/>
    <col min="6156" max="6157" width="9.140625" style="105"/>
    <col min="6158" max="6158" width="13.5703125" style="105" customWidth="1"/>
    <col min="6159" max="6397" width="9.140625" style="105"/>
    <col min="6398" max="6398" width="4.28515625" style="105" customWidth="1"/>
    <col min="6399" max="6399" width="9.140625" style="105"/>
    <col min="6400" max="6400" width="18.5703125" style="105" customWidth="1"/>
    <col min="6401" max="6401" width="11.5703125" style="105" customWidth="1"/>
    <col min="6402" max="6402" width="9" style="105" customWidth="1"/>
    <col min="6403" max="6403" width="13" style="105" customWidth="1"/>
    <col min="6404" max="6404" width="3.140625" style="105" customWidth="1"/>
    <col min="6405" max="6405" width="11.28515625" style="105" customWidth="1"/>
    <col min="6406" max="6406" width="3.28515625" style="105" customWidth="1"/>
    <col min="6407" max="6407" width="12.85546875" style="105" customWidth="1"/>
    <col min="6408" max="6408" width="3.140625" style="105" customWidth="1"/>
    <col min="6409" max="6410" width="11.140625" style="105" customWidth="1"/>
    <col min="6411" max="6411" width="0" style="105" hidden="1" customWidth="1"/>
    <col min="6412" max="6413" width="9.140625" style="105"/>
    <col min="6414" max="6414" width="13.5703125" style="105" customWidth="1"/>
    <col min="6415" max="6653" width="9.140625" style="105"/>
    <col min="6654" max="6654" width="4.28515625" style="105" customWidth="1"/>
    <col min="6655" max="6655" width="9.140625" style="105"/>
    <col min="6656" max="6656" width="18.5703125" style="105" customWidth="1"/>
    <col min="6657" max="6657" width="11.5703125" style="105" customWidth="1"/>
    <col min="6658" max="6658" width="9" style="105" customWidth="1"/>
    <col min="6659" max="6659" width="13" style="105" customWidth="1"/>
    <col min="6660" max="6660" width="3.140625" style="105" customWidth="1"/>
    <col min="6661" max="6661" width="11.28515625" style="105" customWidth="1"/>
    <col min="6662" max="6662" width="3.28515625" style="105" customWidth="1"/>
    <col min="6663" max="6663" width="12.85546875" style="105" customWidth="1"/>
    <col min="6664" max="6664" width="3.140625" style="105" customWidth="1"/>
    <col min="6665" max="6666" width="11.140625" style="105" customWidth="1"/>
    <col min="6667" max="6667" width="0" style="105" hidden="1" customWidth="1"/>
    <col min="6668" max="6669" width="9.140625" style="105"/>
    <col min="6670" max="6670" width="13.5703125" style="105" customWidth="1"/>
    <col min="6671" max="6909" width="9.140625" style="105"/>
    <col min="6910" max="6910" width="4.28515625" style="105" customWidth="1"/>
    <col min="6911" max="6911" width="9.140625" style="105"/>
    <col min="6912" max="6912" width="18.5703125" style="105" customWidth="1"/>
    <col min="6913" max="6913" width="11.5703125" style="105" customWidth="1"/>
    <col min="6914" max="6914" width="9" style="105" customWidth="1"/>
    <col min="6915" max="6915" width="13" style="105" customWidth="1"/>
    <col min="6916" max="6916" width="3.140625" style="105" customWidth="1"/>
    <col min="6917" max="6917" width="11.28515625" style="105" customWidth="1"/>
    <col min="6918" max="6918" width="3.28515625" style="105" customWidth="1"/>
    <col min="6919" max="6919" width="12.85546875" style="105" customWidth="1"/>
    <col min="6920" max="6920" width="3.140625" style="105" customWidth="1"/>
    <col min="6921" max="6922" width="11.140625" style="105" customWidth="1"/>
    <col min="6923" max="6923" width="0" style="105" hidden="1" customWidth="1"/>
    <col min="6924" max="6925" width="9.140625" style="105"/>
    <col min="6926" max="6926" width="13.5703125" style="105" customWidth="1"/>
    <col min="6927" max="7165" width="9.140625" style="105"/>
    <col min="7166" max="7166" width="4.28515625" style="105" customWidth="1"/>
    <col min="7167" max="7167" width="9.140625" style="105"/>
    <col min="7168" max="7168" width="18.5703125" style="105" customWidth="1"/>
    <col min="7169" max="7169" width="11.5703125" style="105" customWidth="1"/>
    <col min="7170" max="7170" width="9" style="105" customWidth="1"/>
    <col min="7171" max="7171" width="13" style="105" customWidth="1"/>
    <col min="7172" max="7172" width="3.140625" style="105" customWidth="1"/>
    <col min="7173" max="7173" width="11.28515625" style="105" customWidth="1"/>
    <col min="7174" max="7174" width="3.28515625" style="105" customWidth="1"/>
    <col min="7175" max="7175" width="12.85546875" style="105" customWidth="1"/>
    <col min="7176" max="7176" width="3.140625" style="105" customWidth="1"/>
    <col min="7177" max="7178" width="11.140625" style="105" customWidth="1"/>
    <col min="7179" max="7179" width="0" style="105" hidden="1" customWidth="1"/>
    <col min="7180" max="7181" width="9.140625" style="105"/>
    <col min="7182" max="7182" width="13.5703125" style="105" customWidth="1"/>
    <col min="7183" max="7421" width="9.140625" style="105"/>
    <col min="7422" max="7422" width="4.28515625" style="105" customWidth="1"/>
    <col min="7423" max="7423" width="9.140625" style="105"/>
    <col min="7424" max="7424" width="18.5703125" style="105" customWidth="1"/>
    <col min="7425" max="7425" width="11.5703125" style="105" customWidth="1"/>
    <col min="7426" max="7426" width="9" style="105" customWidth="1"/>
    <col min="7427" max="7427" width="13" style="105" customWidth="1"/>
    <col min="7428" max="7428" width="3.140625" style="105" customWidth="1"/>
    <col min="7429" max="7429" width="11.28515625" style="105" customWidth="1"/>
    <col min="7430" max="7430" width="3.28515625" style="105" customWidth="1"/>
    <col min="7431" max="7431" width="12.85546875" style="105" customWidth="1"/>
    <col min="7432" max="7432" width="3.140625" style="105" customWidth="1"/>
    <col min="7433" max="7434" width="11.140625" style="105" customWidth="1"/>
    <col min="7435" max="7435" width="0" style="105" hidden="1" customWidth="1"/>
    <col min="7436" max="7437" width="9.140625" style="105"/>
    <col min="7438" max="7438" width="13.5703125" style="105" customWidth="1"/>
    <col min="7439" max="7677" width="9.140625" style="105"/>
    <col min="7678" max="7678" width="4.28515625" style="105" customWidth="1"/>
    <col min="7679" max="7679" width="9.140625" style="105"/>
    <col min="7680" max="7680" width="18.5703125" style="105" customWidth="1"/>
    <col min="7681" max="7681" width="11.5703125" style="105" customWidth="1"/>
    <col min="7682" max="7682" width="9" style="105" customWidth="1"/>
    <col min="7683" max="7683" width="13" style="105" customWidth="1"/>
    <col min="7684" max="7684" width="3.140625" style="105" customWidth="1"/>
    <col min="7685" max="7685" width="11.28515625" style="105" customWidth="1"/>
    <col min="7686" max="7686" width="3.28515625" style="105" customWidth="1"/>
    <col min="7687" max="7687" width="12.85546875" style="105" customWidth="1"/>
    <col min="7688" max="7688" width="3.140625" style="105" customWidth="1"/>
    <col min="7689" max="7690" width="11.140625" style="105" customWidth="1"/>
    <col min="7691" max="7691" width="0" style="105" hidden="1" customWidth="1"/>
    <col min="7692" max="7693" width="9.140625" style="105"/>
    <col min="7694" max="7694" width="13.5703125" style="105" customWidth="1"/>
    <col min="7695" max="7933" width="9.140625" style="105"/>
    <col min="7934" max="7934" width="4.28515625" style="105" customWidth="1"/>
    <col min="7935" max="7935" width="9.140625" style="105"/>
    <col min="7936" max="7936" width="18.5703125" style="105" customWidth="1"/>
    <col min="7937" max="7937" width="11.5703125" style="105" customWidth="1"/>
    <col min="7938" max="7938" width="9" style="105" customWidth="1"/>
    <col min="7939" max="7939" width="13" style="105" customWidth="1"/>
    <col min="7940" max="7940" width="3.140625" style="105" customWidth="1"/>
    <col min="7941" max="7941" width="11.28515625" style="105" customWidth="1"/>
    <col min="7942" max="7942" width="3.28515625" style="105" customWidth="1"/>
    <col min="7943" max="7943" width="12.85546875" style="105" customWidth="1"/>
    <col min="7944" max="7944" width="3.140625" style="105" customWidth="1"/>
    <col min="7945" max="7946" width="11.140625" style="105" customWidth="1"/>
    <col min="7947" max="7947" width="0" style="105" hidden="1" customWidth="1"/>
    <col min="7948" max="7949" width="9.140625" style="105"/>
    <col min="7950" max="7950" width="13.5703125" style="105" customWidth="1"/>
    <col min="7951" max="8189" width="9.140625" style="105"/>
    <col min="8190" max="8190" width="4.28515625" style="105" customWidth="1"/>
    <col min="8191" max="8191" width="9.140625" style="105"/>
    <col min="8192" max="8192" width="18.5703125" style="105" customWidth="1"/>
    <col min="8193" max="8193" width="11.5703125" style="105" customWidth="1"/>
    <col min="8194" max="8194" width="9" style="105" customWidth="1"/>
    <col min="8195" max="8195" width="13" style="105" customWidth="1"/>
    <col min="8196" max="8196" width="3.140625" style="105" customWidth="1"/>
    <col min="8197" max="8197" width="11.28515625" style="105" customWidth="1"/>
    <col min="8198" max="8198" width="3.28515625" style="105" customWidth="1"/>
    <col min="8199" max="8199" width="12.85546875" style="105" customWidth="1"/>
    <col min="8200" max="8200" width="3.140625" style="105" customWidth="1"/>
    <col min="8201" max="8202" width="11.140625" style="105" customWidth="1"/>
    <col min="8203" max="8203" width="0" style="105" hidden="1" customWidth="1"/>
    <col min="8204" max="8205" width="9.140625" style="105"/>
    <col min="8206" max="8206" width="13.5703125" style="105" customWidth="1"/>
    <col min="8207" max="8445" width="9.140625" style="105"/>
    <col min="8446" max="8446" width="4.28515625" style="105" customWidth="1"/>
    <col min="8447" max="8447" width="9.140625" style="105"/>
    <col min="8448" max="8448" width="18.5703125" style="105" customWidth="1"/>
    <col min="8449" max="8449" width="11.5703125" style="105" customWidth="1"/>
    <col min="8450" max="8450" width="9" style="105" customWidth="1"/>
    <col min="8451" max="8451" width="13" style="105" customWidth="1"/>
    <col min="8452" max="8452" width="3.140625" style="105" customWidth="1"/>
    <col min="8453" max="8453" width="11.28515625" style="105" customWidth="1"/>
    <col min="8454" max="8454" width="3.28515625" style="105" customWidth="1"/>
    <col min="8455" max="8455" width="12.85546875" style="105" customWidth="1"/>
    <col min="8456" max="8456" width="3.140625" style="105" customWidth="1"/>
    <col min="8457" max="8458" width="11.140625" style="105" customWidth="1"/>
    <col min="8459" max="8459" width="0" style="105" hidden="1" customWidth="1"/>
    <col min="8460" max="8461" width="9.140625" style="105"/>
    <col min="8462" max="8462" width="13.5703125" style="105" customWidth="1"/>
    <col min="8463" max="8701" width="9.140625" style="105"/>
    <col min="8702" max="8702" width="4.28515625" style="105" customWidth="1"/>
    <col min="8703" max="8703" width="9.140625" style="105"/>
    <col min="8704" max="8704" width="18.5703125" style="105" customWidth="1"/>
    <col min="8705" max="8705" width="11.5703125" style="105" customWidth="1"/>
    <col min="8706" max="8706" width="9" style="105" customWidth="1"/>
    <col min="8707" max="8707" width="13" style="105" customWidth="1"/>
    <col min="8708" max="8708" width="3.140625" style="105" customWidth="1"/>
    <col min="8709" max="8709" width="11.28515625" style="105" customWidth="1"/>
    <col min="8710" max="8710" width="3.28515625" style="105" customWidth="1"/>
    <col min="8711" max="8711" width="12.85546875" style="105" customWidth="1"/>
    <col min="8712" max="8712" width="3.140625" style="105" customWidth="1"/>
    <col min="8713" max="8714" width="11.140625" style="105" customWidth="1"/>
    <col min="8715" max="8715" width="0" style="105" hidden="1" customWidth="1"/>
    <col min="8716" max="8717" width="9.140625" style="105"/>
    <col min="8718" max="8718" width="13.5703125" style="105" customWidth="1"/>
    <col min="8719" max="8957" width="9.140625" style="105"/>
    <col min="8958" max="8958" width="4.28515625" style="105" customWidth="1"/>
    <col min="8959" max="8959" width="9.140625" style="105"/>
    <col min="8960" max="8960" width="18.5703125" style="105" customWidth="1"/>
    <col min="8961" max="8961" width="11.5703125" style="105" customWidth="1"/>
    <col min="8962" max="8962" width="9" style="105" customWidth="1"/>
    <col min="8963" max="8963" width="13" style="105" customWidth="1"/>
    <col min="8964" max="8964" width="3.140625" style="105" customWidth="1"/>
    <col min="8965" max="8965" width="11.28515625" style="105" customWidth="1"/>
    <col min="8966" max="8966" width="3.28515625" style="105" customWidth="1"/>
    <col min="8967" max="8967" width="12.85546875" style="105" customWidth="1"/>
    <col min="8968" max="8968" width="3.140625" style="105" customWidth="1"/>
    <col min="8969" max="8970" width="11.140625" style="105" customWidth="1"/>
    <col min="8971" max="8971" width="0" style="105" hidden="1" customWidth="1"/>
    <col min="8972" max="8973" width="9.140625" style="105"/>
    <col min="8974" max="8974" width="13.5703125" style="105" customWidth="1"/>
    <col min="8975" max="9213" width="9.140625" style="105"/>
    <col min="9214" max="9214" width="4.28515625" style="105" customWidth="1"/>
    <col min="9215" max="9215" width="9.140625" style="105"/>
    <col min="9216" max="9216" width="18.5703125" style="105" customWidth="1"/>
    <col min="9217" max="9217" width="11.5703125" style="105" customWidth="1"/>
    <col min="9218" max="9218" width="9" style="105" customWidth="1"/>
    <col min="9219" max="9219" width="13" style="105" customWidth="1"/>
    <col min="9220" max="9220" width="3.140625" style="105" customWidth="1"/>
    <col min="9221" max="9221" width="11.28515625" style="105" customWidth="1"/>
    <col min="9222" max="9222" width="3.28515625" style="105" customWidth="1"/>
    <col min="9223" max="9223" width="12.85546875" style="105" customWidth="1"/>
    <col min="9224" max="9224" width="3.140625" style="105" customWidth="1"/>
    <col min="9225" max="9226" width="11.140625" style="105" customWidth="1"/>
    <col min="9227" max="9227" width="0" style="105" hidden="1" customWidth="1"/>
    <col min="9228" max="9229" width="9.140625" style="105"/>
    <col min="9230" max="9230" width="13.5703125" style="105" customWidth="1"/>
    <col min="9231" max="9469" width="9.140625" style="105"/>
    <col min="9470" max="9470" width="4.28515625" style="105" customWidth="1"/>
    <col min="9471" max="9471" width="9.140625" style="105"/>
    <col min="9472" max="9472" width="18.5703125" style="105" customWidth="1"/>
    <col min="9473" max="9473" width="11.5703125" style="105" customWidth="1"/>
    <col min="9474" max="9474" width="9" style="105" customWidth="1"/>
    <col min="9475" max="9475" width="13" style="105" customWidth="1"/>
    <col min="9476" max="9476" width="3.140625" style="105" customWidth="1"/>
    <col min="9477" max="9477" width="11.28515625" style="105" customWidth="1"/>
    <col min="9478" max="9478" width="3.28515625" style="105" customWidth="1"/>
    <col min="9479" max="9479" width="12.85546875" style="105" customWidth="1"/>
    <col min="9480" max="9480" width="3.140625" style="105" customWidth="1"/>
    <col min="9481" max="9482" width="11.140625" style="105" customWidth="1"/>
    <col min="9483" max="9483" width="0" style="105" hidden="1" customWidth="1"/>
    <col min="9484" max="9485" width="9.140625" style="105"/>
    <col min="9486" max="9486" width="13.5703125" style="105" customWidth="1"/>
    <col min="9487" max="9725" width="9.140625" style="105"/>
    <col min="9726" max="9726" width="4.28515625" style="105" customWidth="1"/>
    <col min="9727" max="9727" width="9.140625" style="105"/>
    <col min="9728" max="9728" width="18.5703125" style="105" customWidth="1"/>
    <col min="9729" max="9729" width="11.5703125" style="105" customWidth="1"/>
    <col min="9730" max="9730" width="9" style="105" customWidth="1"/>
    <col min="9731" max="9731" width="13" style="105" customWidth="1"/>
    <col min="9732" max="9732" width="3.140625" style="105" customWidth="1"/>
    <col min="9733" max="9733" width="11.28515625" style="105" customWidth="1"/>
    <col min="9734" max="9734" width="3.28515625" style="105" customWidth="1"/>
    <col min="9735" max="9735" width="12.85546875" style="105" customWidth="1"/>
    <col min="9736" max="9736" width="3.140625" style="105" customWidth="1"/>
    <col min="9737" max="9738" width="11.140625" style="105" customWidth="1"/>
    <col min="9739" max="9739" width="0" style="105" hidden="1" customWidth="1"/>
    <col min="9740" max="9741" width="9.140625" style="105"/>
    <col min="9742" max="9742" width="13.5703125" style="105" customWidth="1"/>
    <col min="9743" max="9981" width="9.140625" style="105"/>
    <col min="9982" max="9982" width="4.28515625" style="105" customWidth="1"/>
    <col min="9983" max="9983" width="9.140625" style="105"/>
    <col min="9984" max="9984" width="18.5703125" style="105" customWidth="1"/>
    <col min="9985" max="9985" width="11.5703125" style="105" customWidth="1"/>
    <col min="9986" max="9986" width="9" style="105" customWidth="1"/>
    <col min="9987" max="9987" width="13" style="105" customWidth="1"/>
    <col min="9988" max="9988" width="3.140625" style="105" customWidth="1"/>
    <col min="9989" max="9989" width="11.28515625" style="105" customWidth="1"/>
    <col min="9990" max="9990" width="3.28515625" style="105" customWidth="1"/>
    <col min="9991" max="9991" width="12.85546875" style="105" customWidth="1"/>
    <col min="9992" max="9992" width="3.140625" style="105" customWidth="1"/>
    <col min="9993" max="9994" width="11.140625" style="105" customWidth="1"/>
    <col min="9995" max="9995" width="0" style="105" hidden="1" customWidth="1"/>
    <col min="9996" max="9997" width="9.140625" style="105"/>
    <col min="9998" max="9998" width="13.5703125" style="105" customWidth="1"/>
    <col min="9999" max="10237" width="9.140625" style="105"/>
    <col min="10238" max="10238" width="4.28515625" style="105" customWidth="1"/>
    <col min="10239" max="10239" width="9.140625" style="105"/>
    <col min="10240" max="10240" width="18.5703125" style="105" customWidth="1"/>
    <col min="10241" max="10241" width="11.5703125" style="105" customWidth="1"/>
    <col min="10242" max="10242" width="9" style="105" customWidth="1"/>
    <col min="10243" max="10243" width="13" style="105" customWidth="1"/>
    <col min="10244" max="10244" width="3.140625" style="105" customWidth="1"/>
    <col min="10245" max="10245" width="11.28515625" style="105" customWidth="1"/>
    <col min="10246" max="10246" width="3.28515625" style="105" customWidth="1"/>
    <col min="10247" max="10247" width="12.85546875" style="105" customWidth="1"/>
    <col min="10248" max="10248" width="3.140625" style="105" customWidth="1"/>
    <col min="10249" max="10250" width="11.140625" style="105" customWidth="1"/>
    <col min="10251" max="10251" width="0" style="105" hidden="1" customWidth="1"/>
    <col min="10252" max="10253" width="9.140625" style="105"/>
    <col min="10254" max="10254" width="13.5703125" style="105" customWidth="1"/>
    <col min="10255" max="10493" width="9.140625" style="105"/>
    <col min="10494" max="10494" width="4.28515625" style="105" customWidth="1"/>
    <col min="10495" max="10495" width="9.140625" style="105"/>
    <col min="10496" max="10496" width="18.5703125" style="105" customWidth="1"/>
    <col min="10497" max="10497" width="11.5703125" style="105" customWidth="1"/>
    <col min="10498" max="10498" width="9" style="105" customWidth="1"/>
    <col min="10499" max="10499" width="13" style="105" customWidth="1"/>
    <col min="10500" max="10500" width="3.140625" style="105" customWidth="1"/>
    <col min="10501" max="10501" width="11.28515625" style="105" customWidth="1"/>
    <col min="10502" max="10502" width="3.28515625" style="105" customWidth="1"/>
    <col min="10503" max="10503" width="12.85546875" style="105" customWidth="1"/>
    <col min="10504" max="10504" width="3.140625" style="105" customWidth="1"/>
    <col min="10505" max="10506" width="11.140625" style="105" customWidth="1"/>
    <col min="10507" max="10507" width="0" style="105" hidden="1" customWidth="1"/>
    <col min="10508" max="10509" width="9.140625" style="105"/>
    <col min="10510" max="10510" width="13.5703125" style="105" customWidth="1"/>
    <col min="10511" max="10749" width="9.140625" style="105"/>
    <col min="10750" max="10750" width="4.28515625" style="105" customWidth="1"/>
    <col min="10751" max="10751" width="9.140625" style="105"/>
    <col min="10752" max="10752" width="18.5703125" style="105" customWidth="1"/>
    <col min="10753" max="10753" width="11.5703125" style="105" customWidth="1"/>
    <col min="10754" max="10754" width="9" style="105" customWidth="1"/>
    <col min="10755" max="10755" width="13" style="105" customWidth="1"/>
    <col min="10756" max="10756" width="3.140625" style="105" customWidth="1"/>
    <col min="10757" max="10757" width="11.28515625" style="105" customWidth="1"/>
    <col min="10758" max="10758" width="3.28515625" style="105" customWidth="1"/>
    <col min="10759" max="10759" width="12.85546875" style="105" customWidth="1"/>
    <col min="10760" max="10760" width="3.140625" style="105" customWidth="1"/>
    <col min="10761" max="10762" width="11.140625" style="105" customWidth="1"/>
    <col min="10763" max="10763" width="0" style="105" hidden="1" customWidth="1"/>
    <col min="10764" max="10765" width="9.140625" style="105"/>
    <col min="10766" max="10766" width="13.5703125" style="105" customWidth="1"/>
    <col min="10767" max="11005" width="9.140625" style="105"/>
    <col min="11006" max="11006" width="4.28515625" style="105" customWidth="1"/>
    <col min="11007" max="11007" width="9.140625" style="105"/>
    <col min="11008" max="11008" width="18.5703125" style="105" customWidth="1"/>
    <col min="11009" max="11009" width="11.5703125" style="105" customWidth="1"/>
    <col min="11010" max="11010" width="9" style="105" customWidth="1"/>
    <col min="11011" max="11011" width="13" style="105" customWidth="1"/>
    <col min="11012" max="11012" width="3.140625" style="105" customWidth="1"/>
    <col min="11013" max="11013" width="11.28515625" style="105" customWidth="1"/>
    <col min="11014" max="11014" width="3.28515625" style="105" customWidth="1"/>
    <col min="11015" max="11015" width="12.85546875" style="105" customWidth="1"/>
    <col min="11016" max="11016" width="3.140625" style="105" customWidth="1"/>
    <col min="11017" max="11018" width="11.140625" style="105" customWidth="1"/>
    <col min="11019" max="11019" width="0" style="105" hidden="1" customWidth="1"/>
    <col min="11020" max="11021" width="9.140625" style="105"/>
    <col min="11022" max="11022" width="13.5703125" style="105" customWidth="1"/>
    <col min="11023" max="11261" width="9.140625" style="105"/>
    <col min="11262" max="11262" width="4.28515625" style="105" customWidth="1"/>
    <col min="11263" max="11263" width="9.140625" style="105"/>
    <col min="11264" max="11264" width="18.5703125" style="105" customWidth="1"/>
    <col min="11265" max="11265" width="11.5703125" style="105" customWidth="1"/>
    <col min="11266" max="11266" width="9" style="105" customWidth="1"/>
    <col min="11267" max="11267" width="13" style="105" customWidth="1"/>
    <col min="11268" max="11268" width="3.140625" style="105" customWidth="1"/>
    <col min="11269" max="11269" width="11.28515625" style="105" customWidth="1"/>
    <col min="11270" max="11270" width="3.28515625" style="105" customWidth="1"/>
    <col min="11271" max="11271" width="12.85546875" style="105" customWidth="1"/>
    <col min="11272" max="11272" width="3.140625" style="105" customWidth="1"/>
    <col min="11273" max="11274" width="11.140625" style="105" customWidth="1"/>
    <col min="11275" max="11275" width="0" style="105" hidden="1" customWidth="1"/>
    <col min="11276" max="11277" width="9.140625" style="105"/>
    <col min="11278" max="11278" width="13.5703125" style="105" customWidth="1"/>
    <col min="11279" max="11517" width="9.140625" style="105"/>
    <col min="11518" max="11518" width="4.28515625" style="105" customWidth="1"/>
    <col min="11519" max="11519" width="9.140625" style="105"/>
    <col min="11520" max="11520" width="18.5703125" style="105" customWidth="1"/>
    <col min="11521" max="11521" width="11.5703125" style="105" customWidth="1"/>
    <col min="11522" max="11522" width="9" style="105" customWidth="1"/>
    <col min="11523" max="11523" width="13" style="105" customWidth="1"/>
    <col min="11524" max="11524" width="3.140625" style="105" customWidth="1"/>
    <col min="11525" max="11525" width="11.28515625" style="105" customWidth="1"/>
    <col min="11526" max="11526" width="3.28515625" style="105" customWidth="1"/>
    <col min="11527" max="11527" width="12.85546875" style="105" customWidth="1"/>
    <col min="11528" max="11528" width="3.140625" style="105" customWidth="1"/>
    <col min="11529" max="11530" width="11.140625" style="105" customWidth="1"/>
    <col min="11531" max="11531" width="0" style="105" hidden="1" customWidth="1"/>
    <col min="11532" max="11533" width="9.140625" style="105"/>
    <col min="11534" max="11534" width="13.5703125" style="105" customWidth="1"/>
    <col min="11535" max="11773" width="9.140625" style="105"/>
    <col min="11774" max="11774" width="4.28515625" style="105" customWidth="1"/>
    <col min="11775" max="11775" width="9.140625" style="105"/>
    <col min="11776" max="11776" width="18.5703125" style="105" customWidth="1"/>
    <col min="11777" max="11777" width="11.5703125" style="105" customWidth="1"/>
    <col min="11778" max="11778" width="9" style="105" customWidth="1"/>
    <col min="11779" max="11779" width="13" style="105" customWidth="1"/>
    <col min="11780" max="11780" width="3.140625" style="105" customWidth="1"/>
    <col min="11781" max="11781" width="11.28515625" style="105" customWidth="1"/>
    <col min="11782" max="11782" width="3.28515625" style="105" customWidth="1"/>
    <col min="11783" max="11783" width="12.85546875" style="105" customWidth="1"/>
    <col min="11784" max="11784" width="3.140625" style="105" customWidth="1"/>
    <col min="11785" max="11786" width="11.140625" style="105" customWidth="1"/>
    <col min="11787" max="11787" width="0" style="105" hidden="1" customWidth="1"/>
    <col min="11788" max="11789" width="9.140625" style="105"/>
    <col min="11790" max="11790" width="13.5703125" style="105" customWidth="1"/>
    <col min="11791" max="12029" width="9.140625" style="105"/>
    <col min="12030" max="12030" width="4.28515625" style="105" customWidth="1"/>
    <col min="12031" max="12031" width="9.140625" style="105"/>
    <col min="12032" max="12032" width="18.5703125" style="105" customWidth="1"/>
    <col min="12033" max="12033" width="11.5703125" style="105" customWidth="1"/>
    <col min="12034" max="12034" width="9" style="105" customWidth="1"/>
    <col min="12035" max="12035" width="13" style="105" customWidth="1"/>
    <col min="12036" max="12036" width="3.140625" style="105" customWidth="1"/>
    <col min="12037" max="12037" width="11.28515625" style="105" customWidth="1"/>
    <col min="12038" max="12038" width="3.28515625" style="105" customWidth="1"/>
    <col min="12039" max="12039" width="12.85546875" style="105" customWidth="1"/>
    <col min="12040" max="12040" width="3.140625" style="105" customWidth="1"/>
    <col min="12041" max="12042" width="11.140625" style="105" customWidth="1"/>
    <col min="12043" max="12043" width="0" style="105" hidden="1" customWidth="1"/>
    <col min="12044" max="12045" width="9.140625" style="105"/>
    <col min="12046" max="12046" width="13.5703125" style="105" customWidth="1"/>
    <col min="12047" max="12285" width="9.140625" style="105"/>
    <col min="12286" max="12286" width="4.28515625" style="105" customWidth="1"/>
    <col min="12287" max="12287" width="9.140625" style="105"/>
    <col min="12288" max="12288" width="18.5703125" style="105" customWidth="1"/>
    <col min="12289" max="12289" width="11.5703125" style="105" customWidth="1"/>
    <col min="12290" max="12290" width="9" style="105" customWidth="1"/>
    <col min="12291" max="12291" width="13" style="105" customWidth="1"/>
    <col min="12292" max="12292" width="3.140625" style="105" customWidth="1"/>
    <col min="12293" max="12293" width="11.28515625" style="105" customWidth="1"/>
    <col min="12294" max="12294" width="3.28515625" style="105" customWidth="1"/>
    <col min="12295" max="12295" width="12.85546875" style="105" customWidth="1"/>
    <col min="12296" max="12296" width="3.140625" style="105" customWidth="1"/>
    <col min="12297" max="12298" width="11.140625" style="105" customWidth="1"/>
    <col min="12299" max="12299" width="0" style="105" hidden="1" customWidth="1"/>
    <col min="12300" max="12301" width="9.140625" style="105"/>
    <col min="12302" max="12302" width="13.5703125" style="105" customWidth="1"/>
    <col min="12303" max="12541" width="9.140625" style="105"/>
    <col min="12542" max="12542" width="4.28515625" style="105" customWidth="1"/>
    <col min="12543" max="12543" width="9.140625" style="105"/>
    <col min="12544" max="12544" width="18.5703125" style="105" customWidth="1"/>
    <col min="12545" max="12545" width="11.5703125" style="105" customWidth="1"/>
    <col min="12546" max="12546" width="9" style="105" customWidth="1"/>
    <col min="12547" max="12547" width="13" style="105" customWidth="1"/>
    <col min="12548" max="12548" width="3.140625" style="105" customWidth="1"/>
    <col min="12549" max="12549" width="11.28515625" style="105" customWidth="1"/>
    <col min="12550" max="12550" width="3.28515625" style="105" customWidth="1"/>
    <col min="12551" max="12551" width="12.85546875" style="105" customWidth="1"/>
    <col min="12552" max="12552" width="3.140625" style="105" customWidth="1"/>
    <col min="12553" max="12554" width="11.140625" style="105" customWidth="1"/>
    <col min="12555" max="12555" width="0" style="105" hidden="1" customWidth="1"/>
    <col min="12556" max="12557" width="9.140625" style="105"/>
    <col min="12558" max="12558" width="13.5703125" style="105" customWidth="1"/>
    <col min="12559" max="12797" width="9.140625" style="105"/>
    <col min="12798" max="12798" width="4.28515625" style="105" customWidth="1"/>
    <col min="12799" max="12799" width="9.140625" style="105"/>
    <col min="12800" max="12800" width="18.5703125" style="105" customWidth="1"/>
    <col min="12801" max="12801" width="11.5703125" style="105" customWidth="1"/>
    <col min="12802" max="12802" width="9" style="105" customWidth="1"/>
    <col min="12803" max="12803" width="13" style="105" customWidth="1"/>
    <col min="12804" max="12804" width="3.140625" style="105" customWidth="1"/>
    <col min="12805" max="12805" width="11.28515625" style="105" customWidth="1"/>
    <col min="12806" max="12806" width="3.28515625" style="105" customWidth="1"/>
    <col min="12807" max="12807" width="12.85546875" style="105" customWidth="1"/>
    <col min="12808" max="12808" width="3.140625" style="105" customWidth="1"/>
    <col min="12809" max="12810" width="11.140625" style="105" customWidth="1"/>
    <col min="12811" max="12811" width="0" style="105" hidden="1" customWidth="1"/>
    <col min="12812" max="12813" width="9.140625" style="105"/>
    <col min="12814" max="12814" width="13.5703125" style="105" customWidth="1"/>
    <col min="12815" max="13053" width="9.140625" style="105"/>
    <col min="13054" max="13054" width="4.28515625" style="105" customWidth="1"/>
    <col min="13055" max="13055" width="9.140625" style="105"/>
    <col min="13056" max="13056" width="18.5703125" style="105" customWidth="1"/>
    <col min="13057" max="13057" width="11.5703125" style="105" customWidth="1"/>
    <col min="13058" max="13058" width="9" style="105" customWidth="1"/>
    <col min="13059" max="13059" width="13" style="105" customWidth="1"/>
    <col min="13060" max="13060" width="3.140625" style="105" customWidth="1"/>
    <col min="13061" max="13061" width="11.28515625" style="105" customWidth="1"/>
    <col min="13062" max="13062" width="3.28515625" style="105" customWidth="1"/>
    <col min="13063" max="13063" width="12.85546875" style="105" customWidth="1"/>
    <col min="13064" max="13064" width="3.140625" style="105" customWidth="1"/>
    <col min="13065" max="13066" width="11.140625" style="105" customWidth="1"/>
    <col min="13067" max="13067" width="0" style="105" hidden="1" customWidth="1"/>
    <col min="13068" max="13069" width="9.140625" style="105"/>
    <col min="13070" max="13070" width="13.5703125" style="105" customWidth="1"/>
    <col min="13071" max="13309" width="9.140625" style="105"/>
    <col min="13310" max="13310" width="4.28515625" style="105" customWidth="1"/>
    <col min="13311" max="13311" width="9.140625" style="105"/>
    <col min="13312" max="13312" width="18.5703125" style="105" customWidth="1"/>
    <col min="13313" max="13313" width="11.5703125" style="105" customWidth="1"/>
    <col min="13314" max="13314" width="9" style="105" customWidth="1"/>
    <col min="13315" max="13315" width="13" style="105" customWidth="1"/>
    <col min="13316" max="13316" width="3.140625" style="105" customWidth="1"/>
    <col min="13317" max="13317" width="11.28515625" style="105" customWidth="1"/>
    <col min="13318" max="13318" width="3.28515625" style="105" customWidth="1"/>
    <col min="13319" max="13319" width="12.85546875" style="105" customWidth="1"/>
    <col min="13320" max="13320" width="3.140625" style="105" customWidth="1"/>
    <col min="13321" max="13322" width="11.140625" style="105" customWidth="1"/>
    <col min="13323" max="13323" width="0" style="105" hidden="1" customWidth="1"/>
    <col min="13324" max="13325" width="9.140625" style="105"/>
    <col min="13326" max="13326" width="13.5703125" style="105" customWidth="1"/>
    <col min="13327" max="13565" width="9.140625" style="105"/>
    <col min="13566" max="13566" width="4.28515625" style="105" customWidth="1"/>
    <col min="13567" max="13567" width="9.140625" style="105"/>
    <col min="13568" max="13568" width="18.5703125" style="105" customWidth="1"/>
    <col min="13569" max="13569" width="11.5703125" style="105" customWidth="1"/>
    <col min="13570" max="13570" width="9" style="105" customWidth="1"/>
    <col min="13571" max="13571" width="13" style="105" customWidth="1"/>
    <col min="13572" max="13572" width="3.140625" style="105" customWidth="1"/>
    <col min="13573" max="13573" width="11.28515625" style="105" customWidth="1"/>
    <col min="13574" max="13574" width="3.28515625" style="105" customWidth="1"/>
    <col min="13575" max="13575" width="12.85546875" style="105" customWidth="1"/>
    <col min="13576" max="13576" width="3.140625" style="105" customWidth="1"/>
    <col min="13577" max="13578" width="11.140625" style="105" customWidth="1"/>
    <col min="13579" max="13579" width="0" style="105" hidden="1" customWidth="1"/>
    <col min="13580" max="13581" width="9.140625" style="105"/>
    <col min="13582" max="13582" width="13.5703125" style="105" customWidth="1"/>
    <col min="13583" max="13821" width="9.140625" style="105"/>
    <col min="13822" max="13822" width="4.28515625" style="105" customWidth="1"/>
    <col min="13823" max="13823" width="9.140625" style="105"/>
    <col min="13824" max="13824" width="18.5703125" style="105" customWidth="1"/>
    <col min="13825" max="13825" width="11.5703125" style="105" customWidth="1"/>
    <col min="13826" max="13826" width="9" style="105" customWidth="1"/>
    <col min="13827" max="13827" width="13" style="105" customWidth="1"/>
    <col min="13828" max="13828" width="3.140625" style="105" customWidth="1"/>
    <col min="13829" max="13829" width="11.28515625" style="105" customWidth="1"/>
    <col min="13830" max="13830" width="3.28515625" style="105" customWidth="1"/>
    <col min="13831" max="13831" width="12.85546875" style="105" customWidth="1"/>
    <col min="13832" max="13832" width="3.140625" style="105" customWidth="1"/>
    <col min="13833" max="13834" width="11.140625" style="105" customWidth="1"/>
    <col min="13835" max="13835" width="0" style="105" hidden="1" customWidth="1"/>
    <col min="13836" max="13837" width="9.140625" style="105"/>
    <col min="13838" max="13838" width="13.5703125" style="105" customWidth="1"/>
    <col min="13839" max="14077" width="9.140625" style="105"/>
    <col min="14078" max="14078" width="4.28515625" style="105" customWidth="1"/>
    <col min="14079" max="14079" width="9.140625" style="105"/>
    <col min="14080" max="14080" width="18.5703125" style="105" customWidth="1"/>
    <col min="14081" max="14081" width="11.5703125" style="105" customWidth="1"/>
    <col min="14082" max="14082" width="9" style="105" customWidth="1"/>
    <col min="14083" max="14083" width="13" style="105" customWidth="1"/>
    <col min="14084" max="14084" width="3.140625" style="105" customWidth="1"/>
    <col min="14085" max="14085" width="11.28515625" style="105" customWidth="1"/>
    <col min="14086" max="14086" width="3.28515625" style="105" customWidth="1"/>
    <col min="14087" max="14087" width="12.85546875" style="105" customWidth="1"/>
    <col min="14088" max="14088" width="3.140625" style="105" customWidth="1"/>
    <col min="14089" max="14090" width="11.140625" style="105" customWidth="1"/>
    <col min="14091" max="14091" width="0" style="105" hidden="1" customWidth="1"/>
    <col min="14092" max="14093" width="9.140625" style="105"/>
    <col min="14094" max="14094" width="13.5703125" style="105" customWidth="1"/>
    <col min="14095" max="14333" width="9.140625" style="105"/>
    <col min="14334" max="14334" width="4.28515625" style="105" customWidth="1"/>
    <col min="14335" max="14335" width="9.140625" style="105"/>
    <col min="14336" max="14336" width="18.5703125" style="105" customWidth="1"/>
    <col min="14337" max="14337" width="11.5703125" style="105" customWidth="1"/>
    <col min="14338" max="14338" width="9" style="105" customWidth="1"/>
    <col min="14339" max="14339" width="13" style="105" customWidth="1"/>
    <col min="14340" max="14340" width="3.140625" style="105" customWidth="1"/>
    <col min="14341" max="14341" width="11.28515625" style="105" customWidth="1"/>
    <col min="14342" max="14342" width="3.28515625" style="105" customWidth="1"/>
    <col min="14343" max="14343" width="12.85546875" style="105" customWidth="1"/>
    <col min="14344" max="14344" width="3.140625" style="105" customWidth="1"/>
    <col min="14345" max="14346" width="11.140625" style="105" customWidth="1"/>
    <col min="14347" max="14347" width="0" style="105" hidden="1" customWidth="1"/>
    <col min="14348" max="14349" width="9.140625" style="105"/>
    <col min="14350" max="14350" width="13.5703125" style="105" customWidth="1"/>
    <col min="14351" max="14589" width="9.140625" style="105"/>
    <col min="14590" max="14590" width="4.28515625" style="105" customWidth="1"/>
    <col min="14591" max="14591" width="9.140625" style="105"/>
    <col min="14592" max="14592" width="18.5703125" style="105" customWidth="1"/>
    <col min="14593" max="14593" width="11.5703125" style="105" customWidth="1"/>
    <col min="14594" max="14594" width="9" style="105" customWidth="1"/>
    <col min="14595" max="14595" width="13" style="105" customWidth="1"/>
    <col min="14596" max="14596" width="3.140625" style="105" customWidth="1"/>
    <col min="14597" max="14597" width="11.28515625" style="105" customWidth="1"/>
    <col min="14598" max="14598" width="3.28515625" style="105" customWidth="1"/>
    <col min="14599" max="14599" width="12.85546875" style="105" customWidth="1"/>
    <col min="14600" max="14600" width="3.140625" style="105" customWidth="1"/>
    <col min="14601" max="14602" width="11.140625" style="105" customWidth="1"/>
    <col min="14603" max="14603" width="0" style="105" hidden="1" customWidth="1"/>
    <col min="14604" max="14605" width="9.140625" style="105"/>
    <col min="14606" max="14606" width="13.5703125" style="105" customWidth="1"/>
    <col min="14607" max="14845" width="9.140625" style="105"/>
    <col min="14846" max="14846" width="4.28515625" style="105" customWidth="1"/>
    <col min="14847" max="14847" width="9.140625" style="105"/>
    <col min="14848" max="14848" width="18.5703125" style="105" customWidth="1"/>
    <col min="14849" max="14849" width="11.5703125" style="105" customWidth="1"/>
    <col min="14850" max="14850" width="9" style="105" customWidth="1"/>
    <col min="14851" max="14851" width="13" style="105" customWidth="1"/>
    <col min="14852" max="14852" width="3.140625" style="105" customWidth="1"/>
    <col min="14853" max="14853" width="11.28515625" style="105" customWidth="1"/>
    <col min="14854" max="14854" width="3.28515625" style="105" customWidth="1"/>
    <col min="14855" max="14855" width="12.85546875" style="105" customWidth="1"/>
    <col min="14856" max="14856" width="3.140625" style="105" customWidth="1"/>
    <col min="14857" max="14858" width="11.140625" style="105" customWidth="1"/>
    <col min="14859" max="14859" width="0" style="105" hidden="1" customWidth="1"/>
    <col min="14860" max="14861" width="9.140625" style="105"/>
    <col min="14862" max="14862" width="13.5703125" style="105" customWidth="1"/>
    <col min="14863" max="15101" width="9.140625" style="105"/>
    <col min="15102" max="15102" width="4.28515625" style="105" customWidth="1"/>
    <col min="15103" max="15103" width="9.140625" style="105"/>
    <col min="15104" max="15104" width="18.5703125" style="105" customWidth="1"/>
    <col min="15105" max="15105" width="11.5703125" style="105" customWidth="1"/>
    <col min="15106" max="15106" width="9" style="105" customWidth="1"/>
    <col min="15107" max="15107" width="13" style="105" customWidth="1"/>
    <col min="15108" max="15108" width="3.140625" style="105" customWidth="1"/>
    <col min="15109" max="15109" width="11.28515625" style="105" customWidth="1"/>
    <col min="15110" max="15110" width="3.28515625" style="105" customWidth="1"/>
    <col min="15111" max="15111" width="12.85546875" style="105" customWidth="1"/>
    <col min="15112" max="15112" width="3.140625" style="105" customWidth="1"/>
    <col min="15113" max="15114" width="11.140625" style="105" customWidth="1"/>
    <col min="15115" max="15115" width="0" style="105" hidden="1" customWidth="1"/>
    <col min="15116" max="15117" width="9.140625" style="105"/>
    <col min="15118" max="15118" width="13.5703125" style="105" customWidth="1"/>
    <col min="15119" max="15357" width="9.140625" style="105"/>
    <col min="15358" max="15358" width="4.28515625" style="105" customWidth="1"/>
    <col min="15359" max="15359" width="9.140625" style="105"/>
    <col min="15360" max="15360" width="18.5703125" style="105" customWidth="1"/>
    <col min="15361" max="15361" width="11.5703125" style="105" customWidth="1"/>
    <col min="15362" max="15362" width="9" style="105" customWidth="1"/>
    <col min="15363" max="15363" width="13" style="105" customWidth="1"/>
    <col min="15364" max="15364" width="3.140625" style="105" customWidth="1"/>
    <col min="15365" max="15365" width="11.28515625" style="105" customWidth="1"/>
    <col min="15366" max="15366" width="3.28515625" style="105" customWidth="1"/>
    <col min="15367" max="15367" width="12.85546875" style="105" customWidth="1"/>
    <col min="15368" max="15368" width="3.140625" style="105" customWidth="1"/>
    <col min="15369" max="15370" width="11.140625" style="105" customWidth="1"/>
    <col min="15371" max="15371" width="0" style="105" hidden="1" customWidth="1"/>
    <col min="15372" max="15373" width="9.140625" style="105"/>
    <col min="15374" max="15374" width="13.5703125" style="105" customWidth="1"/>
    <col min="15375" max="15613" width="9.140625" style="105"/>
    <col min="15614" max="15614" width="4.28515625" style="105" customWidth="1"/>
    <col min="15615" max="15615" width="9.140625" style="105"/>
    <col min="15616" max="15616" width="18.5703125" style="105" customWidth="1"/>
    <col min="15617" max="15617" width="11.5703125" style="105" customWidth="1"/>
    <col min="15618" max="15618" width="9" style="105" customWidth="1"/>
    <col min="15619" max="15619" width="13" style="105" customWidth="1"/>
    <col min="15620" max="15620" width="3.140625" style="105" customWidth="1"/>
    <col min="15621" max="15621" width="11.28515625" style="105" customWidth="1"/>
    <col min="15622" max="15622" width="3.28515625" style="105" customWidth="1"/>
    <col min="15623" max="15623" width="12.85546875" style="105" customWidth="1"/>
    <col min="15624" max="15624" width="3.140625" style="105" customWidth="1"/>
    <col min="15625" max="15626" width="11.140625" style="105" customWidth="1"/>
    <col min="15627" max="15627" width="0" style="105" hidden="1" customWidth="1"/>
    <col min="15628" max="15629" width="9.140625" style="105"/>
    <col min="15630" max="15630" width="13.5703125" style="105" customWidth="1"/>
    <col min="15631" max="15869" width="9.140625" style="105"/>
    <col min="15870" max="15870" width="4.28515625" style="105" customWidth="1"/>
    <col min="15871" max="15871" width="9.140625" style="105"/>
    <col min="15872" max="15872" width="18.5703125" style="105" customWidth="1"/>
    <col min="15873" max="15873" width="11.5703125" style="105" customWidth="1"/>
    <col min="15874" max="15874" width="9" style="105" customWidth="1"/>
    <col min="15875" max="15875" width="13" style="105" customWidth="1"/>
    <col min="15876" max="15876" width="3.140625" style="105" customWidth="1"/>
    <col min="15877" max="15877" width="11.28515625" style="105" customWidth="1"/>
    <col min="15878" max="15878" width="3.28515625" style="105" customWidth="1"/>
    <col min="15879" max="15879" width="12.85546875" style="105" customWidth="1"/>
    <col min="15880" max="15880" width="3.140625" style="105" customWidth="1"/>
    <col min="15881" max="15882" width="11.140625" style="105" customWidth="1"/>
    <col min="15883" max="15883" width="0" style="105" hidden="1" customWidth="1"/>
    <col min="15884" max="15885" width="9.140625" style="105"/>
    <col min="15886" max="15886" width="13.5703125" style="105" customWidth="1"/>
    <col min="15887" max="16125" width="9.140625" style="105"/>
    <col min="16126" max="16126" width="4.28515625" style="105" customWidth="1"/>
    <col min="16127" max="16127" width="9.140625" style="105"/>
    <col min="16128" max="16128" width="18.5703125" style="105" customWidth="1"/>
    <col min="16129" max="16129" width="11.5703125" style="105" customWidth="1"/>
    <col min="16130" max="16130" width="9" style="105" customWidth="1"/>
    <col min="16131" max="16131" width="13" style="105" customWidth="1"/>
    <col min="16132" max="16132" width="3.140625" style="105" customWidth="1"/>
    <col min="16133" max="16133" width="11.28515625" style="105" customWidth="1"/>
    <col min="16134" max="16134" width="3.28515625" style="105" customWidth="1"/>
    <col min="16135" max="16135" width="12.85546875" style="105" customWidth="1"/>
    <col min="16136" max="16136" width="3.140625" style="105" customWidth="1"/>
    <col min="16137" max="16138" width="11.140625" style="105" customWidth="1"/>
    <col min="16139" max="16139" width="0" style="105" hidden="1" customWidth="1"/>
    <col min="16140" max="16141" width="9.140625" style="105"/>
    <col min="16142" max="16142" width="13.5703125" style="105" customWidth="1"/>
    <col min="16143" max="16384" width="9.140625" style="105"/>
  </cols>
  <sheetData>
    <row r="1" spans="1:12" ht="18.75">
      <c r="A1" s="349" t="s">
        <v>0</v>
      </c>
      <c r="B1" s="180"/>
      <c r="H1" s="159"/>
      <c r="J1" s="105"/>
    </row>
    <row r="2" spans="1:12">
      <c r="A2" s="344" t="s">
        <v>1</v>
      </c>
      <c r="H2" s="159"/>
      <c r="J2" s="159"/>
    </row>
    <row r="3" spans="1:12">
      <c r="A3" s="180"/>
      <c r="H3" s="159"/>
      <c r="J3" s="159"/>
    </row>
    <row r="4" spans="1:12">
      <c r="C4" s="178" t="s">
        <v>66</v>
      </c>
      <c r="D4" s="170"/>
      <c r="E4" s="170"/>
      <c r="F4" s="170"/>
      <c r="G4" s="170"/>
      <c r="H4" s="170"/>
      <c r="I4" s="170"/>
      <c r="J4" s="177"/>
      <c r="K4" s="170"/>
    </row>
    <row r="5" spans="1:12">
      <c r="C5" s="179" t="s">
        <v>67</v>
      </c>
      <c r="D5" s="170"/>
      <c r="E5" s="170"/>
      <c r="F5" s="170"/>
      <c r="G5" s="170"/>
      <c r="H5" s="170"/>
      <c r="I5" s="170"/>
      <c r="J5" s="177"/>
      <c r="K5" s="170"/>
    </row>
    <row r="6" spans="1:12">
      <c r="C6" s="392" t="s">
        <v>68</v>
      </c>
      <c r="D6" s="393"/>
      <c r="E6" s="393"/>
      <c r="F6" s="393"/>
      <c r="G6" s="393"/>
      <c r="H6" s="393"/>
      <c r="I6" s="393"/>
      <c r="J6" s="393"/>
      <c r="K6" s="393"/>
    </row>
    <row r="7" spans="1:12">
      <c r="C7" s="178" t="s">
        <v>69</v>
      </c>
      <c r="D7" s="170"/>
      <c r="E7" s="170"/>
      <c r="F7" s="170"/>
      <c r="G7" s="170"/>
      <c r="H7" s="170"/>
      <c r="I7" s="170"/>
      <c r="J7" s="177"/>
      <c r="K7" s="170"/>
    </row>
    <row r="9" spans="1:12">
      <c r="A9" s="131"/>
      <c r="B9" s="135"/>
      <c r="C9" s="174"/>
      <c r="D9" s="174"/>
      <c r="E9" s="176"/>
      <c r="F9" s="176"/>
      <c r="G9" s="131"/>
      <c r="H9" s="134"/>
      <c r="I9" s="174"/>
      <c r="J9" s="175" t="s">
        <v>70</v>
      </c>
      <c r="K9" s="174"/>
      <c r="L9" s="131"/>
    </row>
    <row r="10" spans="1:12">
      <c r="A10" s="172" t="s">
        <v>71</v>
      </c>
      <c r="C10" s="173"/>
      <c r="D10" s="158" t="s">
        <v>72</v>
      </c>
      <c r="E10" s="158" t="s">
        <v>73</v>
      </c>
      <c r="F10" s="158" t="s">
        <v>74</v>
      </c>
      <c r="G10" s="161"/>
      <c r="H10" s="160" t="s">
        <v>75</v>
      </c>
      <c r="I10" s="154"/>
      <c r="J10" s="171" t="s">
        <v>76</v>
      </c>
      <c r="K10" s="169" t="s">
        <v>77</v>
      </c>
      <c r="L10" s="160" t="s">
        <v>78</v>
      </c>
    </row>
    <row r="11" spans="1:12">
      <c r="A11" s="172" t="s">
        <v>79</v>
      </c>
      <c r="B11" s="170" t="s">
        <v>80</v>
      </c>
      <c r="C11" s="169"/>
      <c r="D11" s="158" t="s">
        <v>81</v>
      </c>
      <c r="E11" s="158" t="s">
        <v>82</v>
      </c>
      <c r="F11" s="158" t="s">
        <v>83</v>
      </c>
      <c r="G11" s="161"/>
      <c r="H11" s="160" t="s">
        <v>84</v>
      </c>
      <c r="I11" s="154"/>
      <c r="J11" s="171" t="s">
        <v>85</v>
      </c>
      <c r="K11" s="169" t="s">
        <v>85</v>
      </c>
      <c r="L11" s="160" t="s">
        <v>85</v>
      </c>
    </row>
    <row r="12" spans="1:12">
      <c r="A12" s="161"/>
      <c r="B12" s="170" t="s">
        <v>36</v>
      </c>
      <c r="C12" s="169"/>
      <c r="D12" s="158" t="s">
        <v>37</v>
      </c>
      <c r="E12" s="158" t="s">
        <v>38</v>
      </c>
      <c r="F12" s="158" t="s">
        <v>39</v>
      </c>
      <c r="G12" s="161"/>
      <c r="H12" s="160" t="s">
        <v>86</v>
      </c>
      <c r="I12" s="154"/>
      <c r="J12" s="168" t="s">
        <v>87</v>
      </c>
      <c r="K12" s="158" t="s">
        <v>88</v>
      </c>
      <c r="L12" s="151" t="s">
        <v>89</v>
      </c>
    </row>
    <row r="13" spans="1:12">
      <c r="A13" s="167"/>
      <c r="B13" s="166" t="s">
        <v>90</v>
      </c>
      <c r="C13" s="165"/>
      <c r="D13" s="165"/>
      <c r="E13" s="165"/>
      <c r="F13" s="149"/>
      <c r="G13" s="164"/>
      <c r="H13" s="145"/>
      <c r="I13" s="165"/>
      <c r="J13" s="146"/>
      <c r="K13" s="164"/>
      <c r="L13" s="164"/>
    </row>
    <row r="14" spans="1:12">
      <c r="A14" s="161"/>
      <c r="B14" s="159"/>
      <c r="C14" s="154"/>
      <c r="D14" s="154"/>
      <c r="E14" s="154"/>
      <c r="F14" s="154"/>
      <c r="G14" s="161"/>
      <c r="H14" s="161"/>
      <c r="I14" s="154"/>
      <c r="J14" s="163"/>
      <c r="K14" s="154"/>
      <c r="L14" s="131"/>
    </row>
    <row r="15" spans="1:12">
      <c r="A15" s="161"/>
      <c r="B15" s="159"/>
      <c r="C15" s="162"/>
      <c r="D15" s="158"/>
      <c r="E15" s="157"/>
      <c r="F15" s="157"/>
      <c r="G15" s="156"/>
      <c r="H15" s="155"/>
      <c r="I15" s="154"/>
      <c r="J15" s="153"/>
      <c r="K15" s="157"/>
      <c r="L15" s="161"/>
    </row>
    <row r="16" spans="1:12">
      <c r="A16" s="160">
        <v>1</v>
      </c>
      <c r="B16" s="159" t="s">
        <v>91</v>
      </c>
      <c r="C16" s="162"/>
      <c r="D16" s="158" t="s">
        <v>92</v>
      </c>
      <c r="E16" s="157">
        <f>'Bills-Therms-Revs'!F16</f>
        <v>204189</v>
      </c>
      <c r="F16" s="157">
        <f>'Forecasted Volumes'!C20</f>
        <v>140216275.3119559</v>
      </c>
      <c r="G16" s="156"/>
      <c r="H16" s="370">
        <f>'Bills-Therms-Revs'!I16</f>
        <v>184270124.75999999</v>
      </c>
      <c r="I16" s="154"/>
      <c r="J16" s="246">
        <f>'CARES Incremental Rate'!F12</f>
        <v>3.5699999999999985E-3</v>
      </c>
      <c r="K16" s="375">
        <f>F16*J16</f>
        <v>500572.10286368238</v>
      </c>
      <c r="L16" s="152">
        <f t="shared" ref="L16:L21" si="0">+K16/H16</f>
        <v>2.7165125302630873E-3</v>
      </c>
    </row>
    <row r="17" spans="1:15">
      <c r="A17" s="160">
        <v>2</v>
      </c>
      <c r="B17" s="159" t="s">
        <v>93</v>
      </c>
      <c r="C17" s="154"/>
      <c r="D17" s="158" t="s">
        <v>94</v>
      </c>
      <c r="E17" s="157">
        <f>'Bills-Therms-Revs'!F18</f>
        <v>27579</v>
      </c>
      <c r="F17" s="157">
        <f>'Forecasted Volumes'!D20</f>
        <v>103631783.38918559</v>
      </c>
      <c r="G17" s="161"/>
      <c r="H17" s="370">
        <f>'Bills-Therms-Revs'!I18+'Bills-Therms-Revs'!I21+'Bills-Therms-Revs'!I22</f>
        <v>124333137.98999999</v>
      </c>
      <c r="I17" s="154"/>
      <c r="J17" s="246">
        <f>'CARES Incremental Rate'!F13</f>
        <v>2.2199999999999998E-3</v>
      </c>
      <c r="K17" s="375">
        <f>F17*J17</f>
        <v>230062.55912399199</v>
      </c>
      <c r="L17" s="152">
        <f t="shared" si="0"/>
        <v>1.8503720154034536E-3</v>
      </c>
    </row>
    <row r="18" spans="1:15">
      <c r="A18" s="160">
        <v>3</v>
      </c>
      <c r="B18" s="159" t="s">
        <v>95</v>
      </c>
      <c r="C18" s="162"/>
      <c r="D18" s="158" t="s">
        <v>96</v>
      </c>
      <c r="E18" s="157">
        <f>'Bills-Therms-Revs'!F28</f>
        <v>495</v>
      </c>
      <c r="F18" s="157">
        <f>'Forecasted Volumes'!E20</f>
        <v>13457822.341199517</v>
      </c>
      <c r="G18" s="161"/>
      <c r="H18" s="370">
        <f>'Bills-Therms-Revs'!I28+'Bills-Therms-Revs'!I30+'Bills-Therms-Revs'!I31</f>
        <v>14347313.25</v>
      </c>
      <c r="I18" s="154"/>
      <c r="J18" s="246">
        <f>'CARES Incremental Rate'!F14</f>
        <v>2.1399999999999995E-3</v>
      </c>
      <c r="K18" s="375">
        <f>F18*J18</f>
        <v>28799.739810166961</v>
      </c>
      <c r="L18" s="152">
        <f t="shared" si="0"/>
        <v>2.0073263410601955E-3</v>
      </c>
    </row>
    <row r="19" spans="1:15">
      <c r="A19" s="160">
        <v>4</v>
      </c>
      <c r="B19" s="159" t="s">
        <v>97</v>
      </c>
      <c r="C19" s="154"/>
      <c r="D19" s="158" t="s">
        <v>98</v>
      </c>
      <c r="E19" s="157">
        <f>'Bills-Therms-Revs'!F19+'Bills-Therms-Revs'!F29</f>
        <v>99</v>
      </c>
      <c r="F19" s="157">
        <f>'Forecasted Volumes'!F20</f>
        <v>16601133.000301499</v>
      </c>
      <c r="G19" s="156"/>
      <c r="H19" s="370">
        <f>'Bills-Therms-Revs'!I19+'Bills-Therms-Revs'!I23+'Bills-Therms-Revs'!I24+'Bills-Therms-Revs'!I29</f>
        <v>17512226.16</v>
      </c>
      <c r="I19" s="157"/>
      <c r="J19" s="246">
        <f>'CARES Incremental Rate'!F15</f>
        <v>2.3000000000000104E-4</v>
      </c>
      <c r="K19" s="375">
        <f>F19*J19</f>
        <v>3818.260590069362</v>
      </c>
      <c r="L19" s="152">
        <f t="shared" si="0"/>
        <v>2.1803399266226482E-4</v>
      </c>
    </row>
    <row r="20" spans="1:15">
      <c r="A20" s="160">
        <v>5</v>
      </c>
      <c r="B20" s="159" t="s">
        <v>99</v>
      </c>
      <c r="C20" s="154"/>
      <c r="D20" s="158" t="s">
        <v>100</v>
      </c>
      <c r="E20" s="157">
        <f>'Bills-Therms-Revs'!F34</f>
        <v>7</v>
      </c>
      <c r="F20" s="157">
        <f>'Forecasted Volumes'!G20</f>
        <v>2353804.9573574951</v>
      </c>
      <c r="G20" s="156"/>
      <c r="H20" s="370">
        <f>'Bills-Therms-Revs'!I39</f>
        <v>2109806.16</v>
      </c>
      <c r="I20" s="154"/>
      <c r="J20" s="246">
        <f>'CARES Incremental Rate'!F16</f>
        <v>7.6999999999999985E-4</v>
      </c>
      <c r="K20" s="375">
        <f>F20*J20</f>
        <v>1812.4298171652708</v>
      </c>
      <c r="L20" s="152">
        <f t="shared" si="0"/>
        <v>8.590503959687324E-4</v>
      </c>
    </row>
    <row r="21" spans="1:15">
      <c r="A21" s="151">
        <v>6</v>
      </c>
      <c r="B21" s="150" t="s">
        <v>101</v>
      </c>
      <c r="C21" s="149"/>
      <c r="D21" s="149"/>
      <c r="E21" s="147">
        <f>SUM(E16:E20)</f>
        <v>232369</v>
      </c>
      <c r="F21" s="148">
        <f>SUM(F16:F20)</f>
        <v>276260818.99999994</v>
      </c>
      <c r="G21" s="145"/>
      <c r="H21" s="371">
        <f>SUM(H16:H20)</f>
        <v>342572608.32000005</v>
      </c>
      <c r="I21" s="147"/>
      <c r="J21" s="146"/>
      <c r="K21" s="376">
        <f>SUM(K16:K20)</f>
        <v>765065.09220507601</v>
      </c>
      <c r="L21" s="109">
        <f t="shared" si="0"/>
        <v>2.2332932453560969E-3</v>
      </c>
    </row>
    <row r="22" spans="1:15">
      <c r="A22" s="144"/>
      <c r="B22" s="143" t="s">
        <v>102</v>
      </c>
      <c r="C22" s="142"/>
      <c r="D22" s="142"/>
      <c r="E22" s="141"/>
      <c r="F22" s="141"/>
      <c r="G22" s="140"/>
      <c r="H22" s="139"/>
      <c r="J22" s="138"/>
      <c r="K22" s="137"/>
      <c r="L22" s="117"/>
    </row>
    <row r="23" spans="1:15">
      <c r="A23" s="125">
        <v>7</v>
      </c>
      <c r="B23" s="136" t="s">
        <v>103</v>
      </c>
      <c r="C23" s="135"/>
      <c r="D23" s="134">
        <v>663</v>
      </c>
      <c r="E23" s="133">
        <f>'Bills-Therms-Revs'!F44</f>
        <v>192</v>
      </c>
      <c r="F23" s="132">
        <f>'Forecasted Volumes'!H20</f>
        <v>940213064</v>
      </c>
      <c r="G23" s="131"/>
      <c r="H23" s="372">
        <f>'Bills-Therms-Revs'!I44</f>
        <v>30374009</v>
      </c>
      <c r="J23" s="247">
        <f>'CARES Incremental Rate'!F17</f>
        <v>-7.0000000000000184E-5</v>
      </c>
      <c r="K23" s="377">
        <f>+F23*J23</f>
        <v>-65814.914480000167</v>
      </c>
      <c r="L23" s="109">
        <f>+K23/H23</f>
        <v>-2.1668168492344942E-3</v>
      </c>
    </row>
    <row r="24" spans="1:15">
      <c r="A24" s="129">
        <v>8</v>
      </c>
      <c r="B24" s="115" t="s">
        <v>104</v>
      </c>
      <c r="C24" s="114"/>
      <c r="D24" s="128"/>
      <c r="E24" s="127">
        <f>SUM(E23:E23)</f>
        <v>192</v>
      </c>
      <c r="F24" s="126">
        <f>SUM(F23:F23)</f>
        <v>940213064</v>
      </c>
      <c r="G24" s="122"/>
      <c r="H24" s="373">
        <f>SUM(H23:H23)</f>
        <v>30374009</v>
      </c>
      <c r="I24" s="120"/>
      <c r="J24" s="110"/>
      <c r="K24" s="378">
        <f>+K23</f>
        <v>-65814.914480000167</v>
      </c>
      <c r="L24" s="109"/>
    </row>
    <row r="25" spans="1:15">
      <c r="A25" s="125"/>
      <c r="B25" s="124"/>
      <c r="C25" s="120"/>
      <c r="D25" s="120"/>
      <c r="E25" s="121"/>
      <c r="F25" s="123"/>
      <c r="G25" s="122"/>
      <c r="H25" s="121"/>
      <c r="I25" s="120"/>
      <c r="J25" s="119"/>
      <c r="K25" s="118"/>
      <c r="L25" s="117"/>
    </row>
    <row r="26" spans="1:15">
      <c r="A26" s="116">
        <v>9</v>
      </c>
      <c r="B26" s="115" t="s">
        <v>105</v>
      </c>
      <c r="C26" s="114"/>
      <c r="D26" s="114"/>
      <c r="E26" s="112">
        <f>+E24+E21</f>
        <v>232561</v>
      </c>
      <c r="F26" s="113">
        <f>+F24+F21</f>
        <v>1216473883</v>
      </c>
      <c r="G26" s="112"/>
      <c r="H26" s="374">
        <f>+H24+H21</f>
        <v>372946617.32000005</v>
      </c>
      <c r="I26" s="111"/>
      <c r="J26" s="110"/>
      <c r="K26" s="379">
        <f>+K24+K21</f>
        <v>699250.17772507586</v>
      </c>
      <c r="L26" s="109">
        <f>+K26/H26</f>
        <v>1.8749336909123834E-3</v>
      </c>
    </row>
    <row r="28" spans="1:15">
      <c r="N28" s="108"/>
      <c r="O28" s="107"/>
    </row>
  </sheetData>
  <mergeCells count="1">
    <mergeCell ref="C6:K6"/>
  </mergeCells>
  <printOptions horizontalCentered="1"/>
  <pageMargins left="0.5" right="0.5" top="1" bottom="1" header="0.5" footer="0.5"/>
  <pageSetup scale="67" orientation="landscape" r:id="rId1"/>
  <headerFooter scaleWithDoc="0" alignWithMargins="0">
    <oddFooter>&amp;LTab Name: 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6AF153-6DAC-41D1-A94D-FF0A0730A1B3}">
  <sheetPr>
    <pageSetUpPr fitToPage="1"/>
  </sheetPr>
  <dimension ref="A1:V27"/>
  <sheetViews>
    <sheetView view="pageBreakPreview" zoomScale="115" zoomScaleNormal="100" zoomScaleSheetLayoutView="115" workbookViewId="0">
      <selection activeCell="B1" sqref="B1"/>
    </sheetView>
  </sheetViews>
  <sheetFormatPr defaultColWidth="9.140625" defaultRowHeight="15"/>
  <cols>
    <col min="1" max="1" width="6.7109375" style="207" customWidth="1"/>
    <col min="2" max="2" width="22.28515625" style="207" customWidth="1"/>
    <col min="3" max="3" width="12.140625" style="207" customWidth="1"/>
    <col min="4" max="4" width="13.85546875" style="207" customWidth="1"/>
    <col min="5" max="5" width="17" style="207" customWidth="1"/>
    <col min="6" max="6" width="16.5703125" style="207" customWidth="1"/>
    <col min="7" max="7" width="16.7109375" style="207" customWidth="1"/>
    <col min="8" max="8" width="4.42578125" style="207" customWidth="1"/>
    <col min="9" max="9" width="15.42578125" style="207" customWidth="1"/>
    <col min="10" max="10" width="13.85546875" style="207" customWidth="1"/>
    <col min="11" max="12" width="11.85546875" style="207" customWidth="1"/>
    <col min="13" max="13" width="12.7109375" style="207" customWidth="1"/>
    <col min="14" max="14" width="11.42578125" style="207" customWidth="1"/>
    <col min="15" max="15" width="16.85546875" style="207" customWidth="1"/>
    <col min="16" max="17" width="11.42578125" style="207" customWidth="1"/>
    <col min="18" max="18" width="13.7109375" style="207" customWidth="1"/>
    <col min="19" max="19" width="12.140625" style="207" customWidth="1"/>
    <col min="20" max="20" width="14.5703125" style="207" customWidth="1"/>
    <col min="21" max="21" width="12.140625" style="207" customWidth="1"/>
    <col min="22" max="16384" width="9.140625" style="207"/>
  </cols>
  <sheetData>
    <row r="1" spans="1:15" ht="15.75" customHeight="1">
      <c r="A1" s="349"/>
      <c r="B1" s="349" t="s">
        <v>0</v>
      </c>
      <c r="G1" s="182"/>
    </row>
    <row r="2" spans="1:15" ht="15.75" customHeight="1">
      <c r="A2" s="344"/>
      <c r="B2" s="344" t="s">
        <v>1</v>
      </c>
      <c r="G2" s="183"/>
    </row>
    <row r="3" spans="1:15" ht="15.75" customHeight="1">
      <c r="G3" s="183"/>
    </row>
    <row r="4" spans="1:15" ht="15.75" customHeight="1">
      <c r="B4" s="208"/>
      <c r="C4" s="394" t="s">
        <v>66</v>
      </c>
      <c r="D4" s="394"/>
      <c r="E4" s="394"/>
      <c r="F4" s="394"/>
      <c r="G4" s="209"/>
      <c r="H4" s="210"/>
      <c r="I4" s="210"/>
      <c r="J4" s="210"/>
      <c r="K4" s="210"/>
      <c r="L4" s="210"/>
      <c r="M4" s="210"/>
      <c r="N4" s="210"/>
      <c r="O4" s="210"/>
    </row>
    <row r="5" spans="1:15" ht="15.75" customHeight="1">
      <c r="B5" s="208"/>
      <c r="C5" s="394" t="s">
        <v>106</v>
      </c>
      <c r="D5" s="394"/>
      <c r="E5" s="394"/>
      <c r="F5" s="394"/>
      <c r="G5" s="209"/>
      <c r="H5" s="210"/>
      <c r="I5" s="210"/>
      <c r="J5" s="210"/>
      <c r="K5" s="210"/>
      <c r="L5" s="210"/>
      <c r="M5" s="210"/>
      <c r="N5" s="210"/>
      <c r="O5" s="210"/>
    </row>
    <row r="6" spans="1:15" ht="15.75" customHeight="1">
      <c r="B6" s="208"/>
      <c r="C6" s="394" t="s">
        <v>107</v>
      </c>
      <c r="D6" s="394"/>
      <c r="E6" s="394"/>
      <c r="F6" s="394"/>
      <c r="G6" s="209"/>
      <c r="H6" s="210"/>
      <c r="I6" s="210"/>
      <c r="J6" s="210"/>
      <c r="K6" s="210"/>
      <c r="L6" s="210"/>
      <c r="M6" s="210"/>
      <c r="N6" s="210"/>
      <c r="O6" s="210"/>
    </row>
    <row r="7" spans="1:15" ht="15.75" customHeight="1">
      <c r="B7" s="208"/>
      <c r="C7" s="394" t="s">
        <v>69</v>
      </c>
      <c r="D7" s="394"/>
      <c r="E7" s="394"/>
      <c r="F7" s="394"/>
      <c r="G7" s="209"/>
      <c r="H7" s="210"/>
      <c r="I7" s="210"/>
      <c r="J7" s="210"/>
      <c r="K7" s="210"/>
      <c r="L7" s="210"/>
      <c r="M7" s="210"/>
      <c r="N7" s="210"/>
      <c r="O7" s="210"/>
    </row>
    <row r="8" spans="1:15" ht="15.75">
      <c r="B8" s="208"/>
      <c r="C8" s="208"/>
      <c r="D8" s="208"/>
      <c r="E8" s="208"/>
      <c r="F8" s="209"/>
      <c r="G8" s="208"/>
    </row>
    <row r="9" spans="1:15" s="215" customFormat="1" ht="47.25">
      <c r="B9" s="211" t="s">
        <v>80</v>
      </c>
      <c r="C9" s="212" t="s">
        <v>108</v>
      </c>
      <c r="D9" s="211" t="s">
        <v>109</v>
      </c>
      <c r="E9" s="213" t="s">
        <v>110</v>
      </c>
      <c r="F9" s="211" t="s">
        <v>111</v>
      </c>
      <c r="G9" s="211" t="s">
        <v>112</v>
      </c>
      <c r="H9" s="214"/>
      <c r="I9" s="214"/>
      <c r="J9" s="214"/>
      <c r="K9" s="214"/>
    </row>
    <row r="10" spans="1:15" ht="15.75">
      <c r="B10" s="216" t="s">
        <v>36</v>
      </c>
      <c r="C10" s="217" t="s">
        <v>37</v>
      </c>
      <c r="D10" s="218" t="s">
        <v>38</v>
      </c>
      <c r="E10" s="219" t="s">
        <v>39</v>
      </c>
      <c r="F10" s="218" t="s">
        <v>40</v>
      </c>
      <c r="G10" s="220" t="s">
        <v>87</v>
      </c>
      <c r="H10" s="210"/>
      <c r="I10" s="210"/>
      <c r="J10" s="210"/>
      <c r="K10" s="210"/>
    </row>
    <row r="11" spans="1:15" ht="16.5" customHeight="1">
      <c r="B11" s="221" t="s">
        <v>113</v>
      </c>
      <c r="C11" s="222"/>
      <c r="D11" s="222"/>
      <c r="E11" s="222"/>
      <c r="F11" s="223"/>
      <c r="G11" s="222"/>
    </row>
    <row r="12" spans="1:15" ht="15.75">
      <c r="B12" s="224" t="s">
        <v>114</v>
      </c>
      <c r="C12" s="225">
        <v>503</v>
      </c>
      <c r="D12" s="226">
        <v>-1.238E-2</v>
      </c>
      <c r="E12" s="227">
        <f>'Cost Recovery and Rates'!B18</f>
        <v>1.5949999999999999E-2</v>
      </c>
      <c r="F12" s="228">
        <f>+D12+E12</f>
        <v>3.5699999999999985E-3</v>
      </c>
      <c r="G12" s="229">
        <f t="shared" ref="G12:G17" si="0">+E12</f>
        <v>1.5949999999999999E-2</v>
      </c>
      <c r="H12" s="230"/>
      <c r="I12" s="231"/>
      <c r="J12" s="232"/>
      <c r="K12" s="232"/>
    </row>
    <row r="13" spans="1:15" ht="15.75">
      <c r="B13" s="224" t="s">
        <v>115</v>
      </c>
      <c r="C13" s="225">
        <v>504</v>
      </c>
      <c r="D13" s="226">
        <v>-9.4999999999999998E-3</v>
      </c>
      <c r="E13" s="227">
        <f>'Cost Recovery and Rates'!C18</f>
        <v>1.172E-2</v>
      </c>
      <c r="F13" s="228">
        <f t="shared" ref="F13:F17" si="1">+D13+E13</f>
        <v>2.2199999999999998E-3</v>
      </c>
      <c r="G13" s="229">
        <f t="shared" si="0"/>
        <v>1.172E-2</v>
      </c>
      <c r="H13" s="230"/>
      <c r="I13" s="231"/>
      <c r="J13" s="232"/>
      <c r="K13" s="232"/>
    </row>
    <row r="14" spans="1:15" ht="15.75">
      <c r="B14" s="224" t="s">
        <v>116</v>
      </c>
      <c r="C14" s="233">
        <v>505</v>
      </c>
      <c r="D14" s="226">
        <v>-6.0000000000000001E-3</v>
      </c>
      <c r="E14" s="227">
        <f>'Cost Recovery and Rates'!D18</f>
        <v>8.1399999999999997E-3</v>
      </c>
      <c r="F14" s="228">
        <f t="shared" si="1"/>
        <v>2.1399999999999995E-3</v>
      </c>
      <c r="G14" s="229">
        <f t="shared" si="0"/>
        <v>8.1399999999999997E-3</v>
      </c>
      <c r="H14" s="230"/>
      <c r="I14" s="231"/>
      <c r="J14" s="232"/>
      <c r="K14" s="232"/>
    </row>
    <row r="15" spans="1:15" ht="15.75">
      <c r="B15" s="224" t="s">
        <v>117</v>
      </c>
      <c r="C15" s="233">
        <v>511</v>
      </c>
      <c r="D15" s="226">
        <v>-5.1599999999999997E-3</v>
      </c>
      <c r="E15" s="227">
        <f>'Cost Recovery and Rates'!E18</f>
        <v>5.3900000000000007E-3</v>
      </c>
      <c r="F15" s="228">
        <f t="shared" si="1"/>
        <v>2.3000000000000104E-4</v>
      </c>
      <c r="G15" s="229">
        <f t="shared" si="0"/>
        <v>5.3900000000000007E-3</v>
      </c>
      <c r="H15" s="230"/>
      <c r="I15" s="231"/>
      <c r="J15" s="232"/>
      <c r="K15" s="232"/>
    </row>
    <row r="16" spans="1:15" ht="15.75">
      <c r="B16" s="224" t="s">
        <v>118</v>
      </c>
      <c r="C16" s="233">
        <v>570</v>
      </c>
      <c r="D16" s="226">
        <v>-2.14E-3</v>
      </c>
      <c r="E16" s="227">
        <f>'Cost Recovery and Rates'!F18</f>
        <v>2.9099999999999998E-3</v>
      </c>
      <c r="F16" s="228">
        <f t="shared" si="1"/>
        <v>7.6999999999999985E-4</v>
      </c>
      <c r="G16" s="229">
        <f t="shared" si="0"/>
        <v>2.9099999999999998E-3</v>
      </c>
      <c r="H16" s="230"/>
      <c r="I16" s="231"/>
      <c r="J16" s="232"/>
      <c r="K16" s="232"/>
    </row>
    <row r="17" spans="2:22" ht="15.75">
      <c r="B17" s="234" t="s">
        <v>119</v>
      </c>
      <c r="C17" s="216">
        <v>663</v>
      </c>
      <c r="D17" s="242">
        <v>-1.0200000000000001E-3</v>
      </c>
      <c r="E17" s="242">
        <f>'Cost Recovery and Rates'!G18</f>
        <v>9.4999999999999989E-4</v>
      </c>
      <c r="F17" s="245">
        <f t="shared" si="1"/>
        <v>-7.0000000000000184E-5</v>
      </c>
      <c r="G17" s="245">
        <f t="shared" si="0"/>
        <v>9.4999999999999989E-4</v>
      </c>
      <c r="H17" s="231"/>
      <c r="I17" s="231"/>
      <c r="J17" s="232"/>
      <c r="K17" s="232"/>
    </row>
    <row r="18" spans="2:22">
      <c r="B18" s="235"/>
      <c r="G18" s="231"/>
      <c r="H18" s="231"/>
      <c r="I18" s="231"/>
      <c r="J18" s="231"/>
      <c r="K18" s="231"/>
    </row>
    <row r="19" spans="2:22">
      <c r="B19" s="236"/>
      <c r="D19" s="237"/>
      <c r="E19" s="237"/>
      <c r="F19" s="237"/>
      <c r="G19" s="238"/>
      <c r="Q19" s="232"/>
      <c r="R19" s="232"/>
      <c r="S19" s="232"/>
      <c r="T19" s="232"/>
      <c r="U19" s="232"/>
      <c r="V19" s="232"/>
    </row>
    <row r="20" spans="2:22">
      <c r="B20" s="236"/>
      <c r="D20" s="237"/>
      <c r="E20" s="237"/>
      <c r="F20" s="237"/>
      <c r="G20" s="238"/>
      <c r="Q20" s="232"/>
      <c r="R20" s="232"/>
      <c r="S20" s="232"/>
      <c r="T20" s="232"/>
      <c r="U20" s="232"/>
    </row>
    <row r="21" spans="2:22">
      <c r="B21" s="236"/>
      <c r="D21" s="237"/>
      <c r="E21" s="237"/>
      <c r="F21" s="237"/>
      <c r="G21" s="238"/>
      <c r="Q21" s="232"/>
      <c r="R21" s="232"/>
      <c r="S21" s="232"/>
      <c r="T21" s="232"/>
      <c r="U21" s="232"/>
    </row>
    <row r="22" spans="2:22">
      <c r="B22" s="235"/>
      <c r="F22" s="210"/>
      <c r="G22" s="238"/>
    </row>
    <row r="23" spans="2:22">
      <c r="B23" s="235"/>
      <c r="F23" s="210"/>
      <c r="G23" s="239"/>
      <c r="H23" s="239"/>
      <c r="I23" s="239"/>
    </row>
    <row r="24" spans="2:22">
      <c r="F24" s="240"/>
      <c r="K24" s="239"/>
    </row>
    <row r="25" spans="2:22">
      <c r="F25" s="241"/>
      <c r="K25" s="239"/>
    </row>
    <row r="26" spans="2:22">
      <c r="K26" s="239"/>
    </row>
    <row r="27" spans="2:22">
      <c r="K27" s="239"/>
    </row>
  </sheetData>
  <mergeCells count="4">
    <mergeCell ref="C4:F4"/>
    <mergeCell ref="C5:F5"/>
    <mergeCell ref="C6:F6"/>
    <mergeCell ref="C7:F7"/>
  </mergeCells>
  <printOptions horizontalCentered="1"/>
  <pageMargins left="0.2" right="0.2" top="1" bottom="0.33" header="0.18" footer="0.23"/>
  <pageSetup orientation="portrait" r:id="rId1"/>
  <headerFooter alignWithMargins="0">
    <oddFooter>&amp;LTab Name: 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42D070-DE03-4549-8951-42FB6DB16F05}">
  <dimension ref="A1:O28"/>
  <sheetViews>
    <sheetView view="pageBreakPreview" zoomScale="115" zoomScaleNormal="100" zoomScaleSheetLayoutView="115" workbookViewId="0"/>
  </sheetViews>
  <sheetFormatPr defaultRowHeight="15.75"/>
  <cols>
    <col min="1" max="1" width="5.28515625" style="105" bestFit="1" customWidth="1"/>
    <col min="2" max="2" width="9.140625" style="105"/>
    <col min="3" max="3" width="18.5703125" style="105" customWidth="1"/>
    <col min="4" max="4" width="11.5703125" style="105" customWidth="1"/>
    <col min="5" max="5" width="15.42578125" style="105" bestFit="1" customWidth="1"/>
    <col min="6" max="6" width="23.28515625" style="105" bestFit="1" customWidth="1"/>
    <col min="7" max="7" width="1.5703125" style="105" customWidth="1"/>
    <col min="8" max="8" width="21.42578125" style="105" customWidth="1"/>
    <col min="9" max="9" width="1.140625" style="105" customWidth="1"/>
    <col min="10" max="10" width="13.140625" style="106" bestFit="1" customWidth="1"/>
    <col min="11" max="11" width="16.5703125" style="105" bestFit="1" customWidth="1"/>
    <col min="12" max="12" width="11.5703125" style="105" bestFit="1" customWidth="1"/>
    <col min="13" max="13" width="9.140625" style="105"/>
    <col min="14" max="14" width="13.5703125" style="105" customWidth="1"/>
    <col min="15" max="15" width="10.7109375" style="105" customWidth="1"/>
    <col min="16" max="253" width="9.140625" style="105"/>
    <col min="254" max="254" width="4.28515625" style="105" customWidth="1"/>
    <col min="255" max="255" width="9.140625" style="105"/>
    <col min="256" max="256" width="18.5703125" style="105" customWidth="1"/>
    <col min="257" max="257" width="11.5703125" style="105" customWidth="1"/>
    <col min="258" max="258" width="9" style="105" customWidth="1"/>
    <col min="259" max="259" width="13" style="105" customWidth="1"/>
    <col min="260" max="260" width="3.140625" style="105" customWidth="1"/>
    <col min="261" max="261" width="11.28515625" style="105" customWidth="1"/>
    <col min="262" max="262" width="3.28515625" style="105" customWidth="1"/>
    <col min="263" max="263" width="12.85546875" style="105" customWidth="1"/>
    <col min="264" max="264" width="3.140625" style="105" customWidth="1"/>
    <col min="265" max="266" width="11.140625" style="105" customWidth="1"/>
    <col min="267" max="267" width="0" style="105" hidden="1" customWidth="1"/>
    <col min="268" max="269" width="9.140625" style="105"/>
    <col min="270" max="270" width="13.5703125" style="105" customWidth="1"/>
    <col min="271" max="509" width="9.140625" style="105"/>
    <col min="510" max="510" width="4.28515625" style="105" customWidth="1"/>
    <col min="511" max="511" width="9.140625" style="105"/>
    <col min="512" max="512" width="18.5703125" style="105" customWidth="1"/>
    <col min="513" max="513" width="11.5703125" style="105" customWidth="1"/>
    <col min="514" max="514" width="9" style="105" customWidth="1"/>
    <col min="515" max="515" width="13" style="105" customWidth="1"/>
    <col min="516" max="516" width="3.140625" style="105" customWidth="1"/>
    <col min="517" max="517" width="11.28515625" style="105" customWidth="1"/>
    <col min="518" max="518" width="3.28515625" style="105" customWidth="1"/>
    <col min="519" max="519" width="12.85546875" style="105" customWidth="1"/>
    <col min="520" max="520" width="3.140625" style="105" customWidth="1"/>
    <col min="521" max="522" width="11.140625" style="105" customWidth="1"/>
    <col min="523" max="523" width="0" style="105" hidden="1" customWidth="1"/>
    <col min="524" max="525" width="9.140625" style="105"/>
    <col min="526" max="526" width="13.5703125" style="105" customWidth="1"/>
    <col min="527" max="765" width="9.140625" style="105"/>
    <col min="766" max="766" width="4.28515625" style="105" customWidth="1"/>
    <col min="767" max="767" width="9.140625" style="105"/>
    <col min="768" max="768" width="18.5703125" style="105" customWidth="1"/>
    <col min="769" max="769" width="11.5703125" style="105" customWidth="1"/>
    <col min="770" max="770" width="9" style="105" customWidth="1"/>
    <col min="771" max="771" width="13" style="105" customWidth="1"/>
    <col min="772" max="772" width="3.140625" style="105" customWidth="1"/>
    <col min="773" max="773" width="11.28515625" style="105" customWidth="1"/>
    <col min="774" max="774" width="3.28515625" style="105" customWidth="1"/>
    <col min="775" max="775" width="12.85546875" style="105" customWidth="1"/>
    <col min="776" max="776" width="3.140625" style="105" customWidth="1"/>
    <col min="777" max="778" width="11.140625" style="105" customWidth="1"/>
    <col min="779" max="779" width="0" style="105" hidden="1" customWidth="1"/>
    <col min="780" max="781" width="9.140625" style="105"/>
    <col min="782" max="782" width="13.5703125" style="105" customWidth="1"/>
    <col min="783" max="1021" width="9.140625" style="105"/>
    <col min="1022" max="1022" width="4.28515625" style="105" customWidth="1"/>
    <col min="1023" max="1023" width="9.140625" style="105"/>
    <col min="1024" max="1024" width="18.5703125" style="105" customWidth="1"/>
    <col min="1025" max="1025" width="11.5703125" style="105" customWidth="1"/>
    <col min="1026" max="1026" width="9" style="105" customWidth="1"/>
    <col min="1027" max="1027" width="13" style="105" customWidth="1"/>
    <col min="1028" max="1028" width="3.140625" style="105" customWidth="1"/>
    <col min="1029" max="1029" width="11.28515625" style="105" customWidth="1"/>
    <col min="1030" max="1030" width="3.28515625" style="105" customWidth="1"/>
    <col min="1031" max="1031" width="12.85546875" style="105" customWidth="1"/>
    <col min="1032" max="1032" width="3.140625" style="105" customWidth="1"/>
    <col min="1033" max="1034" width="11.140625" style="105" customWidth="1"/>
    <col min="1035" max="1035" width="0" style="105" hidden="1" customWidth="1"/>
    <col min="1036" max="1037" width="9.140625" style="105"/>
    <col min="1038" max="1038" width="13.5703125" style="105" customWidth="1"/>
    <col min="1039" max="1277" width="9.140625" style="105"/>
    <col min="1278" max="1278" width="4.28515625" style="105" customWidth="1"/>
    <col min="1279" max="1279" width="9.140625" style="105"/>
    <col min="1280" max="1280" width="18.5703125" style="105" customWidth="1"/>
    <col min="1281" max="1281" width="11.5703125" style="105" customWidth="1"/>
    <col min="1282" max="1282" width="9" style="105" customWidth="1"/>
    <col min="1283" max="1283" width="13" style="105" customWidth="1"/>
    <col min="1284" max="1284" width="3.140625" style="105" customWidth="1"/>
    <col min="1285" max="1285" width="11.28515625" style="105" customWidth="1"/>
    <col min="1286" max="1286" width="3.28515625" style="105" customWidth="1"/>
    <col min="1287" max="1287" width="12.85546875" style="105" customWidth="1"/>
    <col min="1288" max="1288" width="3.140625" style="105" customWidth="1"/>
    <col min="1289" max="1290" width="11.140625" style="105" customWidth="1"/>
    <col min="1291" max="1291" width="0" style="105" hidden="1" customWidth="1"/>
    <col min="1292" max="1293" width="9.140625" style="105"/>
    <col min="1294" max="1294" width="13.5703125" style="105" customWidth="1"/>
    <col min="1295" max="1533" width="9.140625" style="105"/>
    <col min="1534" max="1534" width="4.28515625" style="105" customWidth="1"/>
    <col min="1535" max="1535" width="9.140625" style="105"/>
    <col min="1536" max="1536" width="18.5703125" style="105" customWidth="1"/>
    <col min="1537" max="1537" width="11.5703125" style="105" customWidth="1"/>
    <col min="1538" max="1538" width="9" style="105" customWidth="1"/>
    <col min="1539" max="1539" width="13" style="105" customWidth="1"/>
    <col min="1540" max="1540" width="3.140625" style="105" customWidth="1"/>
    <col min="1541" max="1541" width="11.28515625" style="105" customWidth="1"/>
    <col min="1542" max="1542" width="3.28515625" style="105" customWidth="1"/>
    <col min="1543" max="1543" width="12.85546875" style="105" customWidth="1"/>
    <col min="1544" max="1544" width="3.140625" style="105" customWidth="1"/>
    <col min="1545" max="1546" width="11.140625" style="105" customWidth="1"/>
    <col min="1547" max="1547" width="0" style="105" hidden="1" customWidth="1"/>
    <col min="1548" max="1549" width="9.140625" style="105"/>
    <col min="1550" max="1550" width="13.5703125" style="105" customWidth="1"/>
    <col min="1551" max="1789" width="9.140625" style="105"/>
    <col min="1790" max="1790" width="4.28515625" style="105" customWidth="1"/>
    <col min="1791" max="1791" width="9.140625" style="105"/>
    <col min="1792" max="1792" width="18.5703125" style="105" customWidth="1"/>
    <col min="1793" max="1793" width="11.5703125" style="105" customWidth="1"/>
    <col min="1794" max="1794" width="9" style="105" customWidth="1"/>
    <col min="1795" max="1795" width="13" style="105" customWidth="1"/>
    <col min="1796" max="1796" width="3.140625" style="105" customWidth="1"/>
    <col min="1797" max="1797" width="11.28515625" style="105" customWidth="1"/>
    <col min="1798" max="1798" width="3.28515625" style="105" customWidth="1"/>
    <col min="1799" max="1799" width="12.85546875" style="105" customWidth="1"/>
    <col min="1800" max="1800" width="3.140625" style="105" customWidth="1"/>
    <col min="1801" max="1802" width="11.140625" style="105" customWidth="1"/>
    <col min="1803" max="1803" width="0" style="105" hidden="1" customWidth="1"/>
    <col min="1804" max="1805" width="9.140625" style="105"/>
    <col min="1806" max="1806" width="13.5703125" style="105" customWidth="1"/>
    <col min="1807" max="2045" width="9.140625" style="105"/>
    <col min="2046" max="2046" width="4.28515625" style="105" customWidth="1"/>
    <col min="2047" max="2047" width="9.140625" style="105"/>
    <col min="2048" max="2048" width="18.5703125" style="105" customWidth="1"/>
    <col min="2049" max="2049" width="11.5703125" style="105" customWidth="1"/>
    <col min="2050" max="2050" width="9" style="105" customWidth="1"/>
    <col min="2051" max="2051" width="13" style="105" customWidth="1"/>
    <col min="2052" max="2052" width="3.140625" style="105" customWidth="1"/>
    <col min="2053" max="2053" width="11.28515625" style="105" customWidth="1"/>
    <col min="2054" max="2054" width="3.28515625" style="105" customWidth="1"/>
    <col min="2055" max="2055" width="12.85546875" style="105" customWidth="1"/>
    <col min="2056" max="2056" width="3.140625" style="105" customWidth="1"/>
    <col min="2057" max="2058" width="11.140625" style="105" customWidth="1"/>
    <col min="2059" max="2059" width="0" style="105" hidden="1" customWidth="1"/>
    <col min="2060" max="2061" width="9.140625" style="105"/>
    <col min="2062" max="2062" width="13.5703125" style="105" customWidth="1"/>
    <col min="2063" max="2301" width="9.140625" style="105"/>
    <col min="2302" max="2302" width="4.28515625" style="105" customWidth="1"/>
    <col min="2303" max="2303" width="9.140625" style="105"/>
    <col min="2304" max="2304" width="18.5703125" style="105" customWidth="1"/>
    <col min="2305" max="2305" width="11.5703125" style="105" customWidth="1"/>
    <col min="2306" max="2306" width="9" style="105" customWidth="1"/>
    <col min="2307" max="2307" width="13" style="105" customWidth="1"/>
    <col min="2308" max="2308" width="3.140625" style="105" customWidth="1"/>
    <col min="2309" max="2309" width="11.28515625" style="105" customWidth="1"/>
    <col min="2310" max="2310" width="3.28515625" style="105" customWidth="1"/>
    <col min="2311" max="2311" width="12.85546875" style="105" customWidth="1"/>
    <col min="2312" max="2312" width="3.140625" style="105" customWidth="1"/>
    <col min="2313" max="2314" width="11.140625" style="105" customWidth="1"/>
    <col min="2315" max="2315" width="0" style="105" hidden="1" customWidth="1"/>
    <col min="2316" max="2317" width="9.140625" style="105"/>
    <col min="2318" max="2318" width="13.5703125" style="105" customWidth="1"/>
    <col min="2319" max="2557" width="9.140625" style="105"/>
    <col min="2558" max="2558" width="4.28515625" style="105" customWidth="1"/>
    <col min="2559" max="2559" width="9.140625" style="105"/>
    <col min="2560" max="2560" width="18.5703125" style="105" customWidth="1"/>
    <col min="2561" max="2561" width="11.5703125" style="105" customWidth="1"/>
    <col min="2562" max="2562" width="9" style="105" customWidth="1"/>
    <col min="2563" max="2563" width="13" style="105" customWidth="1"/>
    <col min="2564" max="2564" width="3.140625" style="105" customWidth="1"/>
    <col min="2565" max="2565" width="11.28515625" style="105" customWidth="1"/>
    <col min="2566" max="2566" width="3.28515625" style="105" customWidth="1"/>
    <col min="2567" max="2567" width="12.85546875" style="105" customWidth="1"/>
    <col min="2568" max="2568" width="3.140625" style="105" customWidth="1"/>
    <col min="2569" max="2570" width="11.140625" style="105" customWidth="1"/>
    <col min="2571" max="2571" width="0" style="105" hidden="1" customWidth="1"/>
    <col min="2572" max="2573" width="9.140625" style="105"/>
    <col min="2574" max="2574" width="13.5703125" style="105" customWidth="1"/>
    <col min="2575" max="2813" width="9.140625" style="105"/>
    <col min="2814" max="2814" width="4.28515625" style="105" customWidth="1"/>
    <col min="2815" max="2815" width="9.140625" style="105"/>
    <col min="2816" max="2816" width="18.5703125" style="105" customWidth="1"/>
    <col min="2817" max="2817" width="11.5703125" style="105" customWidth="1"/>
    <col min="2818" max="2818" width="9" style="105" customWidth="1"/>
    <col min="2819" max="2819" width="13" style="105" customWidth="1"/>
    <col min="2820" max="2820" width="3.140625" style="105" customWidth="1"/>
    <col min="2821" max="2821" width="11.28515625" style="105" customWidth="1"/>
    <col min="2822" max="2822" width="3.28515625" style="105" customWidth="1"/>
    <col min="2823" max="2823" width="12.85546875" style="105" customWidth="1"/>
    <col min="2824" max="2824" width="3.140625" style="105" customWidth="1"/>
    <col min="2825" max="2826" width="11.140625" style="105" customWidth="1"/>
    <col min="2827" max="2827" width="0" style="105" hidden="1" customWidth="1"/>
    <col min="2828" max="2829" width="9.140625" style="105"/>
    <col min="2830" max="2830" width="13.5703125" style="105" customWidth="1"/>
    <col min="2831" max="3069" width="9.140625" style="105"/>
    <col min="3070" max="3070" width="4.28515625" style="105" customWidth="1"/>
    <col min="3071" max="3071" width="9.140625" style="105"/>
    <col min="3072" max="3072" width="18.5703125" style="105" customWidth="1"/>
    <col min="3073" max="3073" width="11.5703125" style="105" customWidth="1"/>
    <col min="3074" max="3074" width="9" style="105" customWidth="1"/>
    <col min="3075" max="3075" width="13" style="105" customWidth="1"/>
    <col min="3076" max="3076" width="3.140625" style="105" customWidth="1"/>
    <col min="3077" max="3077" width="11.28515625" style="105" customWidth="1"/>
    <col min="3078" max="3078" width="3.28515625" style="105" customWidth="1"/>
    <col min="3079" max="3079" width="12.85546875" style="105" customWidth="1"/>
    <col min="3080" max="3080" width="3.140625" style="105" customWidth="1"/>
    <col min="3081" max="3082" width="11.140625" style="105" customWidth="1"/>
    <col min="3083" max="3083" width="0" style="105" hidden="1" customWidth="1"/>
    <col min="3084" max="3085" width="9.140625" style="105"/>
    <col min="3086" max="3086" width="13.5703125" style="105" customWidth="1"/>
    <col min="3087" max="3325" width="9.140625" style="105"/>
    <col min="3326" max="3326" width="4.28515625" style="105" customWidth="1"/>
    <col min="3327" max="3327" width="9.140625" style="105"/>
    <col min="3328" max="3328" width="18.5703125" style="105" customWidth="1"/>
    <col min="3329" max="3329" width="11.5703125" style="105" customWidth="1"/>
    <col min="3330" max="3330" width="9" style="105" customWidth="1"/>
    <col min="3331" max="3331" width="13" style="105" customWidth="1"/>
    <col min="3332" max="3332" width="3.140625" style="105" customWidth="1"/>
    <col min="3333" max="3333" width="11.28515625" style="105" customWidth="1"/>
    <col min="3334" max="3334" width="3.28515625" style="105" customWidth="1"/>
    <col min="3335" max="3335" width="12.85546875" style="105" customWidth="1"/>
    <col min="3336" max="3336" width="3.140625" style="105" customWidth="1"/>
    <col min="3337" max="3338" width="11.140625" style="105" customWidth="1"/>
    <col min="3339" max="3339" width="0" style="105" hidden="1" customWidth="1"/>
    <col min="3340" max="3341" width="9.140625" style="105"/>
    <col min="3342" max="3342" width="13.5703125" style="105" customWidth="1"/>
    <col min="3343" max="3581" width="9.140625" style="105"/>
    <col min="3582" max="3582" width="4.28515625" style="105" customWidth="1"/>
    <col min="3583" max="3583" width="9.140625" style="105"/>
    <col min="3584" max="3584" width="18.5703125" style="105" customWidth="1"/>
    <col min="3585" max="3585" width="11.5703125" style="105" customWidth="1"/>
    <col min="3586" max="3586" width="9" style="105" customWidth="1"/>
    <col min="3587" max="3587" width="13" style="105" customWidth="1"/>
    <col min="3588" max="3588" width="3.140625" style="105" customWidth="1"/>
    <col min="3589" max="3589" width="11.28515625" style="105" customWidth="1"/>
    <col min="3590" max="3590" width="3.28515625" style="105" customWidth="1"/>
    <col min="3591" max="3591" width="12.85546875" style="105" customWidth="1"/>
    <col min="3592" max="3592" width="3.140625" style="105" customWidth="1"/>
    <col min="3593" max="3594" width="11.140625" style="105" customWidth="1"/>
    <col min="3595" max="3595" width="0" style="105" hidden="1" customWidth="1"/>
    <col min="3596" max="3597" width="9.140625" style="105"/>
    <col min="3598" max="3598" width="13.5703125" style="105" customWidth="1"/>
    <col min="3599" max="3837" width="9.140625" style="105"/>
    <col min="3838" max="3838" width="4.28515625" style="105" customWidth="1"/>
    <col min="3839" max="3839" width="9.140625" style="105"/>
    <col min="3840" max="3840" width="18.5703125" style="105" customWidth="1"/>
    <col min="3841" max="3841" width="11.5703125" style="105" customWidth="1"/>
    <col min="3842" max="3842" width="9" style="105" customWidth="1"/>
    <col min="3843" max="3843" width="13" style="105" customWidth="1"/>
    <col min="3844" max="3844" width="3.140625" style="105" customWidth="1"/>
    <col min="3845" max="3845" width="11.28515625" style="105" customWidth="1"/>
    <col min="3846" max="3846" width="3.28515625" style="105" customWidth="1"/>
    <col min="3847" max="3847" width="12.85546875" style="105" customWidth="1"/>
    <col min="3848" max="3848" width="3.140625" style="105" customWidth="1"/>
    <col min="3849" max="3850" width="11.140625" style="105" customWidth="1"/>
    <col min="3851" max="3851" width="0" style="105" hidden="1" customWidth="1"/>
    <col min="3852" max="3853" width="9.140625" style="105"/>
    <col min="3854" max="3854" width="13.5703125" style="105" customWidth="1"/>
    <col min="3855" max="4093" width="9.140625" style="105"/>
    <col min="4094" max="4094" width="4.28515625" style="105" customWidth="1"/>
    <col min="4095" max="4095" width="9.140625" style="105"/>
    <col min="4096" max="4096" width="18.5703125" style="105" customWidth="1"/>
    <col min="4097" max="4097" width="11.5703125" style="105" customWidth="1"/>
    <col min="4098" max="4098" width="9" style="105" customWidth="1"/>
    <col min="4099" max="4099" width="13" style="105" customWidth="1"/>
    <col min="4100" max="4100" width="3.140625" style="105" customWidth="1"/>
    <col min="4101" max="4101" width="11.28515625" style="105" customWidth="1"/>
    <col min="4102" max="4102" width="3.28515625" style="105" customWidth="1"/>
    <col min="4103" max="4103" width="12.85546875" style="105" customWidth="1"/>
    <col min="4104" max="4104" width="3.140625" style="105" customWidth="1"/>
    <col min="4105" max="4106" width="11.140625" style="105" customWidth="1"/>
    <col min="4107" max="4107" width="0" style="105" hidden="1" customWidth="1"/>
    <col min="4108" max="4109" width="9.140625" style="105"/>
    <col min="4110" max="4110" width="13.5703125" style="105" customWidth="1"/>
    <col min="4111" max="4349" width="9.140625" style="105"/>
    <col min="4350" max="4350" width="4.28515625" style="105" customWidth="1"/>
    <col min="4351" max="4351" width="9.140625" style="105"/>
    <col min="4352" max="4352" width="18.5703125" style="105" customWidth="1"/>
    <col min="4353" max="4353" width="11.5703125" style="105" customWidth="1"/>
    <col min="4354" max="4354" width="9" style="105" customWidth="1"/>
    <col min="4355" max="4355" width="13" style="105" customWidth="1"/>
    <col min="4356" max="4356" width="3.140625" style="105" customWidth="1"/>
    <col min="4357" max="4357" width="11.28515625" style="105" customWidth="1"/>
    <col min="4358" max="4358" width="3.28515625" style="105" customWidth="1"/>
    <col min="4359" max="4359" width="12.85546875" style="105" customWidth="1"/>
    <col min="4360" max="4360" width="3.140625" style="105" customWidth="1"/>
    <col min="4361" max="4362" width="11.140625" style="105" customWidth="1"/>
    <col min="4363" max="4363" width="0" style="105" hidden="1" customWidth="1"/>
    <col min="4364" max="4365" width="9.140625" style="105"/>
    <col min="4366" max="4366" width="13.5703125" style="105" customWidth="1"/>
    <col min="4367" max="4605" width="9.140625" style="105"/>
    <col min="4606" max="4606" width="4.28515625" style="105" customWidth="1"/>
    <col min="4607" max="4607" width="9.140625" style="105"/>
    <col min="4608" max="4608" width="18.5703125" style="105" customWidth="1"/>
    <col min="4609" max="4609" width="11.5703125" style="105" customWidth="1"/>
    <col min="4610" max="4610" width="9" style="105" customWidth="1"/>
    <col min="4611" max="4611" width="13" style="105" customWidth="1"/>
    <col min="4612" max="4612" width="3.140625" style="105" customWidth="1"/>
    <col min="4613" max="4613" width="11.28515625" style="105" customWidth="1"/>
    <col min="4614" max="4614" width="3.28515625" style="105" customWidth="1"/>
    <col min="4615" max="4615" width="12.85546875" style="105" customWidth="1"/>
    <col min="4616" max="4616" width="3.140625" style="105" customWidth="1"/>
    <col min="4617" max="4618" width="11.140625" style="105" customWidth="1"/>
    <col min="4619" max="4619" width="0" style="105" hidden="1" customWidth="1"/>
    <col min="4620" max="4621" width="9.140625" style="105"/>
    <col min="4622" max="4622" width="13.5703125" style="105" customWidth="1"/>
    <col min="4623" max="4861" width="9.140625" style="105"/>
    <col min="4862" max="4862" width="4.28515625" style="105" customWidth="1"/>
    <col min="4863" max="4863" width="9.140625" style="105"/>
    <col min="4864" max="4864" width="18.5703125" style="105" customWidth="1"/>
    <col min="4865" max="4865" width="11.5703125" style="105" customWidth="1"/>
    <col min="4866" max="4866" width="9" style="105" customWidth="1"/>
    <col min="4867" max="4867" width="13" style="105" customWidth="1"/>
    <col min="4868" max="4868" width="3.140625" style="105" customWidth="1"/>
    <col min="4869" max="4869" width="11.28515625" style="105" customWidth="1"/>
    <col min="4870" max="4870" width="3.28515625" style="105" customWidth="1"/>
    <col min="4871" max="4871" width="12.85546875" style="105" customWidth="1"/>
    <col min="4872" max="4872" width="3.140625" style="105" customWidth="1"/>
    <col min="4873" max="4874" width="11.140625" style="105" customWidth="1"/>
    <col min="4875" max="4875" width="0" style="105" hidden="1" customWidth="1"/>
    <col min="4876" max="4877" width="9.140625" style="105"/>
    <col min="4878" max="4878" width="13.5703125" style="105" customWidth="1"/>
    <col min="4879" max="5117" width="9.140625" style="105"/>
    <col min="5118" max="5118" width="4.28515625" style="105" customWidth="1"/>
    <col min="5119" max="5119" width="9.140625" style="105"/>
    <col min="5120" max="5120" width="18.5703125" style="105" customWidth="1"/>
    <col min="5121" max="5121" width="11.5703125" style="105" customWidth="1"/>
    <col min="5122" max="5122" width="9" style="105" customWidth="1"/>
    <col min="5123" max="5123" width="13" style="105" customWidth="1"/>
    <col min="5124" max="5124" width="3.140625" style="105" customWidth="1"/>
    <col min="5125" max="5125" width="11.28515625" style="105" customWidth="1"/>
    <col min="5126" max="5126" width="3.28515625" style="105" customWidth="1"/>
    <col min="5127" max="5127" width="12.85546875" style="105" customWidth="1"/>
    <col min="5128" max="5128" width="3.140625" style="105" customWidth="1"/>
    <col min="5129" max="5130" width="11.140625" style="105" customWidth="1"/>
    <col min="5131" max="5131" width="0" style="105" hidden="1" customWidth="1"/>
    <col min="5132" max="5133" width="9.140625" style="105"/>
    <col min="5134" max="5134" width="13.5703125" style="105" customWidth="1"/>
    <col min="5135" max="5373" width="9.140625" style="105"/>
    <col min="5374" max="5374" width="4.28515625" style="105" customWidth="1"/>
    <col min="5375" max="5375" width="9.140625" style="105"/>
    <col min="5376" max="5376" width="18.5703125" style="105" customWidth="1"/>
    <col min="5377" max="5377" width="11.5703125" style="105" customWidth="1"/>
    <col min="5378" max="5378" width="9" style="105" customWidth="1"/>
    <col min="5379" max="5379" width="13" style="105" customWidth="1"/>
    <col min="5380" max="5380" width="3.140625" style="105" customWidth="1"/>
    <col min="5381" max="5381" width="11.28515625" style="105" customWidth="1"/>
    <col min="5382" max="5382" width="3.28515625" style="105" customWidth="1"/>
    <col min="5383" max="5383" width="12.85546875" style="105" customWidth="1"/>
    <col min="5384" max="5384" width="3.140625" style="105" customWidth="1"/>
    <col min="5385" max="5386" width="11.140625" style="105" customWidth="1"/>
    <col min="5387" max="5387" width="0" style="105" hidden="1" customWidth="1"/>
    <col min="5388" max="5389" width="9.140625" style="105"/>
    <col min="5390" max="5390" width="13.5703125" style="105" customWidth="1"/>
    <col min="5391" max="5629" width="9.140625" style="105"/>
    <col min="5630" max="5630" width="4.28515625" style="105" customWidth="1"/>
    <col min="5631" max="5631" width="9.140625" style="105"/>
    <col min="5632" max="5632" width="18.5703125" style="105" customWidth="1"/>
    <col min="5633" max="5633" width="11.5703125" style="105" customWidth="1"/>
    <col min="5634" max="5634" width="9" style="105" customWidth="1"/>
    <col min="5635" max="5635" width="13" style="105" customWidth="1"/>
    <col min="5636" max="5636" width="3.140625" style="105" customWidth="1"/>
    <col min="5637" max="5637" width="11.28515625" style="105" customWidth="1"/>
    <col min="5638" max="5638" width="3.28515625" style="105" customWidth="1"/>
    <col min="5639" max="5639" width="12.85546875" style="105" customWidth="1"/>
    <col min="5640" max="5640" width="3.140625" style="105" customWidth="1"/>
    <col min="5641" max="5642" width="11.140625" style="105" customWidth="1"/>
    <col min="5643" max="5643" width="0" style="105" hidden="1" customWidth="1"/>
    <col min="5644" max="5645" width="9.140625" style="105"/>
    <col min="5646" max="5646" width="13.5703125" style="105" customWidth="1"/>
    <col min="5647" max="5885" width="9.140625" style="105"/>
    <col min="5886" max="5886" width="4.28515625" style="105" customWidth="1"/>
    <col min="5887" max="5887" width="9.140625" style="105"/>
    <col min="5888" max="5888" width="18.5703125" style="105" customWidth="1"/>
    <col min="5889" max="5889" width="11.5703125" style="105" customWidth="1"/>
    <col min="5890" max="5890" width="9" style="105" customWidth="1"/>
    <col min="5891" max="5891" width="13" style="105" customWidth="1"/>
    <col min="5892" max="5892" width="3.140625" style="105" customWidth="1"/>
    <col min="5893" max="5893" width="11.28515625" style="105" customWidth="1"/>
    <col min="5894" max="5894" width="3.28515625" style="105" customWidth="1"/>
    <col min="5895" max="5895" width="12.85546875" style="105" customWidth="1"/>
    <col min="5896" max="5896" width="3.140625" style="105" customWidth="1"/>
    <col min="5897" max="5898" width="11.140625" style="105" customWidth="1"/>
    <col min="5899" max="5899" width="0" style="105" hidden="1" customWidth="1"/>
    <col min="5900" max="5901" width="9.140625" style="105"/>
    <col min="5902" max="5902" width="13.5703125" style="105" customWidth="1"/>
    <col min="5903" max="6141" width="9.140625" style="105"/>
    <col min="6142" max="6142" width="4.28515625" style="105" customWidth="1"/>
    <col min="6143" max="6143" width="9.140625" style="105"/>
    <col min="6144" max="6144" width="18.5703125" style="105" customWidth="1"/>
    <col min="6145" max="6145" width="11.5703125" style="105" customWidth="1"/>
    <col min="6146" max="6146" width="9" style="105" customWidth="1"/>
    <col min="6147" max="6147" width="13" style="105" customWidth="1"/>
    <col min="6148" max="6148" width="3.140625" style="105" customWidth="1"/>
    <col min="6149" max="6149" width="11.28515625" style="105" customWidth="1"/>
    <col min="6150" max="6150" width="3.28515625" style="105" customWidth="1"/>
    <col min="6151" max="6151" width="12.85546875" style="105" customWidth="1"/>
    <col min="6152" max="6152" width="3.140625" style="105" customWidth="1"/>
    <col min="6153" max="6154" width="11.140625" style="105" customWidth="1"/>
    <col min="6155" max="6155" width="0" style="105" hidden="1" customWidth="1"/>
    <col min="6156" max="6157" width="9.140625" style="105"/>
    <col min="6158" max="6158" width="13.5703125" style="105" customWidth="1"/>
    <col min="6159" max="6397" width="9.140625" style="105"/>
    <col min="6398" max="6398" width="4.28515625" style="105" customWidth="1"/>
    <col min="6399" max="6399" width="9.140625" style="105"/>
    <col min="6400" max="6400" width="18.5703125" style="105" customWidth="1"/>
    <col min="6401" max="6401" width="11.5703125" style="105" customWidth="1"/>
    <col min="6402" max="6402" width="9" style="105" customWidth="1"/>
    <col min="6403" max="6403" width="13" style="105" customWidth="1"/>
    <col min="6404" max="6404" width="3.140625" style="105" customWidth="1"/>
    <col min="6405" max="6405" width="11.28515625" style="105" customWidth="1"/>
    <col min="6406" max="6406" width="3.28515625" style="105" customWidth="1"/>
    <col min="6407" max="6407" width="12.85546875" style="105" customWidth="1"/>
    <col min="6408" max="6408" width="3.140625" style="105" customWidth="1"/>
    <col min="6409" max="6410" width="11.140625" style="105" customWidth="1"/>
    <col min="6411" max="6411" width="0" style="105" hidden="1" customWidth="1"/>
    <col min="6412" max="6413" width="9.140625" style="105"/>
    <col min="6414" max="6414" width="13.5703125" style="105" customWidth="1"/>
    <col min="6415" max="6653" width="9.140625" style="105"/>
    <col min="6654" max="6654" width="4.28515625" style="105" customWidth="1"/>
    <col min="6655" max="6655" width="9.140625" style="105"/>
    <col min="6656" max="6656" width="18.5703125" style="105" customWidth="1"/>
    <col min="6657" max="6657" width="11.5703125" style="105" customWidth="1"/>
    <col min="6658" max="6658" width="9" style="105" customWidth="1"/>
    <col min="6659" max="6659" width="13" style="105" customWidth="1"/>
    <col min="6660" max="6660" width="3.140625" style="105" customWidth="1"/>
    <col min="6661" max="6661" width="11.28515625" style="105" customWidth="1"/>
    <col min="6662" max="6662" width="3.28515625" style="105" customWidth="1"/>
    <col min="6663" max="6663" width="12.85546875" style="105" customWidth="1"/>
    <col min="6664" max="6664" width="3.140625" style="105" customWidth="1"/>
    <col min="6665" max="6666" width="11.140625" style="105" customWidth="1"/>
    <col min="6667" max="6667" width="0" style="105" hidden="1" customWidth="1"/>
    <col min="6668" max="6669" width="9.140625" style="105"/>
    <col min="6670" max="6670" width="13.5703125" style="105" customWidth="1"/>
    <col min="6671" max="6909" width="9.140625" style="105"/>
    <col min="6910" max="6910" width="4.28515625" style="105" customWidth="1"/>
    <col min="6911" max="6911" width="9.140625" style="105"/>
    <col min="6912" max="6912" width="18.5703125" style="105" customWidth="1"/>
    <col min="6913" max="6913" width="11.5703125" style="105" customWidth="1"/>
    <col min="6914" max="6914" width="9" style="105" customWidth="1"/>
    <col min="6915" max="6915" width="13" style="105" customWidth="1"/>
    <col min="6916" max="6916" width="3.140625" style="105" customWidth="1"/>
    <col min="6917" max="6917" width="11.28515625" style="105" customWidth="1"/>
    <col min="6918" max="6918" width="3.28515625" style="105" customWidth="1"/>
    <col min="6919" max="6919" width="12.85546875" style="105" customWidth="1"/>
    <col min="6920" max="6920" width="3.140625" style="105" customWidth="1"/>
    <col min="6921" max="6922" width="11.140625" style="105" customWidth="1"/>
    <col min="6923" max="6923" width="0" style="105" hidden="1" customWidth="1"/>
    <col min="6924" max="6925" width="9.140625" style="105"/>
    <col min="6926" max="6926" width="13.5703125" style="105" customWidth="1"/>
    <col min="6927" max="7165" width="9.140625" style="105"/>
    <col min="7166" max="7166" width="4.28515625" style="105" customWidth="1"/>
    <col min="7167" max="7167" width="9.140625" style="105"/>
    <col min="7168" max="7168" width="18.5703125" style="105" customWidth="1"/>
    <col min="7169" max="7169" width="11.5703125" style="105" customWidth="1"/>
    <col min="7170" max="7170" width="9" style="105" customWidth="1"/>
    <col min="7171" max="7171" width="13" style="105" customWidth="1"/>
    <col min="7172" max="7172" width="3.140625" style="105" customWidth="1"/>
    <col min="7173" max="7173" width="11.28515625" style="105" customWidth="1"/>
    <col min="7174" max="7174" width="3.28515625" style="105" customWidth="1"/>
    <col min="7175" max="7175" width="12.85546875" style="105" customWidth="1"/>
    <col min="7176" max="7176" width="3.140625" style="105" customWidth="1"/>
    <col min="7177" max="7178" width="11.140625" style="105" customWidth="1"/>
    <col min="7179" max="7179" width="0" style="105" hidden="1" customWidth="1"/>
    <col min="7180" max="7181" width="9.140625" style="105"/>
    <col min="7182" max="7182" width="13.5703125" style="105" customWidth="1"/>
    <col min="7183" max="7421" width="9.140625" style="105"/>
    <col min="7422" max="7422" width="4.28515625" style="105" customWidth="1"/>
    <col min="7423" max="7423" width="9.140625" style="105"/>
    <col min="7424" max="7424" width="18.5703125" style="105" customWidth="1"/>
    <col min="7425" max="7425" width="11.5703125" style="105" customWidth="1"/>
    <col min="7426" max="7426" width="9" style="105" customWidth="1"/>
    <col min="7427" max="7427" width="13" style="105" customWidth="1"/>
    <col min="7428" max="7428" width="3.140625" style="105" customWidth="1"/>
    <col min="7429" max="7429" width="11.28515625" style="105" customWidth="1"/>
    <col min="7430" max="7430" width="3.28515625" style="105" customWidth="1"/>
    <col min="7431" max="7431" width="12.85546875" style="105" customWidth="1"/>
    <col min="7432" max="7432" width="3.140625" style="105" customWidth="1"/>
    <col min="7433" max="7434" width="11.140625" style="105" customWidth="1"/>
    <col min="7435" max="7435" width="0" style="105" hidden="1" customWidth="1"/>
    <col min="7436" max="7437" width="9.140625" style="105"/>
    <col min="7438" max="7438" width="13.5703125" style="105" customWidth="1"/>
    <col min="7439" max="7677" width="9.140625" style="105"/>
    <col min="7678" max="7678" width="4.28515625" style="105" customWidth="1"/>
    <col min="7679" max="7679" width="9.140625" style="105"/>
    <col min="7680" max="7680" width="18.5703125" style="105" customWidth="1"/>
    <col min="7681" max="7681" width="11.5703125" style="105" customWidth="1"/>
    <col min="7682" max="7682" width="9" style="105" customWidth="1"/>
    <col min="7683" max="7683" width="13" style="105" customWidth="1"/>
    <col min="7684" max="7684" width="3.140625" style="105" customWidth="1"/>
    <col min="7685" max="7685" width="11.28515625" style="105" customWidth="1"/>
    <col min="7686" max="7686" width="3.28515625" style="105" customWidth="1"/>
    <col min="7687" max="7687" width="12.85546875" style="105" customWidth="1"/>
    <col min="7688" max="7688" width="3.140625" style="105" customWidth="1"/>
    <col min="7689" max="7690" width="11.140625" style="105" customWidth="1"/>
    <col min="7691" max="7691" width="0" style="105" hidden="1" customWidth="1"/>
    <col min="7692" max="7693" width="9.140625" style="105"/>
    <col min="7694" max="7694" width="13.5703125" style="105" customWidth="1"/>
    <col min="7695" max="7933" width="9.140625" style="105"/>
    <col min="7934" max="7934" width="4.28515625" style="105" customWidth="1"/>
    <col min="7935" max="7935" width="9.140625" style="105"/>
    <col min="7936" max="7936" width="18.5703125" style="105" customWidth="1"/>
    <col min="7937" max="7937" width="11.5703125" style="105" customWidth="1"/>
    <col min="7938" max="7938" width="9" style="105" customWidth="1"/>
    <col min="7939" max="7939" width="13" style="105" customWidth="1"/>
    <col min="7940" max="7940" width="3.140625" style="105" customWidth="1"/>
    <col min="7941" max="7941" width="11.28515625" style="105" customWidth="1"/>
    <col min="7942" max="7942" width="3.28515625" style="105" customWidth="1"/>
    <col min="7943" max="7943" width="12.85546875" style="105" customWidth="1"/>
    <col min="7944" max="7944" width="3.140625" style="105" customWidth="1"/>
    <col min="7945" max="7946" width="11.140625" style="105" customWidth="1"/>
    <col min="7947" max="7947" width="0" style="105" hidden="1" customWidth="1"/>
    <col min="7948" max="7949" width="9.140625" style="105"/>
    <col min="7950" max="7950" width="13.5703125" style="105" customWidth="1"/>
    <col min="7951" max="8189" width="9.140625" style="105"/>
    <col min="8190" max="8190" width="4.28515625" style="105" customWidth="1"/>
    <col min="8191" max="8191" width="9.140625" style="105"/>
    <col min="8192" max="8192" width="18.5703125" style="105" customWidth="1"/>
    <col min="8193" max="8193" width="11.5703125" style="105" customWidth="1"/>
    <col min="8194" max="8194" width="9" style="105" customWidth="1"/>
    <col min="8195" max="8195" width="13" style="105" customWidth="1"/>
    <col min="8196" max="8196" width="3.140625" style="105" customWidth="1"/>
    <col min="8197" max="8197" width="11.28515625" style="105" customWidth="1"/>
    <col min="8198" max="8198" width="3.28515625" style="105" customWidth="1"/>
    <col min="8199" max="8199" width="12.85546875" style="105" customWidth="1"/>
    <col min="8200" max="8200" width="3.140625" style="105" customWidth="1"/>
    <col min="8201" max="8202" width="11.140625" style="105" customWidth="1"/>
    <col min="8203" max="8203" width="0" style="105" hidden="1" customWidth="1"/>
    <col min="8204" max="8205" width="9.140625" style="105"/>
    <col min="8206" max="8206" width="13.5703125" style="105" customWidth="1"/>
    <col min="8207" max="8445" width="9.140625" style="105"/>
    <col min="8446" max="8446" width="4.28515625" style="105" customWidth="1"/>
    <col min="8447" max="8447" width="9.140625" style="105"/>
    <col min="8448" max="8448" width="18.5703125" style="105" customWidth="1"/>
    <col min="8449" max="8449" width="11.5703125" style="105" customWidth="1"/>
    <col min="8450" max="8450" width="9" style="105" customWidth="1"/>
    <col min="8451" max="8451" width="13" style="105" customWidth="1"/>
    <col min="8452" max="8452" width="3.140625" style="105" customWidth="1"/>
    <col min="8453" max="8453" width="11.28515625" style="105" customWidth="1"/>
    <col min="8454" max="8454" width="3.28515625" style="105" customWidth="1"/>
    <col min="8455" max="8455" width="12.85546875" style="105" customWidth="1"/>
    <col min="8456" max="8456" width="3.140625" style="105" customWidth="1"/>
    <col min="8457" max="8458" width="11.140625" style="105" customWidth="1"/>
    <col min="8459" max="8459" width="0" style="105" hidden="1" customWidth="1"/>
    <col min="8460" max="8461" width="9.140625" style="105"/>
    <col min="8462" max="8462" width="13.5703125" style="105" customWidth="1"/>
    <col min="8463" max="8701" width="9.140625" style="105"/>
    <col min="8702" max="8702" width="4.28515625" style="105" customWidth="1"/>
    <col min="8703" max="8703" width="9.140625" style="105"/>
    <col min="8704" max="8704" width="18.5703125" style="105" customWidth="1"/>
    <col min="8705" max="8705" width="11.5703125" style="105" customWidth="1"/>
    <col min="8706" max="8706" width="9" style="105" customWidth="1"/>
    <col min="8707" max="8707" width="13" style="105" customWidth="1"/>
    <col min="8708" max="8708" width="3.140625" style="105" customWidth="1"/>
    <col min="8709" max="8709" width="11.28515625" style="105" customWidth="1"/>
    <col min="8710" max="8710" width="3.28515625" style="105" customWidth="1"/>
    <col min="8711" max="8711" width="12.85546875" style="105" customWidth="1"/>
    <col min="8712" max="8712" width="3.140625" style="105" customWidth="1"/>
    <col min="8713" max="8714" width="11.140625" style="105" customWidth="1"/>
    <col min="8715" max="8715" width="0" style="105" hidden="1" customWidth="1"/>
    <col min="8716" max="8717" width="9.140625" style="105"/>
    <col min="8718" max="8718" width="13.5703125" style="105" customWidth="1"/>
    <col min="8719" max="8957" width="9.140625" style="105"/>
    <col min="8958" max="8958" width="4.28515625" style="105" customWidth="1"/>
    <col min="8959" max="8959" width="9.140625" style="105"/>
    <col min="8960" max="8960" width="18.5703125" style="105" customWidth="1"/>
    <col min="8961" max="8961" width="11.5703125" style="105" customWidth="1"/>
    <col min="8962" max="8962" width="9" style="105" customWidth="1"/>
    <col min="8963" max="8963" width="13" style="105" customWidth="1"/>
    <col min="8964" max="8964" width="3.140625" style="105" customWidth="1"/>
    <col min="8965" max="8965" width="11.28515625" style="105" customWidth="1"/>
    <col min="8966" max="8966" width="3.28515625" style="105" customWidth="1"/>
    <col min="8967" max="8967" width="12.85546875" style="105" customWidth="1"/>
    <col min="8968" max="8968" width="3.140625" style="105" customWidth="1"/>
    <col min="8969" max="8970" width="11.140625" style="105" customWidth="1"/>
    <col min="8971" max="8971" width="0" style="105" hidden="1" customWidth="1"/>
    <col min="8972" max="8973" width="9.140625" style="105"/>
    <col min="8974" max="8974" width="13.5703125" style="105" customWidth="1"/>
    <col min="8975" max="9213" width="9.140625" style="105"/>
    <col min="9214" max="9214" width="4.28515625" style="105" customWidth="1"/>
    <col min="9215" max="9215" width="9.140625" style="105"/>
    <col min="9216" max="9216" width="18.5703125" style="105" customWidth="1"/>
    <col min="9217" max="9217" width="11.5703125" style="105" customWidth="1"/>
    <col min="9218" max="9218" width="9" style="105" customWidth="1"/>
    <col min="9219" max="9219" width="13" style="105" customWidth="1"/>
    <col min="9220" max="9220" width="3.140625" style="105" customWidth="1"/>
    <col min="9221" max="9221" width="11.28515625" style="105" customWidth="1"/>
    <col min="9222" max="9222" width="3.28515625" style="105" customWidth="1"/>
    <col min="9223" max="9223" width="12.85546875" style="105" customWidth="1"/>
    <col min="9224" max="9224" width="3.140625" style="105" customWidth="1"/>
    <col min="9225" max="9226" width="11.140625" style="105" customWidth="1"/>
    <col min="9227" max="9227" width="0" style="105" hidden="1" customWidth="1"/>
    <col min="9228" max="9229" width="9.140625" style="105"/>
    <col min="9230" max="9230" width="13.5703125" style="105" customWidth="1"/>
    <col min="9231" max="9469" width="9.140625" style="105"/>
    <col min="9470" max="9470" width="4.28515625" style="105" customWidth="1"/>
    <col min="9471" max="9471" width="9.140625" style="105"/>
    <col min="9472" max="9472" width="18.5703125" style="105" customWidth="1"/>
    <col min="9473" max="9473" width="11.5703125" style="105" customWidth="1"/>
    <col min="9474" max="9474" width="9" style="105" customWidth="1"/>
    <col min="9475" max="9475" width="13" style="105" customWidth="1"/>
    <col min="9476" max="9476" width="3.140625" style="105" customWidth="1"/>
    <col min="9477" max="9477" width="11.28515625" style="105" customWidth="1"/>
    <col min="9478" max="9478" width="3.28515625" style="105" customWidth="1"/>
    <col min="9479" max="9479" width="12.85546875" style="105" customWidth="1"/>
    <col min="9480" max="9480" width="3.140625" style="105" customWidth="1"/>
    <col min="9481" max="9482" width="11.140625" style="105" customWidth="1"/>
    <col min="9483" max="9483" width="0" style="105" hidden="1" customWidth="1"/>
    <col min="9484" max="9485" width="9.140625" style="105"/>
    <col min="9486" max="9486" width="13.5703125" style="105" customWidth="1"/>
    <col min="9487" max="9725" width="9.140625" style="105"/>
    <col min="9726" max="9726" width="4.28515625" style="105" customWidth="1"/>
    <col min="9727" max="9727" width="9.140625" style="105"/>
    <col min="9728" max="9728" width="18.5703125" style="105" customWidth="1"/>
    <col min="9729" max="9729" width="11.5703125" style="105" customWidth="1"/>
    <col min="9730" max="9730" width="9" style="105" customWidth="1"/>
    <col min="9731" max="9731" width="13" style="105" customWidth="1"/>
    <col min="9732" max="9732" width="3.140625" style="105" customWidth="1"/>
    <col min="9733" max="9733" width="11.28515625" style="105" customWidth="1"/>
    <col min="9734" max="9734" width="3.28515625" style="105" customWidth="1"/>
    <col min="9735" max="9735" width="12.85546875" style="105" customWidth="1"/>
    <col min="9736" max="9736" width="3.140625" style="105" customWidth="1"/>
    <col min="9737" max="9738" width="11.140625" style="105" customWidth="1"/>
    <col min="9739" max="9739" width="0" style="105" hidden="1" customWidth="1"/>
    <col min="9740" max="9741" width="9.140625" style="105"/>
    <col min="9742" max="9742" width="13.5703125" style="105" customWidth="1"/>
    <col min="9743" max="9981" width="9.140625" style="105"/>
    <col min="9982" max="9982" width="4.28515625" style="105" customWidth="1"/>
    <col min="9983" max="9983" width="9.140625" style="105"/>
    <col min="9984" max="9984" width="18.5703125" style="105" customWidth="1"/>
    <col min="9985" max="9985" width="11.5703125" style="105" customWidth="1"/>
    <col min="9986" max="9986" width="9" style="105" customWidth="1"/>
    <col min="9987" max="9987" width="13" style="105" customWidth="1"/>
    <col min="9988" max="9988" width="3.140625" style="105" customWidth="1"/>
    <col min="9989" max="9989" width="11.28515625" style="105" customWidth="1"/>
    <col min="9990" max="9990" width="3.28515625" style="105" customWidth="1"/>
    <col min="9991" max="9991" width="12.85546875" style="105" customWidth="1"/>
    <col min="9992" max="9992" width="3.140625" style="105" customWidth="1"/>
    <col min="9993" max="9994" width="11.140625" style="105" customWidth="1"/>
    <col min="9995" max="9995" width="0" style="105" hidden="1" customWidth="1"/>
    <col min="9996" max="9997" width="9.140625" style="105"/>
    <col min="9998" max="9998" width="13.5703125" style="105" customWidth="1"/>
    <col min="9999" max="10237" width="9.140625" style="105"/>
    <col min="10238" max="10238" width="4.28515625" style="105" customWidth="1"/>
    <col min="10239" max="10239" width="9.140625" style="105"/>
    <col min="10240" max="10240" width="18.5703125" style="105" customWidth="1"/>
    <col min="10241" max="10241" width="11.5703125" style="105" customWidth="1"/>
    <col min="10242" max="10242" width="9" style="105" customWidth="1"/>
    <col min="10243" max="10243" width="13" style="105" customWidth="1"/>
    <col min="10244" max="10244" width="3.140625" style="105" customWidth="1"/>
    <col min="10245" max="10245" width="11.28515625" style="105" customWidth="1"/>
    <col min="10246" max="10246" width="3.28515625" style="105" customWidth="1"/>
    <col min="10247" max="10247" width="12.85546875" style="105" customWidth="1"/>
    <col min="10248" max="10248" width="3.140625" style="105" customWidth="1"/>
    <col min="10249" max="10250" width="11.140625" style="105" customWidth="1"/>
    <col min="10251" max="10251" width="0" style="105" hidden="1" customWidth="1"/>
    <col min="10252" max="10253" width="9.140625" style="105"/>
    <col min="10254" max="10254" width="13.5703125" style="105" customWidth="1"/>
    <col min="10255" max="10493" width="9.140625" style="105"/>
    <col min="10494" max="10494" width="4.28515625" style="105" customWidth="1"/>
    <col min="10495" max="10495" width="9.140625" style="105"/>
    <col min="10496" max="10496" width="18.5703125" style="105" customWidth="1"/>
    <col min="10497" max="10497" width="11.5703125" style="105" customWidth="1"/>
    <col min="10498" max="10498" width="9" style="105" customWidth="1"/>
    <col min="10499" max="10499" width="13" style="105" customWidth="1"/>
    <col min="10500" max="10500" width="3.140625" style="105" customWidth="1"/>
    <col min="10501" max="10501" width="11.28515625" style="105" customWidth="1"/>
    <col min="10502" max="10502" width="3.28515625" style="105" customWidth="1"/>
    <col min="10503" max="10503" width="12.85546875" style="105" customWidth="1"/>
    <col min="10504" max="10504" width="3.140625" style="105" customWidth="1"/>
    <col min="10505" max="10506" width="11.140625" style="105" customWidth="1"/>
    <col min="10507" max="10507" width="0" style="105" hidden="1" customWidth="1"/>
    <col min="10508" max="10509" width="9.140625" style="105"/>
    <col min="10510" max="10510" width="13.5703125" style="105" customWidth="1"/>
    <col min="10511" max="10749" width="9.140625" style="105"/>
    <col min="10750" max="10750" width="4.28515625" style="105" customWidth="1"/>
    <col min="10751" max="10751" width="9.140625" style="105"/>
    <col min="10752" max="10752" width="18.5703125" style="105" customWidth="1"/>
    <col min="10753" max="10753" width="11.5703125" style="105" customWidth="1"/>
    <col min="10754" max="10754" width="9" style="105" customWidth="1"/>
    <col min="10755" max="10755" width="13" style="105" customWidth="1"/>
    <col min="10756" max="10756" width="3.140625" style="105" customWidth="1"/>
    <col min="10757" max="10757" width="11.28515625" style="105" customWidth="1"/>
    <col min="10758" max="10758" width="3.28515625" style="105" customWidth="1"/>
    <col min="10759" max="10759" width="12.85546875" style="105" customWidth="1"/>
    <col min="10760" max="10760" width="3.140625" style="105" customWidth="1"/>
    <col min="10761" max="10762" width="11.140625" style="105" customWidth="1"/>
    <col min="10763" max="10763" width="0" style="105" hidden="1" customWidth="1"/>
    <col min="10764" max="10765" width="9.140625" style="105"/>
    <col min="10766" max="10766" width="13.5703125" style="105" customWidth="1"/>
    <col min="10767" max="11005" width="9.140625" style="105"/>
    <col min="11006" max="11006" width="4.28515625" style="105" customWidth="1"/>
    <col min="11007" max="11007" width="9.140625" style="105"/>
    <col min="11008" max="11008" width="18.5703125" style="105" customWidth="1"/>
    <col min="11009" max="11009" width="11.5703125" style="105" customWidth="1"/>
    <col min="11010" max="11010" width="9" style="105" customWidth="1"/>
    <col min="11011" max="11011" width="13" style="105" customWidth="1"/>
    <col min="11012" max="11012" width="3.140625" style="105" customWidth="1"/>
    <col min="11013" max="11013" width="11.28515625" style="105" customWidth="1"/>
    <col min="11014" max="11014" width="3.28515625" style="105" customWidth="1"/>
    <col min="11015" max="11015" width="12.85546875" style="105" customWidth="1"/>
    <col min="11016" max="11016" width="3.140625" style="105" customWidth="1"/>
    <col min="11017" max="11018" width="11.140625" style="105" customWidth="1"/>
    <col min="11019" max="11019" width="0" style="105" hidden="1" customWidth="1"/>
    <col min="11020" max="11021" width="9.140625" style="105"/>
    <col min="11022" max="11022" width="13.5703125" style="105" customWidth="1"/>
    <col min="11023" max="11261" width="9.140625" style="105"/>
    <col min="11262" max="11262" width="4.28515625" style="105" customWidth="1"/>
    <col min="11263" max="11263" width="9.140625" style="105"/>
    <col min="11264" max="11264" width="18.5703125" style="105" customWidth="1"/>
    <col min="11265" max="11265" width="11.5703125" style="105" customWidth="1"/>
    <col min="11266" max="11266" width="9" style="105" customWidth="1"/>
    <col min="11267" max="11267" width="13" style="105" customWidth="1"/>
    <col min="11268" max="11268" width="3.140625" style="105" customWidth="1"/>
    <col min="11269" max="11269" width="11.28515625" style="105" customWidth="1"/>
    <col min="11270" max="11270" width="3.28515625" style="105" customWidth="1"/>
    <col min="11271" max="11271" width="12.85546875" style="105" customWidth="1"/>
    <col min="11272" max="11272" width="3.140625" style="105" customWidth="1"/>
    <col min="11273" max="11274" width="11.140625" style="105" customWidth="1"/>
    <col min="11275" max="11275" width="0" style="105" hidden="1" customWidth="1"/>
    <col min="11276" max="11277" width="9.140625" style="105"/>
    <col min="11278" max="11278" width="13.5703125" style="105" customWidth="1"/>
    <col min="11279" max="11517" width="9.140625" style="105"/>
    <col min="11518" max="11518" width="4.28515625" style="105" customWidth="1"/>
    <col min="11519" max="11519" width="9.140625" style="105"/>
    <col min="11520" max="11520" width="18.5703125" style="105" customWidth="1"/>
    <col min="11521" max="11521" width="11.5703125" style="105" customWidth="1"/>
    <col min="11522" max="11522" width="9" style="105" customWidth="1"/>
    <col min="11523" max="11523" width="13" style="105" customWidth="1"/>
    <col min="11524" max="11524" width="3.140625" style="105" customWidth="1"/>
    <col min="11525" max="11525" width="11.28515625" style="105" customWidth="1"/>
    <col min="11526" max="11526" width="3.28515625" style="105" customWidth="1"/>
    <col min="11527" max="11527" width="12.85546875" style="105" customWidth="1"/>
    <col min="11528" max="11528" width="3.140625" style="105" customWidth="1"/>
    <col min="11529" max="11530" width="11.140625" style="105" customWidth="1"/>
    <col min="11531" max="11531" width="0" style="105" hidden="1" customWidth="1"/>
    <col min="11532" max="11533" width="9.140625" style="105"/>
    <col min="11534" max="11534" width="13.5703125" style="105" customWidth="1"/>
    <col min="11535" max="11773" width="9.140625" style="105"/>
    <col min="11774" max="11774" width="4.28515625" style="105" customWidth="1"/>
    <col min="11775" max="11775" width="9.140625" style="105"/>
    <col min="11776" max="11776" width="18.5703125" style="105" customWidth="1"/>
    <col min="11777" max="11777" width="11.5703125" style="105" customWidth="1"/>
    <col min="11778" max="11778" width="9" style="105" customWidth="1"/>
    <col min="11779" max="11779" width="13" style="105" customWidth="1"/>
    <col min="11780" max="11780" width="3.140625" style="105" customWidth="1"/>
    <col min="11781" max="11781" width="11.28515625" style="105" customWidth="1"/>
    <col min="11782" max="11782" width="3.28515625" style="105" customWidth="1"/>
    <col min="11783" max="11783" width="12.85546875" style="105" customWidth="1"/>
    <col min="11784" max="11784" width="3.140625" style="105" customWidth="1"/>
    <col min="11785" max="11786" width="11.140625" style="105" customWidth="1"/>
    <col min="11787" max="11787" width="0" style="105" hidden="1" customWidth="1"/>
    <col min="11788" max="11789" width="9.140625" style="105"/>
    <col min="11790" max="11790" width="13.5703125" style="105" customWidth="1"/>
    <col min="11791" max="12029" width="9.140625" style="105"/>
    <col min="12030" max="12030" width="4.28515625" style="105" customWidth="1"/>
    <col min="12031" max="12031" width="9.140625" style="105"/>
    <col min="12032" max="12032" width="18.5703125" style="105" customWidth="1"/>
    <col min="12033" max="12033" width="11.5703125" style="105" customWidth="1"/>
    <col min="12034" max="12034" width="9" style="105" customWidth="1"/>
    <col min="12035" max="12035" width="13" style="105" customWidth="1"/>
    <col min="12036" max="12036" width="3.140625" style="105" customWidth="1"/>
    <col min="12037" max="12037" width="11.28515625" style="105" customWidth="1"/>
    <col min="12038" max="12038" width="3.28515625" style="105" customWidth="1"/>
    <col min="12039" max="12039" width="12.85546875" style="105" customWidth="1"/>
    <col min="12040" max="12040" width="3.140625" style="105" customWidth="1"/>
    <col min="12041" max="12042" width="11.140625" style="105" customWidth="1"/>
    <col min="12043" max="12043" width="0" style="105" hidden="1" customWidth="1"/>
    <col min="12044" max="12045" width="9.140625" style="105"/>
    <col min="12046" max="12046" width="13.5703125" style="105" customWidth="1"/>
    <col min="12047" max="12285" width="9.140625" style="105"/>
    <col min="12286" max="12286" width="4.28515625" style="105" customWidth="1"/>
    <col min="12287" max="12287" width="9.140625" style="105"/>
    <col min="12288" max="12288" width="18.5703125" style="105" customWidth="1"/>
    <col min="12289" max="12289" width="11.5703125" style="105" customWidth="1"/>
    <col min="12290" max="12290" width="9" style="105" customWidth="1"/>
    <col min="12291" max="12291" width="13" style="105" customWidth="1"/>
    <col min="12292" max="12292" width="3.140625" style="105" customWidth="1"/>
    <col min="12293" max="12293" width="11.28515625" style="105" customWidth="1"/>
    <col min="12294" max="12294" width="3.28515625" style="105" customWidth="1"/>
    <col min="12295" max="12295" width="12.85546875" style="105" customWidth="1"/>
    <col min="12296" max="12296" width="3.140625" style="105" customWidth="1"/>
    <col min="12297" max="12298" width="11.140625" style="105" customWidth="1"/>
    <col min="12299" max="12299" width="0" style="105" hidden="1" customWidth="1"/>
    <col min="12300" max="12301" width="9.140625" style="105"/>
    <col min="12302" max="12302" width="13.5703125" style="105" customWidth="1"/>
    <col min="12303" max="12541" width="9.140625" style="105"/>
    <col min="12542" max="12542" width="4.28515625" style="105" customWidth="1"/>
    <col min="12543" max="12543" width="9.140625" style="105"/>
    <col min="12544" max="12544" width="18.5703125" style="105" customWidth="1"/>
    <col min="12545" max="12545" width="11.5703125" style="105" customWidth="1"/>
    <col min="12546" max="12546" width="9" style="105" customWidth="1"/>
    <col min="12547" max="12547" width="13" style="105" customWidth="1"/>
    <col min="12548" max="12548" width="3.140625" style="105" customWidth="1"/>
    <col min="12549" max="12549" width="11.28515625" style="105" customWidth="1"/>
    <col min="12550" max="12550" width="3.28515625" style="105" customWidth="1"/>
    <col min="12551" max="12551" width="12.85546875" style="105" customWidth="1"/>
    <col min="12552" max="12552" width="3.140625" style="105" customWidth="1"/>
    <col min="12553" max="12554" width="11.140625" style="105" customWidth="1"/>
    <col min="12555" max="12555" width="0" style="105" hidden="1" customWidth="1"/>
    <col min="12556" max="12557" width="9.140625" style="105"/>
    <col min="12558" max="12558" width="13.5703125" style="105" customWidth="1"/>
    <col min="12559" max="12797" width="9.140625" style="105"/>
    <col min="12798" max="12798" width="4.28515625" style="105" customWidth="1"/>
    <col min="12799" max="12799" width="9.140625" style="105"/>
    <col min="12800" max="12800" width="18.5703125" style="105" customWidth="1"/>
    <col min="12801" max="12801" width="11.5703125" style="105" customWidth="1"/>
    <col min="12802" max="12802" width="9" style="105" customWidth="1"/>
    <col min="12803" max="12803" width="13" style="105" customWidth="1"/>
    <col min="12804" max="12804" width="3.140625" style="105" customWidth="1"/>
    <col min="12805" max="12805" width="11.28515625" style="105" customWidth="1"/>
    <col min="12806" max="12806" width="3.28515625" style="105" customWidth="1"/>
    <col min="12807" max="12807" width="12.85546875" style="105" customWidth="1"/>
    <col min="12808" max="12808" width="3.140625" style="105" customWidth="1"/>
    <col min="12809" max="12810" width="11.140625" style="105" customWidth="1"/>
    <col min="12811" max="12811" width="0" style="105" hidden="1" customWidth="1"/>
    <col min="12812" max="12813" width="9.140625" style="105"/>
    <col min="12814" max="12814" width="13.5703125" style="105" customWidth="1"/>
    <col min="12815" max="13053" width="9.140625" style="105"/>
    <col min="13054" max="13054" width="4.28515625" style="105" customWidth="1"/>
    <col min="13055" max="13055" width="9.140625" style="105"/>
    <col min="13056" max="13056" width="18.5703125" style="105" customWidth="1"/>
    <col min="13057" max="13057" width="11.5703125" style="105" customWidth="1"/>
    <col min="13058" max="13058" width="9" style="105" customWidth="1"/>
    <col min="13059" max="13059" width="13" style="105" customWidth="1"/>
    <col min="13060" max="13060" width="3.140625" style="105" customWidth="1"/>
    <col min="13061" max="13061" width="11.28515625" style="105" customWidth="1"/>
    <col min="13062" max="13062" width="3.28515625" style="105" customWidth="1"/>
    <col min="13063" max="13063" width="12.85546875" style="105" customWidth="1"/>
    <col min="13064" max="13064" width="3.140625" style="105" customWidth="1"/>
    <col min="13065" max="13066" width="11.140625" style="105" customWidth="1"/>
    <col min="13067" max="13067" width="0" style="105" hidden="1" customWidth="1"/>
    <col min="13068" max="13069" width="9.140625" style="105"/>
    <col min="13070" max="13070" width="13.5703125" style="105" customWidth="1"/>
    <col min="13071" max="13309" width="9.140625" style="105"/>
    <col min="13310" max="13310" width="4.28515625" style="105" customWidth="1"/>
    <col min="13311" max="13311" width="9.140625" style="105"/>
    <col min="13312" max="13312" width="18.5703125" style="105" customWidth="1"/>
    <col min="13313" max="13313" width="11.5703125" style="105" customWidth="1"/>
    <col min="13314" max="13314" width="9" style="105" customWidth="1"/>
    <col min="13315" max="13315" width="13" style="105" customWidth="1"/>
    <col min="13316" max="13316" width="3.140625" style="105" customWidth="1"/>
    <col min="13317" max="13317" width="11.28515625" style="105" customWidth="1"/>
    <col min="13318" max="13318" width="3.28515625" style="105" customWidth="1"/>
    <col min="13319" max="13319" width="12.85546875" style="105" customWidth="1"/>
    <col min="13320" max="13320" width="3.140625" style="105" customWidth="1"/>
    <col min="13321" max="13322" width="11.140625" style="105" customWidth="1"/>
    <col min="13323" max="13323" width="0" style="105" hidden="1" customWidth="1"/>
    <col min="13324" max="13325" width="9.140625" style="105"/>
    <col min="13326" max="13326" width="13.5703125" style="105" customWidth="1"/>
    <col min="13327" max="13565" width="9.140625" style="105"/>
    <col min="13566" max="13566" width="4.28515625" style="105" customWidth="1"/>
    <col min="13567" max="13567" width="9.140625" style="105"/>
    <col min="13568" max="13568" width="18.5703125" style="105" customWidth="1"/>
    <col min="13569" max="13569" width="11.5703125" style="105" customWidth="1"/>
    <col min="13570" max="13570" width="9" style="105" customWidth="1"/>
    <col min="13571" max="13571" width="13" style="105" customWidth="1"/>
    <col min="13572" max="13572" width="3.140625" style="105" customWidth="1"/>
    <col min="13573" max="13573" width="11.28515625" style="105" customWidth="1"/>
    <col min="13574" max="13574" width="3.28515625" style="105" customWidth="1"/>
    <col min="13575" max="13575" width="12.85546875" style="105" customWidth="1"/>
    <col min="13576" max="13576" width="3.140625" style="105" customWidth="1"/>
    <col min="13577" max="13578" width="11.140625" style="105" customWidth="1"/>
    <col min="13579" max="13579" width="0" style="105" hidden="1" customWidth="1"/>
    <col min="13580" max="13581" width="9.140625" style="105"/>
    <col min="13582" max="13582" width="13.5703125" style="105" customWidth="1"/>
    <col min="13583" max="13821" width="9.140625" style="105"/>
    <col min="13822" max="13822" width="4.28515625" style="105" customWidth="1"/>
    <col min="13823" max="13823" width="9.140625" style="105"/>
    <col min="13824" max="13824" width="18.5703125" style="105" customWidth="1"/>
    <col min="13825" max="13825" width="11.5703125" style="105" customWidth="1"/>
    <col min="13826" max="13826" width="9" style="105" customWidth="1"/>
    <col min="13827" max="13827" width="13" style="105" customWidth="1"/>
    <col min="13828" max="13828" width="3.140625" style="105" customWidth="1"/>
    <col min="13829" max="13829" width="11.28515625" style="105" customWidth="1"/>
    <col min="13830" max="13830" width="3.28515625" style="105" customWidth="1"/>
    <col min="13831" max="13831" width="12.85546875" style="105" customWidth="1"/>
    <col min="13832" max="13832" width="3.140625" style="105" customWidth="1"/>
    <col min="13833" max="13834" width="11.140625" style="105" customWidth="1"/>
    <col min="13835" max="13835" width="0" style="105" hidden="1" customWidth="1"/>
    <col min="13836" max="13837" width="9.140625" style="105"/>
    <col min="13838" max="13838" width="13.5703125" style="105" customWidth="1"/>
    <col min="13839" max="14077" width="9.140625" style="105"/>
    <col min="14078" max="14078" width="4.28515625" style="105" customWidth="1"/>
    <col min="14079" max="14079" width="9.140625" style="105"/>
    <col min="14080" max="14080" width="18.5703125" style="105" customWidth="1"/>
    <col min="14081" max="14081" width="11.5703125" style="105" customWidth="1"/>
    <col min="14082" max="14082" width="9" style="105" customWidth="1"/>
    <col min="14083" max="14083" width="13" style="105" customWidth="1"/>
    <col min="14084" max="14084" width="3.140625" style="105" customWidth="1"/>
    <col min="14085" max="14085" width="11.28515625" style="105" customWidth="1"/>
    <col min="14086" max="14086" width="3.28515625" style="105" customWidth="1"/>
    <col min="14087" max="14087" width="12.85546875" style="105" customWidth="1"/>
    <col min="14088" max="14088" width="3.140625" style="105" customWidth="1"/>
    <col min="14089" max="14090" width="11.140625" style="105" customWidth="1"/>
    <col min="14091" max="14091" width="0" style="105" hidden="1" customWidth="1"/>
    <col min="14092" max="14093" width="9.140625" style="105"/>
    <col min="14094" max="14094" width="13.5703125" style="105" customWidth="1"/>
    <col min="14095" max="14333" width="9.140625" style="105"/>
    <col min="14334" max="14334" width="4.28515625" style="105" customWidth="1"/>
    <col min="14335" max="14335" width="9.140625" style="105"/>
    <col min="14336" max="14336" width="18.5703125" style="105" customWidth="1"/>
    <col min="14337" max="14337" width="11.5703125" style="105" customWidth="1"/>
    <col min="14338" max="14338" width="9" style="105" customWidth="1"/>
    <col min="14339" max="14339" width="13" style="105" customWidth="1"/>
    <col min="14340" max="14340" width="3.140625" style="105" customWidth="1"/>
    <col min="14341" max="14341" width="11.28515625" style="105" customWidth="1"/>
    <col min="14342" max="14342" width="3.28515625" style="105" customWidth="1"/>
    <col min="14343" max="14343" width="12.85546875" style="105" customWidth="1"/>
    <col min="14344" max="14344" width="3.140625" style="105" customWidth="1"/>
    <col min="14345" max="14346" width="11.140625" style="105" customWidth="1"/>
    <col min="14347" max="14347" width="0" style="105" hidden="1" customWidth="1"/>
    <col min="14348" max="14349" width="9.140625" style="105"/>
    <col min="14350" max="14350" width="13.5703125" style="105" customWidth="1"/>
    <col min="14351" max="14589" width="9.140625" style="105"/>
    <col min="14590" max="14590" width="4.28515625" style="105" customWidth="1"/>
    <col min="14591" max="14591" width="9.140625" style="105"/>
    <col min="14592" max="14592" width="18.5703125" style="105" customWidth="1"/>
    <col min="14593" max="14593" width="11.5703125" style="105" customWidth="1"/>
    <col min="14594" max="14594" width="9" style="105" customWidth="1"/>
    <col min="14595" max="14595" width="13" style="105" customWidth="1"/>
    <col min="14596" max="14596" width="3.140625" style="105" customWidth="1"/>
    <col min="14597" max="14597" width="11.28515625" style="105" customWidth="1"/>
    <col min="14598" max="14598" width="3.28515625" style="105" customWidth="1"/>
    <col min="14599" max="14599" width="12.85546875" style="105" customWidth="1"/>
    <col min="14600" max="14600" width="3.140625" style="105" customWidth="1"/>
    <col min="14601" max="14602" width="11.140625" style="105" customWidth="1"/>
    <col min="14603" max="14603" width="0" style="105" hidden="1" customWidth="1"/>
    <col min="14604" max="14605" width="9.140625" style="105"/>
    <col min="14606" max="14606" width="13.5703125" style="105" customWidth="1"/>
    <col min="14607" max="14845" width="9.140625" style="105"/>
    <col min="14846" max="14846" width="4.28515625" style="105" customWidth="1"/>
    <col min="14847" max="14847" width="9.140625" style="105"/>
    <col min="14848" max="14848" width="18.5703125" style="105" customWidth="1"/>
    <col min="14849" max="14849" width="11.5703125" style="105" customWidth="1"/>
    <col min="14850" max="14850" width="9" style="105" customWidth="1"/>
    <col min="14851" max="14851" width="13" style="105" customWidth="1"/>
    <col min="14852" max="14852" width="3.140625" style="105" customWidth="1"/>
    <col min="14853" max="14853" width="11.28515625" style="105" customWidth="1"/>
    <col min="14854" max="14854" width="3.28515625" style="105" customWidth="1"/>
    <col min="14855" max="14855" width="12.85546875" style="105" customWidth="1"/>
    <col min="14856" max="14856" width="3.140625" style="105" customWidth="1"/>
    <col min="14857" max="14858" width="11.140625" style="105" customWidth="1"/>
    <col min="14859" max="14859" width="0" style="105" hidden="1" customWidth="1"/>
    <col min="14860" max="14861" width="9.140625" style="105"/>
    <col min="14862" max="14862" width="13.5703125" style="105" customWidth="1"/>
    <col min="14863" max="15101" width="9.140625" style="105"/>
    <col min="15102" max="15102" width="4.28515625" style="105" customWidth="1"/>
    <col min="15103" max="15103" width="9.140625" style="105"/>
    <col min="15104" max="15104" width="18.5703125" style="105" customWidth="1"/>
    <col min="15105" max="15105" width="11.5703125" style="105" customWidth="1"/>
    <col min="15106" max="15106" width="9" style="105" customWidth="1"/>
    <col min="15107" max="15107" width="13" style="105" customWidth="1"/>
    <col min="15108" max="15108" width="3.140625" style="105" customWidth="1"/>
    <col min="15109" max="15109" width="11.28515625" style="105" customWidth="1"/>
    <col min="15110" max="15110" width="3.28515625" style="105" customWidth="1"/>
    <col min="15111" max="15111" width="12.85546875" style="105" customWidth="1"/>
    <col min="15112" max="15112" width="3.140625" style="105" customWidth="1"/>
    <col min="15113" max="15114" width="11.140625" style="105" customWidth="1"/>
    <col min="15115" max="15115" width="0" style="105" hidden="1" customWidth="1"/>
    <col min="15116" max="15117" width="9.140625" style="105"/>
    <col min="15118" max="15118" width="13.5703125" style="105" customWidth="1"/>
    <col min="15119" max="15357" width="9.140625" style="105"/>
    <col min="15358" max="15358" width="4.28515625" style="105" customWidth="1"/>
    <col min="15359" max="15359" width="9.140625" style="105"/>
    <col min="15360" max="15360" width="18.5703125" style="105" customWidth="1"/>
    <col min="15361" max="15361" width="11.5703125" style="105" customWidth="1"/>
    <col min="15362" max="15362" width="9" style="105" customWidth="1"/>
    <col min="15363" max="15363" width="13" style="105" customWidth="1"/>
    <col min="15364" max="15364" width="3.140625" style="105" customWidth="1"/>
    <col min="15365" max="15365" width="11.28515625" style="105" customWidth="1"/>
    <col min="15366" max="15366" width="3.28515625" style="105" customWidth="1"/>
    <col min="15367" max="15367" width="12.85546875" style="105" customWidth="1"/>
    <col min="15368" max="15368" width="3.140625" style="105" customWidth="1"/>
    <col min="15369" max="15370" width="11.140625" style="105" customWidth="1"/>
    <col min="15371" max="15371" width="0" style="105" hidden="1" customWidth="1"/>
    <col min="15372" max="15373" width="9.140625" style="105"/>
    <col min="15374" max="15374" width="13.5703125" style="105" customWidth="1"/>
    <col min="15375" max="15613" width="9.140625" style="105"/>
    <col min="15614" max="15614" width="4.28515625" style="105" customWidth="1"/>
    <col min="15615" max="15615" width="9.140625" style="105"/>
    <col min="15616" max="15616" width="18.5703125" style="105" customWidth="1"/>
    <col min="15617" max="15617" width="11.5703125" style="105" customWidth="1"/>
    <col min="15618" max="15618" width="9" style="105" customWidth="1"/>
    <col min="15619" max="15619" width="13" style="105" customWidth="1"/>
    <col min="15620" max="15620" width="3.140625" style="105" customWidth="1"/>
    <col min="15621" max="15621" width="11.28515625" style="105" customWidth="1"/>
    <col min="15622" max="15622" width="3.28515625" style="105" customWidth="1"/>
    <col min="15623" max="15623" width="12.85546875" style="105" customWidth="1"/>
    <col min="15624" max="15624" width="3.140625" style="105" customWidth="1"/>
    <col min="15625" max="15626" width="11.140625" style="105" customWidth="1"/>
    <col min="15627" max="15627" width="0" style="105" hidden="1" customWidth="1"/>
    <col min="15628" max="15629" width="9.140625" style="105"/>
    <col min="15630" max="15630" width="13.5703125" style="105" customWidth="1"/>
    <col min="15631" max="15869" width="9.140625" style="105"/>
    <col min="15870" max="15870" width="4.28515625" style="105" customWidth="1"/>
    <col min="15871" max="15871" width="9.140625" style="105"/>
    <col min="15872" max="15872" width="18.5703125" style="105" customWidth="1"/>
    <col min="15873" max="15873" width="11.5703125" style="105" customWidth="1"/>
    <col min="15874" max="15874" width="9" style="105" customWidth="1"/>
    <col min="15875" max="15875" width="13" style="105" customWidth="1"/>
    <col min="15876" max="15876" width="3.140625" style="105" customWidth="1"/>
    <col min="15877" max="15877" width="11.28515625" style="105" customWidth="1"/>
    <col min="15878" max="15878" width="3.28515625" style="105" customWidth="1"/>
    <col min="15879" max="15879" width="12.85546875" style="105" customWidth="1"/>
    <col min="15880" max="15880" width="3.140625" style="105" customWidth="1"/>
    <col min="15881" max="15882" width="11.140625" style="105" customWidth="1"/>
    <col min="15883" max="15883" width="0" style="105" hidden="1" customWidth="1"/>
    <col min="15884" max="15885" width="9.140625" style="105"/>
    <col min="15886" max="15886" width="13.5703125" style="105" customWidth="1"/>
    <col min="15887" max="16125" width="9.140625" style="105"/>
    <col min="16126" max="16126" width="4.28515625" style="105" customWidth="1"/>
    <col min="16127" max="16127" width="9.140625" style="105"/>
    <col min="16128" max="16128" width="18.5703125" style="105" customWidth="1"/>
    <col min="16129" max="16129" width="11.5703125" style="105" customWidth="1"/>
    <col min="16130" max="16130" width="9" style="105" customWidth="1"/>
    <col min="16131" max="16131" width="13" style="105" customWidth="1"/>
    <col min="16132" max="16132" width="3.140625" style="105" customWidth="1"/>
    <col min="16133" max="16133" width="11.28515625" style="105" customWidth="1"/>
    <col min="16134" max="16134" width="3.28515625" style="105" customWidth="1"/>
    <col min="16135" max="16135" width="12.85546875" style="105" customWidth="1"/>
    <col min="16136" max="16136" width="3.140625" style="105" customWidth="1"/>
    <col min="16137" max="16138" width="11.140625" style="105" customWidth="1"/>
    <col min="16139" max="16139" width="0" style="105" hidden="1" customWidth="1"/>
    <col min="16140" max="16141" width="9.140625" style="105"/>
    <col min="16142" max="16142" width="13.5703125" style="105" customWidth="1"/>
    <col min="16143" max="16384" width="9.140625" style="105"/>
  </cols>
  <sheetData>
    <row r="1" spans="1:12" ht="18.75">
      <c r="A1" s="349" t="s">
        <v>0</v>
      </c>
      <c r="B1" s="180"/>
      <c r="H1" s="159"/>
      <c r="J1" s="105"/>
    </row>
    <row r="2" spans="1:12">
      <c r="A2" s="344" t="s">
        <v>1</v>
      </c>
      <c r="H2" s="159"/>
      <c r="J2" s="159"/>
    </row>
    <row r="3" spans="1:12">
      <c r="A3" s="180"/>
      <c r="H3" s="159"/>
      <c r="J3" s="159"/>
    </row>
    <row r="4" spans="1:12">
      <c r="C4" s="178" t="s">
        <v>66</v>
      </c>
      <c r="D4" s="170"/>
      <c r="E4" s="170"/>
      <c r="F4" s="170"/>
      <c r="G4" s="170"/>
      <c r="H4" s="170"/>
      <c r="I4" s="170"/>
      <c r="J4" s="177"/>
      <c r="K4" s="170"/>
    </row>
    <row r="5" spans="1:12">
      <c r="C5" s="179" t="s">
        <v>120</v>
      </c>
      <c r="D5" s="170"/>
      <c r="E5" s="170"/>
      <c r="F5" s="170"/>
      <c r="G5" s="170"/>
      <c r="H5" s="170"/>
      <c r="I5" s="170"/>
      <c r="J5" s="177"/>
      <c r="K5" s="170"/>
    </row>
    <row r="6" spans="1:12">
      <c r="C6" s="392" t="s">
        <v>68</v>
      </c>
      <c r="D6" s="393"/>
      <c r="E6" s="393"/>
      <c r="F6" s="393"/>
      <c r="G6" s="393"/>
      <c r="H6" s="393"/>
      <c r="I6" s="393"/>
      <c r="J6" s="393"/>
      <c r="K6" s="393"/>
    </row>
    <row r="7" spans="1:12">
      <c r="C7" s="178" t="s">
        <v>69</v>
      </c>
      <c r="D7" s="170"/>
      <c r="E7" s="170"/>
      <c r="F7" s="170"/>
      <c r="G7" s="170"/>
      <c r="H7" s="170"/>
      <c r="I7" s="170"/>
      <c r="J7" s="177"/>
      <c r="K7" s="170"/>
    </row>
    <row r="9" spans="1:12">
      <c r="A9" s="131"/>
      <c r="B9" s="135"/>
      <c r="C9" s="174"/>
      <c r="D9" s="174"/>
      <c r="E9" s="176"/>
      <c r="F9" s="176"/>
      <c r="G9" s="131"/>
      <c r="H9" s="134"/>
      <c r="I9" s="174"/>
      <c r="J9" s="175" t="s">
        <v>70</v>
      </c>
      <c r="K9" s="174"/>
      <c r="L9" s="131"/>
    </row>
    <row r="10" spans="1:12">
      <c r="A10" s="172" t="s">
        <v>71</v>
      </c>
      <c r="C10" s="173"/>
      <c r="D10" s="158" t="s">
        <v>72</v>
      </c>
      <c r="E10" s="158" t="s">
        <v>73</v>
      </c>
      <c r="F10" s="158" t="s">
        <v>74</v>
      </c>
      <c r="G10" s="161"/>
      <c r="H10" s="160" t="s">
        <v>75</v>
      </c>
      <c r="I10" s="154"/>
      <c r="J10" s="171" t="s">
        <v>121</v>
      </c>
      <c r="K10" s="169" t="s">
        <v>77</v>
      </c>
      <c r="L10" s="160" t="s">
        <v>78</v>
      </c>
    </row>
    <row r="11" spans="1:12">
      <c r="A11" s="172" t="s">
        <v>79</v>
      </c>
      <c r="B11" s="170" t="s">
        <v>80</v>
      </c>
      <c r="C11" s="169"/>
      <c r="D11" s="158" t="s">
        <v>81</v>
      </c>
      <c r="E11" s="158" t="s">
        <v>82</v>
      </c>
      <c r="F11" s="158" t="s">
        <v>83</v>
      </c>
      <c r="G11" s="161"/>
      <c r="H11" s="160" t="s">
        <v>84</v>
      </c>
      <c r="I11" s="154"/>
      <c r="J11" s="171" t="s">
        <v>85</v>
      </c>
      <c r="K11" s="169" t="s">
        <v>85</v>
      </c>
      <c r="L11" s="160" t="s">
        <v>85</v>
      </c>
    </row>
    <row r="12" spans="1:12">
      <c r="A12" s="161"/>
      <c r="B12" s="170" t="s">
        <v>36</v>
      </c>
      <c r="C12" s="169"/>
      <c r="D12" s="158" t="s">
        <v>37</v>
      </c>
      <c r="E12" s="158" t="s">
        <v>38</v>
      </c>
      <c r="F12" s="158" t="s">
        <v>39</v>
      </c>
      <c r="G12" s="161"/>
      <c r="H12" s="160" t="s">
        <v>86</v>
      </c>
      <c r="I12" s="154"/>
      <c r="J12" s="168" t="s">
        <v>87</v>
      </c>
      <c r="K12" s="158" t="s">
        <v>88</v>
      </c>
      <c r="L12" s="151" t="s">
        <v>89</v>
      </c>
    </row>
    <row r="13" spans="1:12">
      <c r="A13" s="167"/>
      <c r="B13" s="166" t="s">
        <v>90</v>
      </c>
      <c r="C13" s="165"/>
      <c r="D13" s="165"/>
      <c r="E13" s="165"/>
      <c r="F13" s="149"/>
      <c r="G13" s="164"/>
      <c r="H13" s="145"/>
      <c r="I13" s="165"/>
      <c r="J13" s="146"/>
      <c r="K13" s="164"/>
      <c r="L13" s="164"/>
    </row>
    <row r="14" spans="1:12">
      <c r="A14" s="161"/>
      <c r="B14" s="159"/>
      <c r="C14" s="154"/>
      <c r="D14" s="154"/>
      <c r="E14" s="154"/>
      <c r="F14" s="154"/>
      <c r="G14" s="161"/>
      <c r="H14" s="161"/>
      <c r="I14" s="154"/>
      <c r="J14" s="163"/>
      <c r="K14" s="154"/>
      <c r="L14" s="131"/>
    </row>
    <row r="15" spans="1:12">
      <c r="A15" s="161"/>
      <c r="B15" s="159"/>
      <c r="C15" s="162"/>
      <c r="D15" s="158"/>
      <c r="E15" s="157"/>
      <c r="F15" s="157"/>
      <c r="G15" s="156"/>
      <c r="H15" s="155"/>
      <c r="I15" s="154"/>
      <c r="J15" s="153"/>
      <c r="K15" s="157"/>
      <c r="L15" s="161"/>
    </row>
    <row r="16" spans="1:12">
      <c r="A16" s="160">
        <v>1</v>
      </c>
      <c r="B16" s="159" t="s">
        <v>91</v>
      </c>
      <c r="C16" s="162"/>
      <c r="D16" s="158" t="s">
        <v>92</v>
      </c>
      <c r="E16" s="157">
        <f>'Bills-Therms-Revs'!F16</f>
        <v>204189</v>
      </c>
      <c r="F16" s="157">
        <f>'Forecasted Volumes'!C20</f>
        <v>140216275.3119559</v>
      </c>
      <c r="G16" s="156"/>
      <c r="H16" s="370">
        <f>'Bills-Therms-Revs'!I16</f>
        <v>184270124.75999999</v>
      </c>
      <c r="I16" s="154"/>
      <c r="J16" s="153">
        <v>-1.35E-2</v>
      </c>
      <c r="K16" s="375">
        <f>F16*J16</f>
        <v>-1892919.7167114045</v>
      </c>
      <c r="L16" s="152">
        <f t="shared" ref="L16:L21" si="0">+K16/H16</f>
        <v>-1.0272526374944451E-2</v>
      </c>
    </row>
    <row r="17" spans="1:15">
      <c r="A17" s="160">
        <v>2</v>
      </c>
      <c r="B17" s="159" t="s">
        <v>93</v>
      </c>
      <c r="C17" s="154"/>
      <c r="D17" s="158" t="s">
        <v>94</v>
      </c>
      <c r="E17" s="157">
        <f>'Bills-Therms-Revs'!F18</f>
        <v>27579</v>
      </c>
      <c r="F17" s="157">
        <f>'Forecasted Volumes'!D20</f>
        <v>103631783.38918559</v>
      </c>
      <c r="G17" s="161"/>
      <c r="H17" s="370">
        <f>'Bills-Therms-Revs'!I18+'Bills-Therms-Revs'!I21+'Bills-Therms-Revs'!I22</f>
        <v>124333137.98999999</v>
      </c>
      <c r="I17" s="154"/>
      <c r="J17" s="153">
        <v>-1.091E-2</v>
      </c>
      <c r="K17" s="375">
        <f>ROUND(F17*J17,0)</f>
        <v>-1130623</v>
      </c>
      <c r="L17" s="152">
        <f t="shared" si="0"/>
        <v>-9.09349686075594E-3</v>
      </c>
    </row>
    <row r="18" spans="1:15">
      <c r="A18" s="160">
        <v>3</v>
      </c>
      <c r="B18" s="159" t="s">
        <v>95</v>
      </c>
      <c r="C18" s="162"/>
      <c r="D18" s="158" t="s">
        <v>96</v>
      </c>
      <c r="E18" s="157">
        <f>'Bills-Therms-Revs'!F28</f>
        <v>495</v>
      </c>
      <c r="F18" s="157">
        <f>'Forecasted Volumes'!E20</f>
        <v>13457822.341199517</v>
      </c>
      <c r="G18" s="161"/>
      <c r="H18" s="370">
        <f>'Bills-Therms-Revs'!I28+'Bills-Therms-Revs'!I30+'Bills-Therms-Revs'!I31</f>
        <v>14347313.25</v>
      </c>
      <c r="I18" s="154"/>
      <c r="J18" s="153">
        <v>-6.7499999999999999E-3</v>
      </c>
      <c r="K18" s="375">
        <f>F18*J18</f>
        <v>-90840.300803096747</v>
      </c>
      <c r="L18" s="152">
        <f t="shared" si="0"/>
        <v>-6.3315200010076273E-3</v>
      </c>
    </row>
    <row r="19" spans="1:15">
      <c r="A19" s="160">
        <v>4</v>
      </c>
      <c r="B19" s="159" t="s">
        <v>97</v>
      </c>
      <c r="C19" s="154"/>
      <c r="D19" s="158" t="s">
        <v>98</v>
      </c>
      <c r="E19" s="157">
        <f>'Bills-Therms-Revs'!F19+'Bills-Therms-Revs'!F29</f>
        <v>99</v>
      </c>
      <c r="F19" s="157">
        <f>'Forecasted Volumes'!F20</f>
        <v>16601133.000301499</v>
      </c>
      <c r="G19" s="156"/>
      <c r="H19" s="370">
        <f>'Bills-Therms-Revs'!I19+'Bills-Therms-Revs'!I23+'Bills-Therms-Revs'!I24+'Bills-Therms-Revs'!I29</f>
        <v>17512226.16</v>
      </c>
      <c r="I19" s="157"/>
      <c r="J19" s="153">
        <v>-5.7200000000000003E-3</v>
      </c>
      <c r="K19" s="375">
        <f>F19*J19</f>
        <v>-94958.480761724582</v>
      </c>
      <c r="L19" s="152">
        <f t="shared" si="0"/>
        <v>-5.4224106001223883E-3</v>
      </c>
    </row>
    <row r="20" spans="1:15">
      <c r="A20" s="160">
        <v>5</v>
      </c>
      <c r="B20" s="159" t="s">
        <v>99</v>
      </c>
      <c r="C20" s="154"/>
      <c r="D20" s="158" t="s">
        <v>100</v>
      </c>
      <c r="E20" s="157">
        <f>'Bills-Therms-Revs'!F34</f>
        <v>7</v>
      </c>
      <c r="F20" s="157">
        <f>'Forecasted Volumes'!G20</f>
        <v>2353804.9573574951</v>
      </c>
      <c r="G20" s="156"/>
      <c r="H20" s="370">
        <f>'Bills-Therms-Revs'!I39</f>
        <v>2109806.16</v>
      </c>
      <c r="I20" s="154"/>
      <c r="J20" s="153">
        <v>-2.0300000000000001E-3</v>
      </c>
      <c r="K20" s="375">
        <f>F20*J20</f>
        <v>-4778.2240634357149</v>
      </c>
      <c r="L20" s="152">
        <f t="shared" si="0"/>
        <v>-2.2647692257357493E-3</v>
      </c>
    </row>
    <row r="21" spans="1:15">
      <c r="A21" s="151">
        <v>6</v>
      </c>
      <c r="B21" s="150" t="s">
        <v>101</v>
      </c>
      <c r="C21" s="149"/>
      <c r="D21" s="149"/>
      <c r="E21" s="147">
        <f>SUM(E16:E20)</f>
        <v>232369</v>
      </c>
      <c r="F21" s="148">
        <f>SUM(F16:F20)</f>
        <v>276260818.99999994</v>
      </c>
      <c r="G21" s="145"/>
      <c r="H21" s="371">
        <f>SUM(H16:H20)</f>
        <v>342572608.32000005</v>
      </c>
      <c r="I21" s="147"/>
      <c r="J21" s="146"/>
      <c r="K21" s="376">
        <f>SUM(K16:K20)</f>
        <v>-3214119.7223396618</v>
      </c>
      <c r="L21" s="109">
        <f t="shared" si="0"/>
        <v>-9.3823021580795064E-3</v>
      </c>
    </row>
    <row r="22" spans="1:15">
      <c r="A22" s="144"/>
      <c r="B22" s="143" t="s">
        <v>102</v>
      </c>
      <c r="C22" s="142"/>
      <c r="D22" s="142"/>
      <c r="E22" s="141"/>
      <c r="F22" s="141"/>
      <c r="G22" s="140"/>
      <c r="H22" s="139"/>
      <c r="J22" s="138"/>
      <c r="K22" s="137"/>
      <c r="L22" s="117"/>
    </row>
    <row r="23" spans="1:15">
      <c r="A23" s="125">
        <v>7</v>
      </c>
      <c r="B23" s="136" t="s">
        <v>103</v>
      </c>
      <c r="C23" s="135"/>
      <c r="D23" s="134">
        <v>663</v>
      </c>
      <c r="E23" s="133">
        <f>'Bills-Therms-Revs'!F44</f>
        <v>192</v>
      </c>
      <c r="F23" s="132">
        <f>'Forecasted Volumes'!H20</f>
        <v>940213064</v>
      </c>
      <c r="G23" s="131"/>
      <c r="H23" s="372">
        <f>'Bills-Therms-Revs'!I44</f>
        <v>30374009</v>
      </c>
      <c r="J23" s="130">
        <v>-1.23E-3</v>
      </c>
      <c r="K23" s="377">
        <f>+F23*J23</f>
        <v>-1156462.0687199999</v>
      </c>
      <c r="L23" s="109">
        <f>+K23/H23</f>
        <v>-3.8074067493691723E-2</v>
      </c>
    </row>
    <row r="24" spans="1:15">
      <c r="A24" s="129">
        <v>8</v>
      </c>
      <c r="B24" s="115" t="s">
        <v>104</v>
      </c>
      <c r="C24" s="114"/>
      <c r="D24" s="128"/>
      <c r="E24" s="127">
        <f>SUM(E23:E23)</f>
        <v>192</v>
      </c>
      <c r="F24" s="126">
        <f>SUM(F23:F23)</f>
        <v>940213064</v>
      </c>
      <c r="G24" s="122"/>
      <c r="H24" s="373">
        <f>SUM(H23:H23)</f>
        <v>30374009</v>
      </c>
      <c r="I24" s="120"/>
      <c r="J24" s="110"/>
      <c r="K24" s="378">
        <f>+K23</f>
        <v>-1156462.0687199999</v>
      </c>
      <c r="L24" s="109"/>
    </row>
    <row r="25" spans="1:15">
      <c r="A25" s="125"/>
      <c r="B25" s="124"/>
      <c r="C25" s="120"/>
      <c r="D25" s="120"/>
      <c r="E25" s="121"/>
      <c r="F25" s="123"/>
      <c r="G25" s="122"/>
      <c r="H25" s="121"/>
      <c r="I25" s="120"/>
      <c r="J25" s="119"/>
      <c r="K25" s="118"/>
      <c r="L25" s="117"/>
    </row>
    <row r="26" spans="1:15">
      <c r="A26" s="116">
        <v>9</v>
      </c>
      <c r="B26" s="115" t="s">
        <v>105</v>
      </c>
      <c r="C26" s="114"/>
      <c r="D26" s="114"/>
      <c r="E26" s="112">
        <f>+E24+E21</f>
        <v>232561</v>
      </c>
      <c r="F26" s="113">
        <f>+F24+F21</f>
        <v>1216473883</v>
      </c>
      <c r="G26" s="112"/>
      <c r="H26" s="374">
        <f>+H24+H21</f>
        <v>372946617.32000005</v>
      </c>
      <c r="I26" s="111"/>
      <c r="J26" s="110"/>
      <c r="K26" s="379">
        <f>+K24+K21</f>
        <v>-4370581.7910596617</v>
      </c>
      <c r="L26" s="109">
        <f>+K26/H26</f>
        <v>-1.1719054653094127E-2</v>
      </c>
    </row>
    <row r="28" spans="1:15">
      <c r="N28" s="108"/>
      <c r="O28" s="107"/>
    </row>
  </sheetData>
  <mergeCells count="1">
    <mergeCell ref="C6:K6"/>
  </mergeCells>
  <printOptions horizontalCentered="1"/>
  <pageMargins left="0.5" right="0.5" top="1" bottom="1" header="0.5" footer="0.5"/>
  <pageSetup scale="67" orientation="landscape" r:id="rId1"/>
  <headerFooter scaleWithDoc="0" alignWithMargins="0">
    <oddFooter>&amp;LTab Name: 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6A4BF7-F98A-487A-9F27-A058BE6C159F}">
  <dimension ref="A1:P29"/>
  <sheetViews>
    <sheetView view="pageBreakPreview" zoomScaleNormal="100" zoomScaleSheetLayoutView="100" workbookViewId="0">
      <selection activeCell="A4" sqref="A4"/>
    </sheetView>
  </sheetViews>
  <sheetFormatPr defaultRowHeight="15.75"/>
  <cols>
    <col min="1" max="1" width="5.28515625" style="105" bestFit="1" customWidth="1"/>
    <col min="2" max="2" width="9.140625" style="105"/>
    <col min="3" max="3" width="18.5703125" style="105" customWidth="1"/>
    <col min="4" max="4" width="11.5703125" style="105" customWidth="1"/>
    <col min="5" max="5" width="15.42578125" style="105" bestFit="1" customWidth="1"/>
    <col min="6" max="6" width="23.28515625" style="105" bestFit="1" customWidth="1"/>
    <col min="7" max="7" width="1.5703125" style="105" customWidth="1"/>
    <col min="8" max="8" width="21.42578125" style="105" customWidth="1"/>
    <col min="9" max="9" width="1.140625" style="105" customWidth="1"/>
    <col min="10" max="10" width="16.42578125" style="105" bestFit="1" customWidth="1"/>
    <col min="11" max="12" width="15.140625" style="105" customWidth="1"/>
    <col min="13" max="13" width="11.5703125" style="105" bestFit="1" customWidth="1"/>
    <col min="14" max="14" width="9.140625" style="105"/>
    <col min="15" max="15" width="13.5703125" style="105" customWidth="1"/>
    <col min="16" max="16" width="10.7109375" style="105" customWidth="1"/>
    <col min="17" max="254" width="9.140625" style="105"/>
    <col min="255" max="255" width="4.28515625" style="105" customWidth="1"/>
    <col min="256" max="256" width="9.140625" style="105"/>
    <col min="257" max="257" width="18.5703125" style="105" customWidth="1"/>
    <col min="258" max="258" width="11.5703125" style="105" customWidth="1"/>
    <col min="259" max="259" width="9" style="105" customWidth="1"/>
    <col min="260" max="260" width="13" style="105" customWidth="1"/>
    <col min="261" max="261" width="3.140625" style="105" customWidth="1"/>
    <col min="262" max="262" width="11.28515625" style="105" customWidth="1"/>
    <col min="263" max="263" width="3.28515625" style="105" customWidth="1"/>
    <col min="264" max="264" width="12.85546875" style="105" customWidth="1"/>
    <col min="265" max="265" width="3.140625" style="105" customWidth="1"/>
    <col min="266" max="267" width="11.140625" style="105" customWidth="1"/>
    <col min="268" max="268" width="0" style="105" hidden="1" customWidth="1"/>
    <col min="269" max="270" width="9.140625" style="105"/>
    <col min="271" max="271" width="13.5703125" style="105" customWidth="1"/>
    <col min="272" max="510" width="9.140625" style="105"/>
    <col min="511" max="511" width="4.28515625" style="105" customWidth="1"/>
    <col min="512" max="512" width="9.140625" style="105"/>
    <col min="513" max="513" width="18.5703125" style="105" customWidth="1"/>
    <col min="514" max="514" width="11.5703125" style="105" customWidth="1"/>
    <col min="515" max="515" width="9" style="105" customWidth="1"/>
    <col min="516" max="516" width="13" style="105" customWidth="1"/>
    <col min="517" max="517" width="3.140625" style="105" customWidth="1"/>
    <col min="518" max="518" width="11.28515625" style="105" customWidth="1"/>
    <col min="519" max="519" width="3.28515625" style="105" customWidth="1"/>
    <col min="520" max="520" width="12.85546875" style="105" customWidth="1"/>
    <col min="521" max="521" width="3.140625" style="105" customWidth="1"/>
    <col min="522" max="523" width="11.140625" style="105" customWidth="1"/>
    <col min="524" max="524" width="0" style="105" hidden="1" customWidth="1"/>
    <col min="525" max="526" width="9.140625" style="105"/>
    <col min="527" max="527" width="13.5703125" style="105" customWidth="1"/>
    <col min="528" max="766" width="9.140625" style="105"/>
    <col min="767" max="767" width="4.28515625" style="105" customWidth="1"/>
    <col min="768" max="768" width="9.140625" style="105"/>
    <col min="769" max="769" width="18.5703125" style="105" customWidth="1"/>
    <col min="770" max="770" width="11.5703125" style="105" customWidth="1"/>
    <col min="771" max="771" width="9" style="105" customWidth="1"/>
    <col min="772" max="772" width="13" style="105" customWidth="1"/>
    <col min="773" max="773" width="3.140625" style="105" customWidth="1"/>
    <col min="774" max="774" width="11.28515625" style="105" customWidth="1"/>
    <col min="775" max="775" width="3.28515625" style="105" customWidth="1"/>
    <col min="776" max="776" width="12.85546875" style="105" customWidth="1"/>
    <col min="777" max="777" width="3.140625" style="105" customWidth="1"/>
    <col min="778" max="779" width="11.140625" style="105" customWidth="1"/>
    <col min="780" max="780" width="0" style="105" hidden="1" customWidth="1"/>
    <col min="781" max="782" width="9.140625" style="105"/>
    <col min="783" max="783" width="13.5703125" style="105" customWidth="1"/>
    <col min="784" max="1022" width="9.140625" style="105"/>
    <col min="1023" max="1023" width="4.28515625" style="105" customWidth="1"/>
    <col min="1024" max="1024" width="9.140625" style="105"/>
    <col min="1025" max="1025" width="18.5703125" style="105" customWidth="1"/>
    <col min="1026" max="1026" width="11.5703125" style="105" customWidth="1"/>
    <col min="1027" max="1027" width="9" style="105" customWidth="1"/>
    <col min="1028" max="1028" width="13" style="105" customWidth="1"/>
    <col min="1029" max="1029" width="3.140625" style="105" customWidth="1"/>
    <col min="1030" max="1030" width="11.28515625" style="105" customWidth="1"/>
    <col min="1031" max="1031" width="3.28515625" style="105" customWidth="1"/>
    <col min="1032" max="1032" width="12.85546875" style="105" customWidth="1"/>
    <col min="1033" max="1033" width="3.140625" style="105" customWidth="1"/>
    <col min="1034" max="1035" width="11.140625" style="105" customWidth="1"/>
    <col min="1036" max="1036" width="0" style="105" hidden="1" customWidth="1"/>
    <col min="1037" max="1038" width="9.140625" style="105"/>
    <col min="1039" max="1039" width="13.5703125" style="105" customWidth="1"/>
    <col min="1040" max="1278" width="9.140625" style="105"/>
    <col min="1279" max="1279" width="4.28515625" style="105" customWidth="1"/>
    <col min="1280" max="1280" width="9.140625" style="105"/>
    <col min="1281" max="1281" width="18.5703125" style="105" customWidth="1"/>
    <col min="1282" max="1282" width="11.5703125" style="105" customWidth="1"/>
    <col min="1283" max="1283" width="9" style="105" customWidth="1"/>
    <col min="1284" max="1284" width="13" style="105" customWidth="1"/>
    <col min="1285" max="1285" width="3.140625" style="105" customWidth="1"/>
    <col min="1286" max="1286" width="11.28515625" style="105" customWidth="1"/>
    <col min="1287" max="1287" width="3.28515625" style="105" customWidth="1"/>
    <col min="1288" max="1288" width="12.85546875" style="105" customWidth="1"/>
    <col min="1289" max="1289" width="3.140625" style="105" customWidth="1"/>
    <col min="1290" max="1291" width="11.140625" style="105" customWidth="1"/>
    <col min="1292" max="1292" width="0" style="105" hidden="1" customWidth="1"/>
    <col min="1293" max="1294" width="9.140625" style="105"/>
    <col min="1295" max="1295" width="13.5703125" style="105" customWidth="1"/>
    <col min="1296" max="1534" width="9.140625" style="105"/>
    <col min="1535" max="1535" width="4.28515625" style="105" customWidth="1"/>
    <col min="1536" max="1536" width="9.140625" style="105"/>
    <col min="1537" max="1537" width="18.5703125" style="105" customWidth="1"/>
    <col min="1538" max="1538" width="11.5703125" style="105" customWidth="1"/>
    <col min="1539" max="1539" width="9" style="105" customWidth="1"/>
    <col min="1540" max="1540" width="13" style="105" customWidth="1"/>
    <col min="1541" max="1541" width="3.140625" style="105" customWidth="1"/>
    <col min="1542" max="1542" width="11.28515625" style="105" customWidth="1"/>
    <col min="1543" max="1543" width="3.28515625" style="105" customWidth="1"/>
    <col min="1544" max="1544" width="12.85546875" style="105" customWidth="1"/>
    <col min="1545" max="1545" width="3.140625" style="105" customWidth="1"/>
    <col min="1546" max="1547" width="11.140625" style="105" customWidth="1"/>
    <col min="1548" max="1548" width="0" style="105" hidden="1" customWidth="1"/>
    <col min="1549" max="1550" width="9.140625" style="105"/>
    <col min="1551" max="1551" width="13.5703125" style="105" customWidth="1"/>
    <col min="1552" max="1790" width="9.140625" style="105"/>
    <col min="1791" max="1791" width="4.28515625" style="105" customWidth="1"/>
    <col min="1792" max="1792" width="9.140625" style="105"/>
    <col min="1793" max="1793" width="18.5703125" style="105" customWidth="1"/>
    <col min="1794" max="1794" width="11.5703125" style="105" customWidth="1"/>
    <col min="1795" max="1795" width="9" style="105" customWidth="1"/>
    <col min="1796" max="1796" width="13" style="105" customWidth="1"/>
    <col min="1797" max="1797" width="3.140625" style="105" customWidth="1"/>
    <col min="1798" max="1798" width="11.28515625" style="105" customWidth="1"/>
    <col min="1799" max="1799" width="3.28515625" style="105" customWidth="1"/>
    <col min="1800" max="1800" width="12.85546875" style="105" customWidth="1"/>
    <col min="1801" max="1801" width="3.140625" style="105" customWidth="1"/>
    <col min="1802" max="1803" width="11.140625" style="105" customWidth="1"/>
    <col min="1804" max="1804" width="0" style="105" hidden="1" customWidth="1"/>
    <col min="1805" max="1806" width="9.140625" style="105"/>
    <col min="1807" max="1807" width="13.5703125" style="105" customWidth="1"/>
    <col min="1808" max="2046" width="9.140625" style="105"/>
    <col min="2047" max="2047" width="4.28515625" style="105" customWidth="1"/>
    <col min="2048" max="2048" width="9.140625" style="105"/>
    <col min="2049" max="2049" width="18.5703125" style="105" customWidth="1"/>
    <col min="2050" max="2050" width="11.5703125" style="105" customWidth="1"/>
    <col min="2051" max="2051" width="9" style="105" customWidth="1"/>
    <col min="2052" max="2052" width="13" style="105" customWidth="1"/>
    <col min="2053" max="2053" width="3.140625" style="105" customWidth="1"/>
    <col min="2054" max="2054" width="11.28515625" style="105" customWidth="1"/>
    <col min="2055" max="2055" width="3.28515625" style="105" customWidth="1"/>
    <col min="2056" max="2056" width="12.85546875" style="105" customWidth="1"/>
    <col min="2057" max="2057" width="3.140625" style="105" customWidth="1"/>
    <col min="2058" max="2059" width="11.140625" style="105" customWidth="1"/>
    <col min="2060" max="2060" width="0" style="105" hidden="1" customWidth="1"/>
    <col min="2061" max="2062" width="9.140625" style="105"/>
    <col min="2063" max="2063" width="13.5703125" style="105" customWidth="1"/>
    <col min="2064" max="2302" width="9.140625" style="105"/>
    <col min="2303" max="2303" width="4.28515625" style="105" customWidth="1"/>
    <col min="2304" max="2304" width="9.140625" style="105"/>
    <col min="2305" max="2305" width="18.5703125" style="105" customWidth="1"/>
    <col min="2306" max="2306" width="11.5703125" style="105" customWidth="1"/>
    <col min="2307" max="2307" width="9" style="105" customWidth="1"/>
    <col min="2308" max="2308" width="13" style="105" customWidth="1"/>
    <col min="2309" max="2309" width="3.140625" style="105" customWidth="1"/>
    <col min="2310" max="2310" width="11.28515625" style="105" customWidth="1"/>
    <col min="2311" max="2311" width="3.28515625" style="105" customWidth="1"/>
    <col min="2312" max="2312" width="12.85546875" style="105" customWidth="1"/>
    <col min="2313" max="2313" width="3.140625" style="105" customWidth="1"/>
    <col min="2314" max="2315" width="11.140625" style="105" customWidth="1"/>
    <col min="2316" max="2316" width="0" style="105" hidden="1" customWidth="1"/>
    <col min="2317" max="2318" width="9.140625" style="105"/>
    <col min="2319" max="2319" width="13.5703125" style="105" customWidth="1"/>
    <col min="2320" max="2558" width="9.140625" style="105"/>
    <col min="2559" max="2559" width="4.28515625" style="105" customWidth="1"/>
    <col min="2560" max="2560" width="9.140625" style="105"/>
    <col min="2561" max="2561" width="18.5703125" style="105" customWidth="1"/>
    <col min="2562" max="2562" width="11.5703125" style="105" customWidth="1"/>
    <col min="2563" max="2563" width="9" style="105" customWidth="1"/>
    <col min="2564" max="2564" width="13" style="105" customWidth="1"/>
    <col min="2565" max="2565" width="3.140625" style="105" customWidth="1"/>
    <col min="2566" max="2566" width="11.28515625" style="105" customWidth="1"/>
    <col min="2567" max="2567" width="3.28515625" style="105" customWidth="1"/>
    <col min="2568" max="2568" width="12.85546875" style="105" customWidth="1"/>
    <col min="2569" max="2569" width="3.140625" style="105" customWidth="1"/>
    <col min="2570" max="2571" width="11.140625" style="105" customWidth="1"/>
    <col min="2572" max="2572" width="0" style="105" hidden="1" customWidth="1"/>
    <col min="2573" max="2574" width="9.140625" style="105"/>
    <col min="2575" max="2575" width="13.5703125" style="105" customWidth="1"/>
    <col min="2576" max="2814" width="9.140625" style="105"/>
    <col min="2815" max="2815" width="4.28515625" style="105" customWidth="1"/>
    <col min="2816" max="2816" width="9.140625" style="105"/>
    <col min="2817" max="2817" width="18.5703125" style="105" customWidth="1"/>
    <col min="2818" max="2818" width="11.5703125" style="105" customWidth="1"/>
    <col min="2819" max="2819" width="9" style="105" customWidth="1"/>
    <col min="2820" max="2820" width="13" style="105" customWidth="1"/>
    <col min="2821" max="2821" width="3.140625" style="105" customWidth="1"/>
    <col min="2822" max="2822" width="11.28515625" style="105" customWidth="1"/>
    <col min="2823" max="2823" width="3.28515625" style="105" customWidth="1"/>
    <col min="2824" max="2824" width="12.85546875" style="105" customWidth="1"/>
    <col min="2825" max="2825" width="3.140625" style="105" customWidth="1"/>
    <col min="2826" max="2827" width="11.140625" style="105" customWidth="1"/>
    <col min="2828" max="2828" width="0" style="105" hidden="1" customWidth="1"/>
    <col min="2829" max="2830" width="9.140625" style="105"/>
    <col min="2831" max="2831" width="13.5703125" style="105" customWidth="1"/>
    <col min="2832" max="3070" width="9.140625" style="105"/>
    <col min="3071" max="3071" width="4.28515625" style="105" customWidth="1"/>
    <col min="3072" max="3072" width="9.140625" style="105"/>
    <col min="3073" max="3073" width="18.5703125" style="105" customWidth="1"/>
    <col min="3074" max="3074" width="11.5703125" style="105" customWidth="1"/>
    <col min="3075" max="3075" width="9" style="105" customWidth="1"/>
    <col min="3076" max="3076" width="13" style="105" customWidth="1"/>
    <col min="3077" max="3077" width="3.140625" style="105" customWidth="1"/>
    <col min="3078" max="3078" width="11.28515625" style="105" customWidth="1"/>
    <col min="3079" max="3079" width="3.28515625" style="105" customWidth="1"/>
    <col min="3080" max="3080" width="12.85546875" style="105" customWidth="1"/>
    <col min="3081" max="3081" width="3.140625" style="105" customWidth="1"/>
    <col min="3082" max="3083" width="11.140625" style="105" customWidth="1"/>
    <col min="3084" max="3084" width="0" style="105" hidden="1" customWidth="1"/>
    <col min="3085" max="3086" width="9.140625" style="105"/>
    <col min="3087" max="3087" width="13.5703125" style="105" customWidth="1"/>
    <col min="3088" max="3326" width="9.140625" style="105"/>
    <col min="3327" max="3327" width="4.28515625" style="105" customWidth="1"/>
    <col min="3328" max="3328" width="9.140625" style="105"/>
    <col min="3329" max="3329" width="18.5703125" style="105" customWidth="1"/>
    <col min="3330" max="3330" width="11.5703125" style="105" customWidth="1"/>
    <col min="3331" max="3331" width="9" style="105" customWidth="1"/>
    <col min="3332" max="3332" width="13" style="105" customWidth="1"/>
    <col min="3333" max="3333" width="3.140625" style="105" customWidth="1"/>
    <col min="3334" max="3334" width="11.28515625" style="105" customWidth="1"/>
    <col min="3335" max="3335" width="3.28515625" style="105" customWidth="1"/>
    <col min="3336" max="3336" width="12.85546875" style="105" customWidth="1"/>
    <col min="3337" max="3337" width="3.140625" style="105" customWidth="1"/>
    <col min="3338" max="3339" width="11.140625" style="105" customWidth="1"/>
    <col min="3340" max="3340" width="0" style="105" hidden="1" customWidth="1"/>
    <col min="3341" max="3342" width="9.140625" style="105"/>
    <col min="3343" max="3343" width="13.5703125" style="105" customWidth="1"/>
    <col min="3344" max="3582" width="9.140625" style="105"/>
    <col min="3583" max="3583" width="4.28515625" style="105" customWidth="1"/>
    <col min="3584" max="3584" width="9.140625" style="105"/>
    <col min="3585" max="3585" width="18.5703125" style="105" customWidth="1"/>
    <col min="3586" max="3586" width="11.5703125" style="105" customWidth="1"/>
    <col min="3587" max="3587" width="9" style="105" customWidth="1"/>
    <col min="3588" max="3588" width="13" style="105" customWidth="1"/>
    <col min="3589" max="3589" width="3.140625" style="105" customWidth="1"/>
    <col min="3590" max="3590" width="11.28515625" style="105" customWidth="1"/>
    <col min="3591" max="3591" width="3.28515625" style="105" customWidth="1"/>
    <col min="3592" max="3592" width="12.85546875" style="105" customWidth="1"/>
    <col min="3593" max="3593" width="3.140625" style="105" customWidth="1"/>
    <col min="3594" max="3595" width="11.140625" style="105" customWidth="1"/>
    <col min="3596" max="3596" width="0" style="105" hidden="1" customWidth="1"/>
    <col min="3597" max="3598" width="9.140625" style="105"/>
    <col min="3599" max="3599" width="13.5703125" style="105" customWidth="1"/>
    <col min="3600" max="3838" width="9.140625" style="105"/>
    <col min="3839" max="3839" width="4.28515625" style="105" customWidth="1"/>
    <col min="3840" max="3840" width="9.140625" style="105"/>
    <col min="3841" max="3841" width="18.5703125" style="105" customWidth="1"/>
    <col min="3842" max="3842" width="11.5703125" style="105" customWidth="1"/>
    <col min="3843" max="3843" width="9" style="105" customWidth="1"/>
    <col min="3844" max="3844" width="13" style="105" customWidth="1"/>
    <col min="3845" max="3845" width="3.140625" style="105" customWidth="1"/>
    <col min="3846" max="3846" width="11.28515625" style="105" customWidth="1"/>
    <col min="3847" max="3847" width="3.28515625" style="105" customWidth="1"/>
    <col min="3848" max="3848" width="12.85546875" style="105" customWidth="1"/>
    <col min="3849" max="3849" width="3.140625" style="105" customWidth="1"/>
    <col min="3850" max="3851" width="11.140625" style="105" customWidth="1"/>
    <col min="3852" max="3852" width="0" style="105" hidden="1" customWidth="1"/>
    <col min="3853" max="3854" width="9.140625" style="105"/>
    <col min="3855" max="3855" width="13.5703125" style="105" customWidth="1"/>
    <col min="3856" max="4094" width="9.140625" style="105"/>
    <col min="4095" max="4095" width="4.28515625" style="105" customWidth="1"/>
    <col min="4096" max="4096" width="9.140625" style="105"/>
    <col min="4097" max="4097" width="18.5703125" style="105" customWidth="1"/>
    <col min="4098" max="4098" width="11.5703125" style="105" customWidth="1"/>
    <col min="4099" max="4099" width="9" style="105" customWidth="1"/>
    <col min="4100" max="4100" width="13" style="105" customWidth="1"/>
    <col min="4101" max="4101" width="3.140625" style="105" customWidth="1"/>
    <col min="4102" max="4102" width="11.28515625" style="105" customWidth="1"/>
    <col min="4103" max="4103" width="3.28515625" style="105" customWidth="1"/>
    <col min="4104" max="4104" width="12.85546875" style="105" customWidth="1"/>
    <col min="4105" max="4105" width="3.140625" style="105" customWidth="1"/>
    <col min="4106" max="4107" width="11.140625" style="105" customWidth="1"/>
    <col min="4108" max="4108" width="0" style="105" hidden="1" customWidth="1"/>
    <col min="4109" max="4110" width="9.140625" style="105"/>
    <col min="4111" max="4111" width="13.5703125" style="105" customWidth="1"/>
    <col min="4112" max="4350" width="9.140625" style="105"/>
    <col min="4351" max="4351" width="4.28515625" style="105" customWidth="1"/>
    <col min="4352" max="4352" width="9.140625" style="105"/>
    <col min="4353" max="4353" width="18.5703125" style="105" customWidth="1"/>
    <col min="4354" max="4354" width="11.5703125" style="105" customWidth="1"/>
    <col min="4355" max="4355" width="9" style="105" customWidth="1"/>
    <col min="4356" max="4356" width="13" style="105" customWidth="1"/>
    <col min="4357" max="4357" width="3.140625" style="105" customWidth="1"/>
    <col min="4358" max="4358" width="11.28515625" style="105" customWidth="1"/>
    <col min="4359" max="4359" width="3.28515625" style="105" customWidth="1"/>
    <col min="4360" max="4360" width="12.85546875" style="105" customWidth="1"/>
    <col min="4361" max="4361" width="3.140625" style="105" customWidth="1"/>
    <col min="4362" max="4363" width="11.140625" style="105" customWidth="1"/>
    <col min="4364" max="4364" width="0" style="105" hidden="1" customWidth="1"/>
    <col min="4365" max="4366" width="9.140625" style="105"/>
    <col min="4367" max="4367" width="13.5703125" style="105" customWidth="1"/>
    <col min="4368" max="4606" width="9.140625" style="105"/>
    <col min="4607" max="4607" width="4.28515625" style="105" customWidth="1"/>
    <col min="4608" max="4608" width="9.140625" style="105"/>
    <col min="4609" max="4609" width="18.5703125" style="105" customWidth="1"/>
    <col min="4610" max="4610" width="11.5703125" style="105" customWidth="1"/>
    <col min="4611" max="4611" width="9" style="105" customWidth="1"/>
    <col min="4612" max="4612" width="13" style="105" customWidth="1"/>
    <col min="4613" max="4613" width="3.140625" style="105" customWidth="1"/>
    <col min="4614" max="4614" width="11.28515625" style="105" customWidth="1"/>
    <col min="4615" max="4615" width="3.28515625" style="105" customWidth="1"/>
    <col min="4616" max="4616" width="12.85546875" style="105" customWidth="1"/>
    <col min="4617" max="4617" width="3.140625" style="105" customWidth="1"/>
    <col min="4618" max="4619" width="11.140625" style="105" customWidth="1"/>
    <col min="4620" max="4620" width="0" style="105" hidden="1" customWidth="1"/>
    <col min="4621" max="4622" width="9.140625" style="105"/>
    <col min="4623" max="4623" width="13.5703125" style="105" customWidth="1"/>
    <col min="4624" max="4862" width="9.140625" style="105"/>
    <col min="4863" max="4863" width="4.28515625" style="105" customWidth="1"/>
    <col min="4864" max="4864" width="9.140625" style="105"/>
    <col min="4865" max="4865" width="18.5703125" style="105" customWidth="1"/>
    <col min="4866" max="4866" width="11.5703125" style="105" customWidth="1"/>
    <col min="4867" max="4867" width="9" style="105" customWidth="1"/>
    <col min="4868" max="4868" width="13" style="105" customWidth="1"/>
    <col min="4869" max="4869" width="3.140625" style="105" customWidth="1"/>
    <col min="4870" max="4870" width="11.28515625" style="105" customWidth="1"/>
    <col min="4871" max="4871" width="3.28515625" style="105" customWidth="1"/>
    <col min="4872" max="4872" width="12.85546875" style="105" customWidth="1"/>
    <col min="4873" max="4873" width="3.140625" style="105" customWidth="1"/>
    <col min="4874" max="4875" width="11.140625" style="105" customWidth="1"/>
    <col min="4876" max="4876" width="0" style="105" hidden="1" customWidth="1"/>
    <col min="4877" max="4878" width="9.140625" style="105"/>
    <col min="4879" max="4879" width="13.5703125" style="105" customWidth="1"/>
    <col min="4880" max="5118" width="9.140625" style="105"/>
    <col min="5119" max="5119" width="4.28515625" style="105" customWidth="1"/>
    <col min="5120" max="5120" width="9.140625" style="105"/>
    <col min="5121" max="5121" width="18.5703125" style="105" customWidth="1"/>
    <col min="5122" max="5122" width="11.5703125" style="105" customWidth="1"/>
    <col min="5123" max="5123" width="9" style="105" customWidth="1"/>
    <col min="5124" max="5124" width="13" style="105" customWidth="1"/>
    <col min="5125" max="5125" width="3.140625" style="105" customWidth="1"/>
    <col min="5126" max="5126" width="11.28515625" style="105" customWidth="1"/>
    <col min="5127" max="5127" width="3.28515625" style="105" customWidth="1"/>
    <col min="5128" max="5128" width="12.85546875" style="105" customWidth="1"/>
    <col min="5129" max="5129" width="3.140625" style="105" customWidth="1"/>
    <col min="5130" max="5131" width="11.140625" style="105" customWidth="1"/>
    <col min="5132" max="5132" width="0" style="105" hidden="1" customWidth="1"/>
    <col min="5133" max="5134" width="9.140625" style="105"/>
    <col min="5135" max="5135" width="13.5703125" style="105" customWidth="1"/>
    <col min="5136" max="5374" width="9.140625" style="105"/>
    <col min="5375" max="5375" width="4.28515625" style="105" customWidth="1"/>
    <col min="5376" max="5376" width="9.140625" style="105"/>
    <col min="5377" max="5377" width="18.5703125" style="105" customWidth="1"/>
    <col min="5378" max="5378" width="11.5703125" style="105" customWidth="1"/>
    <col min="5379" max="5379" width="9" style="105" customWidth="1"/>
    <col min="5380" max="5380" width="13" style="105" customWidth="1"/>
    <col min="5381" max="5381" width="3.140625" style="105" customWidth="1"/>
    <col min="5382" max="5382" width="11.28515625" style="105" customWidth="1"/>
    <col min="5383" max="5383" width="3.28515625" style="105" customWidth="1"/>
    <col min="5384" max="5384" width="12.85546875" style="105" customWidth="1"/>
    <col min="5385" max="5385" width="3.140625" style="105" customWidth="1"/>
    <col min="5386" max="5387" width="11.140625" style="105" customWidth="1"/>
    <col min="5388" max="5388" width="0" style="105" hidden="1" customWidth="1"/>
    <col min="5389" max="5390" width="9.140625" style="105"/>
    <col min="5391" max="5391" width="13.5703125" style="105" customWidth="1"/>
    <col min="5392" max="5630" width="9.140625" style="105"/>
    <col min="5631" max="5631" width="4.28515625" style="105" customWidth="1"/>
    <col min="5632" max="5632" width="9.140625" style="105"/>
    <col min="5633" max="5633" width="18.5703125" style="105" customWidth="1"/>
    <col min="5634" max="5634" width="11.5703125" style="105" customWidth="1"/>
    <col min="5635" max="5635" width="9" style="105" customWidth="1"/>
    <col min="5636" max="5636" width="13" style="105" customWidth="1"/>
    <col min="5637" max="5637" width="3.140625" style="105" customWidth="1"/>
    <col min="5638" max="5638" width="11.28515625" style="105" customWidth="1"/>
    <col min="5639" max="5639" width="3.28515625" style="105" customWidth="1"/>
    <col min="5640" max="5640" width="12.85546875" style="105" customWidth="1"/>
    <col min="5641" max="5641" width="3.140625" style="105" customWidth="1"/>
    <col min="5642" max="5643" width="11.140625" style="105" customWidth="1"/>
    <col min="5644" max="5644" width="0" style="105" hidden="1" customWidth="1"/>
    <col min="5645" max="5646" width="9.140625" style="105"/>
    <col min="5647" max="5647" width="13.5703125" style="105" customWidth="1"/>
    <col min="5648" max="5886" width="9.140625" style="105"/>
    <col min="5887" max="5887" width="4.28515625" style="105" customWidth="1"/>
    <col min="5888" max="5888" width="9.140625" style="105"/>
    <col min="5889" max="5889" width="18.5703125" style="105" customWidth="1"/>
    <col min="5890" max="5890" width="11.5703125" style="105" customWidth="1"/>
    <col min="5891" max="5891" width="9" style="105" customWidth="1"/>
    <col min="5892" max="5892" width="13" style="105" customWidth="1"/>
    <col min="5893" max="5893" width="3.140625" style="105" customWidth="1"/>
    <col min="5894" max="5894" width="11.28515625" style="105" customWidth="1"/>
    <col min="5895" max="5895" width="3.28515625" style="105" customWidth="1"/>
    <col min="5896" max="5896" width="12.85546875" style="105" customWidth="1"/>
    <col min="5897" max="5897" width="3.140625" style="105" customWidth="1"/>
    <col min="5898" max="5899" width="11.140625" style="105" customWidth="1"/>
    <col min="5900" max="5900" width="0" style="105" hidden="1" customWidth="1"/>
    <col min="5901" max="5902" width="9.140625" style="105"/>
    <col min="5903" max="5903" width="13.5703125" style="105" customWidth="1"/>
    <col min="5904" max="6142" width="9.140625" style="105"/>
    <col min="6143" max="6143" width="4.28515625" style="105" customWidth="1"/>
    <col min="6144" max="6144" width="9.140625" style="105"/>
    <col min="6145" max="6145" width="18.5703125" style="105" customWidth="1"/>
    <col min="6146" max="6146" width="11.5703125" style="105" customWidth="1"/>
    <col min="6147" max="6147" width="9" style="105" customWidth="1"/>
    <col min="6148" max="6148" width="13" style="105" customWidth="1"/>
    <col min="6149" max="6149" width="3.140625" style="105" customWidth="1"/>
    <col min="6150" max="6150" width="11.28515625" style="105" customWidth="1"/>
    <col min="6151" max="6151" width="3.28515625" style="105" customWidth="1"/>
    <col min="6152" max="6152" width="12.85546875" style="105" customWidth="1"/>
    <col min="6153" max="6153" width="3.140625" style="105" customWidth="1"/>
    <col min="6154" max="6155" width="11.140625" style="105" customWidth="1"/>
    <col min="6156" max="6156" width="0" style="105" hidden="1" customWidth="1"/>
    <col min="6157" max="6158" width="9.140625" style="105"/>
    <col min="6159" max="6159" width="13.5703125" style="105" customWidth="1"/>
    <col min="6160" max="6398" width="9.140625" style="105"/>
    <col min="6399" max="6399" width="4.28515625" style="105" customWidth="1"/>
    <col min="6400" max="6400" width="9.140625" style="105"/>
    <col min="6401" max="6401" width="18.5703125" style="105" customWidth="1"/>
    <col min="6402" max="6402" width="11.5703125" style="105" customWidth="1"/>
    <col min="6403" max="6403" width="9" style="105" customWidth="1"/>
    <col min="6404" max="6404" width="13" style="105" customWidth="1"/>
    <col min="6405" max="6405" width="3.140625" style="105" customWidth="1"/>
    <col min="6406" max="6406" width="11.28515625" style="105" customWidth="1"/>
    <col min="6407" max="6407" width="3.28515625" style="105" customWidth="1"/>
    <col min="6408" max="6408" width="12.85546875" style="105" customWidth="1"/>
    <col min="6409" max="6409" width="3.140625" style="105" customWidth="1"/>
    <col min="6410" max="6411" width="11.140625" style="105" customWidth="1"/>
    <col min="6412" max="6412" width="0" style="105" hidden="1" customWidth="1"/>
    <col min="6413" max="6414" width="9.140625" style="105"/>
    <col min="6415" max="6415" width="13.5703125" style="105" customWidth="1"/>
    <col min="6416" max="6654" width="9.140625" style="105"/>
    <col min="6655" max="6655" width="4.28515625" style="105" customWidth="1"/>
    <col min="6656" max="6656" width="9.140625" style="105"/>
    <col min="6657" max="6657" width="18.5703125" style="105" customWidth="1"/>
    <col min="6658" max="6658" width="11.5703125" style="105" customWidth="1"/>
    <col min="6659" max="6659" width="9" style="105" customWidth="1"/>
    <col min="6660" max="6660" width="13" style="105" customWidth="1"/>
    <col min="6661" max="6661" width="3.140625" style="105" customWidth="1"/>
    <col min="6662" max="6662" width="11.28515625" style="105" customWidth="1"/>
    <col min="6663" max="6663" width="3.28515625" style="105" customWidth="1"/>
    <col min="6664" max="6664" width="12.85546875" style="105" customWidth="1"/>
    <col min="6665" max="6665" width="3.140625" style="105" customWidth="1"/>
    <col min="6666" max="6667" width="11.140625" style="105" customWidth="1"/>
    <col min="6668" max="6668" width="0" style="105" hidden="1" customWidth="1"/>
    <col min="6669" max="6670" width="9.140625" style="105"/>
    <col min="6671" max="6671" width="13.5703125" style="105" customWidth="1"/>
    <col min="6672" max="6910" width="9.140625" style="105"/>
    <col min="6911" max="6911" width="4.28515625" style="105" customWidth="1"/>
    <col min="6912" max="6912" width="9.140625" style="105"/>
    <col min="6913" max="6913" width="18.5703125" style="105" customWidth="1"/>
    <col min="6914" max="6914" width="11.5703125" style="105" customWidth="1"/>
    <col min="6915" max="6915" width="9" style="105" customWidth="1"/>
    <col min="6916" max="6916" width="13" style="105" customWidth="1"/>
    <col min="6917" max="6917" width="3.140625" style="105" customWidth="1"/>
    <col min="6918" max="6918" width="11.28515625" style="105" customWidth="1"/>
    <col min="6919" max="6919" width="3.28515625" style="105" customWidth="1"/>
    <col min="6920" max="6920" width="12.85546875" style="105" customWidth="1"/>
    <col min="6921" max="6921" width="3.140625" style="105" customWidth="1"/>
    <col min="6922" max="6923" width="11.140625" style="105" customWidth="1"/>
    <col min="6924" max="6924" width="0" style="105" hidden="1" customWidth="1"/>
    <col min="6925" max="6926" width="9.140625" style="105"/>
    <col min="6927" max="6927" width="13.5703125" style="105" customWidth="1"/>
    <col min="6928" max="7166" width="9.140625" style="105"/>
    <col min="7167" max="7167" width="4.28515625" style="105" customWidth="1"/>
    <col min="7168" max="7168" width="9.140625" style="105"/>
    <col min="7169" max="7169" width="18.5703125" style="105" customWidth="1"/>
    <col min="7170" max="7170" width="11.5703125" style="105" customWidth="1"/>
    <col min="7171" max="7171" width="9" style="105" customWidth="1"/>
    <col min="7172" max="7172" width="13" style="105" customWidth="1"/>
    <col min="7173" max="7173" width="3.140625" style="105" customWidth="1"/>
    <col min="7174" max="7174" width="11.28515625" style="105" customWidth="1"/>
    <col min="7175" max="7175" width="3.28515625" style="105" customWidth="1"/>
    <col min="7176" max="7176" width="12.85546875" style="105" customWidth="1"/>
    <col min="7177" max="7177" width="3.140625" style="105" customWidth="1"/>
    <col min="7178" max="7179" width="11.140625" style="105" customWidth="1"/>
    <col min="7180" max="7180" width="0" style="105" hidden="1" customWidth="1"/>
    <col min="7181" max="7182" width="9.140625" style="105"/>
    <col min="7183" max="7183" width="13.5703125" style="105" customWidth="1"/>
    <col min="7184" max="7422" width="9.140625" style="105"/>
    <col min="7423" max="7423" width="4.28515625" style="105" customWidth="1"/>
    <col min="7424" max="7424" width="9.140625" style="105"/>
    <col min="7425" max="7425" width="18.5703125" style="105" customWidth="1"/>
    <col min="7426" max="7426" width="11.5703125" style="105" customWidth="1"/>
    <col min="7427" max="7427" width="9" style="105" customWidth="1"/>
    <col min="7428" max="7428" width="13" style="105" customWidth="1"/>
    <col min="7429" max="7429" width="3.140625" style="105" customWidth="1"/>
    <col min="7430" max="7430" width="11.28515625" style="105" customWidth="1"/>
    <col min="7431" max="7431" width="3.28515625" style="105" customWidth="1"/>
    <col min="7432" max="7432" width="12.85546875" style="105" customWidth="1"/>
    <col min="7433" max="7433" width="3.140625" style="105" customWidth="1"/>
    <col min="7434" max="7435" width="11.140625" style="105" customWidth="1"/>
    <col min="7436" max="7436" width="0" style="105" hidden="1" customWidth="1"/>
    <col min="7437" max="7438" width="9.140625" style="105"/>
    <col min="7439" max="7439" width="13.5703125" style="105" customWidth="1"/>
    <col min="7440" max="7678" width="9.140625" style="105"/>
    <col min="7679" max="7679" width="4.28515625" style="105" customWidth="1"/>
    <col min="7680" max="7680" width="9.140625" style="105"/>
    <col min="7681" max="7681" width="18.5703125" style="105" customWidth="1"/>
    <col min="7682" max="7682" width="11.5703125" style="105" customWidth="1"/>
    <col min="7683" max="7683" width="9" style="105" customWidth="1"/>
    <col min="7684" max="7684" width="13" style="105" customWidth="1"/>
    <col min="7685" max="7685" width="3.140625" style="105" customWidth="1"/>
    <col min="7686" max="7686" width="11.28515625" style="105" customWidth="1"/>
    <col min="7687" max="7687" width="3.28515625" style="105" customWidth="1"/>
    <col min="7688" max="7688" width="12.85546875" style="105" customWidth="1"/>
    <col min="7689" max="7689" width="3.140625" style="105" customWidth="1"/>
    <col min="7690" max="7691" width="11.140625" style="105" customWidth="1"/>
    <col min="7692" max="7692" width="0" style="105" hidden="1" customWidth="1"/>
    <col min="7693" max="7694" width="9.140625" style="105"/>
    <col min="7695" max="7695" width="13.5703125" style="105" customWidth="1"/>
    <col min="7696" max="7934" width="9.140625" style="105"/>
    <col min="7935" max="7935" width="4.28515625" style="105" customWidth="1"/>
    <col min="7936" max="7936" width="9.140625" style="105"/>
    <col min="7937" max="7937" width="18.5703125" style="105" customWidth="1"/>
    <col min="7938" max="7938" width="11.5703125" style="105" customWidth="1"/>
    <col min="7939" max="7939" width="9" style="105" customWidth="1"/>
    <col min="7940" max="7940" width="13" style="105" customWidth="1"/>
    <col min="7941" max="7941" width="3.140625" style="105" customWidth="1"/>
    <col min="7942" max="7942" width="11.28515625" style="105" customWidth="1"/>
    <col min="7943" max="7943" width="3.28515625" style="105" customWidth="1"/>
    <col min="7944" max="7944" width="12.85546875" style="105" customWidth="1"/>
    <col min="7945" max="7945" width="3.140625" style="105" customWidth="1"/>
    <col min="7946" max="7947" width="11.140625" style="105" customWidth="1"/>
    <col min="7948" max="7948" width="0" style="105" hidden="1" customWidth="1"/>
    <col min="7949" max="7950" width="9.140625" style="105"/>
    <col min="7951" max="7951" width="13.5703125" style="105" customWidth="1"/>
    <col min="7952" max="8190" width="9.140625" style="105"/>
    <col min="8191" max="8191" width="4.28515625" style="105" customWidth="1"/>
    <col min="8192" max="8192" width="9.140625" style="105"/>
    <col min="8193" max="8193" width="18.5703125" style="105" customWidth="1"/>
    <col min="8194" max="8194" width="11.5703125" style="105" customWidth="1"/>
    <col min="8195" max="8195" width="9" style="105" customWidth="1"/>
    <col min="8196" max="8196" width="13" style="105" customWidth="1"/>
    <col min="8197" max="8197" width="3.140625" style="105" customWidth="1"/>
    <col min="8198" max="8198" width="11.28515625" style="105" customWidth="1"/>
    <col min="8199" max="8199" width="3.28515625" style="105" customWidth="1"/>
    <col min="8200" max="8200" width="12.85546875" style="105" customWidth="1"/>
    <col min="8201" max="8201" width="3.140625" style="105" customWidth="1"/>
    <col min="8202" max="8203" width="11.140625" style="105" customWidth="1"/>
    <col min="8204" max="8204" width="0" style="105" hidden="1" customWidth="1"/>
    <col min="8205" max="8206" width="9.140625" style="105"/>
    <col min="8207" max="8207" width="13.5703125" style="105" customWidth="1"/>
    <col min="8208" max="8446" width="9.140625" style="105"/>
    <col min="8447" max="8447" width="4.28515625" style="105" customWidth="1"/>
    <col min="8448" max="8448" width="9.140625" style="105"/>
    <col min="8449" max="8449" width="18.5703125" style="105" customWidth="1"/>
    <col min="8450" max="8450" width="11.5703125" style="105" customWidth="1"/>
    <col min="8451" max="8451" width="9" style="105" customWidth="1"/>
    <col min="8452" max="8452" width="13" style="105" customWidth="1"/>
    <col min="8453" max="8453" width="3.140625" style="105" customWidth="1"/>
    <col min="8454" max="8454" width="11.28515625" style="105" customWidth="1"/>
    <col min="8455" max="8455" width="3.28515625" style="105" customWidth="1"/>
    <col min="8456" max="8456" width="12.85546875" style="105" customWidth="1"/>
    <col min="8457" max="8457" width="3.140625" style="105" customWidth="1"/>
    <col min="8458" max="8459" width="11.140625" style="105" customWidth="1"/>
    <col min="8460" max="8460" width="0" style="105" hidden="1" customWidth="1"/>
    <col min="8461" max="8462" width="9.140625" style="105"/>
    <col min="8463" max="8463" width="13.5703125" style="105" customWidth="1"/>
    <col min="8464" max="8702" width="9.140625" style="105"/>
    <col min="8703" max="8703" width="4.28515625" style="105" customWidth="1"/>
    <col min="8704" max="8704" width="9.140625" style="105"/>
    <col min="8705" max="8705" width="18.5703125" style="105" customWidth="1"/>
    <col min="8706" max="8706" width="11.5703125" style="105" customWidth="1"/>
    <col min="8707" max="8707" width="9" style="105" customWidth="1"/>
    <col min="8708" max="8708" width="13" style="105" customWidth="1"/>
    <col min="8709" max="8709" width="3.140625" style="105" customWidth="1"/>
    <col min="8710" max="8710" width="11.28515625" style="105" customWidth="1"/>
    <col min="8711" max="8711" width="3.28515625" style="105" customWidth="1"/>
    <col min="8712" max="8712" width="12.85546875" style="105" customWidth="1"/>
    <col min="8713" max="8713" width="3.140625" style="105" customWidth="1"/>
    <col min="8714" max="8715" width="11.140625" style="105" customWidth="1"/>
    <col min="8716" max="8716" width="0" style="105" hidden="1" customWidth="1"/>
    <col min="8717" max="8718" width="9.140625" style="105"/>
    <col min="8719" max="8719" width="13.5703125" style="105" customWidth="1"/>
    <col min="8720" max="8958" width="9.140625" style="105"/>
    <col min="8959" max="8959" width="4.28515625" style="105" customWidth="1"/>
    <col min="8960" max="8960" width="9.140625" style="105"/>
    <col min="8961" max="8961" width="18.5703125" style="105" customWidth="1"/>
    <col min="8962" max="8962" width="11.5703125" style="105" customWidth="1"/>
    <col min="8963" max="8963" width="9" style="105" customWidth="1"/>
    <col min="8964" max="8964" width="13" style="105" customWidth="1"/>
    <col min="8965" max="8965" width="3.140625" style="105" customWidth="1"/>
    <col min="8966" max="8966" width="11.28515625" style="105" customWidth="1"/>
    <col min="8967" max="8967" width="3.28515625" style="105" customWidth="1"/>
    <col min="8968" max="8968" width="12.85546875" style="105" customWidth="1"/>
    <col min="8969" max="8969" width="3.140625" style="105" customWidth="1"/>
    <col min="8970" max="8971" width="11.140625" style="105" customWidth="1"/>
    <col min="8972" max="8972" width="0" style="105" hidden="1" customWidth="1"/>
    <col min="8973" max="8974" width="9.140625" style="105"/>
    <col min="8975" max="8975" width="13.5703125" style="105" customWidth="1"/>
    <col min="8976" max="9214" width="9.140625" style="105"/>
    <col min="9215" max="9215" width="4.28515625" style="105" customWidth="1"/>
    <col min="9216" max="9216" width="9.140625" style="105"/>
    <col min="9217" max="9217" width="18.5703125" style="105" customWidth="1"/>
    <col min="9218" max="9218" width="11.5703125" style="105" customWidth="1"/>
    <col min="9219" max="9219" width="9" style="105" customWidth="1"/>
    <col min="9220" max="9220" width="13" style="105" customWidth="1"/>
    <col min="9221" max="9221" width="3.140625" style="105" customWidth="1"/>
    <col min="9222" max="9222" width="11.28515625" style="105" customWidth="1"/>
    <col min="9223" max="9223" width="3.28515625" style="105" customWidth="1"/>
    <col min="9224" max="9224" width="12.85546875" style="105" customWidth="1"/>
    <col min="9225" max="9225" width="3.140625" style="105" customWidth="1"/>
    <col min="9226" max="9227" width="11.140625" style="105" customWidth="1"/>
    <col min="9228" max="9228" width="0" style="105" hidden="1" customWidth="1"/>
    <col min="9229" max="9230" width="9.140625" style="105"/>
    <col min="9231" max="9231" width="13.5703125" style="105" customWidth="1"/>
    <col min="9232" max="9470" width="9.140625" style="105"/>
    <col min="9471" max="9471" width="4.28515625" style="105" customWidth="1"/>
    <col min="9472" max="9472" width="9.140625" style="105"/>
    <col min="9473" max="9473" width="18.5703125" style="105" customWidth="1"/>
    <col min="9474" max="9474" width="11.5703125" style="105" customWidth="1"/>
    <col min="9475" max="9475" width="9" style="105" customWidth="1"/>
    <col min="9476" max="9476" width="13" style="105" customWidth="1"/>
    <col min="9477" max="9477" width="3.140625" style="105" customWidth="1"/>
    <col min="9478" max="9478" width="11.28515625" style="105" customWidth="1"/>
    <col min="9479" max="9479" width="3.28515625" style="105" customWidth="1"/>
    <col min="9480" max="9480" width="12.85546875" style="105" customWidth="1"/>
    <col min="9481" max="9481" width="3.140625" style="105" customWidth="1"/>
    <col min="9482" max="9483" width="11.140625" style="105" customWidth="1"/>
    <col min="9484" max="9484" width="0" style="105" hidden="1" customWidth="1"/>
    <col min="9485" max="9486" width="9.140625" style="105"/>
    <col min="9487" max="9487" width="13.5703125" style="105" customWidth="1"/>
    <col min="9488" max="9726" width="9.140625" style="105"/>
    <col min="9727" max="9727" width="4.28515625" style="105" customWidth="1"/>
    <col min="9728" max="9728" width="9.140625" style="105"/>
    <col min="9729" max="9729" width="18.5703125" style="105" customWidth="1"/>
    <col min="9730" max="9730" width="11.5703125" style="105" customWidth="1"/>
    <col min="9731" max="9731" width="9" style="105" customWidth="1"/>
    <col min="9732" max="9732" width="13" style="105" customWidth="1"/>
    <col min="9733" max="9733" width="3.140625" style="105" customWidth="1"/>
    <col min="9734" max="9734" width="11.28515625" style="105" customWidth="1"/>
    <col min="9735" max="9735" width="3.28515625" style="105" customWidth="1"/>
    <col min="9736" max="9736" width="12.85546875" style="105" customWidth="1"/>
    <col min="9737" max="9737" width="3.140625" style="105" customWidth="1"/>
    <col min="9738" max="9739" width="11.140625" style="105" customWidth="1"/>
    <col min="9740" max="9740" width="0" style="105" hidden="1" customWidth="1"/>
    <col min="9741" max="9742" width="9.140625" style="105"/>
    <col min="9743" max="9743" width="13.5703125" style="105" customWidth="1"/>
    <col min="9744" max="9982" width="9.140625" style="105"/>
    <col min="9983" max="9983" width="4.28515625" style="105" customWidth="1"/>
    <col min="9984" max="9984" width="9.140625" style="105"/>
    <col min="9985" max="9985" width="18.5703125" style="105" customWidth="1"/>
    <col min="9986" max="9986" width="11.5703125" style="105" customWidth="1"/>
    <col min="9987" max="9987" width="9" style="105" customWidth="1"/>
    <col min="9988" max="9988" width="13" style="105" customWidth="1"/>
    <col min="9989" max="9989" width="3.140625" style="105" customWidth="1"/>
    <col min="9990" max="9990" width="11.28515625" style="105" customWidth="1"/>
    <col min="9991" max="9991" width="3.28515625" style="105" customWidth="1"/>
    <col min="9992" max="9992" width="12.85546875" style="105" customWidth="1"/>
    <col min="9993" max="9993" width="3.140625" style="105" customWidth="1"/>
    <col min="9994" max="9995" width="11.140625" style="105" customWidth="1"/>
    <col min="9996" max="9996" width="0" style="105" hidden="1" customWidth="1"/>
    <col min="9997" max="9998" width="9.140625" style="105"/>
    <col min="9999" max="9999" width="13.5703125" style="105" customWidth="1"/>
    <col min="10000" max="10238" width="9.140625" style="105"/>
    <col min="10239" max="10239" width="4.28515625" style="105" customWidth="1"/>
    <col min="10240" max="10240" width="9.140625" style="105"/>
    <col min="10241" max="10241" width="18.5703125" style="105" customWidth="1"/>
    <col min="10242" max="10242" width="11.5703125" style="105" customWidth="1"/>
    <col min="10243" max="10243" width="9" style="105" customWidth="1"/>
    <col min="10244" max="10244" width="13" style="105" customWidth="1"/>
    <col min="10245" max="10245" width="3.140625" style="105" customWidth="1"/>
    <col min="10246" max="10246" width="11.28515625" style="105" customWidth="1"/>
    <col min="10247" max="10247" width="3.28515625" style="105" customWidth="1"/>
    <col min="10248" max="10248" width="12.85546875" style="105" customWidth="1"/>
    <col min="10249" max="10249" width="3.140625" style="105" customWidth="1"/>
    <col min="10250" max="10251" width="11.140625" style="105" customWidth="1"/>
    <col min="10252" max="10252" width="0" style="105" hidden="1" customWidth="1"/>
    <col min="10253" max="10254" width="9.140625" style="105"/>
    <col min="10255" max="10255" width="13.5703125" style="105" customWidth="1"/>
    <col min="10256" max="10494" width="9.140625" style="105"/>
    <col min="10495" max="10495" width="4.28515625" style="105" customWidth="1"/>
    <col min="10496" max="10496" width="9.140625" style="105"/>
    <col min="10497" max="10497" width="18.5703125" style="105" customWidth="1"/>
    <col min="10498" max="10498" width="11.5703125" style="105" customWidth="1"/>
    <col min="10499" max="10499" width="9" style="105" customWidth="1"/>
    <col min="10500" max="10500" width="13" style="105" customWidth="1"/>
    <col min="10501" max="10501" width="3.140625" style="105" customWidth="1"/>
    <col min="10502" max="10502" width="11.28515625" style="105" customWidth="1"/>
    <col min="10503" max="10503" width="3.28515625" style="105" customWidth="1"/>
    <col min="10504" max="10504" width="12.85546875" style="105" customWidth="1"/>
    <col min="10505" max="10505" width="3.140625" style="105" customWidth="1"/>
    <col min="10506" max="10507" width="11.140625" style="105" customWidth="1"/>
    <col min="10508" max="10508" width="0" style="105" hidden="1" customWidth="1"/>
    <col min="10509" max="10510" width="9.140625" style="105"/>
    <col min="10511" max="10511" width="13.5703125" style="105" customWidth="1"/>
    <col min="10512" max="10750" width="9.140625" style="105"/>
    <col min="10751" max="10751" width="4.28515625" style="105" customWidth="1"/>
    <col min="10752" max="10752" width="9.140625" style="105"/>
    <col min="10753" max="10753" width="18.5703125" style="105" customWidth="1"/>
    <col min="10754" max="10754" width="11.5703125" style="105" customWidth="1"/>
    <col min="10755" max="10755" width="9" style="105" customWidth="1"/>
    <col min="10756" max="10756" width="13" style="105" customWidth="1"/>
    <col min="10757" max="10757" width="3.140625" style="105" customWidth="1"/>
    <col min="10758" max="10758" width="11.28515625" style="105" customWidth="1"/>
    <col min="10759" max="10759" width="3.28515625" style="105" customWidth="1"/>
    <col min="10760" max="10760" width="12.85546875" style="105" customWidth="1"/>
    <col min="10761" max="10761" width="3.140625" style="105" customWidth="1"/>
    <col min="10762" max="10763" width="11.140625" style="105" customWidth="1"/>
    <col min="10764" max="10764" width="0" style="105" hidden="1" customWidth="1"/>
    <col min="10765" max="10766" width="9.140625" style="105"/>
    <col min="10767" max="10767" width="13.5703125" style="105" customWidth="1"/>
    <col min="10768" max="11006" width="9.140625" style="105"/>
    <col min="11007" max="11007" width="4.28515625" style="105" customWidth="1"/>
    <col min="11008" max="11008" width="9.140625" style="105"/>
    <col min="11009" max="11009" width="18.5703125" style="105" customWidth="1"/>
    <col min="11010" max="11010" width="11.5703125" style="105" customWidth="1"/>
    <col min="11011" max="11011" width="9" style="105" customWidth="1"/>
    <col min="11012" max="11012" width="13" style="105" customWidth="1"/>
    <col min="11013" max="11013" width="3.140625" style="105" customWidth="1"/>
    <col min="11014" max="11014" width="11.28515625" style="105" customWidth="1"/>
    <col min="11015" max="11015" width="3.28515625" style="105" customWidth="1"/>
    <col min="11016" max="11016" width="12.85546875" style="105" customWidth="1"/>
    <col min="11017" max="11017" width="3.140625" style="105" customWidth="1"/>
    <col min="11018" max="11019" width="11.140625" style="105" customWidth="1"/>
    <col min="11020" max="11020" width="0" style="105" hidden="1" customWidth="1"/>
    <col min="11021" max="11022" width="9.140625" style="105"/>
    <col min="11023" max="11023" width="13.5703125" style="105" customWidth="1"/>
    <col min="11024" max="11262" width="9.140625" style="105"/>
    <col min="11263" max="11263" width="4.28515625" style="105" customWidth="1"/>
    <col min="11264" max="11264" width="9.140625" style="105"/>
    <col min="11265" max="11265" width="18.5703125" style="105" customWidth="1"/>
    <col min="11266" max="11266" width="11.5703125" style="105" customWidth="1"/>
    <col min="11267" max="11267" width="9" style="105" customWidth="1"/>
    <col min="11268" max="11268" width="13" style="105" customWidth="1"/>
    <col min="11269" max="11269" width="3.140625" style="105" customWidth="1"/>
    <col min="11270" max="11270" width="11.28515625" style="105" customWidth="1"/>
    <col min="11271" max="11271" width="3.28515625" style="105" customWidth="1"/>
    <col min="11272" max="11272" width="12.85546875" style="105" customWidth="1"/>
    <col min="11273" max="11273" width="3.140625" style="105" customWidth="1"/>
    <col min="11274" max="11275" width="11.140625" style="105" customWidth="1"/>
    <col min="11276" max="11276" width="0" style="105" hidden="1" customWidth="1"/>
    <col min="11277" max="11278" width="9.140625" style="105"/>
    <col min="11279" max="11279" width="13.5703125" style="105" customWidth="1"/>
    <col min="11280" max="11518" width="9.140625" style="105"/>
    <col min="11519" max="11519" width="4.28515625" style="105" customWidth="1"/>
    <col min="11520" max="11520" width="9.140625" style="105"/>
    <col min="11521" max="11521" width="18.5703125" style="105" customWidth="1"/>
    <col min="11522" max="11522" width="11.5703125" style="105" customWidth="1"/>
    <col min="11523" max="11523" width="9" style="105" customWidth="1"/>
    <col min="11524" max="11524" width="13" style="105" customWidth="1"/>
    <col min="11525" max="11525" width="3.140625" style="105" customWidth="1"/>
    <col min="11526" max="11526" width="11.28515625" style="105" customWidth="1"/>
    <col min="11527" max="11527" width="3.28515625" style="105" customWidth="1"/>
    <col min="11528" max="11528" width="12.85546875" style="105" customWidth="1"/>
    <col min="11529" max="11529" width="3.140625" style="105" customWidth="1"/>
    <col min="11530" max="11531" width="11.140625" style="105" customWidth="1"/>
    <col min="11532" max="11532" width="0" style="105" hidden="1" customWidth="1"/>
    <col min="11533" max="11534" width="9.140625" style="105"/>
    <col min="11535" max="11535" width="13.5703125" style="105" customWidth="1"/>
    <col min="11536" max="11774" width="9.140625" style="105"/>
    <col min="11775" max="11775" width="4.28515625" style="105" customWidth="1"/>
    <col min="11776" max="11776" width="9.140625" style="105"/>
    <col min="11777" max="11777" width="18.5703125" style="105" customWidth="1"/>
    <col min="11778" max="11778" width="11.5703125" style="105" customWidth="1"/>
    <col min="11779" max="11779" width="9" style="105" customWidth="1"/>
    <col min="11780" max="11780" width="13" style="105" customWidth="1"/>
    <col min="11781" max="11781" width="3.140625" style="105" customWidth="1"/>
    <col min="11782" max="11782" width="11.28515625" style="105" customWidth="1"/>
    <col min="11783" max="11783" width="3.28515625" style="105" customWidth="1"/>
    <col min="11784" max="11784" width="12.85546875" style="105" customWidth="1"/>
    <col min="11785" max="11785" width="3.140625" style="105" customWidth="1"/>
    <col min="11786" max="11787" width="11.140625" style="105" customWidth="1"/>
    <col min="11788" max="11788" width="0" style="105" hidden="1" customWidth="1"/>
    <col min="11789" max="11790" width="9.140625" style="105"/>
    <col min="11791" max="11791" width="13.5703125" style="105" customWidth="1"/>
    <col min="11792" max="12030" width="9.140625" style="105"/>
    <col min="12031" max="12031" width="4.28515625" style="105" customWidth="1"/>
    <col min="12032" max="12032" width="9.140625" style="105"/>
    <col min="12033" max="12033" width="18.5703125" style="105" customWidth="1"/>
    <col min="12034" max="12034" width="11.5703125" style="105" customWidth="1"/>
    <col min="12035" max="12035" width="9" style="105" customWidth="1"/>
    <col min="12036" max="12036" width="13" style="105" customWidth="1"/>
    <col min="12037" max="12037" width="3.140625" style="105" customWidth="1"/>
    <col min="12038" max="12038" width="11.28515625" style="105" customWidth="1"/>
    <col min="12039" max="12039" width="3.28515625" style="105" customWidth="1"/>
    <col min="12040" max="12040" width="12.85546875" style="105" customWidth="1"/>
    <col min="12041" max="12041" width="3.140625" style="105" customWidth="1"/>
    <col min="12042" max="12043" width="11.140625" style="105" customWidth="1"/>
    <col min="12044" max="12044" width="0" style="105" hidden="1" customWidth="1"/>
    <col min="12045" max="12046" width="9.140625" style="105"/>
    <col min="12047" max="12047" width="13.5703125" style="105" customWidth="1"/>
    <col min="12048" max="12286" width="9.140625" style="105"/>
    <col min="12287" max="12287" width="4.28515625" style="105" customWidth="1"/>
    <col min="12288" max="12288" width="9.140625" style="105"/>
    <col min="12289" max="12289" width="18.5703125" style="105" customWidth="1"/>
    <col min="12290" max="12290" width="11.5703125" style="105" customWidth="1"/>
    <col min="12291" max="12291" width="9" style="105" customWidth="1"/>
    <col min="12292" max="12292" width="13" style="105" customWidth="1"/>
    <col min="12293" max="12293" width="3.140625" style="105" customWidth="1"/>
    <col min="12294" max="12294" width="11.28515625" style="105" customWidth="1"/>
    <col min="12295" max="12295" width="3.28515625" style="105" customWidth="1"/>
    <col min="12296" max="12296" width="12.85546875" style="105" customWidth="1"/>
    <col min="12297" max="12297" width="3.140625" style="105" customWidth="1"/>
    <col min="12298" max="12299" width="11.140625" style="105" customWidth="1"/>
    <col min="12300" max="12300" width="0" style="105" hidden="1" customWidth="1"/>
    <col min="12301" max="12302" width="9.140625" style="105"/>
    <col min="12303" max="12303" width="13.5703125" style="105" customWidth="1"/>
    <col min="12304" max="12542" width="9.140625" style="105"/>
    <col min="12543" max="12543" width="4.28515625" style="105" customWidth="1"/>
    <col min="12544" max="12544" width="9.140625" style="105"/>
    <col min="12545" max="12545" width="18.5703125" style="105" customWidth="1"/>
    <col min="12546" max="12546" width="11.5703125" style="105" customWidth="1"/>
    <col min="12547" max="12547" width="9" style="105" customWidth="1"/>
    <col min="12548" max="12548" width="13" style="105" customWidth="1"/>
    <col min="12549" max="12549" width="3.140625" style="105" customWidth="1"/>
    <col min="12550" max="12550" width="11.28515625" style="105" customWidth="1"/>
    <col min="12551" max="12551" width="3.28515625" style="105" customWidth="1"/>
    <col min="12552" max="12552" width="12.85546875" style="105" customWidth="1"/>
    <col min="12553" max="12553" width="3.140625" style="105" customWidth="1"/>
    <col min="12554" max="12555" width="11.140625" style="105" customWidth="1"/>
    <col min="12556" max="12556" width="0" style="105" hidden="1" customWidth="1"/>
    <col min="12557" max="12558" width="9.140625" style="105"/>
    <col min="12559" max="12559" width="13.5703125" style="105" customWidth="1"/>
    <col min="12560" max="12798" width="9.140625" style="105"/>
    <col min="12799" max="12799" width="4.28515625" style="105" customWidth="1"/>
    <col min="12800" max="12800" width="9.140625" style="105"/>
    <col min="12801" max="12801" width="18.5703125" style="105" customWidth="1"/>
    <col min="12802" max="12802" width="11.5703125" style="105" customWidth="1"/>
    <col min="12803" max="12803" width="9" style="105" customWidth="1"/>
    <col min="12804" max="12804" width="13" style="105" customWidth="1"/>
    <col min="12805" max="12805" width="3.140625" style="105" customWidth="1"/>
    <col min="12806" max="12806" width="11.28515625" style="105" customWidth="1"/>
    <col min="12807" max="12807" width="3.28515625" style="105" customWidth="1"/>
    <col min="12808" max="12808" width="12.85546875" style="105" customWidth="1"/>
    <col min="12809" max="12809" width="3.140625" style="105" customWidth="1"/>
    <col min="12810" max="12811" width="11.140625" style="105" customWidth="1"/>
    <col min="12812" max="12812" width="0" style="105" hidden="1" customWidth="1"/>
    <col min="12813" max="12814" width="9.140625" style="105"/>
    <col min="12815" max="12815" width="13.5703125" style="105" customWidth="1"/>
    <col min="12816" max="13054" width="9.140625" style="105"/>
    <col min="13055" max="13055" width="4.28515625" style="105" customWidth="1"/>
    <col min="13056" max="13056" width="9.140625" style="105"/>
    <col min="13057" max="13057" width="18.5703125" style="105" customWidth="1"/>
    <col min="13058" max="13058" width="11.5703125" style="105" customWidth="1"/>
    <col min="13059" max="13059" width="9" style="105" customWidth="1"/>
    <col min="13060" max="13060" width="13" style="105" customWidth="1"/>
    <col min="13061" max="13061" width="3.140625" style="105" customWidth="1"/>
    <col min="13062" max="13062" width="11.28515625" style="105" customWidth="1"/>
    <col min="13063" max="13063" width="3.28515625" style="105" customWidth="1"/>
    <col min="13064" max="13064" width="12.85546875" style="105" customWidth="1"/>
    <col min="13065" max="13065" width="3.140625" style="105" customWidth="1"/>
    <col min="13066" max="13067" width="11.140625" style="105" customWidth="1"/>
    <col min="13068" max="13068" width="0" style="105" hidden="1" customWidth="1"/>
    <col min="13069" max="13070" width="9.140625" style="105"/>
    <col min="13071" max="13071" width="13.5703125" style="105" customWidth="1"/>
    <col min="13072" max="13310" width="9.140625" style="105"/>
    <col min="13311" max="13311" width="4.28515625" style="105" customWidth="1"/>
    <col min="13312" max="13312" width="9.140625" style="105"/>
    <col min="13313" max="13313" width="18.5703125" style="105" customWidth="1"/>
    <col min="13314" max="13314" width="11.5703125" style="105" customWidth="1"/>
    <col min="13315" max="13315" width="9" style="105" customWidth="1"/>
    <col min="13316" max="13316" width="13" style="105" customWidth="1"/>
    <col min="13317" max="13317" width="3.140625" style="105" customWidth="1"/>
    <col min="13318" max="13318" width="11.28515625" style="105" customWidth="1"/>
    <col min="13319" max="13319" width="3.28515625" style="105" customWidth="1"/>
    <col min="13320" max="13320" width="12.85546875" style="105" customWidth="1"/>
    <col min="13321" max="13321" width="3.140625" style="105" customWidth="1"/>
    <col min="13322" max="13323" width="11.140625" style="105" customWidth="1"/>
    <col min="13324" max="13324" width="0" style="105" hidden="1" customWidth="1"/>
    <col min="13325" max="13326" width="9.140625" style="105"/>
    <col min="13327" max="13327" width="13.5703125" style="105" customWidth="1"/>
    <col min="13328" max="13566" width="9.140625" style="105"/>
    <col min="13567" max="13567" width="4.28515625" style="105" customWidth="1"/>
    <col min="13568" max="13568" width="9.140625" style="105"/>
    <col min="13569" max="13569" width="18.5703125" style="105" customWidth="1"/>
    <col min="13570" max="13570" width="11.5703125" style="105" customWidth="1"/>
    <col min="13571" max="13571" width="9" style="105" customWidth="1"/>
    <col min="13572" max="13572" width="13" style="105" customWidth="1"/>
    <col min="13573" max="13573" width="3.140625" style="105" customWidth="1"/>
    <col min="13574" max="13574" width="11.28515625" style="105" customWidth="1"/>
    <col min="13575" max="13575" width="3.28515625" style="105" customWidth="1"/>
    <col min="13576" max="13576" width="12.85546875" style="105" customWidth="1"/>
    <col min="13577" max="13577" width="3.140625" style="105" customWidth="1"/>
    <col min="13578" max="13579" width="11.140625" style="105" customWidth="1"/>
    <col min="13580" max="13580" width="0" style="105" hidden="1" customWidth="1"/>
    <col min="13581" max="13582" width="9.140625" style="105"/>
    <col min="13583" max="13583" width="13.5703125" style="105" customWidth="1"/>
    <col min="13584" max="13822" width="9.140625" style="105"/>
    <col min="13823" max="13823" width="4.28515625" style="105" customWidth="1"/>
    <col min="13824" max="13824" width="9.140625" style="105"/>
    <col min="13825" max="13825" width="18.5703125" style="105" customWidth="1"/>
    <col min="13826" max="13826" width="11.5703125" style="105" customWidth="1"/>
    <col min="13827" max="13827" width="9" style="105" customWidth="1"/>
    <col min="13828" max="13828" width="13" style="105" customWidth="1"/>
    <col min="13829" max="13829" width="3.140625" style="105" customWidth="1"/>
    <col min="13830" max="13830" width="11.28515625" style="105" customWidth="1"/>
    <col min="13831" max="13831" width="3.28515625" style="105" customWidth="1"/>
    <col min="13832" max="13832" width="12.85546875" style="105" customWidth="1"/>
    <col min="13833" max="13833" width="3.140625" style="105" customWidth="1"/>
    <col min="13834" max="13835" width="11.140625" style="105" customWidth="1"/>
    <col min="13836" max="13836" width="0" style="105" hidden="1" customWidth="1"/>
    <col min="13837" max="13838" width="9.140625" style="105"/>
    <col min="13839" max="13839" width="13.5703125" style="105" customWidth="1"/>
    <col min="13840" max="14078" width="9.140625" style="105"/>
    <col min="14079" max="14079" width="4.28515625" style="105" customWidth="1"/>
    <col min="14080" max="14080" width="9.140625" style="105"/>
    <col min="14081" max="14081" width="18.5703125" style="105" customWidth="1"/>
    <col min="14082" max="14082" width="11.5703125" style="105" customWidth="1"/>
    <col min="14083" max="14083" width="9" style="105" customWidth="1"/>
    <col min="14084" max="14084" width="13" style="105" customWidth="1"/>
    <col min="14085" max="14085" width="3.140625" style="105" customWidth="1"/>
    <col min="14086" max="14086" width="11.28515625" style="105" customWidth="1"/>
    <col min="14087" max="14087" width="3.28515625" style="105" customWidth="1"/>
    <col min="14088" max="14088" width="12.85546875" style="105" customWidth="1"/>
    <col min="14089" max="14089" width="3.140625" style="105" customWidth="1"/>
    <col min="14090" max="14091" width="11.140625" style="105" customWidth="1"/>
    <col min="14092" max="14092" width="0" style="105" hidden="1" customWidth="1"/>
    <col min="14093" max="14094" width="9.140625" style="105"/>
    <col min="14095" max="14095" width="13.5703125" style="105" customWidth="1"/>
    <col min="14096" max="14334" width="9.140625" style="105"/>
    <col min="14335" max="14335" width="4.28515625" style="105" customWidth="1"/>
    <col min="14336" max="14336" width="9.140625" style="105"/>
    <col min="14337" max="14337" width="18.5703125" style="105" customWidth="1"/>
    <col min="14338" max="14338" width="11.5703125" style="105" customWidth="1"/>
    <col min="14339" max="14339" width="9" style="105" customWidth="1"/>
    <col min="14340" max="14340" width="13" style="105" customWidth="1"/>
    <col min="14341" max="14341" width="3.140625" style="105" customWidth="1"/>
    <col min="14342" max="14342" width="11.28515625" style="105" customWidth="1"/>
    <col min="14343" max="14343" width="3.28515625" style="105" customWidth="1"/>
    <col min="14344" max="14344" width="12.85546875" style="105" customWidth="1"/>
    <col min="14345" max="14345" width="3.140625" style="105" customWidth="1"/>
    <col min="14346" max="14347" width="11.140625" style="105" customWidth="1"/>
    <col min="14348" max="14348" width="0" style="105" hidden="1" customWidth="1"/>
    <col min="14349" max="14350" width="9.140625" style="105"/>
    <col min="14351" max="14351" width="13.5703125" style="105" customWidth="1"/>
    <col min="14352" max="14590" width="9.140625" style="105"/>
    <col min="14591" max="14591" width="4.28515625" style="105" customWidth="1"/>
    <col min="14592" max="14592" width="9.140625" style="105"/>
    <col min="14593" max="14593" width="18.5703125" style="105" customWidth="1"/>
    <col min="14594" max="14594" width="11.5703125" style="105" customWidth="1"/>
    <col min="14595" max="14595" width="9" style="105" customWidth="1"/>
    <col min="14596" max="14596" width="13" style="105" customWidth="1"/>
    <col min="14597" max="14597" width="3.140625" style="105" customWidth="1"/>
    <col min="14598" max="14598" width="11.28515625" style="105" customWidth="1"/>
    <col min="14599" max="14599" width="3.28515625" style="105" customWidth="1"/>
    <col min="14600" max="14600" width="12.85546875" style="105" customWidth="1"/>
    <col min="14601" max="14601" width="3.140625" style="105" customWidth="1"/>
    <col min="14602" max="14603" width="11.140625" style="105" customWidth="1"/>
    <col min="14604" max="14604" width="0" style="105" hidden="1" customWidth="1"/>
    <col min="14605" max="14606" width="9.140625" style="105"/>
    <col min="14607" max="14607" width="13.5703125" style="105" customWidth="1"/>
    <col min="14608" max="14846" width="9.140625" style="105"/>
    <col min="14847" max="14847" width="4.28515625" style="105" customWidth="1"/>
    <col min="14848" max="14848" width="9.140625" style="105"/>
    <col min="14849" max="14849" width="18.5703125" style="105" customWidth="1"/>
    <col min="14850" max="14850" width="11.5703125" style="105" customWidth="1"/>
    <col min="14851" max="14851" width="9" style="105" customWidth="1"/>
    <col min="14852" max="14852" width="13" style="105" customWidth="1"/>
    <col min="14853" max="14853" width="3.140625" style="105" customWidth="1"/>
    <col min="14854" max="14854" width="11.28515625" style="105" customWidth="1"/>
    <col min="14855" max="14855" width="3.28515625" style="105" customWidth="1"/>
    <col min="14856" max="14856" width="12.85546875" style="105" customWidth="1"/>
    <col min="14857" max="14857" width="3.140625" style="105" customWidth="1"/>
    <col min="14858" max="14859" width="11.140625" style="105" customWidth="1"/>
    <col min="14860" max="14860" width="0" style="105" hidden="1" customWidth="1"/>
    <col min="14861" max="14862" width="9.140625" style="105"/>
    <col min="14863" max="14863" width="13.5703125" style="105" customWidth="1"/>
    <col min="14864" max="15102" width="9.140625" style="105"/>
    <col min="15103" max="15103" width="4.28515625" style="105" customWidth="1"/>
    <col min="15104" max="15104" width="9.140625" style="105"/>
    <col min="15105" max="15105" width="18.5703125" style="105" customWidth="1"/>
    <col min="15106" max="15106" width="11.5703125" style="105" customWidth="1"/>
    <col min="15107" max="15107" width="9" style="105" customWidth="1"/>
    <col min="15108" max="15108" width="13" style="105" customWidth="1"/>
    <col min="15109" max="15109" width="3.140625" style="105" customWidth="1"/>
    <col min="15110" max="15110" width="11.28515625" style="105" customWidth="1"/>
    <col min="15111" max="15111" width="3.28515625" style="105" customWidth="1"/>
    <col min="15112" max="15112" width="12.85546875" style="105" customWidth="1"/>
    <col min="15113" max="15113" width="3.140625" style="105" customWidth="1"/>
    <col min="15114" max="15115" width="11.140625" style="105" customWidth="1"/>
    <col min="15116" max="15116" width="0" style="105" hidden="1" customWidth="1"/>
    <col min="15117" max="15118" width="9.140625" style="105"/>
    <col min="15119" max="15119" width="13.5703125" style="105" customWidth="1"/>
    <col min="15120" max="15358" width="9.140625" style="105"/>
    <col min="15359" max="15359" width="4.28515625" style="105" customWidth="1"/>
    <col min="15360" max="15360" width="9.140625" style="105"/>
    <col min="15361" max="15361" width="18.5703125" style="105" customWidth="1"/>
    <col min="15362" max="15362" width="11.5703125" style="105" customWidth="1"/>
    <col min="15363" max="15363" width="9" style="105" customWidth="1"/>
    <col min="15364" max="15364" width="13" style="105" customWidth="1"/>
    <col min="15365" max="15365" width="3.140625" style="105" customWidth="1"/>
    <col min="15366" max="15366" width="11.28515625" style="105" customWidth="1"/>
    <col min="15367" max="15367" width="3.28515625" style="105" customWidth="1"/>
    <col min="15368" max="15368" width="12.85546875" style="105" customWidth="1"/>
    <col min="15369" max="15369" width="3.140625" style="105" customWidth="1"/>
    <col min="15370" max="15371" width="11.140625" style="105" customWidth="1"/>
    <col min="15372" max="15372" width="0" style="105" hidden="1" customWidth="1"/>
    <col min="15373" max="15374" width="9.140625" style="105"/>
    <col min="15375" max="15375" width="13.5703125" style="105" customWidth="1"/>
    <col min="15376" max="15614" width="9.140625" style="105"/>
    <col min="15615" max="15615" width="4.28515625" style="105" customWidth="1"/>
    <col min="15616" max="15616" width="9.140625" style="105"/>
    <col min="15617" max="15617" width="18.5703125" style="105" customWidth="1"/>
    <col min="15618" max="15618" width="11.5703125" style="105" customWidth="1"/>
    <col min="15619" max="15619" width="9" style="105" customWidth="1"/>
    <col min="15620" max="15620" width="13" style="105" customWidth="1"/>
    <col min="15621" max="15621" width="3.140625" style="105" customWidth="1"/>
    <col min="15622" max="15622" width="11.28515625" style="105" customWidth="1"/>
    <col min="15623" max="15623" width="3.28515625" style="105" customWidth="1"/>
    <col min="15624" max="15624" width="12.85546875" style="105" customWidth="1"/>
    <col min="15625" max="15625" width="3.140625" style="105" customWidth="1"/>
    <col min="15626" max="15627" width="11.140625" style="105" customWidth="1"/>
    <col min="15628" max="15628" width="0" style="105" hidden="1" customWidth="1"/>
    <col min="15629" max="15630" width="9.140625" style="105"/>
    <col min="15631" max="15631" width="13.5703125" style="105" customWidth="1"/>
    <col min="15632" max="15870" width="9.140625" style="105"/>
    <col min="15871" max="15871" width="4.28515625" style="105" customWidth="1"/>
    <col min="15872" max="15872" width="9.140625" style="105"/>
    <col min="15873" max="15873" width="18.5703125" style="105" customWidth="1"/>
    <col min="15874" max="15874" width="11.5703125" style="105" customWidth="1"/>
    <col min="15875" max="15875" width="9" style="105" customWidth="1"/>
    <col min="15876" max="15876" width="13" style="105" customWidth="1"/>
    <col min="15877" max="15877" width="3.140625" style="105" customWidth="1"/>
    <col min="15878" max="15878" width="11.28515625" style="105" customWidth="1"/>
    <col min="15879" max="15879" width="3.28515625" style="105" customWidth="1"/>
    <col min="15880" max="15880" width="12.85546875" style="105" customWidth="1"/>
    <col min="15881" max="15881" width="3.140625" style="105" customWidth="1"/>
    <col min="15882" max="15883" width="11.140625" style="105" customWidth="1"/>
    <col min="15884" max="15884" width="0" style="105" hidden="1" customWidth="1"/>
    <col min="15885" max="15886" width="9.140625" style="105"/>
    <col min="15887" max="15887" width="13.5703125" style="105" customWidth="1"/>
    <col min="15888" max="16126" width="9.140625" style="105"/>
    <col min="16127" max="16127" width="4.28515625" style="105" customWidth="1"/>
    <col min="16128" max="16128" width="9.140625" style="105"/>
    <col min="16129" max="16129" width="18.5703125" style="105" customWidth="1"/>
    <col min="16130" max="16130" width="11.5703125" style="105" customWidth="1"/>
    <col min="16131" max="16131" width="9" style="105" customWidth="1"/>
    <col min="16132" max="16132" width="13" style="105" customWidth="1"/>
    <col min="16133" max="16133" width="3.140625" style="105" customWidth="1"/>
    <col min="16134" max="16134" width="11.28515625" style="105" customWidth="1"/>
    <col min="16135" max="16135" width="3.28515625" style="105" customWidth="1"/>
    <col min="16136" max="16136" width="12.85546875" style="105" customWidth="1"/>
    <col min="16137" max="16137" width="3.140625" style="105" customWidth="1"/>
    <col min="16138" max="16139" width="11.140625" style="105" customWidth="1"/>
    <col min="16140" max="16140" width="0" style="105" hidden="1" customWidth="1"/>
    <col min="16141" max="16142" width="9.140625" style="105"/>
    <col min="16143" max="16143" width="13.5703125" style="105" customWidth="1"/>
    <col min="16144" max="16384" width="9.140625" style="105"/>
  </cols>
  <sheetData>
    <row r="1" spans="1:13" ht="18.75">
      <c r="A1" s="349"/>
      <c r="B1" s="180"/>
      <c r="H1" s="159"/>
    </row>
    <row r="2" spans="1:13">
      <c r="A2" s="344"/>
      <c r="H2" s="159"/>
    </row>
    <row r="3" spans="1:13">
      <c r="A3" s="180"/>
      <c r="H3" s="159"/>
    </row>
    <row r="4" spans="1:13" ht="18.75">
      <c r="A4" s="349" t="s">
        <v>0</v>
      </c>
      <c r="H4" s="159"/>
    </row>
    <row r="5" spans="1:13" ht="18.75">
      <c r="A5" s="344" t="s">
        <v>1</v>
      </c>
      <c r="B5" s="349"/>
      <c r="C5" s="349"/>
      <c r="D5" s="170"/>
      <c r="E5" s="170"/>
      <c r="F5" s="170"/>
      <c r="G5" s="170"/>
      <c r="H5" s="170"/>
      <c r="I5" s="170"/>
      <c r="J5" s="170"/>
      <c r="K5" s="170"/>
      <c r="L5" s="170"/>
    </row>
    <row r="6" spans="1:13">
      <c r="A6" s="344"/>
      <c r="B6" s="344"/>
      <c r="C6" s="344"/>
      <c r="D6" s="170"/>
      <c r="E6" s="170"/>
      <c r="F6" s="170"/>
      <c r="G6" s="170"/>
      <c r="H6" s="170"/>
      <c r="I6" s="170"/>
      <c r="J6" s="170"/>
      <c r="K6" s="170"/>
      <c r="L6" s="170"/>
    </row>
    <row r="7" spans="1:13">
      <c r="C7" s="392" t="s">
        <v>68</v>
      </c>
      <c r="D7" s="393"/>
      <c r="E7" s="393"/>
      <c r="F7" s="393"/>
      <c r="G7" s="393"/>
      <c r="H7" s="393"/>
      <c r="I7" s="393"/>
      <c r="J7" s="393"/>
      <c r="K7" s="248"/>
      <c r="L7" s="248"/>
    </row>
    <row r="8" spans="1:13">
      <c r="C8" s="178" t="s">
        <v>69</v>
      </c>
      <c r="D8" s="170"/>
      <c r="E8" s="170"/>
      <c r="F8" s="170"/>
      <c r="G8" s="170"/>
      <c r="H8" s="170"/>
      <c r="I8" s="170"/>
      <c r="J8" s="170"/>
      <c r="K8" s="170"/>
      <c r="L8" s="170"/>
    </row>
    <row r="10" spans="1:13">
      <c r="A10" s="131"/>
      <c r="B10" s="135"/>
      <c r="C10" s="174"/>
      <c r="D10" s="174"/>
      <c r="E10" s="176"/>
      <c r="F10" s="176"/>
      <c r="G10" s="131"/>
      <c r="H10" s="134"/>
      <c r="I10" s="174"/>
      <c r="J10" s="176" t="s">
        <v>121</v>
      </c>
      <c r="K10" s="176" t="s">
        <v>76</v>
      </c>
      <c r="L10" s="176" t="s">
        <v>53</v>
      </c>
      <c r="M10" s="131"/>
    </row>
    <row r="11" spans="1:13">
      <c r="A11" s="172" t="s">
        <v>71</v>
      </c>
      <c r="C11" s="173"/>
      <c r="D11" s="158" t="s">
        <v>72</v>
      </c>
      <c r="E11" s="158" t="s">
        <v>73</v>
      </c>
      <c r="F11" s="158" t="s">
        <v>74</v>
      </c>
      <c r="G11" s="161"/>
      <c r="H11" s="160" t="s">
        <v>75</v>
      </c>
      <c r="I11" s="154"/>
      <c r="J11" s="158" t="s">
        <v>77</v>
      </c>
      <c r="K11" s="158" t="s">
        <v>77</v>
      </c>
      <c r="L11" s="158" t="s">
        <v>77</v>
      </c>
      <c r="M11" s="160" t="s">
        <v>78</v>
      </c>
    </row>
    <row r="12" spans="1:13">
      <c r="A12" s="172" t="s">
        <v>79</v>
      </c>
      <c r="B12" s="170" t="s">
        <v>80</v>
      </c>
      <c r="C12" s="169"/>
      <c r="D12" s="158" t="s">
        <v>81</v>
      </c>
      <c r="E12" s="158" t="s">
        <v>82</v>
      </c>
      <c r="F12" s="158" t="s">
        <v>83</v>
      </c>
      <c r="G12" s="161"/>
      <c r="H12" s="160" t="s">
        <v>84</v>
      </c>
      <c r="I12" s="154"/>
      <c r="J12" s="158" t="s">
        <v>85</v>
      </c>
      <c r="K12" s="158" t="s">
        <v>85</v>
      </c>
      <c r="L12" s="158" t="s">
        <v>85</v>
      </c>
      <c r="M12" s="160" t="s">
        <v>85</v>
      </c>
    </row>
    <row r="13" spans="1:13">
      <c r="A13" s="161"/>
      <c r="B13" s="170" t="s">
        <v>36</v>
      </c>
      <c r="C13" s="169"/>
      <c r="D13" s="158" t="s">
        <v>37</v>
      </c>
      <c r="E13" s="158" t="s">
        <v>38</v>
      </c>
      <c r="F13" s="158" t="s">
        <v>39</v>
      </c>
      <c r="G13" s="161"/>
      <c r="H13" s="160" t="s">
        <v>86</v>
      </c>
      <c r="I13" s="154"/>
      <c r="J13" s="158" t="s">
        <v>87</v>
      </c>
      <c r="K13" s="158" t="s">
        <v>88</v>
      </c>
      <c r="L13" s="158" t="s">
        <v>89</v>
      </c>
      <c r="M13" s="151" t="s">
        <v>122</v>
      </c>
    </row>
    <row r="14" spans="1:13">
      <c r="A14" s="167"/>
      <c r="B14" s="166" t="s">
        <v>90</v>
      </c>
      <c r="C14" s="165"/>
      <c r="D14" s="165"/>
      <c r="E14" s="165"/>
      <c r="F14" s="149"/>
      <c r="G14" s="164"/>
      <c r="H14" s="145"/>
      <c r="I14" s="165"/>
      <c r="J14" s="164"/>
      <c r="K14" s="164"/>
      <c r="L14" s="164"/>
      <c r="M14" s="164"/>
    </row>
    <row r="15" spans="1:13">
      <c r="A15" s="161"/>
      <c r="B15" s="159"/>
      <c r="C15" s="154"/>
      <c r="D15" s="154"/>
      <c r="E15" s="154"/>
      <c r="F15" s="154"/>
      <c r="G15" s="161"/>
      <c r="H15" s="161"/>
      <c r="I15" s="154"/>
      <c r="J15" s="154"/>
      <c r="K15" s="154"/>
      <c r="L15" s="154"/>
      <c r="M15" s="131"/>
    </row>
    <row r="16" spans="1:13">
      <c r="A16" s="161"/>
      <c r="B16" s="159"/>
      <c r="C16" s="162"/>
      <c r="D16" s="158"/>
      <c r="E16" s="157"/>
      <c r="F16" s="157"/>
      <c r="G16" s="156"/>
      <c r="H16" s="155"/>
      <c r="I16" s="154"/>
      <c r="J16" s="157"/>
      <c r="K16" s="157"/>
      <c r="L16" s="157"/>
      <c r="M16" s="161"/>
    </row>
    <row r="17" spans="1:16">
      <c r="A17" s="160">
        <v>1</v>
      </c>
      <c r="B17" s="159" t="s">
        <v>91</v>
      </c>
      <c r="C17" s="162"/>
      <c r="D17" s="158" t="s">
        <v>92</v>
      </c>
      <c r="E17" s="157">
        <f>'Bills-Therms-Revs'!F16</f>
        <v>204189</v>
      </c>
      <c r="F17" s="157">
        <f>'Forecasted Volumes'!C20</f>
        <v>140216275.3119559</v>
      </c>
      <c r="G17" s="156"/>
      <c r="H17" s="370">
        <f>'Bills-Therms-Revs'!I16</f>
        <v>184270124.75999999</v>
      </c>
      <c r="I17" s="154"/>
      <c r="J17" s="375">
        <f>'WEAF Amount Change'!K16</f>
        <v>-1892919.7167114045</v>
      </c>
      <c r="K17" s="375">
        <f>'CARES Amount Change'!K16</f>
        <v>500572.10286368238</v>
      </c>
      <c r="L17" s="375">
        <f>J17+K17</f>
        <v>-1392347.6138477221</v>
      </c>
      <c r="M17" s="152">
        <f>+L17/H17</f>
        <v>-7.5560138446813634E-3</v>
      </c>
    </row>
    <row r="18" spans="1:16">
      <c r="A18" s="160">
        <v>2</v>
      </c>
      <c r="B18" s="159" t="s">
        <v>93</v>
      </c>
      <c r="C18" s="154"/>
      <c r="D18" s="158" t="s">
        <v>94</v>
      </c>
      <c r="E18" s="157">
        <f>'Bills-Therms-Revs'!F18</f>
        <v>27579</v>
      </c>
      <c r="F18" s="157">
        <f>'Forecasted Volumes'!D20</f>
        <v>103631783.38918559</v>
      </c>
      <c r="G18" s="161"/>
      <c r="H18" s="370">
        <f>'Bills-Therms-Revs'!I18+'Bills-Therms-Revs'!I21+'Bills-Therms-Revs'!I22</f>
        <v>124333137.98999999</v>
      </c>
      <c r="I18" s="154"/>
      <c r="J18" s="375">
        <f>'WEAF Amount Change'!K17</f>
        <v>-1130623</v>
      </c>
      <c r="K18" s="375">
        <f>'CARES Amount Change'!K17</f>
        <v>230062.55912399199</v>
      </c>
      <c r="L18" s="375">
        <f t="shared" ref="L18:L21" si="0">J18+K18</f>
        <v>-900560.44087600801</v>
      </c>
      <c r="M18" s="152">
        <f t="shared" ref="M18:M22" si="1">+L18/H18</f>
        <v>-7.243124845352486E-3</v>
      </c>
    </row>
    <row r="19" spans="1:16">
      <c r="A19" s="160">
        <v>3</v>
      </c>
      <c r="B19" s="159" t="s">
        <v>95</v>
      </c>
      <c r="C19" s="162"/>
      <c r="D19" s="158" t="s">
        <v>96</v>
      </c>
      <c r="E19" s="157">
        <f>'Bills-Therms-Revs'!F28</f>
        <v>495</v>
      </c>
      <c r="F19" s="157">
        <f>'Forecasted Volumes'!E20</f>
        <v>13457822.341199517</v>
      </c>
      <c r="G19" s="161"/>
      <c r="H19" s="370">
        <f>'Bills-Therms-Revs'!I28+'Bills-Therms-Revs'!I30+'Bills-Therms-Revs'!I31</f>
        <v>14347313.25</v>
      </c>
      <c r="I19" s="154"/>
      <c r="J19" s="375">
        <f>'WEAF Amount Change'!K18</f>
        <v>-90840.300803096747</v>
      </c>
      <c r="K19" s="375">
        <f>'CARES Amount Change'!K18</f>
        <v>28799.739810166961</v>
      </c>
      <c r="L19" s="375">
        <f t="shared" si="0"/>
        <v>-62040.560992929786</v>
      </c>
      <c r="M19" s="152">
        <f t="shared" si="1"/>
        <v>-4.3241936599474323E-3</v>
      </c>
    </row>
    <row r="20" spans="1:16">
      <c r="A20" s="160">
        <v>4</v>
      </c>
      <c r="B20" s="159" t="s">
        <v>97</v>
      </c>
      <c r="C20" s="154"/>
      <c r="D20" s="158" t="s">
        <v>98</v>
      </c>
      <c r="E20" s="157">
        <f>'Bills-Therms-Revs'!F19+'Bills-Therms-Revs'!F29</f>
        <v>99</v>
      </c>
      <c r="F20" s="157">
        <f>'Forecasted Volumes'!F20</f>
        <v>16601133.000301499</v>
      </c>
      <c r="G20" s="156"/>
      <c r="H20" s="370">
        <f>'Bills-Therms-Revs'!I19+'Bills-Therms-Revs'!I23+'Bills-Therms-Revs'!I24+'Bills-Therms-Revs'!I29</f>
        <v>17512226.16</v>
      </c>
      <c r="I20" s="157"/>
      <c r="J20" s="375">
        <f>'WEAF Amount Change'!K19</f>
        <v>-94958.480761724582</v>
      </c>
      <c r="K20" s="375">
        <f>'CARES Amount Change'!K19</f>
        <v>3818.260590069362</v>
      </c>
      <c r="L20" s="375">
        <f t="shared" si="0"/>
        <v>-91140.220171655223</v>
      </c>
      <c r="M20" s="152">
        <f t="shared" si="1"/>
        <v>-5.2043766074601231E-3</v>
      </c>
    </row>
    <row r="21" spans="1:16">
      <c r="A21" s="160">
        <v>5</v>
      </c>
      <c r="B21" s="159" t="s">
        <v>99</v>
      </c>
      <c r="C21" s="154"/>
      <c r="D21" s="158" t="s">
        <v>100</v>
      </c>
      <c r="E21" s="157">
        <f>'Bills-Therms-Revs'!F34</f>
        <v>7</v>
      </c>
      <c r="F21" s="157">
        <f>'Forecasted Volumes'!G20</f>
        <v>2353804.9573574951</v>
      </c>
      <c r="G21" s="156"/>
      <c r="H21" s="370">
        <f>'Bills-Therms-Revs'!I39</f>
        <v>2109806.16</v>
      </c>
      <c r="I21" s="154"/>
      <c r="J21" s="375">
        <f>'WEAF Amount Change'!K20</f>
        <v>-4778.2240634357149</v>
      </c>
      <c r="K21" s="375">
        <f>'CARES Amount Change'!K20</f>
        <v>1812.4298171652708</v>
      </c>
      <c r="L21" s="375">
        <f t="shared" si="0"/>
        <v>-2965.7942462704441</v>
      </c>
      <c r="M21" s="249">
        <f t="shared" si="1"/>
        <v>-1.4057188297670171E-3</v>
      </c>
    </row>
    <row r="22" spans="1:16">
      <c r="A22" s="151">
        <v>6</v>
      </c>
      <c r="B22" s="150" t="s">
        <v>101</v>
      </c>
      <c r="C22" s="149"/>
      <c r="D22" s="149"/>
      <c r="E22" s="147">
        <f>SUM(E17:E21)</f>
        <v>232369</v>
      </c>
      <c r="F22" s="148">
        <f>SUM(F17:F21)</f>
        <v>276260818.99999994</v>
      </c>
      <c r="G22" s="145"/>
      <c r="H22" s="371">
        <f>SUM(H17:H21)</f>
        <v>342572608.32000005</v>
      </c>
      <c r="I22" s="147"/>
      <c r="J22" s="376">
        <f>SUM(J17:J21)</f>
        <v>-3214119.7223396618</v>
      </c>
      <c r="K22" s="376">
        <f>SUM(K17:K21)</f>
        <v>765065.09220507601</v>
      </c>
      <c r="L22" s="376">
        <f>SUM(L17:L21)</f>
        <v>-2449054.6301345853</v>
      </c>
      <c r="M22" s="109">
        <f t="shared" si="1"/>
        <v>-7.1490089127234074E-3</v>
      </c>
    </row>
    <row r="23" spans="1:16">
      <c r="A23" s="144"/>
      <c r="B23" s="143" t="s">
        <v>102</v>
      </c>
      <c r="C23" s="142"/>
      <c r="D23" s="142"/>
      <c r="E23" s="141"/>
      <c r="F23" s="141"/>
      <c r="G23" s="140"/>
      <c r="H23" s="139"/>
      <c r="J23" s="137"/>
      <c r="K23" s="250"/>
      <c r="L23" s="250"/>
      <c r="M23" s="117"/>
    </row>
    <row r="24" spans="1:16">
      <c r="A24" s="125">
        <v>7</v>
      </c>
      <c r="B24" s="136" t="s">
        <v>103</v>
      </c>
      <c r="C24" s="135"/>
      <c r="D24" s="134">
        <v>663</v>
      </c>
      <c r="E24" s="133">
        <f>'Bills-Therms-Revs'!F44</f>
        <v>192</v>
      </c>
      <c r="F24" s="132">
        <f>'Forecasted Volumes'!H20</f>
        <v>940213064</v>
      </c>
      <c r="G24" s="131"/>
      <c r="H24" s="372">
        <f>'Bills-Therms-Revs'!I44</f>
        <v>30374009</v>
      </c>
      <c r="J24" s="375">
        <f>'WEAF Amount Change'!K23</f>
        <v>-1156462.0687199999</v>
      </c>
      <c r="K24" s="375">
        <f>'CARES Amount Change'!K23</f>
        <v>-65814.914480000167</v>
      </c>
      <c r="L24" s="375">
        <f t="shared" ref="L24" si="2">J24+K24</f>
        <v>-1222276.9832000001</v>
      </c>
      <c r="M24" s="109">
        <f>+L24/H24</f>
        <v>-4.024088434292622E-2</v>
      </c>
    </row>
    <row r="25" spans="1:16">
      <c r="A25" s="129">
        <v>8</v>
      </c>
      <c r="B25" s="115" t="s">
        <v>104</v>
      </c>
      <c r="C25" s="114"/>
      <c r="D25" s="128"/>
      <c r="E25" s="127">
        <f>SUM(E24:E24)</f>
        <v>192</v>
      </c>
      <c r="F25" s="126">
        <f>SUM(F24:F24)</f>
        <v>940213064</v>
      </c>
      <c r="G25" s="122"/>
      <c r="H25" s="373">
        <f>SUM(H24:H24)</f>
        <v>30374009</v>
      </c>
      <c r="I25" s="120"/>
      <c r="J25" s="378">
        <f>+J24</f>
        <v>-1156462.0687199999</v>
      </c>
      <c r="K25" s="378">
        <f>+K24</f>
        <v>-65814.914480000167</v>
      </c>
      <c r="L25" s="378">
        <f>+L24</f>
        <v>-1222276.9832000001</v>
      </c>
      <c r="M25" s="109"/>
    </row>
    <row r="26" spans="1:16">
      <c r="A26" s="125"/>
      <c r="B26" s="124"/>
      <c r="C26" s="120"/>
      <c r="D26" s="120"/>
      <c r="E26" s="121"/>
      <c r="F26" s="123"/>
      <c r="G26" s="122"/>
      <c r="H26" s="121"/>
      <c r="I26" s="120"/>
      <c r="J26" s="118"/>
      <c r="K26" s="118"/>
      <c r="L26" s="118"/>
      <c r="M26" s="117"/>
    </row>
    <row r="27" spans="1:16">
      <c r="A27" s="116">
        <v>9</v>
      </c>
      <c r="B27" s="115" t="s">
        <v>105</v>
      </c>
      <c r="C27" s="114"/>
      <c r="D27" s="114"/>
      <c r="E27" s="112">
        <f>+E25+E22</f>
        <v>232561</v>
      </c>
      <c r="F27" s="113">
        <f>+F25+F22</f>
        <v>1216473883</v>
      </c>
      <c r="G27" s="112"/>
      <c r="H27" s="374">
        <f>+H25+H22</f>
        <v>372946617.32000005</v>
      </c>
      <c r="I27" s="111"/>
      <c r="J27" s="379">
        <f>+J25+J22</f>
        <v>-4370581.7910596617</v>
      </c>
      <c r="K27" s="379">
        <f>+K25+K22</f>
        <v>699250.17772507586</v>
      </c>
      <c r="L27" s="379">
        <f>+L25+L22</f>
        <v>-3671331.6133345854</v>
      </c>
      <c r="M27" s="109">
        <f>+L27/H27</f>
        <v>-9.8441209621817436E-3</v>
      </c>
    </row>
    <row r="29" spans="1:16">
      <c r="O29" s="108"/>
      <c r="P29" s="107"/>
    </row>
  </sheetData>
  <mergeCells count="1">
    <mergeCell ref="C7:J7"/>
  </mergeCells>
  <printOptions horizontalCentered="1"/>
  <pageMargins left="0.5" right="0.5" top="1" bottom="1" header="0.5" footer="0.5"/>
  <pageSetup scale="67" orientation="landscape" r:id="rId1"/>
  <headerFooter scaleWithDoc="0" alignWithMargins="0">
    <oddFooter>&amp;LTab Name: 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0E4591-9E40-41E3-898D-1691D0B45067}">
  <dimension ref="A1:N43"/>
  <sheetViews>
    <sheetView view="pageBreakPreview" zoomScale="98" zoomScaleNormal="100" zoomScaleSheetLayoutView="98" workbookViewId="0">
      <selection activeCell="B1" sqref="B1"/>
    </sheetView>
  </sheetViews>
  <sheetFormatPr defaultColWidth="10.28515625" defaultRowHeight="15.75"/>
  <cols>
    <col min="1" max="1" width="6" style="181" customWidth="1"/>
    <col min="2" max="2" width="2" style="181" customWidth="1"/>
    <col min="3" max="3" width="34.5703125" style="181" bestFit="1" customWidth="1"/>
    <col min="4" max="4" width="13" style="181" bestFit="1" customWidth="1"/>
    <col min="5" max="5" width="14.42578125" style="181" bestFit="1" customWidth="1"/>
    <col min="6" max="6" width="11.7109375" style="181" bestFit="1" customWidth="1"/>
    <col min="7" max="7" width="13" style="181" bestFit="1" customWidth="1"/>
    <col min="8" max="8" width="14" style="181" bestFit="1" customWidth="1"/>
    <col min="9" max="9" width="14.7109375" style="181" customWidth="1"/>
    <col min="10" max="10" width="12.28515625" style="181" customWidth="1"/>
    <col min="11" max="11" width="14.5703125" style="181" bestFit="1" customWidth="1"/>
    <col min="12" max="12" width="14.7109375" style="181" customWidth="1"/>
    <col min="13" max="13" width="3.5703125" style="181" customWidth="1"/>
    <col min="14" max="255" width="10.28515625" style="181"/>
    <col min="256" max="256" width="6" style="181" customWidth="1"/>
    <col min="257" max="257" width="2" style="181" customWidth="1"/>
    <col min="258" max="259" width="10.28515625" style="181"/>
    <col min="260" max="260" width="5.5703125" style="181" customWidth="1"/>
    <col min="261" max="261" width="4.42578125" style="181" customWidth="1"/>
    <col min="262" max="262" width="10.28515625" style="181"/>
    <col min="263" max="263" width="4.42578125" style="181" customWidth="1"/>
    <col min="264" max="264" width="14.7109375" style="181" customWidth="1"/>
    <col min="265" max="265" width="3.85546875" style="181" customWidth="1"/>
    <col min="266" max="266" width="13.85546875" style="181" customWidth="1"/>
    <col min="267" max="267" width="4.140625" style="181" customWidth="1"/>
    <col min="268" max="268" width="14.7109375" style="181" customWidth="1"/>
    <col min="269" max="269" width="3.5703125" style="181" customWidth="1"/>
    <col min="270" max="511" width="10.28515625" style="181"/>
    <col min="512" max="512" width="6" style="181" customWidth="1"/>
    <col min="513" max="513" width="2" style="181" customWidth="1"/>
    <col min="514" max="515" width="10.28515625" style="181"/>
    <col min="516" max="516" width="5.5703125" style="181" customWidth="1"/>
    <col min="517" max="517" width="4.42578125" style="181" customWidth="1"/>
    <col min="518" max="518" width="10.28515625" style="181"/>
    <col min="519" max="519" width="4.42578125" style="181" customWidth="1"/>
    <col min="520" max="520" width="14.7109375" style="181" customWidth="1"/>
    <col min="521" max="521" width="3.85546875" style="181" customWidth="1"/>
    <col min="522" max="522" width="13.85546875" style="181" customWidth="1"/>
    <col min="523" max="523" width="4.140625" style="181" customWidth="1"/>
    <col min="524" max="524" width="14.7109375" style="181" customWidth="1"/>
    <col min="525" max="525" width="3.5703125" style="181" customWidth="1"/>
    <col min="526" max="767" width="10.28515625" style="181"/>
    <col min="768" max="768" width="6" style="181" customWidth="1"/>
    <col min="769" max="769" width="2" style="181" customWidth="1"/>
    <col min="770" max="771" width="10.28515625" style="181"/>
    <col min="772" max="772" width="5.5703125" style="181" customWidth="1"/>
    <col min="773" max="773" width="4.42578125" style="181" customWidth="1"/>
    <col min="774" max="774" width="10.28515625" style="181"/>
    <col min="775" max="775" width="4.42578125" style="181" customWidth="1"/>
    <col min="776" max="776" width="14.7109375" style="181" customWidth="1"/>
    <col min="777" max="777" width="3.85546875" style="181" customWidth="1"/>
    <col min="778" max="778" width="13.85546875" style="181" customWidth="1"/>
    <col min="779" max="779" width="4.140625" style="181" customWidth="1"/>
    <col min="780" max="780" width="14.7109375" style="181" customWidth="1"/>
    <col min="781" max="781" width="3.5703125" style="181" customWidth="1"/>
    <col min="782" max="1023" width="10.28515625" style="181"/>
    <col min="1024" max="1024" width="6" style="181" customWidth="1"/>
    <col min="1025" max="1025" width="2" style="181" customWidth="1"/>
    <col min="1026" max="1027" width="10.28515625" style="181"/>
    <col min="1028" max="1028" width="5.5703125" style="181" customWidth="1"/>
    <col min="1029" max="1029" width="4.42578125" style="181" customWidth="1"/>
    <col min="1030" max="1030" width="10.28515625" style="181"/>
    <col min="1031" max="1031" width="4.42578125" style="181" customWidth="1"/>
    <col min="1032" max="1032" width="14.7109375" style="181" customWidth="1"/>
    <col min="1033" max="1033" width="3.85546875" style="181" customWidth="1"/>
    <col min="1034" max="1034" width="13.85546875" style="181" customWidth="1"/>
    <col min="1035" max="1035" width="4.140625" style="181" customWidth="1"/>
    <col min="1036" max="1036" width="14.7109375" style="181" customWidth="1"/>
    <col min="1037" max="1037" width="3.5703125" style="181" customWidth="1"/>
    <col min="1038" max="1279" width="10.28515625" style="181"/>
    <col min="1280" max="1280" width="6" style="181" customWidth="1"/>
    <col min="1281" max="1281" width="2" style="181" customWidth="1"/>
    <col min="1282" max="1283" width="10.28515625" style="181"/>
    <col min="1284" max="1284" width="5.5703125" style="181" customWidth="1"/>
    <col min="1285" max="1285" width="4.42578125" style="181" customWidth="1"/>
    <col min="1286" max="1286" width="10.28515625" style="181"/>
    <col min="1287" max="1287" width="4.42578125" style="181" customWidth="1"/>
    <col min="1288" max="1288" width="14.7109375" style="181" customWidth="1"/>
    <col min="1289" max="1289" width="3.85546875" style="181" customWidth="1"/>
    <col min="1290" max="1290" width="13.85546875" style="181" customWidth="1"/>
    <col min="1291" max="1291" width="4.140625" style="181" customWidth="1"/>
    <col min="1292" max="1292" width="14.7109375" style="181" customWidth="1"/>
    <col min="1293" max="1293" width="3.5703125" style="181" customWidth="1"/>
    <col min="1294" max="1535" width="10.28515625" style="181"/>
    <col min="1536" max="1536" width="6" style="181" customWidth="1"/>
    <col min="1537" max="1537" width="2" style="181" customWidth="1"/>
    <col min="1538" max="1539" width="10.28515625" style="181"/>
    <col min="1540" max="1540" width="5.5703125" style="181" customWidth="1"/>
    <col min="1541" max="1541" width="4.42578125" style="181" customWidth="1"/>
    <col min="1542" max="1542" width="10.28515625" style="181"/>
    <col min="1543" max="1543" width="4.42578125" style="181" customWidth="1"/>
    <col min="1544" max="1544" width="14.7109375" style="181" customWidth="1"/>
    <col min="1545" max="1545" width="3.85546875" style="181" customWidth="1"/>
    <col min="1546" max="1546" width="13.85546875" style="181" customWidth="1"/>
    <col min="1547" max="1547" width="4.140625" style="181" customWidth="1"/>
    <col min="1548" max="1548" width="14.7109375" style="181" customWidth="1"/>
    <col min="1549" max="1549" width="3.5703125" style="181" customWidth="1"/>
    <col min="1550" max="1791" width="10.28515625" style="181"/>
    <col min="1792" max="1792" width="6" style="181" customWidth="1"/>
    <col min="1793" max="1793" width="2" style="181" customWidth="1"/>
    <col min="1794" max="1795" width="10.28515625" style="181"/>
    <col min="1796" max="1796" width="5.5703125" style="181" customWidth="1"/>
    <col min="1797" max="1797" width="4.42578125" style="181" customWidth="1"/>
    <col min="1798" max="1798" width="10.28515625" style="181"/>
    <col min="1799" max="1799" width="4.42578125" style="181" customWidth="1"/>
    <col min="1800" max="1800" width="14.7109375" style="181" customWidth="1"/>
    <col min="1801" max="1801" width="3.85546875" style="181" customWidth="1"/>
    <col min="1802" max="1802" width="13.85546875" style="181" customWidth="1"/>
    <col min="1803" max="1803" width="4.140625" style="181" customWidth="1"/>
    <col min="1804" max="1804" width="14.7109375" style="181" customWidth="1"/>
    <col min="1805" max="1805" width="3.5703125" style="181" customWidth="1"/>
    <col min="1806" max="2047" width="10.28515625" style="181"/>
    <col min="2048" max="2048" width="6" style="181" customWidth="1"/>
    <col min="2049" max="2049" width="2" style="181" customWidth="1"/>
    <col min="2050" max="2051" width="10.28515625" style="181"/>
    <col min="2052" max="2052" width="5.5703125" style="181" customWidth="1"/>
    <col min="2053" max="2053" width="4.42578125" style="181" customWidth="1"/>
    <col min="2054" max="2054" width="10.28515625" style="181"/>
    <col min="2055" max="2055" width="4.42578125" style="181" customWidth="1"/>
    <col min="2056" max="2056" width="14.7109375" style="181" customWidth="1"/>
    <col min="2057" max="2057" width="3.85546875" style="181" customWidth="1"/>
    <col min="2058" max="2058" width="13.85546875" style="181" customWidth="1"/>
    <col min="2059" max="2059" width="4.140625" style="181" customWidth="1"/>
    <col min="2060" max="2060" width="14.7109375" style="181" customWidth="1"/>
    <col min="2061" max="2061" width="3.5703125" style="181" customWidth="1"/>
    <col min="2062" max="2303" width="10.28515625" style="181"/>
    <col min="2304" max="2304" width="6" style="181" customWidth="1"/>
    <col min="2305" max="2305" width="2" style="181" customWidth="1"/>
    <col min="2306" max="2307" width="10.28515625" style="181"/>
    <col min="2308" max="2308" width="5.5703125" style="181" customWidth="1"/>
    <col min="2309" max="2309" width="4.42578125" style="181" customWidth="1"/>
    <col min="2310" max="2310" width="10.28515625" style="181"/>
    <col min="2311" max="2311" width="4.42578125" style="181" customWidth="1"/>
    <col min="2312" max="2312" width="14.7109375" style="181" customWidth="1"/>
    <col min="2313" max="2313" width="3.85546875" style="181" customWidth="1"/>
    <col min="2314" max="2314" width="13.85546875" style="181" customWidth="1"/>
    <col min="2315" max="2315" width="4.140625" style="181" customWidth="1"/>
    <col min="2316" max="2316" width="14.7109375" style="181" customWidth="1"/>
    <col min="2317" max="2317" width="3.5703125" style="181" customWidth="1"/>
    <col min="2318" max="2559" width="10.28515625" style="181"/>
    <col min="2560" max="2560" width="6" style="181" customWidth="1"/>
    <col min="2561" max="2561" width="2" style="181" customWidth="1"/>
    <col min="2562" max="2563" width="10.28515625" style="181"/>
    <col min="2564" max="2564" width="5.5703125" style="181" customWidth="1"/>
    <col min="2565" max="2565" width="4.42578125" style="181" customWidth="1"/>
    <col min="2566" max="2566" width="10.28515625" style="181"/>
    <col min="2567" max="2567" width="4.42578125" style="181" customWidth="1"/>
    <col min="2568" max="2568" width="14.7109375" style="181" customWidth="1"/>
    <col min="2569" max="2569" width="3.85546875" style="181" customWidth="1"/>
    <col min="2570" max="2570" width="13.85546875" style="181" customWidth="1"/>
    <col min="2571" max="2571" width="4.140625" style="181" customWidth="1"/>
    <col min="2572" max="2572" width="14.7109375" style="181" customWidth="1"/>
    <col min="2573" max="2573" width="3.5703125" style="181" customWidth="1"/>
    <col min="2574" max="2815" width="10.28515625" style="181"/>
    <col min="2816" max="2816" width="6" style="181" customWidth="1"/>
    <col min="2817" max="2817" width="2" style="181" customWidth="1"/>
    <col min="2818" max="2819" width="10.28515625" style="181"/>
    <col min="2820" max="2820" width="5.5703125" style="181" customWidth="1"/>
    <col min="2821" max="2821" width="4.42578125" style="181" customWidth="1"/>
    <col min="2822" max="2822" width="10.28515625" style="181"/>
    <col min="2823" max="2823" width="4.42578125" style="181" customWidth="1"/>
    <col min="2824" max="2824" width="14.7109375" style="181" customWidth="1"/>
    <col min="2825" max="2825" width="3.85546875" style="181" customWidth="1"/>
    <col min="2826" max="2826" width="13.85546875" style="181" customWidth="1"/>
    <col min="2827" max="2827" width="4.140625" style="181" customWidth="1"/>
    <col min="2828" max="2828" width="14.7109375" style="181" customWidth="1"/>
    <col min="2829" max="2829" width="3.5703125" style="181" customWidth="1"/>
    <col min="2830" max="3071" width="10.28515625" style="181"/>
    <col min="3072" max="3072" width="6" style="181" customWidth="1"/>
    <col min="3073" max="3073" width="2" style="181" customWidth="1"/>
    <col min="3074" max="3075" width="10.28515625" style="181"/>
    <col min="3076" max="3076" width="5.5703125" style="181" customWidth="1"/>
    <col min="3077" max="3077" width="4.42578125" style="181" customWidth="1"/>
    <col min="3078" max="3078" width="10.28515625" style="181"/>
    <col min="3079" max="3079" width="4.42578125" style="181" customWidth="1"/>
    <col min="3080" max="3080" width="14.7109375" style="181" customWidth="1"/>
    <col min="3081" max="3081" width="3.85546875" style="181" customWidth="1"/>
    <col min="3082" max="3082" width="13.85546875" style="181" customWidth="1"/>
    <col min="3083" max="3083" width="4.140625" style="181" customWidth="1"/>
    <col min="3084" max="3084" width="14.7109375" style="181" customWidth="1"/>
    <col min="3085" max="3085" width="3.5703125" style="181" customWidth="1"/>
    <col min="3086" max="3327" width="10.28515625" style="181"/>
    <col min="3328" max="3328" width="6" style="181" customWidth="1"/>
    <col min="3329" max="3329" width="2" style="181" customWidth="1"/>
    <col min="3330" max="3331" width="10.28515625" style="181"/>
    <col min="3332" max="3332" width="5.5703125" style="181" customWidth="1"/>
    <col min="3333" max="3333" width="4.42578125" style="181" customWidth="1"/>
    <col min="3334" max="3334" width="10.28515625" style="181"/>
    <col min="3335" max="3335" width="4.42578125" style="181" customWidth="1"/>
    <col min="3336" max="3336" width="14.7109375" style="181" customWidth="1"/>
    <col min="3337" max="3337" width="3.85546875" style="181" customWidth="1"/>
    <col min="3338" max="3338" width="13.85546875" style="181" customWidth="1"/>
    <col min="3339" max="3339" width="4.140625" style="181" customWidth="1"/>
    <col min="3340" max="3340" width="14.7109375" style="181" customWidth="1"/>
    <col min="3341" max="3341" width="3.5703125" style="181" customWidth="1"/>
    <col min="3342" max="3583" width="10.28515625" style="181"/>
    <col min="3584" max="3584" width="6" style="181" customWidth="1"/>
    <col min="3585" max="3585" width="2" style="181" customWidth="1"/>
    <col min="3586" max="3587" width="10.28515625" style="181"/>
    <col min="3588" max="3588" width="5.5703125" style="181" customWidth="1"/>
    <col min="3589" max="3589" width="4.42578125" style="181" customWidth="1"/>
    <col min="3590" max="3590" width="10.28515625" style="181"/>
    <col min="3591" max="3591" width="4.42578125" style="181" customWidth="1"/>
    <col min="3592" max="3592" width="14.7109375" style="181" customWidth="1"/>
    <col min="3593" max="3593" width="3.85546875" style="181" customWidth="1"/>
    <col min="3594" max="3594" width="13.85546875" style="181" customWidth="1"/>
    <col min="3595" max="3595" width="4.140625" style="181" customWidth="1"/>
    <col min="3596" max="3596" width="14.7109375" style="181" customWidth="1"/>
    <col min="3597" max="3597" width="3.5703125" style="181" customWidth="1"/>
    <col min="3598" max="3839" width="10.28515625" style="181"/>
    <col min="3840" max="3840" width="6" style="181" customWidth="1"/>
    <col min="3841" max="3841" width="2" style="181" customWidth="1"/>
    <col min="3842" max="3843" width="10.28515625" style="181"/>
    <col min="3844" max="3844" width="5.5703125" style="181" customWidth="1"/>
    <col min="3845" max="3845" width="4.42578125" style="181" customWidth="1"/>
    <col min="3846" max="3846" width="10.28515625" style="181"/>
    <col min="3847" max="3847" width="4.42578125" style="181" customWidth="1"/>
    <col min="3848" max="3848" width="14.7109375" style="181" customWidth="1"/>
    <col min="3849" max="3849" width="3.85546875" style="181" customWidth="1"/>
    <col min="3850" max="3850" width="13.85546875" style="181" customWidth="1"/>
    <col min="3851" max="3851" width="4.140625" style="181" customWidth="1"/>
    <col min="3852" max="3852" width="14.7109375" style="181" customWidth="1"/>
    <col min="3853" max="3853" width="3.5703125" style="181" customWidth="1"/>
    <col min="3854" max="4095" width="10.28515625" style="181"/>
    <col min="4096" max="4096" width="6" style="181" customWidth="1"/>
    <col min="4097" max="4097" width="2" style="181" customWidth="1"/>
    <col min="4098" max="4099" width="10.28515625" style="181"/>
    <col min="4100" max="4100" width="5.5703125" style="181" customWidth="1"/>
    <col min="4101" max="4101" width="4.42578125" style="181" customWidth="1"/>
    <col min="4102" max="4102" width="10.28515625" style="181"/>
    <col min="4103" max="4103" width="4.42578125" style="181" customWidth="1"/>
    <col min="4104" max="4104" width="14.7109375" style="181" customWidth="1"/>
    <col min="4105" max="4105" width="3.85546875" style="181" customWidth="1"/>
    <col min="4106" max="4106" width="13.85546875" style="181" customWidth="1"/>
    <col min="4107" max="4107" width="4.140625" style="181" customWidth="1"/>
    <col min="4108" max="4108" width="14.7109375" style="181" customWidth="1"/>
    <col min="4109" max="4109" width="3.5703125" style="181" customWidth="1"/>
    <col min="4110" max="4351" width="10.28515625" style="181"/>
    <col min="4352" max="4352" width="6" style="181" customWidth="1"/>
    <col min="4353" max="4353" width="2" style="181" customWidth="1"/>
    <col min="4354" max="4355" width="10.28515625" style="181"/>
    <col min="4356" max="4356" width="5.5703125" style="181" customWidth="1"/>
    <col min="4357" max="4357" width="4.42578125" style="181" customWidth="1"/>
    <col min="4358" max="4358" width="10.28515625" style="181"/>
    <col min="4359" max="4359" width="4.42578125" style="181" customWidth="1"/>
    <col min="4360" max="4360" width="14.7109375" style="181" customWidth="1"/>
    <col min="4361" max="4361" width="3.85546875" style="181" customWidth="1"/>
    <col min="4362" max="4362" width="13.85546875" style="181" customWidth="1"/>
    <col min="4363" max="4363" width="4.140625" style="181" customWidth="1"/>
    <col min="4364" max="4364" width="14.7109375" style="181" customWidth="1"/>
    <col min="4365" max="4365" width="3.5703125" style="181" customWidth="1"/>
    <col min="4366" max="4607" width="10.28515625" style="181"/>
    <col min="4608" max="4608" width="6" style="181" customWidth="1"/>
    <col min="4609" max="4609" width="2" style="181" customWidth="1"/>
    <col min="4610" max="4611" width="10.28515625" style="181"/>
    <col min="4612" max="4612" width="5.5703125" style="181" customWidth="1"/>
    <col min="4613" max="4613" width="4.42578125" style="181" customWidth="1"/>
    <col min="4614" max="4614" width="10.28515625" style="181"/>
    <col min="4615" max="4615" width="4.42578125" style="181" customWidth="1"/>
    <col min="4616" max="4616" width="14.7109375" style="181" customWidth="1"/>
    <col min="4617" max="4617" width="3.85546875" style="181" customWidth="1"/>
    <col min="4618" max="4618" width="13.85546875" style="181" customWidth="1"/>
    <col min="4619" max="4619" width="4.140625" style="181" customWidth="1"/>
    <col min="4620" max="4620" width="14.7109375" style="181" customWidth="1"/>
    <col min="4621" max="4621" width="3.5703125" style="181" customWidth="1"/>
    <col min="4622" max="4863" width="10.28515625" style="181"/>
    <col min="4864" max="4864" width="6" style="181" customWidth="1"/>
    <col min="4865" max="4865" width="2" style="181" customWidth="1"/>
    <col min="4866" max="4867" width="10.28515625" style="181"/>
    <col min="4868" max="4868" width="5.5703125" style="181" customWidth="1"/>
    <col min="4869" max="4869" width="4.42578125" style="181" customWidth="1"/>
    <col min="4870" max="4870" width="10.28515625" style="181"/>
    <col min="4871" max="4871" width="4.42578125" style="181" customWidth="1"/>
    <col min="4872" max="4872" width="14.7109375" style="181" customWidth="1"/>
    <col min="4873" max="4873" width="3.85546875" style="181" customWidth="1"/>
    <col min="4874" max="4874" width="13.85546875" style="181" customWidth="1"/>
    <col min="4875" max="4875" width="4.140625" style="181" customWidth="1"/>
    <col min="4876" max="4876" width="14.7109375" style="181" customWidth="1"/>
    <col min="4877" max="4877" width="3.5703125" style="181" customWidth="1"/>
    <col min="4878" max="5119" width="10.28515625" style="181"/>
    <col min="5120" max="5120" width="6" style="181" customWidth="1"/>
    <col min="5121" max="5121" width="2" style="181" customWidth="1"/>
    <col min="5122" max="5123" width="10.28515625" style="181"/>
    <col min="5124" max="5124" width="5.5703125" style="181" customWidth="1"/>
    <col min="5125" max="5125" width="4.42578125" style="181" customWidth="1"/>
    <col min="5126" max="5126" width="10.28515625" style="181"/>
    <col min="5127" max="5127" width="4.42578125" style="181" customWidth="1"/>
    <col min="5128" max="5128" width="14.7109375" style="181" customWidth="1"/>
    <col min="5129" max="5129" width="3.85546875" style="181" customWidth="1"/>
    <col min="5130" max="5130" width="13.85546875" style="181" customWidth="1"/>
    <col min="5131" max="5131" width="4.140625" style="181" customWidth="1"/>
    <col min="5132" max="5132" width="14.7109375" style="181" customWidth="1"/>
    <col min="5133" max="5133" width="3.5703125" style="181" customWidth="1"/>
    <col min="5134" max="5375" width="10.28515625" style="181"/>
    <col min="5376" max="5376" width="6" style="181" customWidth="1"/>
    <col min="5377" max="5377" width="2" style="181" customWidth="1"/>
    <col min="5378" max="5379" width="10.28515625" style="181"/>
    <col min="5380" max="5380" width="5.5703125" style="181" customWidth="1"/>
    <col min="5381" max="5381" width="4.42578125" style="181" customWidth="1"/>
    <col min="5382" max="5382" width="10.28515625" style="181"/>
    <col min="5383" max="5383" width="4.42578125" style="181" customWidth="1"/>
    <col min="5384" max="5384" width="14.7109375" style="181" customWidth="1"/>
    <col min="5385" max="5385" width="3.85546875" style="181" customWidth="1"/>
    <col min="5386" max="5386" width="13.85546875" style="181" customWidth="1"/>
    <col min="5387" max="5387" width="4.140625" style="181" customWidth="1"/>
    <col min="5388" max="5388" width="14.7109375" style="181" customWidth="1"/>
    <col min="5389" max="5389" width="3.5703125" style="181" customWidth="1"/>
    <col min="5390" max="5631" width="10.28515625" style="181"/>
    <col min="5632" max="5632" width="6" style="181" customWidth="1"/>
    <col min="5633" max="5633" width="2" style="181" customWidth="1"/>
    <col min="5634" max="5635" width="10.28515625" style="181"/>
    <col min="5636" max="5636" width="5.5703125" style="181" customWidth="1"/>
    <col min="5637" max="5637" width="4.42578125" style="181" customWidth="1"/>
    <col min="5638" max="5638" width="10.28515625" style="181"/>
    <col min="5639" max="5639" width="4.42578125" style="181" customWidth="1"/>
    <col min="5640" max="5640" width="14.7109375" style="181" customWidth="1"/>
    <col min="5641" max="5641" width="3.85546875" style="181" customWidth="1"/>
    <col min="5642" max="5642" width="13.85546875" style="181" customWidth="1"/>
    <col min="5643" max="5643" width="4.140625" style="181" customWidth="1"/>
    <col min="5644" max="5644" width="14.7109375" style="181" customWidth="1"/>
    <col min="5645" max="5645" width="3.5703125" style="181" customWidth="1"/>
    <col min="5646" max="5887" width="10.28515625" style="181"/>
    <col min="5888" max="5888" width="6" style="181" customWidth="1"/>
    <col min="5889" max="5889" width="2" style="181" customWidth="1"/>
    <col min="5890" max="5891" width="10.28515625" style="181"/>
    <col min="5892" max="5892" width="5.5703125" style="181" customWidth="1"/>
    <col min="5893" max="5893" width="4.42578125" style="181" customWidth="1"/>
    <col min="5894" max="5894" width="10.28515625" style="181"/>
    <col min="5895" max="5895" width="4.42578125" style="181" customWidth="1"/>
    <col min="5896" max="5896" width="14.7109375" style="181" customWidth="1"/>
    <col min="5897" max="5897" width="3.85546875" style="181" customWidth="1"/>
    <col min="5898" max="5898" width="13.85546875" style="181" customWidth="1"/>
    <col min="5899" max="5899" width="4.140625" style="181" customWidth="1"/>
    <col min="5900" max="5900" width="14.7109375" style="181" customWidth="1"/>
    <col min="5901" max="5901" width="3.5703125" style="181" customWidth="1"/>
    <col min="5902" max="6143" width="10.28515625" style="181"/>
    <col min="6144" max="6144" width="6" style="181" customWidth="1"/>
    <col min="6145" max="6145" width="2" style="181" customWidth="1"/>
    <col min="6146" max="6147" width="10.28515625" style="181"/>
    <col min="6148" max="6148" width="5.5703125" style="181" customWidth="1"/>
    <col min="6149" max="6149" width="4.42578125" style="181" customWidth="1"/>
    <col min="6150" max="6150" width="10.28515625" style="181"/>
    <col min="6151" max="6151" width="4.42578125" style="181" customWidth="1"/>
    <col min="6152" max="6152" width="14.7109375" style="181" customWidth="1"/>
    <col min="6153" max="6153" width="3.85546875" style="181" customWidth="1"/>
    <col min="6154" max="6154" width="13.85546875" style="181" customWidth="1"/>
    <col min="6155" max="6155" width="4.140625" style="181" customWidth="1"/>
    <col min="6156" max="6156" width="14.7109375" style="181" customWidth="1"/>
    <col min="6157" max="6157" width="3.5703125" style="181" customWidth="1"/>
    <col min="6158" max="6399" width="10.28515625" style="181"/>
    <col min="6400" max="6400" width="6" style="181" customWidth="1"/>
    <col min="6401" max="6401" width="2" style="181" customWidth="1"/>
    <col min="6402" max="6403" width="10.28515625" style="181"/>
    <col min="6404" max="6404" width="5.5703125" style="181" customWidth="1"/>
    <col min="6405" max="6405" width="4.42578125" style="181" customWidth="1"/>
    <col min="6406" max="6406" width="10.28515625" style="181"/>
    <col min="6407" max="6407" width="4.42578125" style="181" customWidth="1"/>
    <col min="6408" max="6408" width="14.7109375" style="181" customWidth="1"/>
    <col min="6409" max="6409" width="3.85546875" style="181" customWidth="1"/>
    <col min="6410" max="6410" width="13.85546875" style="181" customWidth="1"/>
    <col min="6411" max="6411" width="4.140625" style="181" customWidth="1"/>
    <col min="6412" max="6412" width="14.7109375" style="181" customWidth="1"/>
    <col min="6413" max="6413" width="3.5703125" style="181" customWidth="1"/>
    <col min="6414" max="6655" width="10.28515625" style="181"/>
    <col min="6656" max="6656" width="6" style="181" customWidth="1"/>
    <col min="6657" max="6657" width="2" style="181" customWidth="1"/>
    <col min="6658" max="6659" width="10.28515625" style="181"/>
    <col min="6660" max="6660" width="5.5703125" style="181" customWidth="1"/>
    <col min="6661" max="6661" width="4.42578125" style="181" customWidth="1"/>
    <col min="6662" max="6662" width="10.28515625" style="181"/>
    <col min="6663" max="6663" width="4.42578125" style="181" customWidth="1"/>
    <col min="6664" max="6664" width="14.7109375" style="181" customWidth="1"/>
    <col min="6665" max="6665" width="3.85546875" style="181" customWidth="1"/>
    <col min="6666" max="6666" width="13.85546875" style="181" customWidth="1"/>
    <col min="6667" max="6667" width="4.140625" style="181" customWidth="1"/>
    <col min="6668" max="6668" width="14.7109375" style="181" customWidth="1"/>
    <col min="6669" max="6669" width="3.5703125" style="181" customWidth="1"/>
    <col min="6670" max="6911" width="10.28515625" style="181"/>
    <col min="6912" max="6912" width="6" style="181" customWidth="1"/>
    <col min="6913" max="6913" width="2" style="181" customWidth="1"/>
    <col min="6914" max="6915" width="10.28515625" style="181"/>
    <col min="6916" max="6916" width="5.5703125" style="181" customWidth="1"/>
    <col min="6917" max="6917" width="4.42578125" style="181" customWidth="1"/>
    <col min="6918" max="6918" width="10.28515625" style="181"/>
    <col min="6919" max="6919" width="4.42578125" style="181" customWidth="1"/>
    <col min="6920" max="6920" width="14.7109375" style="181" customWidth="1"/>
    <col min="6921" max="6921" width="3.85546875" style="181" customWidth="1"/>
    <col min="6922" max="6922" width="13.85546875" style="181" customWidth="1"/>
    <col min="6923" max="6923" width="4.140625" style="181" customWidth="1"/>
    <col min="6924" max="6924" width="14.7109375" style="181" customWidth="1"/>
    <col min="6925" max="6925" width="3.5703125" style="181" customWidth="1"/>
    <col min="6926" max="7167" width="10.28515625" style="181"/>
    <col min="7168" max="7168" width="6" style="181" customWidth="1"/>
    <col min="7169" max="7169" width="2" style="181" customWidth="1"/>
    <col min="7170" max="7171" width="10.28515625" style="181"/>
    <col min="7172" max="7172" width="5.5703125" style="181" customWidth="1"/>
    <col min="7173" max="7173" width="4.42578125" style="181" customWidth="1"/>
    <col min="7174" max="7174" width="10.28515625" style="181"/>
    <col min="7175" max="7175" width="4.42578125" style="181" customWidth="1"/>
    <col min="7176" max="7176" width="14.7109375" style="181" customWidth="1"/>
    <col min="7177" max="7177" width="3.85546875" style="181" customWidth="1"/>
    <col min="7178" max="7178" width="13.85546875" style="181" customWidth="1"/>
    <col min="7179" max="7179" width="4.140625" style="181" customWidth="1"/>
    <col min="7180" max="7180" width="14.7109375" style="181" customWidth="1"/>
    <col min="7181" max="7181" width="3.5703125" style="181" customWidth="1"/>
    <col min="7182" max="7423" width="10.28515625" style="181"/>
    <col min="7424" max="7424" width="6" style="181" customWidth="1"/>
    <col min="7425" max="7425" width="2" style="181" customWidth="1"/>
    <col min="7426" max="7427" width="10.28515625" style="181"/>
    <col min="7428" max="7428" width="5.5703125" style="181" customWidth="1"/>
    <col min="7429" max="7429" width="4.42578125" style="181" customWidth="1"/>
    <col min="7430" max="7430" width="10.28515625" style="181"/>
    <col min="7431" max="7431" width="4.42578125" style="181" customWidth="1"/>
    <col min="7432" max="7432" width="14.7109375" style="181" customWidth="1"/>
    <col min="7433" max="7433" width="3.85546875" style="181" customWidth="1"/>
    <col min="7434" max="7434" width="13.85546875" style="181" customWidth="1"/>
    <col min="7435" max="7435" width="4.140625" style="181" customWidth="1"/>
    <col min="7436" max="7436" width="14.7109375" style="181" customWidth="1"/>
    <col min="7437" max="7437" width="3.5703125" style="181" customWidth="1"/>
    <col min="7438" max="7679" width="10.28515625" style="181"/>
    <col min="7680" max="7680" width="6" style="181" customWidth="1"/>
    <col min="7681" max="7681" width="2" style="181" customWidth="1"/>
    <col min="7682" max="7683" width="10.28515625" style="181"/>
    <col min="7684" max="7684" width="5.5703125" style="181" customWidth="1"/>
    <col min="7685" max="7685" width="4.42578125" style="181" customWidth="1"/>
    <col min="7686" max="7686" width="10.28515625" style="181"/>
    <col min="7687" max="7687" width="4.42578125" style="181" customWidth="1"/>
    <col min="7688" max="7688" width="14.7109375" style="181" customWidth="1"/>
    <col min="7689" max="7689" width="3.85546875" style="181" customWidth="1"/>
    <col min="7690" max="7690" width="13.85546875" style="181" customWidth="1"/>
    <col min="7691" max="7691" width="4.140625" style="181" customWidth="1"/>
    <col min="7692" max="7692" width="14.7109375" style="181" customWidth="1"/>
    <col min="7693" max="7693" width="3.5703125" style="181" customWidth="1"/>
    <col min="7694" max="7935" width="10.28515625" style="181"/>
    <col min="7936" max="7936" width="6" style="181" customWidth="1"/>
    <col min="7937" max="7937" width="2" style="181" customWidth="1"/>
    <col min="7938" max="7939" width="10.28515625" style="181"/>
    <col min="7940" max="7940" width="5.5703125" style="181" customWidth="1"/>
    <col min="7941" max="7941" width="4.42578125" style="181" customWidth="1"/>
    <col min="7942" max="7942" width="10.28515625" style="181"/>
    <col min="7943" max="7943" width="4.42578125" style="181" customWidth="1"/>
    <col min="7944" max="7944" width="14.7109375" style="181" customWidth="1"/>
    <col min="7945" max="7945" width="3.85546875" style="181" customWidth="1"/>
    <col min="7946" max="7946" width="13.85546875" style="181" customWidth="1"/>
    <col min="7947" max="7947" width="4.140625" style="181" customWidth="1"/>
    <col min="7948" max="7948" width="14.7109375" style="181" customWidth="1"/>
    <col min="7949" max="7949" width="3.5703125" style="181" customWidth="1"/>
    <col min="7950" max="8191" width="10.28515625" style="181"/>
    <col min="8192" max="8192" width="6" style="181" customWidth="1"/>
    <col min="8193" max="8193" width="2" style="181" customWidth="1"/>
    <col min="8194" max="8195" width="10.28515625" style="181"/>
    <col min="8196" max="8196" width="5.5703125" style="181" customWidth="1"/>
    <col min="8197" max="8197" width="4.42578125" style="181" customWidth="1"/>
    <col min="8198" max="8198" width="10.28515625" style="181"/>
    <col min="8199" max="8199" width="4.42578125" style="181" customWidth="1"/>
    <col min="8200" max="8200" width="14.7109375" style="181" customWidth="1"/>
    <col min="8201" max="8201" width="3.85546875" style="181" customWidth="1"/>
    <col min="8202" max="8202" width="13.85546875" style="181" customWidth="1"/>
    <col min="8203" max="8203" width="4.140625" style="181" customWidth="1"/>
    <col min="8204" max="8204" width="14.7109375" style="181" customWidth="1"/>
    <col min="8205" max="8205" width="3.5703125" style="181" customWidth="1"/>
    <col min="8206" max="8447" width="10.28515625" style="181"/>
    <col min="8448" max="8448" width="6" style="181" customWidth="1"/>
    <col min="8449" max="8449" width="2" style="181" customWidth="1"/>
    <col min="8450" max="8451" width="10.28515625" style="181"/>
    <col min="8452" max="8452" width="5.5703125" style="181" customWidth="1"/>
    <col min="8453" max="8453" width="4.42578125" style="181" customWidth="1"/>
    <col min="8454" max="8454" width="10.28515625" style="181"/>
    <col min="8455" max="8455" width="4.42578125" style="181" customWidth="1"/>
    <col min="8456" max="8456" width="14.7109375" style="181" customWidth="1"/>
    <col min="8457" max="8457" width="3.85546875" style="181" customWidth="1"/>
    <col min="8458" max="8458" width="13.85546875" style="181" customWidth="1"/>
    <col min="8459" max="8459" width="4.140625" style="181" customWidth="1"/>
    <col min="8460" max="8460" width="14.7109375" style="181" customWidth="1"/>
    <col min="8461" max="8461" width="3.5703125" style="181" customWidth="1"/>
    <col min="8462" max="8703" width="10.28515625" style="181"/>
    <col min="8704" max="8704" width="6" style="181" customWidth="1"/>
    <col min="8705" max="8705" width="2" style="181" customWidth="1"/>
    <col min="8706" max="8707" width="10.28515625" style="181"/>
    <col min="8708" max="8708" width="5.5703125" style="181" customWidth="1"/>
    <col min="8709" max="8709" width="4.42578125" style="181" customWidth="1"/>
    <col min="8710" max="8710" width="10.28515625" style="181"/>
    <col min="8711" max="8711" width="4.42578125" style="181" customWidth="1"/>
    <col min="8712" max="8712" width="14.7109375" style="181" customWidth="1"/>
    <col min="8713" max="8713" width="3.85546875" style="181" customWidth="1"/>
    <col min="8714" max="8714" width="13.85546875" style="181" customWidth="1"/>
    <col min="8715" max="8715" width="4.140625" style="181" customWidth="1"/>
    <col min="8716" max="8716" width="14.7109375" style="181" customWidth="1"/>
    <col min="8717" max="8717" width="3.5703125" style="181" customWidth="1"/>
    <col min="8718" max="8959" width="10.28515625" style="181"/>
    <col min="8960" max="8960" width="6" style="181" customWidth="1"/>
    <col min="8961" max="8961" width="2" style="181" customWidth="1"/>
    <col min="8962" max="8963" width="10.28515625" style="181"/>
    <col min="8964" max="8964" width="5.5703125" style="181" customWidth="1"/>
    <col min="8965" max="8965" width="4.42578125" style="181" customWidth="1"/>
    <col min="8966" max="8966" width="10.28515625" style="181"/>
    <col min="8967" max="8967" width="4.42578125" style="181" customWidth="1"/>
    <col min="8968" max="8968" width="14.7109375" style="181" customWidth="1"/>
    <col min="8969" max="8969" width="3.85546875" style="181" customWidth="1"/>
    <col min="8970" max="8970" width="13.85546875" style="181" customWidth="1"/>
    <col min="8971" max="8971" width="4.140625" style="181" customWidth="1"/>
    <col min="8972" max="8972" width="14.7109375" style="181" customWidth="1"/>
    <col min="8973" max="8973" width="3.5703125" style="181" customWidth="1"/>
    <col min="8974" max="9215" width="10.28515625" style="181"/>
    <col min="9216" max="9216" width="6" style="181" customWidth="1"/>
    <col min="9217" max="9217" width="2" style="181" customWidth="1"/>
    <col min="9218" max="9219" width="10.28515625" style="181"/>
    <col min="9220" max="9220" width="5.5703125" style="181" customWidth="1"/>
    <col min="9221" max="9221" width="4.42578125" style="181" customWidth="1"/>
    <col min="9222" max="9222" width="10.28515625" style="181"/>
    <col min="9223" max="9223" width="4.42578125" style="181" customWidth="1"/>
    <col min="9224" max="9224" width="14.7109375" style="181" customWidth="1"/>
    <col min="9225" max="9225" width="3.85546875" style="181" customWidth="1"/>
    <col min="9226" max="9226" width="13.85546875" style="181" customWidth="1"/>
    <col min="9227" max="9227" width="4.140625" style="181" customWidth="1"/>
    <col min="9228" max="9228" width="14.7109375" style="181" customWidth="1"/>
    <col min="9229" max="9229" width="3.5703125" style="181" customWidth="1"/>
    <col min="9230" max="9471" width="10.28515625" style="181"/>
    <col min="9472" max="9472" width="6" style="181" customWidth="1"/>
    <col min="9473" max="9473" width="2" style="181" customWidth="1"/>
    <col min="9474" max="9475" width="10.28515625" style="181"/>
    <col min="9476" max="9476" width="5.5703125" style="181" customWidth="1"/>
    <col min="9477" max="9477" width="4.42578125" style="181" customWidth="1"/>
    <col min="9478" max="9478" width="10.28515625" style="181"/>
    <col min="9479" max="9479" width="4.42578125" style="181" customWidth="1"/>
    <col min="9480" max="9480" width="14.7109375" style="181" customWidth="1"/>
    <col min="9481" max="9481" width="3.85546875" style="181" customWidth="1"/>
    <col min="9482" max="9482" width="13.85546875" style="181" customWidth="1"/>
    <col min="9483" max="9483" width="4.140625" style="181" customWidth="1"/>
    <col min="9484" max="9484" width="14.7109375" style="181" customWidth="1"/>
    <col min="9485" max="9485" width="3.5703125" style="181" customWidth="1"/>
    <col min="9486" max="9727" width="10.28515625" style="181"/>
    <col min="9728" max="9728" width="6" style="181" customWidth="1"/>
    <col min="9729" max="9729" width="2" style="181" customWidth="1"/>
    <col min="9730" max="9731" width="10.28515625" style="181"/>
    <col min="9732" max="9732" width="5.5703125" style="181" customWidth="1"/>
    <col min="9733" max="9733" width="4.42578125" style="181" customWidth="1"/>
    <col min="9734" max="9734" width="10.28515625" style="181"/>
    <col min="9735" max="9735" width="4.42578125" style="181" customWidth="1"/>
    <col min="9736" max="9736" width="14.7109375" style="181" customWidth="1"/>
    <col min="9737" max="9737" width="3.85546875" style="181" customWidth="1"/>
    <col min="9738" max="9738" width="13.85546875" style="181" customWidth="1"/>
    <col min="9739" max="9739" width="4.140625" style="181" customWidth="1"/>
    <col min="9740" max="9740" width="14.7109375" style="181" customWidth="1"/>
    <col min="9741" max="9741" width="3.5703125" style="181" customWidth="1"/>
    <col min="9742" max="9983" width="10.28515625" style="181"/>
    <col min="9984" max="9984" width="6" style="181" customWidth="1"/>
    <col min="9985" max="9985" width="2" style="181" customWidth="1"/>
    <col min="9986" max="9987" width="10.28515625" style="181"/>
    <col min="9988" max="9988" width="5.5703125" style="181" customWidth="1"/>
    <col min="9989" max="9989" width="4.42578125" style="181" customWidth="1"/>
    <col min="9990" max="9990" width="10.28515625" style="181"/>
    <col min="9991" max="9991" width="4.42578125" style="181" customWidth="1"/>
    <col min="9992" max="9992" width="14.7109375" style="181" customWidth="1"/>
    <col min="9993" max="9993" width="3.85546875" style="181" customWidth="1"/>
    <col min="9994" max="9994" width="13.85546875" style="181" customWidth="1"/>
    <col min="9995" max="9995" width="4.140625" style="181" customWidth="1"/>
    <col min="9996" max="9996" width="14.7109375" style="181" customWidth="1"/>
    <col min="9997" max="9997" width="3.5703125" style="181" customWidth="1"/>
    <col min="9998" max="10239" width="10.28515625" style="181"/>
    <col min="10240" max="10240" width="6" style="181" customWidth="1"/>
    <col min="10241" max="10241" width="2" style="181" customWidth="1"/>
    <col min="10242" max="10243" width="10.28515625" style="181"/>
    <col min="10244" max="10244" width="5.5703125" style="181" customWidth="1"/>
    <col min="10245" max="10245" width="4.42578125" style="181" customWidth="1"/>
    <col min="10246" max="10246" width="10.28515625" style="181"/>
    <col min="10247" max="10247" width="4.42578125" style="181" customWidth="1"/>
    <col min="10248" max="10248" width="14.7109375" style="181" customWidth="1"/>
    <col min="10249" max="10249" width="3.85546875" style="181" customWidth="1"/>
    <col min="10250" max="10250" width="13.85546875" style="181" customWidth="1"/>
    <col min="10251" max="10251" width="4.140625" style="181" customWidth="1"/>
    <col min="10252" max="10252" width="14.7109375" style="181" customWidth="1"/>
    <col min="10253" max="10253" width="3.5703125" style="181" customWidth="1"/>
    <col min="10254" max="10495" width="10.28515625" style="181"/>
    <col min="10496" max="10496" width="6" style="181" customWidth="1"/>
    <col min="10497" max="10497" width="2" style="181" customWidth="1"/>
    <col min="10498" max="10499" width="10.28515625" style="181"/>
    <col min="10500" max="10500" width="5.5703125" style="181" customWidth="1"/>
    <col min="10501" max="10501" width="4.42578125" style="181" customWidth="1"/>
    <col min="10502" max="10502" width="10.28515625" style="181"/>
    <col min="10503" max="10503" width="4.42578125" style="181" customWidth="1"/>
    <col min="10504" max="10504" width="14.7109375" style="181" customWidth="1"/>
    <col min="10505" max="10505" width="3.85546875" style="181" customWidth="1"/>
    <col min="10506" max="10506" width="13.85546875" style="181" customWidth="1"/>
    <col min="10507" max="10507" width="4.140625" style="181" customWidth="1"/>
    <col min="10508" max="10508" width="14.7109375" style="181" customWidth="1"/>
    <col min="10509" max="10509" width="3.5703125" style="181" customWidth="1"/>
    <col min="10510" max="10751" width="10.28515625" style="181"/>
    <col min="10752" max="10752" width="6" style="181" customWidth="1"/>
    <col min="10753" max="10753" width="2" style="181" customWidth="1"/>
    <col min="10754" max="10755" width="10.28515625" style="181"/>
    <col min="10756" max="10756" width="5.5703125" style="181" customWidth="1"/>
    <col min="10757" max="10757" width="4.42578125" style="181" customWidth="1"/>
    <col min="10758" max="10758" width="10.28515625" style="181"/>
    <col min="10759" max="10759" width="4.42578125" style="181" customWidth="1"/>
    <col min="10760" max="10760" width="14.7109375" style="181" customWidth="1"/>
    <col min="10761" max="10761" width="3.85546875" style="181" customWidth="1"/>
    <col min="10762" max="10762" width="13.85546875" style="181" customWidth="1"/>
    <col min="10763" max="10763" width="4.140625" style="181" customWidth="1"/>
    <col min="10764" max="10764" width="14.7109375" style="181" customWidth="1"/>
    <col min="10765" max="10765" width="3.5703125" style="181" customWidth="1"/>
    <col min="10766" max="11007" width="10.28515625" style="181"/>
    <col min="11008" max="11008" width="6" style="181" customWidth="1"/>
    <col min="11009" max="11009" width="2" style="181" customWidth="1"/>
    <col min="11010" max="11011" width="10.28515625" style="181"/>
    <col min="11012" max="11012" width="5.5703125" style="181" customWidth="1"/>
    <col min="11013" max="11013" width="4.42578125" style="181" customWidth="1"/>
    <col min="11014" max="11014" width="10.28515625" style="181"/>
    <col min="11015" max="11015" width="4.42578125" style="181" customWidth="1"/>
    <col min="11016" max="11016" width="14.7109375" style="181" customWidth="1"/>
    <col min="11017" max="11017" width="3.85546875" style="181" customWidth="1"/>
    <col min="11018" max="11018" width="13.85546875" style="181" customWidth="1"/>
    <col min="11019" max="11019" width="4.140625" style="181" customWidth="1"/>
    <col min="11020" max="11020" width="14.7109375" style="181" customWidth="1"/>
    <col min="11021" max="11021" width="3.5703125" style="181" customWidth="1"/>
    <col min="11022" max="11263" width="10.28515625" style="181"/>
    <col min="11264" max="11264" width="6" style="181" customWidth="1"/>
    <col min="11265" max="11265" width="2" style="181" customWidth="1"/>
    <col min="11266" max="11267" width="10.28515625" style="181"/>
    <col min="11268" max="11268" width="5.5703125" style="181" customWidth="1"/>
    <col min="11269" max="11269" width="4.42578125" style="181" customWidth="1"/>
    <col min="11270" max="11270" width="10.28515625" style="181"/>
    <col min="11271" max="11271" width="4.42578125" style="181" customWidth="1"/>
    <col min="11272" max="11272" width="14.7109375" style="181" customWidth="1"/>
    <col min="11273" max="11273" width="3.85546875" style="181" customWidth="1"/>
    <col min="11274" max="11274" width="13.85546875" style="181" customWidth="1"/>
    <col min="11275" max="11275" width="4.140625" style="181" customWidth="1"/>
    <col min="11276" max="11276" width="14.7109375" style="181" customWidth="1"/>
    <col min="11277" max="11277" width="3.5703125" style="181" customWidth="1"/>
    <col min="11278" max="11519" width="10.28515625" style="181"/>
    <col min="11520" max="11520" width="6" style="181" customWidth="1"/>
    <col min="11521" max="11521" width="2" style="181" customWidth="1"/>
    <col min="11522" max="11523" width="10.28515625" style="181"/>
    <col min="11524" max="11524" width="5.5703125" style="181" customWidth="1"/>
    <col min="11525" max="11525" width="4.42578125" style="181" customWidth="1"/>
    <col min="11526" max="11526" width="10.28515625" style="181"/>
    <col min="11527" max="11527" width="4.42578125" style="181" customWidth="1"/>
    <col min="11528" max="11528" width="14.7109375" style="181" customWidth="1"/>
    <col min="11529" max="11529" width="3.85546875" style="181" customWidth="1"/>
    <col min="11530" max="11530" width="13.85546875" style="181" customWidth="1"/>
    <col min="11531" max="11531" width="4.140625" style="181" customWidth="1"/>
    <col min="11532" max="11532" width="14.7109375" style="181" customWidth="1"/>
    <col min="11533" max="11533" width="3.5703125" style="181" customWidth="1"/>
    <col min="11534" max="11775" width="10.28515625" style="181"/>
    <col min="11776" max="11776" width="6" style="181" customWidth="1"/>
    <col min="11777" max="11777" width="2" style="181" customWidth="1"/>
    <col min="11778" max="11779" width="10.28515625" style="181"/>
    <col min="11780" max="11780" width="5.5703125" style="181" customWidth="1"/>
    <col min="11781" max="11781" width="4.42578125" style="181" customWidth="1"/>
    <col min="11782" max="11782" width="10.28515625" style="181"/>
    <col min="11783" max="11783" width="4.42578125" style="181" customWidth="1"/>
    <col min="11784" max="11784" width="14.7109375" style="181" customWidth="1"/>
    <col min="11785" max="11785" width="3.85546875" style="181" customWidth="1"/>
    <col min="11786" max="11786" width="13.85546875" style="181" customWidth="1"/>
    <col min="11787" max="11787" width="4.140625" style="181" customWidth="1"/>
    <col min="11788" max="11788" width="14.7109375" style="181" customWidth="1"/>
    <col min="11789" max="11789" width="3.5703125" style="181" customWidth="1"/>
    <col min="11790" max="12031" width="10.28515625" style="181"/>
    <col min="12032" max="12032" width="6" style="181" customWidth="1"/>
    <col min="12033" max="12033" width="2" style="181" customWidth="1"/>
    <col min="12034" max="12035" width="10.28515625" style="181"/>
    <col min="12036" max="12036" width="5.5703125" style="181" customWidth="1"/>
    <col min="12037" max="12037" width="4.42578125" style="181" customWidth="1"/>
    <col min="12038" max="12038" width="10.28515625" style="181"/>
    <col min="12039" max="12039" width="4.42578125" style="181" customWidth="1"/>
    <col min="12040" max="12040" width="14.7109375" style="181" customWidth="1"/>
    <col min="12041" max="12041" width="3.85546875" style="181" customWidth="1"/>
    <col min="12042" max="12042" width="13.85546875" style="181" customWidth="1"/>
    <col min="12043" max="12043" width="4.140625" style="181" customWidth="1"/>
    <col min="12044" max="12044" width="14.7109375" style="181" customWidth="1"/>
    <col min="12045" max="12045" width="3.5703125" style="181" customWidth="1"/>
    <col min="12046" max="12287" width="10.28515625" style="181"/>
    <col min="12288" max="12288" width="6" style="181" customWidth="1"/>
    <col min="12289" max="12289" width="2" style="181" customWidth="1"/>
    <col min="12290" max="12291" width="10.28515625" style="181"/>
    <col min="12292" max="12292" width="5.5703125" style="181" customWidth="1"/>
    <col min="12293" max="12293" width="4.42578125" style="181" customWidth="1"/>
    <col min="12294" max="12294" width="10.28515625" style="181"/>
    <col min="12295" max="12295" width="4.42578125" style="181" customWidth="1"/>
    <col min="12296" max="12296" width="14.7109375" style="181" customWidth="1"/>
    <col min="12297" max="12297" width="3.85546875" style="181" customWidth="1"/>
    <col min="12298" max="12298" width="13.85546875" style="181" customWidth="1"/>
    <col min="12299" max="12299" width="4.140625" style="181" customWidth="1"/>
    <col min="12300" max="12300" width="14.7109375" style="181" customWidth="1"/>
    <col min="12301" max="12301" width="3.5703125" style="181" customWidth="1"/>
    <col min="12302" max="12543" width="10.28515625" style="181"/>
    <col min="12544" max="12544" width="6" style="181" customWidth="1"/>
    <col min="12545" max="12545" width="2" style="181" customWidth="1"/>
    <col min="12546" max="12547" width="10.28515625" style="181"/>
    <col min="12548" max="12548" width="5.5703125" style="181" customWidth="1"/>
    <col min="12549" max="12549" width="4.42578125" style="181" customWidth="1"/>
    <col min="12550" max="12550" width="10.28515625" style="181"/>
    <col min="12551" max="12551" width="4.42578125" style="181" customWidth="1"/>
    <col min="12552" max="12552" width="14.7109375" style="181" customWidth="1"/>
    <col min="12553" max="12553" width="3.85546875" style="181" customWidth="1"/>
    <col min="12554" max="12554" width="13.85546875" style="181" customWidth="1"/>
    <col min="12555" max="12555" width="4.140625" style="181" customWidth="1"/>
    <col min="12556" max="12556" width="14.7109375" style="181" customWidth="1"/>
    <col min="12557" max="12557" width="3.5703125" style="181" customWidth="1"/>
    <col min="12558" max="12799" width="10.28515625" style="181"/>
    <col min="12800" max="12800" width="6" style="181" customWidth="1"/>
    <col min="12801" max="12801" width="2" style="181" customWidth="1"/>
    <col min="12802" max="12803" width="10.28515625" style="181"/>
    <col min="12804" max="12804" width="5.5703125" style="181" customWidth="1"/>
    <col min="12805" max="12805" width="4.42578125" style="181" customWidth="1"/>
    <col min="12806" max="12806" width="10.28515625" style="181"/>
    <col min="12807" max="12807" width="4.42578125" style="181" customWidth="1"/>
    <col min="12808" max="12808" width="14.7109375" style="181" customWidth="1"/>
    <col min="12809" max="12809" width="3.85546875" style="181" customWidth="1"/>
    <col min="12810" max="12810" width="13.85546875" style="181" customWidth="1"/>
    <col min="12811" max="12811" width="4.140625" style="181" customWidth="1"/>
    <col min="12812" max="12812" width="14.7109375" style="181" customWidth="1"/>
    <col min="12813" max="12813" width="3.5703125" style="181" customWidth="1"/>
    <col min="12814" max="13055" width="10.28515625" style="181"/>
    <col min="13056" max="13056" width="6" style="181" customWidth="1"/>
    <col min="13057" max="13057" width="2" style="181" customWidth="1"/>
    <col min="13058" max="13059" width="10.28515625" style="181"/>
    <col min="13060" max="13060" width="5.5703125" style="181" customWidth="1"/>
    <col min="13061" max="13061" width="4.42578125" style="181" customWidth="1"/>
    <col min="13062" max="13062" width="10.28515625" style="181"/>
    <col min="13063" max="13063" width="4.42578125" style="181" customWidth="1"/>
    <col min="13064" max="13064" width="14.7109375" style="181" customWidth="1"/>
    <col min="13065" max="13065" width="3.85546875" style="181" customWidth="1"/>
    <col min="13066" max="13066" width="13.85546875" style="181" customWidth="1"/>
    <col min="13067" max="13067" width="4.140625" style="181" customWidth="1"/>
    <col min="13068" max="13068" width="14.7109375" style="181" customWidth="1"/>
    <col min="13069" max="13069" width="3.5703125" style="181" customWidth="1"/>
    <col min="13070" max="13311" width="10.28515625" style="181"/>
    <col min="13312" max="13312" width="6" style="181" customWidth="1"/>
    <col min="13313" max="13313" width="2" style="181" customWidth="1"/>
    <col min="13314" max="13315" width="10.28515625" style="181"/>
    <col min="13316" max="13316" width="5.5703125" style="181" customWidth="1"/>
    <col min="13317" max="13317" width="4.42578125" style="181" customWidth="1"/>
    <col min="13318" max="13318" width="10.28515625" style="181"/>
    <col min="13319" max="13319" width="4.42578125" style="181" customWidth="1"/>
    <col min="13320" max="13320" width="14.7109375" style="181" customWidth="1"/>
    <col min="13321" max="13321" width="3.85546875" style="181" customWidth="1"/>
    <col min="13322" max="13322" width="13.85546875" style="181" customWidth="1"/>
    <col min="13323" max="13323" width="4.140625" style="181" customWidth="1"/>
    <col min="13324" max="13324" width="14.7109375" style="181" customWidth="1"/>
    <col min="13325" max="13325" width="3.5703125" style="181" customWidth="1"/>
    <col min="13326" max="13567" width="10.28515625" style="181"/>
    <col min="13568" max="13568" width="6" style="181" customWidth="1"/>
    <col min="13569" max="13569" width="2" style="181" customWidth="1"/>
    <col min="13570" max="13571" width="10.28515625" style="181"/>
    <col min="13572" max="13572" width="5.5703125" style="181" customWidth="1"/>
    <col min="13573" max="13573" width="4.42578125" style="181" customWidth="1"/>
    <col min="13574" max="13574" width="10.28515625" style="181"/>
    <col min="13575" max="13575" width="4.42578125" style="181" customWidth="1"/>
    <col min="13576" max="13576" width="14.7109375" style="181" customWidth="1"/>
    <col min="13577" max="13577" width="3.85546875" style="181" customWidth="1"/>
    <col min="13578" max="13578" width="13.85546875" style="181" customWidth="1"/>
    <col min="13579" max="13579" width="4.140625" style="181" customWidth="1"/>
    <col min="13580" max="13580" width="14.7109375" style="181" customWidth="1"/>
    <col min="13581" max="13581" width="3.5703125" style="181" customWidth="1"/>
    <col min="13582" max="13823" width="10.28515625" style="181"/>
    <col min="13824" max="13824" width="6" style="181" customWidth="1"/>
    <col min="13825" max="13825" width="2" style="181" customWidth="1"/>
    <col min="13826" max="13827" width="10.28515625" style="181"/>
    <col min="13828" max="13828" width="5.5703125" style="181" customWidth="1"/>
    <col min="13829" max="13829" width="4.42578125" style="181" customWidth="1"/>
    <col min="13830" max="13830" width="10.28515625" style="181"/>
    <col min="13831" max="13831" width="4.42578125" style="181" customWidth="1"/>
    <col min="13832" max="13832" width="14.7109375" style="181" customWidth="1"/>
    <col min="13833" max="13833" width="3.85546875" style="181" customWidth="1"/>
    <col min="13834" max="13834" width="13.85546875" style="181" customWidth="1"/>
    <col min="13835" max="13835" width="4.140625" style="181" customWidth="1"/>
    <col min="13836" max="13836" width="14.7109375" style="181" customWidth="1"/>
    <col min="13837" max="13837" width="3.5703125" style="181" customWidth="1"/>
    <col min="13838" max="14079" width="10.28515625" style="181"/>
    <col min="14080" max="14080" width="6" style="181" customWidth="1"/>
    <col min="14081" max="14081" width="2" style="181" customWidth="1"/>
    <col min="14082" max="14083" width="10.28515625" style="181"/>
    <col min="14084" max="14084" width="5.5703125" style="181" customWidth="1"/>
    <col min="14085" max="14085" width="4.42578125" style="181" customWidth="1"/>
    <col min="14086" max="14086" width="10.28515625" style="181"/>
    <col min="14087" max="14087" width="4.42578125" style="181" customWidth="1"/>
    <col min="14088" max="14088" width="14.7109375" style="181" customWidth="1"/>
    <col min="14089" max="14089" width="3.85546875" style="181" customWidth="1"/>
    <col min="14090" max="14090" width="13.85546875" style="181" customWidth="1"/>
    <col min="14091" max="14091" width="4.140625" style="181" customWidth="1"/>
    <col min="14092" max="14092" width="14.7109375" style="181" customWidth="1"/>
    <col min="14093" max="14093" width="3.5703125" style="181" customWidth="1"/>
    <col min="14094" max="14335" width="10.28515625" style="181"/>
    <col min="14336" max="14336" width="6" style="181" customWidth="1"/>
    <col min="14337" max="14337" width="2" style="181" customWidth="1"/>
    <col min="14338" max="14339" width="10.28515625" style="181"/>
    <col min="14340" max="14340" width="5.5703125" style="181" customWidth="1"/>
    <col min="14341" max="14341" width="4.42578125" style="181" customWidth="1"/>
    <col min="14342" max="14342" width="10.28515625" style="181"/>
    <col min="14343" max="14343" width="4.42578125" style="181" customWidth="1"/>
    <col min="14344" max="14344" width="14.7109375" style="181" customWidth="1"/>
    <col min="14345" max="14345" width="3.85546875" style="181" customWidth="1"/>
    <col min="14346" max="14346" width="13.85546875" style="181" customWidth="1"/>
    <col min="14347" max="14347" width="4.140625" style="181" customWidth="1"/>
    <col min="14348" max="14348" width="14.7109375" style="181" customWidth="1"/>
    <col min="14349" max="14349" width="3.5703125" style="181" customWidth="1"/>
    <col min="14350" max="14591" width="10.28515625" style="181"/>
    <col min="14592" max="14592" width="6" style="181" customWidth="1"/>
    <col min="14593" max="14593" width="2" style="181" customWidth="1"/>
    <col min="14594" max="14595" width="10.28515625" style="181"/>
    <col min="14596" max="14596" width="5.5703125" style="181" customWidth="1"/>
    <col min="14597" max="14597" width="4.42578125" style="181" customWidth="1"/>
    <col min="14598" max="14598" width="10.28515625" style="181"/>
    <col min="14599" max="14599" width="4.42578125" style="181" customWidth="1"/>
    <col min="14600" max="14600" width="14.7109375" style="181" customWidth="1"/>
    <col min="14601" max="14601" width="3.85546875" style="181" customWidth="1"/>
    <col min="14602" max="14602" width="13.85546875" style="181" customWidth="1"/>
    <col min="14603" max="14603" width="4.140625" style="181" customWidth="1"/>
    <col min="14604" max="14604" width="14.7109375" style="181" customWidth="1"/>
    <col min="14605" max="14605" width="3.5703125" style="181" customWidth="1"/>
    <col min="14606" max="14847" width="10.28515625" style="181"/>
    <col min="14848" max="14848" width="6" style="181" customWidth="1"/>
    <col min="14849" max="14849" width="2" style="181" customWidth="1"/>
    <col min="14850" max="14851" width="10.28515625" style="181"/>
    <col min="14852" max="14852" width="5.5703125" style="181" customWidth="1"/>
    <col min="14853" max="14853" width="4.42578125" style="181" customWidth="1"/>
    <col min="14854" max="14854" width="10.28515625" style="181"/>
    <col min="14855" max="14855" width="4.42578125" style="181" customWidth="1"/>
    <col min="14856" max="14856" width="14.7109375" style="181" customWidth="1"/>
    <col min="14857" max="14857" width="3.85546875" style="181" customWidth="1"/>
    <col min="14858" max="14858" width="13.85546875" style="181" customWidth="1"/>
    <col min="14859" max="14859" width="4.140625" style="181" customWidth="1"/>
    <col min="14860" max="14860" width="14.7109375" style="181" customWidth="1"/>
    <col min="14861" max="14861" width="3.5703125" style="181" customWidth="1"/>
    <col min="14862" max="15103" width="10.28515625" style="181"/>
    <col min="15104" max="15104" width="6" style="181" customWidth="1"/>
    <col min="15105" max="15105" width="2" style="181" customWidth="1"/>
    <col min="15106" max="15107" width="10.28515625" style="181"/>
    <col min="15108" max="15108" width="5.5703125" style="181" customWidth="1"/>
    <col min="15109" max="15109" width="4.42578125" style="181" customWidth="1"/>
    <col min="15110" max="15110" width="10.28515625" style="181"/>
    <col min="15111" max="15111" width="4.42578125" style="181" customWidth="1"/>
    <col min="15112" max="15112" width="14.7109375" style="181" customWidth="1"/>
    <col min="15113" max="15113" width="3.85546875" style="181" customWidth="1"/>
    <col min="15114" max="15114" width="13.85546875" style="181" customWidth="1"/>
    <col min="15115" max="15115" width="4.140625" style="181" customWidth="1"/>
    <col min="15116" max="15116" width="14.7109375" style="181" customWidth="1"/>
    <col min="15117" max="15117" width="3.5703125" style="181" customWidth="1"/>
    <col min="15118" max="15359" width="10.28515625" style="181"/>
    <col min="15360" max="15360" width="6" style="181" customWidth="1"/>
    <col min="15361" max="15361" width="2" style="181" customWidth="1"/>
    <col min="15362" max="15363" width="10.28515625" style="181"/>
    <col min="15364" max="15364" width="5.5703125" style="181" customWidth="1"/>
    <col min="15365" max="15365" width="4.42578125" style="181" customWidth="1"/>
    <col min="15366" max="15366" width="10.28515625" style="181"/>
    <col min="15367" max="15367" width="4.42578125" style="181" customWidth="1"/>
    <col min="15368" max="15368" width="14.7109375" style="181" customWidth="1"/>
    <col min="15369" max="15369" width="3.85546875" style="181" customWidth="1"/>
    <col min="15370" max="15370" width="13.85546875" style="181" customWidth="1"/>
    <col min="15371" max="15371" width="4.140625" style="181" customWidth="1"/>
    <col min="15372" max="15372" width="14.7109375" style="181" customWidth="1"/>
    <col min="15373" max="15373" width="3.5703125" style="181" customWidth="1"/>
    <col min="15374" max="15615" width="10.28515625" style="181"/>
    <col min="15616" max="15616" width="6" style="181" customWidth="1"/>
    <col min="15617" max="15617" width="2" style="181" customWidth="1"/>
    <col min="15618" max="15619" width="10.28515625" style="181"/>
    <col min="15620" max="15620" width="5.5703125" style="181" customWidth="1"/>
    <col min="15621" max="15621" width="4.42578125" style="181" customWidth="1"/>
    <col min="15622" max="15622" width="10.28515625" style="181"/>
    <col min="15623" max="15623" width="4.42578125" style="181" customWidth="1"/>
    <col min="15624" max="15624" width="14.7109375" style="181" customWidth="1"/>
    <col min="15625" max="15625" width="3.85546875" style="181" customWidth="1"/>
    <col min="15626" max="15626" width="13.85546875" style="181" customWidth="1"/>
    <col min="15627" max="15627" width="4.140625" style="181" customWidth="1"/>
    <col min="15628" max="15628" width="14.7109375" style="181" customWidth="1"/>
    <col min="15629" max="15629" width="3.5703125" style="181" customWidth="1"/>
    <col min="15630" max="15871" width="10.28515625" style="181"/>
    <col min="15872" max="15872" width="6" style="181" customWidth="1"/>
    <col min="15873" max="15873" width="2" style="181" customWidth="1"/>
    <col min="15874" max="15875" width="10.28515625" style="181"/>
    <col min="15876" max="15876" width="5.5703125" style="181" customWidth="1"/>
    <col min="15877" max="15877" width="4.42578125" style="181" customWidth="1"/>
    <col min="15878" max="15878" width="10.28515625" style="181"/>
    <col min="15879" max="15879" width="4.42578125" style="181" customWidth="1"/>
    <col min="15880" max="15880" width="14.7109375" style="181" customWidth="1"/>
    <col min="15881" max="15881" width="3.85546875" style="181" customWidth="1"/>
    <col min="15882" max="15882" width="13.85546875" style="181" customWidth="1"/>
    <col min="15883" max="15883" width="4.140625" style="181" customWidth="1"/>
    <col min="15884" max="15884" width="14.7109375" style="181" customWidth="1"/>
    <col min="15885" max="15885" width="3.5703125" style="181" customWidth="1"/>
    <col min="15886" max="16127" width="10.28515625" style="181"/>
    <col min="16128" max="16128" width="6" style="181" customWidth="1"/>
    <col min="16129" max="16129" width="2" style="181" customWidth="1"/>
    <col min="16130" max="16131" width="10.28515625" style="181"/>
    <col min="16132" max="16132" width="5.5703125" style="181" customWidth="1"/>
    <col min="16133" max="16133" width="4.42578125" style="181" customWidth="1"/>
    <col min="16134" max="16134" width="10.28515625" style="181"/>
    <col min="16135" max="16135" width="4.42578125" style="181" customWidth="1"/>
    <col min="16136" max="16136" width="14.7109375" style="181" customWidth="1"/>
    <col min="16137" max="16137" width="3.85546875" style="181" customWidth="1"/>
    <col min="16138" max="16138" width="13.85546875" style="181" customWidth="1"/>
    <col min="16139" max="16139" width="4.140625" style="181" customWidth="1"/>
    <col min="16140" max="16140" width="14.7109375" style="181" customWidth="1"/>
    <col min="16141" max="16141" width="3.5703125" style="181" customWidth="1"/>
    <col min="16142" max="16384" width="10.28515625" style="181"/>
  </cols>
  <sheetData>
    <row r="1" spans="1:14" ht="18.75">
      <c r="A1" s="349" t="s">
        <v>0</v>
      </c>
      <c r="J1" s="182"/>
    </row>
    <row r="2" spans="1:14">
      <c r="A2" s="344" t="s">
        <v>1</v>
      </c>
      <c r="J2" s="183"/>
    </row>
    <row r="3" spans="1:14">
      <c r="M3" s="184"/>
    </row>
    <row r="4" spans="1:14">
      <c r="C4" s="395" t="s">
        <v>66</v>
      </c>
      <c r="D4" s="395"/>
      <c r="E4" s="395"/>
      <c r="F4" s="395"/>
      <c r="G4" s="395"/>
      <c r="H4" s="395"/>
      <c r="I4" s="395"/>
      <c r="J4" s="395"/>
      <c r="K4" s="395"/>
      <c r="L4" s="185"/>
      <c r="M4" s="184"/>
    </row>
    <row r="5" spans="1:14">
      <c r="C5" s="394" t="s">
        <v>123</v>
      </c>
      <c r="D5" s="394"/>
      <c r="E5" s="394"/>
      <c r="F5" s="394"/>
      <c r="G5" s="394"/>
      <c r="H5" s="394"/>
      <c r="I5" s="394"/>
      <c r="J5" s="394"/>
      <c r="K5" s="394"/>
      <c r="L5" s="186"/>
      <c r="M5" s="186"/>
    </row>
    <row r="6" spans="1:14" hidden="1">
      <c r="C6" s="187" t="s">
        <v>124</v>
      </c>
      <c r="D6" s="187"/>
      <c r="E6" s="185"/>
      <c r="F6" s="185"/>
      <c r="G6" s="185"/>
      <c r="H6" s="185"/>
      <c r="I6" s="185"/>
      <c r="J6" s="185"/>
      <c r="K6" s="185"/>
      <c r="L6" s="185"/>
      <c r="M6" s="184"/>
    </row>
    <row r="7" spans="1:14">
      <c r="D7" s="187"/>
      <c r="E7" s="185"/>
      <c r="F7" s="185"/>
      <c r="G7" s="185"/>
      <c r="H7" s="185"/>
      <c r="I7" s="185"/>
      <c r="J7" s="185"/>
      <c r="K7" s="185"/>
      <c r="L7" s="185"/>
      <c r="M7" s="184"/>
    </row>
    <row r="8" spans="1:14">
      <c r="D8" s="187"/>
      <c r="E8" s="185"/>
      <c r="F8" s="185"/>
      <c r="G8" s="185"/>
      <c r="H8" s="185"/>
      <c r="I8" s="185"/>
      <c r="J8" s="185"/>
      <c r="K8" s="185"/>
      <c r="L8" s="185"/>
      <c r="M8" s="184"/>
    </row>
    <row r="9" spans="1:14">
      <c r="C9" s="395" t="s">
        <v>69</v>
      </c>
      <c r="D9" s="395"/>
      <c r="E9" s="395"/>
      <c r="F9" s="395"/>
      <c r="G9" s="395"/>
      <c r="H9" s="395"/>
      <c r="I9" s="395"/>
      <c r="J9" s="395"/>
      <c r="K9" s="395"/>
      <c r="L9" s="185"/>
    </row>
    <row r="10" spans="1:14">
      <c r="D10" s="181" t="s">
        <v>125</v>
      </c>
      <c r="H10" s="188"/>
      <c r="I10" s="188"/>
      <c r="K10" s="188"/>
    </row>
    <row r="11" spans="1:14">
      <c r="D11" s="188" t="s">
        <v>126</v>
      </c>
      <c r="F11" s="188" t="s">
        <v>127</v>
      </c>
      <c r="G11" s="188" t="s">
        <v>127</v>
      </c>
      <c r="I11" s="189"/>
      <c r="K11" s="189" t="s">
        <v>128</v>
      </c>
    </row>
    <row r="12" spans="1:14">
      <c r="A12" s="190" t="s">
        <v>71</v>
      </c>
      <c r="D12" s="188" t="s">
        <v>129</v>
      </c>
      <c r="E12" s="188" t="s">
        <v>130</v>
      </c>
      <c r="F12" s="189">
        <v>45444</v>
      </c>
      <c r="G12" s="189">
        <f>+F12</f>
        <v>45444</v>
      </c>
      <c r="H12" s="188" t="s">
        <v>128</v>
      </c>
      <c r="I12" s="188" t="s">
        <v>128</v>
      </c>
      <c r="J12" s="188" t="s">
        <v>131</v>
      </c>
      <c r="K12" s="185" t="s">
        <v>76</v>
      </c>
      <c r="L12" s="188"/>
      <c r="N12" s="185"/>
    </row>
    <row r="13" spans="1:14">
      <c r="A13" s="190" t="s">
        <v>79</v>
      </c>
      <c r="C13" s="191" t="s">
        <v>132</v>
      </c>
      <c r="D13" s="191" t="s">
        <v>133</v>
      </c>
      <c r="E13" s="191" t="s">
        <v>134</v>
      </c>
      <c r="F13" s="191" t="s">
        <v>135</v>
      </c>
      <c r="G13" s="191" t="s">
        <v>136</v>
      </c>
      <c r="H13" s="201" t="s">
        <v>135</v>
      </c>
      <c r="I13" s="191" t="s">
        <v>136</v>
      </c>
      <c r="J13" s="191" t="s">
        <v>137</v>
      </c>
      <c r="K13" s="206" t="s">
        <v>138</v>
      </c>
      <c r="L13" s="188"/>
      <c r="N13" s="185"/>
    </row>
    <row r="14" spans="1:14">
      <c r="A14" s="190"/>
      <c r="C14" s="188"/>
      <c r="D14" s="188"/>
      <c r="E14" s="188"/>
      <c r="F14" s="188"/>
      <c r="G14" s="188" t="s">
        <v>139</v>
      </c>
      <c r="H14" s="188"/>
      <c r="I14" s="188" t="s">
        <v>140</v>
      </c>
      <c r="K14" s="185"/>
      <c r="L14" s="188"/>
      <c r="N14" s="185"/>
    </row>
    <row r="15" spans="1:14">
      <c r="C15" s="188" t="s">
        <v>36</v>
      </c>
      <c r="D15" s="188" t="s">
        <v>37</v>
      </c>
      <c r="E15" s="188" t="s">
        <v>38</v>
      </c>
      <c r="F15" s="188" t="s">
        <v>39</v>
      </c>
      <c r="G15" s="188" t="s">
        <v>40</v>
      </c>
      <c r="H15" s="188" t="s">
        <v>87</v>
      </c>
      <c r="I15" s="188" t="s">
        <v>88</v>
      </c>
      <c r="J15" s="188" t="s">
        <v>89</v>
      </c>
      <c r="K15" s="188" t="s">
        <v>122</v>
      </c>
    </row>
    <row r="17" spans="1:14">
      <c r="A17" s="181">
        <v>1</v>
      </c>
      <c r="C17" s="181" t="s">
        <v>141</v>
      </c>
      <c r="D17" s="192">
        <v>54</v>
      </c>
      <c r="E17" s="380">
        <v>5</v>
      </c>
      <c r="F17" s="381">
        <v>1.6048500000000001</v>
      </c>
      <c r="G17" s="382">
        <f>+E17+(D17*F17)</f>
        <v>91.661900000000003</v>
      </c>
      <c r="H17" s="381">
        <f>F17+'WEAF Amount Change'!J16+'CARES Incremental Rate'!F12</f>
        <v>1.5949200000000001</v>
      </c>
      <c r="I17" s="380">
        <f>E17+(D17*H17)</f>
        <v>91.125680000000003</v>
      </c>
      <c r="J17" s="380">
        <f>+I17-G17</f>
        <v>-0.53622000000000014</v>
      </c>
      <c r="K17" s="205">
        <f>+J17/G17</f>
        <v>-5.8499769260728848E-3</v>
      </c>
      <c r="L17" s="195"/>
      <c r="N17" s="198"/>
    </row>
    <row r="18" spans="1:14">
      <c r="D18" s="192"/>
      <c r="E18" s="193"/>
      <c r="F18" s="194"/>
      <c r="G18" s="195"/>
      <c r="H18" s="194"/>
      <c r="I18" s="196"/>
      <c r="J18" s="197"/>
      <c r="K18" s="205"/>
    </row>
    <row r="19" spans="1:14">
      <c r="A19" s="181">
        <v>2</v>
      </c>
      <c r="C19" s="181" t="s">
        <v>142</v>
      </c>
      <c r="D19" s="192">
        <v>271</v>
      </c>
      <c r="E19" s="383">
        <v>13</v>
      </c>
      <c r="F19" s="381">
        <v>1.5259</v>
      </c>
      <c r="G19" s="382">
        <f>+E19+(D19*F19)</f>
        <v>426.51890000000003</v>
      </c>
      <c r="H19" s="381">
        <f>F19+'WEAF Amount Change'!J17+'CARES Incremental Rate'!F13</f>
        <v>1.5172099999999999</v>
      </c>
      <c r="I19" s="380">
        <f>E19+(D19*H19)</f>
        <v>424.16390999999999</v>
      </c>
      <c r="J19" s="380">
        <f>+I19-G19</f>
        <v>-2.3549900000000434</v>
      </c>
      <c r="K19" s="205">
        <f>+J19/G19</f>
        <v>-5.5214200355483507E-3</v>
      </c>
      <c r="L19" s="195"/>
      <c r="N19" s="198"/>
    </row>
    <row r="20" spans="1:14">
      <c r="D20" s="192"/>
      <c r="E20" s="193"/>
      <c r="F20" s="194"/>
      <c r="G20" s="195"/>
      <c r="H20" s="194"/>
      <c r="J20" s="197"/>
      <c r="K20" s="205"/>
    </row>
    <row r="21" spans="1:14">
      <c r="A21" s="181">
        <v>3</v>
      </c>
      <c r="C21" s="181" t="s">
        <v>143</v>
      </c>
      <c r="D21" s="192"/>
      <c r="E21" s="383">
        <v>60</v>
      </c>
      <c r="F21" s="194"/>
      <c r="G21" s="195"/>
      <c r="H21" s="194"/>
      <c r="J21" s="197"/>
      <c r="K21" s="205"/>
      <c r="L21" s="199"/>
      <c r="N21" s="198"/>
    </row>
    <row r="22" spans="1:14">
      <c r="A22" s="181">
        <v>4</v>
      </c>
      <c r="C22" s="181" t="s">
        <v>144</v>
      </c>
      <c r="D22" s="192"/>
      <c r="E22" s="193"/>
      <c r="F22" s="381">
        <v>1.46</v>
      </c>
      <c r="G22" s="382">
        <f>+E21+(500*F22)</f>
        <v>790</v>
      </c>
      <c r="H22" s="381">
        <f>F22+'WEAF Amount Change'!$J$18+'CARES Incremental Rate'!$F$14</f>
        <v>1.45539</v>
      </c>
      <c r="I22" s="382">
        <f>+E21+(500*H22)</f>
        <v>787.69499999999994</v>
      </c>
      <c r="J22" s="197"/>
      <c r="K22" s="205"/>
      <c r="L22" s="199"/>
      <c r="N22" s="198"/>
    </row>
    <row r="23" spans="1:14">
      <c r="A23" s="181">
        <v>5</v>
      </c>
      <c r="C23" s="181" t="s">
        <v>145</v>
      </c>
      <c r="D23" s="192"/>
      <c r="E23" s="193"/>
      <c r="F23" s="381">
        <v>1.42069</v>
      </c>
      <c r="G23" s="382">
        <f>+(D25-500)*F23</f>
        <v>2119.66948</v>
      </c>
      <c r="H23" s="381">
        <f>F23+'WEAF Amount Change'!$J$18+'CARES Incremental Rate'!$F$14</f>
        <v>1.41608</v>
      </c>
      <c r="I23" s="382">
        <f>+(D25-500)*H23</f>
        <v>2112.7913600000002</v>
      </c>
      <c r="J23" s="197"/>
      <c r="K23" s="205"/>
      <c r="L23" s="199"/>
      <c r="N23" s="198"/>
    </row>
    <row r="24" spans="1:14">
      <c r="A24" s="181">
        <v>6</v>
      </c>
      <c r="C24" s="181" t="s">
        <v>146</v>
      </c>
      <c r="D24" s="192"/>
      <c r="E24" s="193"/>
      <c r="F24" s="381">
        <v>1.41475</v>
      </c>
      <c r="G24" s="195"/>
      <c r="H24" s="381">
        <f>F24+'WEAF Amount Change'!$J$18+'CARES Incremental Rate'!$F$14</f>
        <v>1.4101399999999999</v>
      </c>
      <c r="J24" s="197"/>
      <c r="K24" s="205"/>
      <c r="L24" s="199"/>
    </row>
    <row r="25" spans="1:14">
      <c r="A25" s="181">
        <v>7</v>
      </c>
      <c r="C25" s="190" t="s">
        <v>147</v>
      </c>
      <c r="D25" s="200">
        <v>1992</v>
      </c>
      <c r="E25" s="193"/>
      <c r="F25" s="194"/>
      <c r="G25" s="382">
        <f>+SUM((G22:G24))</f>
        <v>2909.66948</v>
      </c>
      <c r="H25" s="195"/>
      <c r="I25" s="382">
        <f>+SUM(I22:I24)</f>
        <v>2900.4863599999999</v>
      </c>
      <c r="J25" s="380">
        <f>+I25-G25</f>
        <v>-9.1831200000001445</v>
      </c>
      <c r="K25" s="205">
        <f>+J25/G25</f>
        <v>-3.1560698090011738E-3</v>
      </c>
      <c r="L25" s="199"/>
      <c r="N25" s="198"/>
    </row>
    <row r="26" spans="1:14">
      <c r="C26" s="184"/>
      <c r="D26" s="192"/>
      <c r="E26" s="193"/>
      <c r="F26" s="194"/>
      <c r="G26" s="195"/>
      <c r="H26" s="194"/>
      <c r="J26" s="197"/>
      <c r="K26" s="205"/>
      <c r="L26" s="199"/>
      <c r="N26" s="198"/>
    </row>
    <row r="27" spans="1:14">
      <c r="A27" s="181">
        <v>8</v>
      </c>
      <c r="C27" s="181" t="s">
        <v>148</v>
      </c>
      <c r="D27" s="192"/>
      <c r="E27" s="383">
        <v>125</v>
      </c>
      <c r="F27" s="194"/>
      <c r="G27" s="195"/>
      <c r="H27" s="194"/>
      <c r="J27" s="197"/>
      <c r="K27" s="205"/>
      <c r="L27" s="199"/>
      <c r="N27" s="198"/>
    </row>
    <row r="28" spans="1:14">
      <c r="A28" s="181">
        <v>9</v>
      </c>
      <c r="C28" s="181" t="s">
        <v>149</v>
      </c>
      <c r="D28" s="192"/>
      <c r="E28" s="193"/>
      <c r="F28" s="381">
        <v>1.41357</v>
      </c>
      <c r="G28" s="382">
        <f>+E27+(+F28*D31)</f>
        <v>23645.391230000001</v>
      </c>
      <c r="H28" s="381">
        <f>F28+'WEAF Amount Change'!$J$19+'CARES Incremental Rate'!$F$15</f>
        <v>1.40808</v>
      </c>
      <c r="I28" s="382">
        <f>+E27+(+H28*D31)</f>
        <v>23554.043119999998</v>
      </c>
      <c r="J28" s="197"/>
      <c r="K28" s="205"/>
    </row>
    <row r="29" spans="1:14">
      <c r="A29" s="181">
        <v>11</v>
      </c>
      <c r="B29" s="184"/>
      <c r="C29" s="181" t="s">
        <v>150</v>
      </c>
      <c r="D29" s="192"/>
      <c r="E29" s="193"/>
      <c r="F29" s="381">
        <v>1.3748400000000001</v>
      </c>
      <c r="G29" s="195"/>
      <c r="H29" s="381">
        <f>F29+'WEAF Amount Change'!$J$19+'CARES Incremental Rate'!$F$15</f>
        <v>1.3693500000000001</v>
      </c>
      <c r="I29" s="195"/>
      <c r="J29" s="197"/>
      <c r="K29" s="205"/>
    </row>
    <row r="30" spans="1:14">
      <c r="A30" s="181">
        <v>12</v>
      </c>
      <c r="B30" s="184"/>
      <c r="C30" s="181" t="s">
        <v>151</v>
      </c>
      <c r="D30" s="192"/>
      <c r="E30" s="193"/>
      <c r="F30" s="381">
        <v>1.2790299999999999</v>
      </c>
      <c r="G30" s="195"/>
      <c r="H30" s="381">
        <f>F30+'WEAF Amount Change'!$J$19+'CARES Incremental Rate'!$F$15</f>
        <v>1.2735399999999999</v>
      </c>
      <c r="I30" s="195"/>
      <c r="J30" s="197"/>
      <c r="K30" s="205"/>
    </row>
    <row r="31" spans="1:14">
      <c r="A31" s="181">
        <v>13</v>
      </c>
      <c r="B31" s="184"/>
      <c r="C31" s="190" t="s">
        <v>152</v>
      </c>
      <c r="D31" s="200">
        <v>16639</v>
      </c>
      <c r="E31" s="193"/>
      <c r="F31" s="194"/>
      <c r="G31" s="382">
        <f>+SUM(G28:G30)</f>
        <v>23645.391230000001</v>
      </c>
      <c r="H31" s="195"/>
      <c r="I31" s="382">
        <f>+SUM(I28:I30)</f>
        <v>23554.043119999998</v>
      </c>
      <c r="J31" s="380">
        <f>+I31-G31</f>
        <v>-91.348110000002634</v>
      </c>
      <c r="K31" s="205">
        <f>+J31/G31</f>
        <v>-3.8632522131460895E-3</v>
      </c>
    </row>
    <row r="32" spans="1:14">
      <c r="D32" s="200"/>
      <c r="E32" s="193"/>
      <c r="F32" s="194"/>
      <c r="G32" s="195"/>
      <c r="H32" s="194"/>
      <c r="J32" s="197"/>
      <c r="K32" s="205"/>
    </row>
    <row r="33" spans="1:14">
      <c r="A33" s="181">
        <v>14</v>
      </c>
      <c r="C33" s="181" t="s">
        <v>153</v>
      </c>
      <c r="D33" s="200"/>
      <c r="E33" s="383">
        <v>163</v>
      </c>
      <c r="F33" s="194"/>
      <c r="G33" s="195"/>
      <c r="H33" s="194"/>
      <c r="J33" s="197"/>
      <c r="K33" s="205"/>
    </row>
    <row r="34" spans="1:14">
      <c r="A34" s="181">
        <v>15</v>
      </c>
      <c r="C34" s="181" t="s">
        <v>154</v>
      </c>
      <c r="D34" s="200"/>
      <c r="F34" s="381">
        <v>1.3115399999999999</v>
      </c>
      <c r="G34" s="382">
        <f>+E33+(D36*F34)</f>
        <v>30634.008819999999</v>
      </c>
      <c r="H34" s="381">
        <f>F34+'WEAF Amount Change'!$J$20+'CARES Incremental Rate'!$F$16</f>
        <v>1.3102799999999999</v>
      </c>
      <c r="I34" s="382">
        <f>+E33+(D36*H34)</f>
        <v>30604.735239999998</v>
      </c>
      <c r="J34" s="197"/>
      <c r="K34" s="205"/>
    </row>
    <row r="35" spans="1:14">
      <c r="A35" s="181">
        <v>16</v>
      </c>
      <c r="C35" s="181" t="s">
        <v>155</v>
      </c>
      <c r="D35" s="200"/>
      <c r="F35" s="381">
        <v>1.24617</v>
      </c>
      <c r="G35" s="195"/>
      <c r="H35" s="381">
        <f>F35+'WEAF Amount Change'!$J$20+'CARES Incremental Rate'!$F$16</f>
        <v>1.24491</v>
      </c>
      <c r="J35" s="197"/>
      <c r="K35" s="205"/>
    </row>
    <row r="36" spans="1:14">
      <c r="A36" s="181">
        <v>17</v>
      </c>
      <c r="C36" s="190" t="s">
        <v>156</v>
      </c>
      <c r="D36" s="200">
        <v>23233</v>
      </c>
      <c r="F36" s="194"/>
      <c r="G36" s="384">
        <f>+G34+G35</f>
        <v>30634.008819999999</v>
      </c>
      <c r="H36" s="195"/>
      <c r="I36" s="382">
        <f>+I34+I35</f>
        <v>30604.735239999998</v>
      </c>
      <c r="J36" s="380">
        <f>+I36-G36</f>
        <v>-29.273580000000948</v>
      </c>
      <c r="K36" s="205">
        <f>+J36/G36</f>
        <v>-9.5559089807694807E-4</v>
      </c>
    </row>
    <row r="37" spans="1:14">
      <c r="F37" s="194"/>
    </row>
    <row r="38" spans="1:14">
      <c r="A38" s="181">
        <v>18</v>
      </c>
      <c r="C38" s="181" t="s">
        <v>157</v>
      </c>
      <c r="E38" s="383">
        <v>625</v>
      </c>
      <c r="F38" s="194"/>
      <c r="N38" s="198"/>
    </row>
    <row r="39" spans="1:14">
      <c r="A39" s="181">
        <v>19</v>
      </c>
      <c r="C39" s="181" t="s">
        <v>158</v>
      </c>
      <c r="F39" s="381">
        <v>0.35907</v>
      </c>
      <c r="G39" s="382">
        <f>E38+(F39*100000)</f>
        <v>36532</v>
      </c>
      <c r="H39" s="381">
        <f>F39+'WEAF Amount Change'!$J$23+'CARES Incremental Rate'!$F$17</f>
        <v>0.35776999999999998</v>
      </c>
      <c r="I39" s="382">
        <f>E38+(H39*100000)</f>
        <v>36402</v>
      </c>
    </row>
    <row r="40" spans="1:14">
      <c r="A40" s="181">
        <v>20</v>
      </c>
      <c r="C40" s="181" t="s">
        <v>159</v>
      </c>
      <c r="F40" s="381">
        <v>0.31985999999999998</v>
      </c>
      <c r="G40" s="382">
        <f>(D43-100000)*F40</f>
        <v>59455.896659999999</v>
      </c>
      <c r="H40" s="381">
        <f>F40+'WEAF Amount Change'!$J$23+'CARES Incremental Rate'!$F$17</f>
        <v>0.31855999999999995</v>
      </c>
      <c r="I40" s="382">
        <f>(D43-100000)*H40</f>
        <v>59214.251359999995</v>
      </c>
    </row>
    <row r="41" spans="1:14">
      <c r="A41" s="181">
        <v>21</v>
      </c>
      <c r="C41" s="181" t="s">
        <v>159</v>
      </c>
      <c r="F41" s="381">
        <v>0.31102999999999997</v>
      </c>
    </row>
    <row r="42" spans="1:14">
      <c r="A42" s="181">
        <v>22</v>
      </c>
      <c r="C42" s="181" t="s">
        <v>160</v>
      </c>
      <c r="F42" s="381">
        <v>0.30385000000000001</v>
      </c>
    </row>
    <row r="43" spans="1:14">
      <c r="A43" s="181">
        <v>23</v>
      </c>
      <c r="C43" s="190" t="s">
        <v>161</v>
      </c>
      <c r="D43" s="204">
        <v>285881</v>
      </c>
      <c r="G43" s="382">
        <f>G39+G40</f>
        <v>95987.896659999999</v>
      </c>
      <c r="I43" s="382">
        <f>I39+I40</f>
        <v>95616.251359999995</v>
      </c>
      <c r="J43" s="380">
        <f>+I43-G43</f>
        <v>-371.64530000000377</v>
      </c>
      <c r="K43" s="205">
        <f>+J43/G43</f>
        <v>-3.8717933503263804E-3</v>
      </c>
    </row>
  </sheetData>
  <mergeCells count="3">
    <mergeCell ref="C4:K4"/>
    <mergeCell ref="C5:K5"/>
    <mergeCell ref="C9:K9"/>
  </mergeCells>
  <pageMargins left="0.7" right="0.7" top="0.75" bottom="0.75" header="0.3" footer="0.3"/>
  <pageSetup scale="51" orientation="portrait" r:id="rId1"/>
  <headerFooter>
    <oddFooter>&amp;LTab Name: 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01A0BE-9A76-4869-8410-70C4FA039C8A}">
  <dimension ref="A1"/>
  <sheetViews>
    <sheetView workbookViewId="0">
      <selection activeCell="K30" sqref="K30"/>
    </sheetView>
  </sheetViews>
  <sheetFormatPr defaultRowHeight="1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730CD0-402B-4493-A09B-EA13BDE2265E}">
  <sheetPr>
    <pageSetUpPr fitToPage="1"/>
  </sheetPr>
  <dimension ref="A1:G17"/>
  <sheetViews>
    <sheetView tabSelected="1" workbookViewId="0">
      <selection activeCell="B31" sqref="B31"/>
    </sheetView>
  </sheetViews>
  <sheetFormatPr defaultColWidth="8" defaultRowHeight="15"/>
  <cols>
    <col min="1" max="1" width="20" style="257" customWidth="1"/>
    <col min="2" max="2" width="56.7109375" style="257" bestFit="1" customWidth="1"/>
    <col min="3" max="5" width="17.7109375" style="257" bestFit="1" customWidth="1"/>
    <col min="6" max="6" width="2.28515625" style="257" customWidth="1"/>
    <col min="7" max="7" width="16" style="257" customWidth="1"/>
    <col min="8" max="16384" width="8" style="257"/>
  </cols>
  <sheetData>
    <row r="1" spans="1:7">
      <c r="B1" s="396" t="s">
        <v>66</v>
      </c>
      <c r="C1" s="396"/>
      <c r="D1" s="396"/>
      <c r="E1" s="396"/>
    </row>
    <row r="2" spans="1:7">
      <c r="B2" s="397" t="s">
        <v>162</v>
      </c>
      <c r="C2" s="397"/>
      <c r="D2" s="397"/>
      <c r="E2" s="397"/>
    </row>
    <row r="3" spans="1:7">
      <c r="B3" s="396" t="s">
        <v>69</v>
      </c>
      <c r="C3" s="396"/>
      <c r="D3" s="396"/>
      <c r="E3" s="396"/>
    </row>
    <row r="5" spans="1:7">
      <c r="C5" s="286">
        <v>45535</v>
      </c>
      <c r="D5" s="286">
        <v>45565</v>
      </c>
      <c r="E5" s="286">
        <v>45596</v>
      </c>
      <c r="F5" s="287"/>
      <c r="G5" s="288" t="s">
        <v>163</v>
      </c>
    </row>
    <row r="6" spans="1:7">
      <c r="C6" s="70" t="s">
        <v>164</v>
      </c>
      <c r="D6" s="70" t="s">
        <v>164</v>
      </c>
      <c r="E6" s="70" t="s">
        <v>164</v>
      </c>
      <c r="F6" s="70"/>
      <c r="G6" s="70" t="s">
        <v>165</v>
      </c>
    </row>
    <row r="7" spans="1:7">
      <c r="A7" s="289" t="s">
        <v>166</v>
      </c>
      <c r="B7" s="290"/>
      <c r="C7" s="70" t="s">
        <v>167</v>
      </c>
      <c r="D7" s="70" t="s">
        <v>167</v>
      </c>
      <c r="E7" s="70" t="s">
        <v>167</v>
      </c>
      <c r="F7" s="70"/>
      <c r="G7" s="286">
        <v>45596</v>
      </c>
    </row>
    <row r="8" spans="1:7">
      <c r="A8" s="291" t="s">
        <v>168</v>
      </c>
      <c r="C8" s="291" t="s">
        <v>168</v>
      </c>
      <c r="D8" s="291" t="s">
        <v>168</v>
      </c>
      <c r="E8" s="291" t="s">
        <v>168</v>
      </c>
      <c r="F8" s="291"/>
      <c r="G8" s="291"/>
    </row>
    <row r="9" spans="1:7">
      <c r="A9" s="279"/>
      <c r="C9" s="292"/>
      <c r="D9" s="293"/>
      <c r="E9" s="293"/>
      <c r="F9" s="294"/>
      <c r="G9" s="293"/>
    </row>
    <row r="10" spans="1:7">
      <c r="A10" s="279" t="s">
        <v>169</v>
      </c>
      <c r="B10" s="279" t="s">
        <v>42</v>
      </c>
      <c r="C10" s="295">
        <f>'CARES Deferral Balances'!B20</f>
        <v>895946.51</v>
      </c>
      <c r="D10" s="295">
        <f>+C10++'Int calc thru 10-31-2024'!C10</f>
        <v>899952.29</v>
      </c>
      <c r="E10" s="295">
        <f>+D10+'Int calc thru 10-31-2024'!D10</f>
        <v>904110.07000000007</v>
      </c>
      <c r="F10" s="296"/>
      <c r="G10" s="295">
        <f>+E10-C10</f>
        <v>8163.5600000000559</v>
      </c>
    </row>
    <row r="11" spans="1:7">
      <c r="A11" s="279" t="s">
        <v>170</v>
      </c>
      <c r="B11" s="279" t="s">
        <v>43</v>
      </c>
      <c r="C11" s="295">
        <f>'CARES Deferral Balances'!C20</f>
        <v>815527.07000000007</v>
      </c>
      <c r="D11" s="295">
        <f>+C11++'Int calc thru 10-31-2024'!C11</f>
        <v>819173.29</v>
      </c>
      <c r="E11" s="295">
        <f>+D11+'Int calc thru 10-31-2024'!D11</f>
        <v>822957.87</v>
      </c>
      <c r="F11" s="296"/>
      <c r="G11" s="295">
        <f t="shared" ref="G11:G13" si="0">+E11-C11</f>
        <v>7430.7999999999302</v>
      </c>
    </row>
    <row r="12" spans="1:7">
      <c r="A12" s="279" t="s">
        <v>171</v>
      </c>
      <c r="B12" s="279" t="s">
        <v>44</v>
      </c>
      <c r="C12" s="295">
        <f>'CARES Deferral Balances'!D20</f>
        <v>364175.32</v>
      </c>
      <c r="D12" s="295">
        <f>+C12++'Int calc thru 10-31-2024'!C12</f>
        <v>365803.55</v>
      </c>
      <c r="E12" s="295">
        <f>+D12+'Int calc thru 10-31-2024'!D12</f>
        <v>367493.56</v>
      </c>
      <c r="F12" s="297"/>
      <c r="G12" s="295">
        <f t="shared" si="0"/>
        <v>3318.2399999999907</v>
      </c>
    </row>
    <row r="13" spans="1:7">
      <c r="A13" s="279" t="s">
        <v>172</v>
      </c>
      <c r="B13" s="279" t="s">
        <v>45</v>
      </c>
      <c r="C13" s="295">
        <f>'CARES Deferral Balances'!E20</f>
        <v>-3260367.2799999993</v>
      </c>
      <c r="D13" s="295">
        <f>+C13++'Int calc thru 10-31-2024'!C13</f>
        <v>-3274944.3799999994</v>
      </c>
      <c r="E13" s="295">
        <f>+D13+'Int calc thru 10-31-2024'!D13</f>
        <v>-3290074.6199999996</v>
      </c>
      <c r="F13" s="297"/>
      <c r="G13" s="295">
        <f t="shared" si="0"/>
        <v>-29707.340000000317</v>
      </c>
    </row>
    <row r="14" spans="1:7" s="299" customFormat="1" ht="15.75" thickBot="1">
      <c r="A14" s="70" t="s">
        <v>173</v>
      </c>
      <c r="B14" s="289"/>
      <c r="C14" s="298">
        <f>SUM(C10:C13)</f>
        <v>-1184718.3799999992</v>
      </c>
      <c r="D14" s="298">
        <f t="shared" ref="D14:G14" si="1">SUM(D10:D13)</f>
        <v>-1190015.2499999993</v>
      </c>
      <c r="E14" s="298">
        <f t="shared" si="1"/>
        <v>-1195513.1199999996</v>
      </c>
      <c r="F14" s="298"/>
      <c r="G14" s="298">
        <f t="shared" si="1"/>
        <v>-10794.74000000034</v>
      </c>
    </row>
    <row r="15" spans="1:7" ht="15.75" thickTop="1">
      <c r="A15" s="275"/>
      <c r="B15" s="279"/>
      <c r="C15" s="300"/>
      <c r="D15" s="293"/>
      <c r="E15" s="293"/>
      <c r="F15" s="293"/>
      <c r="G15" s="293"/>
    </row>
    <row r="17" spans="3:7">
      <c r="C17" s="301"/>
      <c r="D17" s="301"/>
      <c r="E17" s="301"/>
      <c r="F17" s="301"/>
      <c r="G17" s="302"/>
    </row>
  </sheetData>
  <mergeCells count="3">
    <mergeCell ref="B1:E1"/>
    <mergeCell ref="B2:E2"/>
    <mergeCell ref="B3:E3"/>
  </mergeCells>
  <printOptions horizontalCentered="1"/>
  <pageMargins left="0.25" right="0.25" top="1" bottom="1" header="0.5" footer="0.5"/>
  <pageSetup scale="87" orientation="landscape" r:id="rId1"/>
  <headerFooter alignWithMargins="0">
    <oddFooter>&amp;L
&amp;A&amp;R&amp;P/&amp;N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CCF0D4-A24F-43A2-88B4-80879F7072E7}">
  <dimension ref="A1:AF28"/>
  <sheetViews>
    <sheetView topLeftCell="H1" workbookViewId="0">
      <selection activeCell="K30" sqref="K30"/>
    </sheetView>
  </sheetViews>
  <sheetFormatPr defaultColWidth="8" defaultRowHeight="15"/>
  <cols>
    <col min="1" max="1" width="20.42578125" style="257" customWidth="1"/>
    <col min="2" max="2" width="64.140625" style="257" bestFit="1" customWidth="1"/>
    <col min="3" max="3" width="8" style="257" bestFit="1" customWidth="1"/>
    <col min="4" max="4" width="5" style="256" customWidth="1"/>
    <col min="5" max="5" width="13.85546875" style="257" bestFit="1" customWidth="1"/>
    <col min="6" max="6" width="14.28515625" style="257" bestFit="1" customWidth="1"/>
    <col min="7" max="7" width="18.85546875" style="257" customWidth="1"/>
    <col min="8" max="8" width="20.5703125" style="257" bestFit="1" customWidth="1"/>
    <col min="9" max="9" width="15.140625" style="257" bestFit="1" customWidth="1"/>
    <col min="10" max="12" width="13.7109375" style="257" bestFit="1" customWidth="1"/>
    <col min="13" max="18" width="13.42578125" style="257" bestFit="1" customWidth="1"/>
    <col min="19" max="19" width="15.140625" style="257" bestFit="1" customWidth="1"/>
    <col min="20" max="20" width="14.28515625" style="257" bestFit="1" customWidth="1"/>
    <col min="21" max="22" width="13.42578125" style="257" bestFit="1" customWidth="1"/>
    <col min="23" max="30" width="12.42578125" style="257" bestFit="1" customWidth="1"/>
    <col min="31" max="31" width="13.140625" style="257" bestFit="1" customWidth="1"/>
    <col min="32" max="32" width="12.42578125" style="257" bestFit="1" customWidth="1"/>
    <col min="33" max="16384" width="8" style="257"/>
  </cols>
  <sheetData>
    <row r="1" spans="1:32">
      <c r="G1" s="396" t="s">
        <v>66</v>
      </c>
      <c r="H1" s="396"/>
      <c r="I1" s="396"/>
      <c r="J1" s="396"/>
      <c r="K1" s="396"/>
    </row>
    <row r="2" spans="1:32">
      <c r="G2" s="303" t="s">
        <v>174</v>
      </c>
      <c r="H2" s="303"/>
      <c r="I2" s="303"/>
      <c r="J2" s="303"/>
      <c r="K2" s="303"/>
      <c r="L2" s="303"/>
    </row>
    <row r="3" spans="1:32">
      <c r="G3" s="396" t="s">
        <v>69</v>
      </c>
      <c r="H3" s="396"/>
      <c r="I3" s="396"/>
      <c r="J3" s="396"/>
      <c r="K3" s="396"/>
    </row>
    <row r="5" spans="1:32">
      <c r="B5" s="299"/>
    </row>
    <row r="6" spans="1:32">
      <c r="B6" s="299" t="s">
        <v>175</v>
      </c>
      <c r="G6" s="398" t="s">
        <v>176</v>
      </c>
      <c r="H6" s="398"/>
      <c r="I6" s="398"/>
    </row>
    <row r="7" spans="1:32" s="256" customFormat="1" ht="45">
      <c r="B7" s="290" t="s">
        <v>76</v>
      </c>
      <c r="C7" s="269" t="s">
        <v>177</v>
      </c>
      <c r="D7" s="269"/>
      <c r="E7" s="304" t="s">
        <v>178</v>
      </c>
      <c r="F7" s="305" t="s">
        <v>179</v>
      </c>
      <c r="G7" s="306">
        <v>45597</v>
      </c>
      <c r="H7" s="306">
        <v>45627</v>
      </c>
      <c r="I7" s="306">
        <v>45658</v>
      </c>
      <c r="J7" s="306">
        <v>45689</v>
      </c>
      <c r="K7" s="306">
        <v>45717</v>
      </c>
      <c r="L7" s="306">
        <v>45748</v>
      </c>
      <c r="M7" s="306">
        <v>45778</v>
      </c>
      <c r="N7" s="306">
        <v>45809</v>
      </c>
      <c r="O7" s="306">
        <v>45839</v>
      </c>
      <c r="P7" s="306">
        <v>45870</v>
      </c>
      <c r="Q7" s="306">
        <v>45901</v>
      </c>
      <c r="R7" s="306">
        <v>45931</v>
      </c>
      <c r="S7" s="305" t="s">
        <v>180</v>
      </c>
      <c r="T7" s="307" t="s">
        <v>181</v>
      </c>
      <c r="U7" s="306"/>
      <c r="V7" s="306"/>
      <c r="W7" s="306"/>
      <c r="X7" s="306"/>
      <c r="Y7" s="306"/>
      <c r="Z7" s="306"/>
      <c r="AA7" s="306"/>
      <c r="AB7" s="306"/>
      <c r="AC7" s="306"/>
      <c r="AD7" s="306"/>
      <c r="AE7" s="305"/>
      <c r="AF7" s="307"/>
    </row>
    <row r="8" spans="1:32">
      <c r="A8" s="279" t="s">
        <v>169</v>
      </c>
      <c r="B8" s="279" t="s">
        <v>42</v>
      </c>
      <c r="C8" s="279" t="s">
        <v>182</v>
      </c>
      <c r="D8" s="275">
        <v>8</v>
      </c>
      <c r="E8" s="232">
        <v>-7.4322193236926216E-4</v>
      </c>
      <c r="F8" s="296">
        <f>EstimatedBalances!E10</f>
        <v>904110.07000000007</v>
      </c>
      <c r="G8" s="296">
        <f>+$E8*'Forecasted Volumes'!$J$7</f>
        <v>-85839.217529009096</v>
      </c>
      <c r="H8" s="296">
        <f>+E8*'Forecasted Volumes'!$J$8</f>
        <v>-100641.18688653484</v>
      </c>
      <c r="I8" s="296">
        <f>+E8*'Forecasted Volumes'!$J$9</f>
        <v>-102516.26372937504</v>
      </c>
      <c r="J8" s="296">
        <f>+E8*'Forecasted Volumes'!$J$10</f>
        <v>-95157.656821973942</v>
      </c>
      <c r="K8" s="296">
        <f>+E8*'Forecasted Volumes'!$J$11</f>
        <v>-81701.879404773179</v>
      </c>
      <c r="L8" s="296">
        <f>+E8*'Forecasted Volumes'!$J$12</f>
        <v>-73119.119828007912</v>
      </c>
      <c r="M8" s="296">
        <f>+E8*'Forecasted Volumes'!$J$13</f>
        <v>-43182.474098821673</v>
      </c>
      <c r="N8" s="296">
        <f>+E8*'Forecasted Volumes'!$J$14</f>
        <v>-49559.406721959895</v>
      </c>
      <c r="O8" s="296">
        <f>+E8*'Forecasted Volumes'!$J$15</f>
        <v>-59345.546658301522</v>
      </c>
      <c r="P8" s="296">
        <f>+E8*'Forecasted Volumes'!$J$16</f>
        <v>-65528.730985556198</v>
      </c>
      <c r="Q8" s="296">
        <f>+E8*'Forecasted Volumes'!$J$17</f>
        <v>-69358.498604632012</v>
      </c>
      <c r="R8" s="296">
        <f>+E8*'Forecasted Volumes'!$J$18</f>
        <v>-78160.08873105442</v>
      </c>
      <c r="S8" s="296">
        <f>+SUM(G8:R8)</f>
        <v>-904110.06999999972</v>
      </c>
      <c r="T8" s="296">
        <f>+S8+F8</f>
        <v>0</v>
      </c>
      <c r="U8" s="296"/>
      <c r="V8" s="296"/>
      <c r="W8" s="296"/>
      <c r="X8" s="296"/>
      <c r="Y8" s="296"/>
      <c r="Z8" s="296"/>
      <c r="AA8" s="296"/>
      <c r="AB8" s="296"/>
      <c r="AC8" s="296"/>
      <c r="AD8" s="296"/>
      <c r="AE8" s="308"/>
      <c r="AF8" s="308"/>
    </row>
    <row r="9" spans="1:32">
      <c r="A9" s="279" t="s">
        <v>170</v>
      </c>
      <c r="B9" s="279" t="s">
        <v>43</v>
      </c>
      <c r="C9" s="279" t="s">
        <v>182</v>
      </c>
      <c r="D9" s="275">
        <v>8</v>
      </c>
      <c r="E9" s="232">
        <v>-6.765109234983871E-4</v>
      </c>
      <c r="F9" s="239">
        <f>EstimatedBalances!E11</f>
        <v>822957.87</v>
      </c>
      <c r="G9" s="296">
        <f>+$E9*'Forecasted Volumes'!$J$7</f>
        <v>-78134.357711710822</v>
      </c>
      <c r="H9" s="296">
        <f>+E9*'Forecasted Volumes'!$J$8</f>
        <v>-91607.714085536674</v>
      </c>
      <c r="I9" s="296">
        <f>+E9*'Forecasted Volumes'!$J$9</f>
        <v>-93314.485523963536</v>
      </c>
      <c r="J9" s="296">
        <f>+E9*'Forecasted Volumes'!$J$10</f>
        <v>-86616.381313397564</v>
      </c>
      <c r="K9" s="296">
        <f>+E9*'Forecasted Volumes'!$J$11</f>
        <v>-74368.383763216945</v>
      </c>
      <c r="L9" s="296">
        <f>+E9*'Forecasted Volumes'!$J$12</f>
        <v>-66556.005852176939</v>
      </c>
      <c r="M9" s="296">
        <f>+E9*'Forecasted Volumes'!$J$13</f>
        <v>-39306.449607066555</v>
      </c>
      <c r="N9" s="296">
        <f>+E9*'Forecasted Volumes'!$J$14</f>
        <v>-45110.993835482615</v>
      </c>
      <c r="O9" s="296">
        <f>+E9*'Forecasted Volumes'!$J$15</f>
        <v>-54018.737643195796</v>
      </c>
      <c r="P9" s="296">
        <f>+E9*'Forecasted Volumes'!$J$16</f>
        <v>-59646.924268497831</v>
      </c>
      <c r="Q9" s="296">
        <f>+E9*'Forecasted Volumes'!$J$17</f>
        <v>-63132.93499547668</v>
      </c>
      <c r="R9" s="296">
        <f>+E9*'Forecasted Volumes'!$J$18</f>
        <v>-71144.501400276931</v>
      </c>
      <c r="S9" s="296">
        <f>+SUM(G9:R9)</f>
        <v>-822957.86999999883</v>
      </c>
      <c r="T9" s="296">
        <f>+S9+F9</f>
        <v>1.1641532182693481E-9</v>
      </c>
    </row>
    <row r="10" spans="1:32">
      <c r="A10" s="279" t="s">
        <v>171</v>
      </c>
      <c r="B10" s="279" t="s">
        <v>44</v>
      </c>
      <c r="C10" s="279" t="s">
        <v>182</v>
      </c>
      <c r="D10" s="275">
        <v>8</v>
      </c>
      <c r="E10" s="232">
        <v>-3.0209736940155912E-4</v>
      </c>
      <c r="F10" s="296">
        <f>EstimatedBalances!E12</f>
        <v>367493.56</v>
      </c>
      <c r="G10" s="296">
        <f>+$E10*'Forecasted Volumes'!$J$7</f>
        <v>-34891.061037899919</v>
      </c>
      <c r="H10" s="296">
        <f>+E10*'Forecasted Volumes'!$J$8</f>
        <v>-40907.616537838156</v>
      </c>
      <c r="I10" s="296">
        <f>+E10*'Forecasted Volumes'!$J$9</f>
        <v>-41669.778897393458</v>
      </c>
      <c r="J10" s="296">
        <f>+E10*'Forecasted Volumes'!$J$10</f>
        <v>-38678.726437330246</v>
      </c>
      <c r="K10" s="296">
        <f>+E10*'Forecasted Volumes'!$J$11</f>
        <v>-33209.357485810091</v>
      </c>
      <c r="L10" s="296">
        <f>+E10*'Forecasted Volumes'!$J$12</f>
        <v>-29720.723771676636</v>
      </c>
      <c r="M10" s="296">
        <f>+E10*'Forecasted Volumes'!$J$13</f>
        <v>-17552.377373900694</v>
      </c>
      <c r="N10" s="296">
        <f>+E10*'Forecasted Volumes'!$J$14</f>
        <v>-20144.40875295303</v>
      </c>
      <c r="O10" s="296">
        <f>+E10*'Forecasted Volumes'!$J$15</f>
        <v>-24122.180401779329</v>
      </c>
      <c r="P10" s="296">
        <f>+E10*'Forecasted Volumes'!$J$16</f>
        <v>-26635.458923894483</v>
      </c>
      <c r="Q10" s="296">
        <f>+E10*'Forecasted Volumes'!$J$17</f>
        <v>-28192.14431321538</v>
      </c>
      <c r="R10" s="296">
        <f>+E10*'Forecasted Volumes'!$J$18</f>
        <v>-31769.726066308587</v>
      </c>
      <c r="S10" s="296">
        <f>+SUM(G10:R10)</f>
        <v>-367493.56</v>
      </c>
      <c r="T10" s="296">
        <f>+S10+F10</f>
        <v>0</v>
      </c>
    </row>
    <row r="11" spans="1:32">
      <c r="A11" s="279" t="s">
        <v>172</v>
      </c>
      <c r="B11" s="279" t="s">
        <v>45</v>
      </c>
      <c r="C11" s="279" t="s">
        <v>182</v>
      </c>
      <c r="D11" s="275">
        <v>8</v>
      </c>
      <c r="E11" s="232">
        <v>2.7045994706324491E-3</v>
      </c>
      <c r="F11" s="296">
        <f>EstimatedBalances!E13</f>
        <v>-3290074.6199999996</v>
      </c>
      <c r="G11" s="296">
        <f>+$E11*'Forecasted Volumes'!$J$7</f>
        <v>312370.62871432456</v>
      </c>
      <c r="H11" s="296">
        <f>+E11*'Forecasted Volumes'!$J$8</f>
        <v>366235.29113226797</v>
      </c>
      <c r="I11" s="296">
        <f>+E11*'Forecasted Volumes'!$J$9</f>
        <v>373058.73325052497</v>
      </c>
      <c r="J11" s="296">
        <f>+E11*'Forecasted Volumes'!$J$10</f>
        <v>346280.61559876928</v>
      </c>
      <c r="K11" s="296">
        <f>+E11*'Forecasted Volumes'!$J$11</f>
        <v>297314.77256518666</v>
      </c>
      <c r="L11" s="296">
        <f>+E11*'Forecasted Volumes'!$J$12</f>
        <v>266081.93887594645</v>
      </c>
      <c r="M11" s="296">
        <f>+E11*'Forecasted Volumes'!$J$13</f>
        <v>157141.88656403372</v>
      </c>
      <c r="N11" s="296">
        <f>+E11*'Forecasted Volumes'!$J$14</f>
        <v>180347.67186939713</v>
      </c>
      <c r="O11" s="296">
        <f>+E11*'Forecasted Volumes'!$J$15</f>
        <v>215959.63074551718</v>
      </c>
      <c r="P11" s="296">
        <f>+E11*'Forecasted Volumes'!$J$16</f>
        <v>238460.36212867984</v>
      </c>
      <c r="Q11" s="296">
        <f>+E11*'Forecasted Volumes'!$J$17</f>
        <v>252396.96306048802</v>
      </c>
      <c r="R11" s="296">
        <f>+E11*'Forecasted Volumes'!$J$18</f>
        <v>284426.1254948639</v>
      </c>
      <c r="S11" s="296">
        <f>+SUM(G11:R11)</f>
        <v>3290074.6199999992</v>
      </c>
      <c r="T11" s="296">
        <f>+S11+F11</f>
        <v>0</v>
      </c>
    </row>
    <row r="14" spans="1:32">
      <c r="A14" s="279"/>
      <c r="B14" s="279"/>
      <c r="C14" s="279"/>
      <c r="D14" s="275"/>
      <c r="E14" s="232"/>
      <c r="F14" s="296"/>
      <c r="G14" s="296"/>
      <c r="H14" s="296"/>
      <c r="I14" s="296"/>
      <c r="J14" s="296"/>
      <c r="K14" s="296"/>
      <c r="L14" s="296"/>
      <c r="M14" s="296"/>
      <c r="N14" s="296"/>
      <c r="O14" s="296"/>
      <c r="P14" s="296"/>
      <c r="Q14" s="296"/>
      <c r="R14" s="296"/>
      <c r="S14" s="296"/>
      <c r="T14" s="296"/>
    </row>
    <row r="15" spans="1:32">
      <c r="A15" s="279"/>
      <c r="B15" s="279"/>
      <c r="C15" s="279"/>
      <c r="D15" s="275"/>
      <c r="E15" s="232"/>
      <c r="F15" s="296"/>
      <c r="G15" s="296">
        <f>+SUM(G8:G11)+F16</f>
        <v>-1082007.127564295</v>
      </c>
      <c r="H15" s="296">
        <f t="shared" ref="H15:R15" si="0">+SUM(H8:H11)+G15</f>
        <v>-948928.35394193663</v>
      </c>
      <c r="I15" s="296">
        <f t="shared" si="0"/>
        <v>-813370.14884214371</v>
      </c>
      <c r="J15" s="296">
        <f t="shared" si="0"/>
        <v>-687542.2978160762</v>
      </c>
      <c r="K15" s="296">
        <f t="shared" si="0"/>
        <v>-579507.14590468979</v>
      </c>
      <c r="L15" s="296">
        <f t="shared" si="0"/>
        <v>-482821.05648060481</v>
      </c>
      <c r="M15" s="296">
        <f t="shared" si="0"/>
        <v>-425720.47099636</v>
      </c>
      <c r="N15" s="296">
        <f t="shared" si="0"/>
        <v>-360187.6084373584</v>
      </c>
      <c r="O15" s="296">
        <f t="shared" si="0"/>
        <v>-281714.44239511783</v>
      </c>
      <c r="P15" s="296">
        <f t="shared" si="0"/>
        <v>-195065.19444438649</v>
      </c>
      <c r="Q15" s="296">
        <f t="shared" si="0"/>
        <v>-103351.80929722253</v>
      </c>
      <c r="R15" s="296">
        <f t="shared" si="0"/>
        <v>1.4260876923799515E-9</v>
      </c>
      <c r="S15" s="296">
        <f>SUM(S8:S11)</f>
        <v>1195513.1200000006</v>
      </c>
      <c r="T15" s="239"/>
    </row>
    <row r="16" spans="1:32" s="299" customFormat="1">
      <c r="A16" s="342" t="s">
        <v>183</v>
      </c>
      <c r="B16" s="343" t="s">
        <v>184</v>
      </c>
      <c r="D16" s="76"/>
      <c r="E16" s="309">
        <f>+SUM(E8:E11)</f>
        <v>9.8276924536324067E-4</v>
      </c>
      <c r="F16" s="310">
        <f>+SUM(F8:F11)</f>
        <v>-1195513.1199999996</v>
      </c>
      <c r="G16" s="310">
        <f>+SUM(G8:G11)</f>
        <v>113505.99243570471</v>
      </c>
      <c r="H16" s="310">
        <f t="shared" ref="H16:R16" si="1">+SUM(H8:H11)</f>
        <v>133078.77362235831</v>
      </c>
      <c r="I16" s="310">
        <f t="shared" si="1"/>
        <v>135558.20509979292</v>
      </c>
      <c r="J16" s="310">
        <f t="shared" si="1"/>
        <v>125827.85102606751</v>
      </c>
      <c r="K16" s="310">
        <f t="shared" si="1"/>
        <v>108035.15191138643</v>
      </c>
      <c r="L16" s="310">
        <f t="shared" si="1"/>
        <v>96686.089424084959</v>
      </c>
      <c r="M16" s="310">
        <f t="shared" si="1"/>
        <v>57100.585484244803</v>
      </c>
      <c r="N16" s="310">
        <f t="shared" si="1"/>
        <v>65532.862559001602</v>
      </c>
      <c r="O16" s="310">
        <f t="shared" si="1"/>
        <v>78473.16604224054</v>
      </c>
      <c r="P16" s="310">
        <f t="shared" si="1"/>
        <v>86649.24795073134</v>
      </c>
      <c r="Q16" s="310">
        <f t="shared" si="1"/>
        <v>91713.385147163965</v>
      </c>
      <c r="R16" s="310">
        <f t="shared" si="1"/>
        <v>103351.80929722395</v>
      </c>
      <c r="S16" s="311">
        <f>SUM(G16:R16)</f>
        <v>1195513.120000001</v>
      </c>
      <c r="T16" s="310">
        <f>+SUM(T9:T10)</f>
        <v>1.1641532182693481E-9</v>
      </c>
    </row>
    <row r="17" spans="1:31" s="299" customFormat="1">
      <c r="D17" s="76"/>
      <c r="E17" s="309"/>
      <c r="F17" s="310"/>
      <c r="G17" s="310"/>
      <c r="H17" s="312"/>
      <c r="I17" s="310"/>
      <c r="J17" s="310"/>
      <c r="K17" s="310"/>
      <c r="L17" s="310"/>
      <c r="M17" s="310"/>
      <c r="N17" s="310"/>
      <c r="O17" s="310"/>
      <c r="P17" s="310"/>
      <c r="Q17" s="310"/>
      <c r="R17" s="310"/>
      <c r="S17" s="313"/>
      <c r="T17" s="310"/>
    </row>
    <row r="18" spans="1:31">
      <c r="F18" s="238"/>
      <c r="G18" s="238"/>
      <c r="H18" s="314"/>
      <c r="I18" s="238"/>
      <c r="J18" s="238"/>
      <c r="K18" s="238"/>
      <c r="L18" s="238"/>
      <c r="M18" s="238"/>
      <c r="N18" s="238"/>
      <c r="O18" s="238"/>
      <c r="P18" s="238"/>
      <c r="Q18" s="238"/>
      <c r="R18" s="238"/>
      <c r="S18" s="238"/>
      <c r="T18" s="238"/>
    </row>
    <row r="19" spans="1:31">
      <c r="B19" s="299" t="s">
        <v>185</v>
      </c>
      <c r="F19" s="238"/>
      <c r="G19" s="238"/>
      <c r="H19" s="314"/>
      <c r="I19" s="238"/>
      <c r="J19" s="238"/>
      <c r="K19" s="238"/>
      <c r="L19" s="238"/>
      <c r="M19" s="238"/>
      <c r="N19" s="238"/>
      <c r="O19" s="238"/>
      <c r="P19" s="238"/>
      <c r="Q19" s="238"/>
      <c r="R19" s="238"/>
      <c r="S19" s="238"/>
      <c r="T19" s="238"/>
    </row>
    <row r="20" spans="1:31" s="299" customFormat="1">
      <c r="B20" s="315" t="s">
        <v>186</v>
      </c>
      <c r="C20" s="316">
        <f>'Int calc thru 10-31-2024'!D7</f>
        <v>5.4399999999999997E-2</v>
      </c>
      <c r="D20" s="76"/>
      <c r="E20" s="317"/>
      <c r="F20" s="317"/>
      <c r="G20" s="317">
        <f t="shared" ref="G20:R20" si="2">$C20*DAY(DATE(YEAR(G7),MONTH(G7)+1,DAY(1))-1)/365</f>
        <v>4.4712328767123281E-3</v>
      </c>
      <c r="H20" s="318">
        <f t="shared" si="2"/>
        <v>4.6202739726027391E-3</v>
      </c>
      <c r="I20" s="317">
        <f t="shared" si="2"/>
        <v>4.6202739726027391E-3</v>
      </c>
      <c r="J20" s="317">
        <f t="shared" si="2"/>
        <v>4.1731506849315069E-3</v>
      </c>
      <c r="K20" s="317">
        <f t="shared" si="2"/>
        <v>4.6202739726027391E-3</v>
      </c>
      <c r="L20" s="317">
        <f t="shared" si="2"/>
        <v>4.4712328767123281E-3</v>
      </c>
      <c r="M20" s="317">
        <f t="shared" si="2"/>
        <v>4.6202739726027391E-3</v>
      </c>
      <c r="N20" s="317">
        <f t="shared" si="2"/>
        <v>4.4712328767123281E-3</v>
      </c>
      <c r="O20" s="317">
        <f t="shared" si="2"/>
        <v>4.6202739726027391E-3</v>
      </c>
      <c r="P20" s="317">
        <f t="shared" si="2"/>
        <v>4.6202739726027391E-3</v>
      </c>
      <c r="Q20" s="317">
        <f t="shared" si="2"/>
        <v>4.4712328767123281E-3</v>
      </c>
      <c r="R20" s="317">
        <f t="shared" si="2"/>
        <v>4.6202739726027391E-3</v>
      </c>
      <c r="S20" s="319" t="s">
        <v>187</v>
      </c>
      <c r="T20" s="317"/>
      <c r="U20" s="317"/>
      <c r="V20" s="317"/>
      <c r="W20" s="317"/>
      <c r="X20" s="317"/>
      <c r="Y20" s="317"/>
      <c r="Z20" s="317"/>
      <c r="AA20" s="317"/>
      <c r="AB20" s="317"/>
      <c r="AC20" s="317"/>
      <c r="AD20" s="317"/>
      <c r="AE20" s="319"/>
    </row>
    <row r="21" spans="1:31">
      <c r="A21" s="257" t="str">
        <f t="shared" ref="A21:D24" si="3">+A8</f>
        <v>47WA.1823.2073</v>
      </c>
      <c r="B21" s="257" t="str">
        <f t="shared" si="3"/>
        <v>WA Cares EDP-AMP Bill Discounts (Current)</v>
      </c>
      <c r="C21" s="279" t="str">
        <f t="shared" si="3"/>
        <v>ALL</v>
      </c>
      <c r="D21" s="256">
        <f t="shared" si="3"/>
        <v>8</v>
      </c>
      <c r="F21" s="238"/>
      <c r="G21" s="296">
        <f>+G$20*F8</f>
        <v>4042.4866691506845</v>
      </c>
      <c r="H21" s="320">
        <f>+H$20*(G8+F8)</f>
        <v>3780.6355222111752</v>
      </c>
      <c r="I21" s="320">
        <f>+I$20*(H8+G8+F8)</f>
        <v>3315.6456658674706</v>
      </c>
      <c r="J21" s="320">
        <f>+J$20*(I8+H8+G8+F8)</f>
        <v>2566.9609142620811</v>
      </c>
      <c r="K21" s="320">
        <f>+K$20*(J8+I8+H8+G8+F8)</f>
        <v>2402.3379956817307</v>
      </c>
      <c r="L21" s="320">
        <f>+L$20*(K8+J8+I8+H8+G8+F8)</f>
        <v>1959.5350923436736</v>
      </c>
      <c r="M21" s="320">
        <f>+M$20*(L8+K8+J8+I8+F8+G8+H8)</f>
        <v>1687.0225625141638</v>
      </c>
      <c r="N21" s="320">
        <f>+N$20*(M8+L8+K8+J8+I8+H8+G8+F8)</f>
        <v>1439.5235819639863</v>
      </c>
      <c r="O21" s="320">
        <f>+O$20*(N8+M8+L8+K8+J8+I8+H8+G8+F8)</f>
        <v>1258.5296643876818</v>
      </c>
      <c r="P21" s="320">
        <f>+P$20*(O8+N8+M8+L8+K8+J8+I8+H8+G8+F8)</f>
        <v>984.33697977244935</v>
      </c>
      <c r="Q21" s="320">
        <f>+Q$20*(P8+O8+N8+M8+L8+K8+J8+I8+H8+G8+F8)</f>
        <v>659.58995762148163</v>
      </c>
      <c r="R21" s="320">
        <f>+R$20*(Q8+P8+O8+N8+M8+L8+K8+J8+I8+H8+G8+F8)</f>
        <v>361.12102366041313</v>
      </c>
      <c r="S21" s="296">
        <f>+SUM(G21:R21)</f>
        <v>24457.725629436994</v>
      </c>
      <c r="T21" s="320"/>
      <c r="U21" s="320"/>
      <c r="V21" s="320"/>
      <c r="W21" s="320"/>
      <c r="X21" s="320"/>
      <c r="Y21" s="320"/>
      <c r="Z21" s="320"/>
      <c r="AA21" s="320"/>
      <c r="AB21" s="320"/>
      <c r="AC21" s="320"/>
      <c r="AD21" s="320"/>
      <c r="AE21" s="308"/>
    </row>
    <row r="22" spans="1:31">
      <c r="A22" s="257" t="str">
        <f t="shared" si="3"/>
        <v>47WA.1823.2074</v>
      </c>
      <c r="B22" s="257" t="str">
        <f t="shared" si="3"/>
        <v>WA Cares EDP-AMP Admin Costs (Current)</v>
      </c>
      <c r="C22" s="279" t="str">
        <f t="shared" si="3"/>
        <v>ALL</v>
      </c>
      <c r="D22" s="256">
        <f t="shared" si="3"/>
        <v>8</v>
      </c>
      <c r="F22" s="238"/>
      <c r="G22" s="296">
        <f>+G$20*F9</f>
        <v>3679.63628449315</v>
      </c>
      <c r="H22" s="320">
        <f>+H$20*(G9+F9)</f>
        <v>3441.2886880081387</v>
      </c>
      <c r="I22" s="320">
        <f>+I$20*(H9+G9+F9)</f>
        <v>3018.0359509291002</v>
      </c>
      <c r="J22" s="320">
        <f>+J$20*(I9+H9+G9+F9)</f>
        <v>2336.552546499538</v>
      </c>
      <c r="K22" s="320">
        <f>+K$20*(J9+I9+H9+G9+F9)</f>
        <v>2186.7060500125913</v>
      </c>
      <c r="L22" s="320">
        <f>+L$20*(K9+J9+I9+H9+G9+F9)</f>
        <v>1783.6487827034209</v>
      </c>
      <c r="M22" s="320">
        <f>+M$20*(L9+K9+J9+I9+F9+G9+H9)</f>
        <v>1535.5967605676597</v>
      </c>
      <c r="N22" s="320">
        <f>+N$20*(M9+L9+K9+J9+I9+H9+G9+F9)</f>
        <v>1310.3130914445569</v>
      </c>
      <c r="O22" s="320">
        <f>+O$20*(N9+M9+L9+K9+J9+I9+H9+G9+F9)</f>
        <v>1145.5650437963857</v>
      </c>
      <c r="P22" s="320">
        <f>+P$20*(O9+N9+M9+L9+K9+J9+I9+H9+G9+F9)</f>
        <v>895.98367623067247</v>
      </c>
      <c r="Q22" s="320">
        <f>+Q$20*(P9+O9+N9+M9+L9+K9+J9+I9+H9+G9+F9)</f>
        <v>600.38568821334695</v>
      </c>
      <c r="R22" s="320">
        <f>+R$20*(Q9+P9+O9+N9+M9+L9+K9+J9+I9+H9+G9+F9)</f>
        <v>328.70708811350335</v>
      </c>
      <c r="S22" s="296">
        <f>+SUM(G22:R22)</f>
        <v>22262.419651012067</v>
      </c>
      <c r="T22" s="238"/>
    </row>
    <row r="23" spans="1:31">
      <c r="A23" s="257" t="str">
        <f t="shared" si="3"/>
        <v>47WA.1823.2075</v>
      </c>
      <c r="B23" s="257" t="str">
        <f t="shared" si="3"/>
        <v>WA Cares EDP-AMP Arrears Forgiveness (Current)</v>
      </c>
      <c r="C23" s="279" t="str">
        <f t="shared" si="3"/>
        <v>ALL</v>
      </c>
      <c r="D23" s="256">
        <f t="shared" si="3"/>
        <v>8</v>
      </c>
      <c r="F23" s="238"/>
      <c r="G23" s="296">
        <f>+G$20*F10</f>
        <v>1643.1492874520545</v>
      </c>
      <c r="H23" s="320">
        <f>+H$20*(G10+F10)</f>
        <v>1536.7146691772205</v>
      </c>
      <c r="I23" s="320">
        <f>+I$20*(H10+G10+F10)</f>
        <v>1347.7102732062333</v>
      </c>
      <c r="J23" s="320">
        <f>+J$20*(I10+H10+G10+F10)</f>
        <v>1043.3924320332219</v>
      </c>
      <c r="K23" s="320">
        <f>+K$20*(J10+I10+H10+G10+F10)</f>
        <v>976.47816527067721</v>
      </c>
      <c r="L23" s="320">
        <f>+L$20*(K10+J10+I10+H10+G10+F10)</f>
        <v>796.49209861173767</v>
      </c>
      <c r="M23" s="320">
        <f>+M$20*(L10+K10+J10+I10+F10+G10+H10)</f>
        <v>685.72394874293582</v>
      </c>
      <c r="N23" s="320">
        <f>+N$20*(M10+L10+K10+J10+I10+H10+G10+F10)</f>
        <v>585.12305458548508</v>
      </c>
      <c r="O23" s="320">
        <f>+O$20*(N10+M10+L10+K10+J10+I10+H10+G10+F10)</f>
        <v>511.55446895026159</v>
      </c>
      <c r="P23" s="320">
        <f>+P$20*(O10+N10+M10+L10+K10+J10+I10+H10+G10+F10)</f>
        <v>400.10338667749278</v>
      </c>
      <c r="Q23" s="320">
        <f>+Q$20*(P10+O10+N10+M10+L10+K10+J10+I10+H10+G10+F10)</f>
        <v>268.10348619009062</v>
      </c>
      <c r="R23" s="320">
        <f>+R$20*(Q10+P10+O10+N10+M10+L10+K10+J10+I10+H10+G10+F10)</f>
        <v>146.78483846088426</v>
      </c>
      <c r="S23" s="296">
        <f>+SUM(G23:R23)</f>
        <v>9941.3301093582941</v>
      </c>
      <c r="T23" s="238"/>
    </row>
    <row r="24" spans="1:31">
      <c r="A24" s="257" t="str">
        <f t="shared" si="3"/>
        <v>47WA.1823.2076</v>
      </c>
      <c r="B24" s="257" t="str">
        <f t="shared" si="3"/>
        <v>WA Cares (EDP-AMP) Recovery</v>
      </c>
      <c r="C24" s="279" t="str">
        <f t="shared" si="3"/>
        <v>ALL</v>
      </c>
      <c r="D24" s="256">
        <f t="shared" si="3"/>
        <v>8</v>
      </c>
      <c r="G24" s="296">
        <f>+G$20*F11</f>
        <v>-14710.689807780818</v>
      </c>
      <c r="H24" s="320">
        <f>+H$20*(G11+F11)</f>
        <v>-13757.808249052499</v>
      </c>
      <c r="I24" s="320">
        <f>+I$20*(H11+G11+F11)</f>
        <v>-12065.700865585493</v>
      </c>
      <c r="J24" s="320">
        <f>+J$20*(I11+H11+G11+F11)</f>
        <v>-9341.2220865382751</v>
      </c>
      <c r="K24" s="320">
        <f>+K$20*(J11+I11+H11+G11+F11)</f>
        <v>-8742.1559946280977</v>
      </c>
      <c r="L24" s="320">
        <f>+L$20*(K11+J11+I11+H11+G11+F11)</f>
        <v>-7130.7873767176097</v>
      </c>
      <c r="M24" s="320">
        <f>+M$20*(L11+K11+J11+I11+F11+G11+H11)</f>
        <v>-6139.1088325066539</v>
      </c>
      <c r="N24" s="320">
        <f>+N$20*(M11+L11+K11+J11+I11+H11+G11+F11)</f>
        <v>-5238.4550942024107</v>
      </c>
      <c r="O24" s="320">
        <f>+O$20*(N11+M11+L11+K11+J11+I11+H11+G11+F11)</f>
        <v>-4579.8146096514829</v>
      </c>
      <c r="P24" s="320">
        <f>+P$20*(O11+N11+M11+L11+K11+J11+I11+H11+G11+F11)</f>
        <v>-3582.0219485850721</v>
      </c>
      <c r="Q24" s="320">
        <f>+Q$20*(P11+O11+N11+M11+L11+K11+J11+I11+H11+G11+F11)</f>
        <v>-2400.2610425269445</v>
      </c>
      <c r="R24" s="320">
        <f>+R$20*(Q11+P11+O11+N11+M11+L11+K11+J11+I11+H11+G11+F11)</f>
        <v>-1314.1266247521598</v>
      </c>
      <c r="S24" s="296">
        <f>+SUM(G24:R24)</f>
        <v>-89002.1525325275</v>
      </c>
    </row>
    <row r="25" spans="1:31">
      <c r="C25" s="279"/>
      <c r="F25" s="238"/>
      <c r="G25" s="239"/>
      <c r="H25" s="321"/>
      <c r="I25" s="321"/>
      <c r="J25" s="321"/>
      <c r="K25" s="321"/>
      <c r="L25" s="321"/>
      <c r="M25" s="321"/>
      <c r="N25" s="321"/>
      <c r="O25" s="321"/>
      <c r="P25" s="321"/>
      <c r="Q25" s="321"/>
      <c r="R25" s="321"/>
      <c r="S25" s="239"/>
      <c r="T25" s="238"/>
    </row>
    <row r="26" spans="1:31" s="299" customFormat="1">
      <c r="A26" s="5" t="str">
        <f>+A16</f>
        <v>All Class</v>
      </c>
      <c r="B26" s="257" t="str">
        <f>+B16</f>
        <v>Total CARES</v>
      </c>
      <c r="D26" s="76"/>
      <c r="F26" s="322"/>
      <c r="G26" s="312">
        <f>+SUM(G21:G24)</f>
        <v>-5345.4175666849296</v>
      </c>
      <c r="H26" s="312">
        <f>+SUM(H21:H24)</f>
        <v>-4999.1693696559651</v>
      </c>
      <c r="I26" s="312">
        <f t="shared" ref="I26:S26" si="4">+SUM(I21:I24)</f>
        <v>-4384.3089755826895</v>
      </c>
      <c r="J26" s="312">
        <f t="shared" si="4"/>
        <v>-3394.3161937434343</v>
      </c>
      <c r="K26" s="312">
        <f t="shared" si="4"/>
        <v>-3176.6337836630992</v>
      </c>
      <c r="L26" s="312">
        <f t="shared" si="4"/>
        <v>-2591.1114030587778</v>
      </c>
      <c r="M26" s="312">
        <f t="shared" si="4"/>
        <v>-2230.7655606818944</v>
      </c>
      <c r="N26" s="312">
        <f t="shared" si="4"/>
        <v>-1903.4953662083826</v>
      </c>
      <c r="O26" s="312">
        <f t="shared" si="4"/>
        <v>-1664.1654325171535</v>
      </c>
      <c r="P26" s="312">
        <f t="shared" si="4"/>
        <v>-1301.5979059044575</v>
      </c>
      <c r="Q26" s="312">
        <f t="shared" si="4"/>
        <v>-872.1819105020254</v>
      </c>
      <c r="R26" s="312">
        <f t="shared" si="4"/>
        <v>-477.51367451735905</v>
      </c>
      <c r="S26" s="312">
        <f t="shared" si="4"/>
        <v>-32340.677142720146</v>
      </c>
      <c r="T26" s="323"/>
    </row>
    <row r="27" spans="1:31">
      <c r="F27" s="238"/>
      <c r="G27" s="324"/>
      <c r="H27" s="324"/>
      <c r="I27" s="324"/>
      <c r="J27" s="324"/>
      <c r="K27" s="324"/>
      <c r="L27" s="324"/>
      <c r="M27" s="324"/>
      <c r="N27" s="324"/>
      <c r="O27" s="324"/>
      <c r="P27" s="324"/>
      <c r="Q27" s="324"/>
      <c r="R27" s="324"/>
      <c r="S27" s="324"/>
      <c r="T27" s="325"/>
    </row>
    <row r="28" spans="1:31" ht="15.75" thickBot="1">
      <c r="A28" s="326"/>
      <c r="B28" s="326"/>
      <c r="C28" s="326"/>
      <c r="D28" s="327"/>
      <c r="E28" s="326"/>
      <c r="F28" s="326"/>
      <c r="G28" s="326"/>
      <c r="H28" s="326"/>
      <c r="I28" s="326"/>
      <c r="J28" s="326"/>
      <c r="K28" s="326"/>
      <c r="L28" s="326"/>
      <c r="M28" s="326"/>
      <c r="N28" s="326"/>
      <c r="O28" s="326"/>
      <c r="P28" s="326"/>
      <c r="Q28" s="326"/>
      <c r="R28" s="326"/>
      <c r="S28" s="326"/>
      <c r="T28" s="326"/>
    </row>
  </sheetData>
  <mergeCells count="3">
    <mergeCell ref="G1:K1"/>
    <mergeCell ref="G3:K3"/>
    <mergeCell ref="G6:I6"/>
  </mergeCells>
  <printOptions horizontalCentered="1"/>
  <pageMargins left="0.25" right="0.25" top="1" bottom="1" header="0.5" footer="0.5"/>
  <pageSetup scale="39" orientation="landscape" r:id="rId1"/>
  <headerFooter scaleWithDoc="0" alignWithMargins="0">
    <oddFooter>&amp;L
&amp;A&amp;R&amp;P/&amp;N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C55E95-104D-4AAD-B51D-1762777796D7}">
  <sheetPr>
    <pageSetUpPr fitToPage="1"/>
  </sheetPr>
  <dimension ref="A1:G15"/>
  <sheetViews>
    <sheetView workbookViewId="0">
      <selection activeCell="K30" sqref="K30"/>
    </sheetView>
  </sheetViews>
  <sheetFormatPr defaultColWidth="8" defaultRowHeight="15"/>
  <cols>
    <col min="1" max="1" width="24.5703125" style="257" bestFit="1" customWidth="1"/>
    <col min="2" max="2" width="56.7109375" style="257" bestFit="1" customWidth="1"/>
    <col min="3" max="3" width="15.5703125" style="257" customWidth="1"/>
    <col min="4" max="4" width="13.5703125" style="257" bestFit="1" customWidth="1"/>
    <col min="5" max="5" width="1.42578125" style="257" customWidth="1"/>
    <col min="6" max="6" width="14.42578125" style="257" customWidth="1"/>
    <col min="7" max="7" width="15.140625" style="257" bestFit="1" customWidth="1"/>
    <col min="8" max="16384" width="8" style="257"/>
  </cols>
  <sheetData>
    <row r="1" spans="1:7">
      <c r="B1" s="396" t="s">
        <v>66</v>
      </c>
      <c r="C1" s="396"/>
      <c r="D1" s="396"/>
      <c r="E1" s="36"/>
      <c r="F1" s="36"/>
    </row>
    <row r="2" spans="1:7">
      <c r="B2" s="396" t="s">
        <v>188</v>
      </c>
      <c r="C2" s="396"/>
      <c r="D2" s="396"/>
      <c r="E2" s="36"/>
      <c r="F2" s="36"/>
    </row>
    <row r="3" spans="1:7">
      <c r="B3" s="396" t="s">
        <v>69</v>
      </c>
      <c r="C3" s="396"/>
      <c r="D3" s="396"/>
      <c r="E3" s="36"/>
      <c r="F3" s="36"/>
    </row>
    <row r="6" spans="1:7" s="299" customFormat="1">
      <c r="A6" s="289" t="s">
        <v>189</v>
      </c>
      <c r="C6" s="328">
        <v>45565</v>
      </c>
      <c r="D6" s="328">
        <v>45596</v>
      </c>
      <c r="E6" s="328"/>
      <c r="F6" s="76" t="s">
        <v>187</v>
      </c>
    </row>
    <row r="7" spans="1:7">
      <c r="A7" s="329" t="s">
        <v>190</v>
      </c>
      <c r="B7" s="330"/>
      <c r="C7" s="338">
        <v>5.4399999999999997E-2</v>
      </c>
      <c r="D7" s="338">
        <v>5.4399999999999997E-2</v>
      </c>
      <c r="E7" s="331"/>
      <c r="F7" s="290" t="s">
        <v>191</v>
      </c>
    </row>
    <row r="8" spans="1:7">
      <c r="A8" s="329" t="s">
        <v>192</v>
      </c>
      <c r="B8" s="290"/>
      <c r="C8" s="332">
        <f>ROUND(C7/365*30,6)</f>
        <v>4.4710000000000001E-3</v>
      </c>
      <c r="D8" s="332">
        <f>ROUND(D7/365*31,6)</f>
        <v>4.62E-3</v>
      </c>
      <c r="E8" s="332"/>
      <c r="F8" s="333">
        <v>45596</v>
      </c>
    </row>
    <row r="9" spans="1:7">
      <c r="A9" s="334" t="s">
        <v>193</v>
      </c>
      <c r="B9" s="335" t="s">
        <v>80</v>
      </c>
      <c r="C9" s="260"/>
      <c r="D9" s="238"/>
    </row>
    <row r="10" spans="1:7">
      <c r="A10" s="279" t="s">
        <v>169</v>
      </c>
      <c r="B10" s="279" t="s">
        <v>42</v>
      </c>
      <c r="C10" s="295">
        <f>ROUND('CARES Deferral Balances'!B20*C$8,2)</f>
        <v>4005.78</v>
      </c>
      <c r="D10" s="295">
        <f>ROUND(EstimatedBalances!D10*$D$8,2)</f>
        <v>4157.78</v>
      </c>
      <c r="E10" s="295"/>
      <c r="F10" s="295">
        <f>SUM(C10:D10)</f>
        <v>8163.5599999999995</v>
      </c>
      <c r="G10" s="260"/>
    </row>
    <row r="11" spans="1:7">
      <c r="A11" s="279" t="s">
        <v>170</v>
      </c>
      <c r="B11" s="279" t="s">
        <v>43</v>
      </c>
      <c r="C11" s="295">
        <f>ROUND('CARES Deferral Balances'!C20*C$8,2)</f>
        <v>3646.22</v>
      </c>
      <c r="D11" s="295">
        <f>ROUND(EstimatedBalances!D11*$D$8,2)</f>
        <v>3784.58</v>
      </c>
      <c r="E11" s="295"/>
      <c r="F11" s="295">
        <f>SUM(C11:D11)</f>
        <v>7430.7999999999993</v>
      </c>
      <c r="G11" s="260"/>
    </row>
    <row r="12" spans="1:7">
      <c r="A12" s="279" t="s">
        <v>171</v>
      </c>
      <c r="B12" s="279" t="s">
        <v>44</v>
      </c>
      <c r="C12" s="295">
        <f>ROUND('CARES Deferral Balances'!D20*C$8,2)</f>
        <v>1628.23</v>
      </c>
      <c r="D12" s="295">
        <f>ROUND(EstimatedBalances!D12*$D$8,2)</f>
        <v>1690.01</v>
      </c>
      <c r="E12" s="295"/>
      <c r="F12" s="295">
        <f>SUM(C12:D12)</f>
        <v>3318.24</v>
      </c>
      <c r="G12" s="260"/>
    </row>
    <row r="13" spans="1:7">
      <c r="A13" s="279" t="s">
        <v>172</v>
      </c>
      <c r="B13" s="279" t="s">
        <v>45</v>
      </c>
      <c r="C13" s="295">
        <f>ROUND('CARES Deferral Balances'!E20*C$8,2)</f>
        <v>-14577.1</v>
      </c>
      <c r="D13" s="295">
        <f>ROUND(EstimatedBalances!D13*$D$8,2)</f>
        <v>-15130.24</v>
      </c>
      <c r="E13" s="295"/>
      <c r="F13" s="295">
        <f>SUM(C13:D13)</f>
        <v>-29707.34</v>
      </c>
      <c r="G13" s="260"/>
    </row>
    <row r="14" spans="1:7" ht="15.75" thickBot="1">
      <c r="A14" s="299" t="s">
        <v>187</v>
      </c>
      <c r="C14" s="336">
        <f>SUM(C10:C13)</f>
        <v>-5296.8700000000008</v>
      </c>
      <c r="D14" s="336">
        <f>SUM(D10:D13)</f>
        <v>-5497.8700000000008</v>
      </c>
      <c r="E14" s="336"/>
      <c r="F14" s="336">
        <f>SUM(F10:F13)</f>
        <v>-10794.740000000002</v>
      </c>
    </row>
    <row r="15" spans="1:7" ht="15.75" thickTop="1">
      <c r="A15" s="299"/>
      <c r="C15" s="337"/>
      <c r="D15" s="337"/>
      <c r="E15" s="337"/>
      <c r="F15" s="337"/>
    </row>
  </sheetData>
  <mergeCells count="3">
    <mergeCell ref="B1:D1"/>
    <mergeCell ref="B2:D2"/>
    <mergeCell ref="B3:D3"/>
  </mergeCells>
  <printOptions horizontalCentered="1"/>
  <pageMargins left="0.25" right="0.25" top="1" bottom="1" header="0.5" footer="0.5"/>
  <pageSetup orientation="landscape" r:id="rId1"/>
  <headerFooter alignWithMargins="0">
    <oddFooter>&amp;L
&amp;A&amp;R&amp;P/&amp;N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2F76AF-7D66-4C89-833B-30AFB73E5CA0}">
  <dimension ref="A1:L49"/>
  <sheetViews>
    <sheetView topLeftCell="A25" workbookViewId="0">
      <selection activeCell="K47" sqref="K47"/>
    </sheetView>
  </sheetViews>
  <sheetFormatPr defaultColWidth="9.85546875" defaultRowHeight="15"/>
  <cols>
    <col min="1" max="1" width="1.42578125" style="8" customWidth="1"/>
    <col min="2" max="2" width="4.7109375" style="7" customWidth="1"/>
    <col min="3" max="3" width="12.5703125" style="8" customWidth="1"/>
    <col min="4" max="4" width="16.42578125" style="8" customWidth="1"/>
    <col min="5" max="5" width="8.7109375" style="7" bestFit="1" customWidth="1"/>
    <col min="6" max="6" width="13.140625" style="8" bestFit="1" customWidth="1"/>
    <col min="7" max="7" width="13.42578125" style="8" customWidth="1"/>
    <col min="8" max="8" width="1.85546875" style="8" customWidth="1"/>
    <col min="9" max="9" width="16.28515625" style="8" bestFit="1" customWidth="1"/>
    <col min="10" max="10" width="1.85546875" style="8" customWidth="1"/>
    <col min="11" max="12" width="12.28515625" style="8" bestFit="1" customWidth="1"/>
    <col min="13" max="13" width="4.5703125" style="8" customWidth="1"/>
    <col min="14" max="16384" width="9.85546875" style="8"/>
  </cols>
  <sheetData>
    <row r="1" spans="1:12" ht="18" customHeight="1">
      <c r="A1" s="6"/>
      <c r="C1" s="396" t="s">
        <v>66</v>
      </c>
      <c r="D1" s="396"/>
      <c r="E1" s="396"/>
      <c r="F1" s="396"/>
      <c r="G1" s="396"/>
      <c r="H1" s="396"/>
      <c r="I1" s="396"/>
      <c r="J1" s="396"/>
    </row>
    <row r="2" spans="1:12">
      <c r="C2" s="399" t="s">
        <v>194</v>
      </c>
      <c r="D2" s="401"/>
      <c r="E2" s="401"/>
      <c r="F2" s="401"/>
      <c r="G2" s="401"/>
      <c r="H2" s="401"/>
      <c r="I2" s="401"/>
      <c r="J2" s="401"/>
    </row>
    <row r="3" spans="1:12">
      <c r="C3" s="399" t="s">
        <v>195</v>
      </c>
      <c r="D3" s="401"/>
      <c r="E3" s="401"/>
      <c r="F3" s="401"/>
      <c r="G3" s="401"/>
      <c r="H3" s="401"/>
      <c r="I3" s="401"/>
      <c r="J3" s="401"/>
    </row>
    <row r="4" spans="1:12">
      <c r="C4" s="396" t="s">
        <v>69</v>
      </c>
      <c r="D4" s="401"/>
      <c r="E4" s="401"/>
      <c r="F4" s="401"/>
      <c r="G4" s="401"/>
      <c r="H4" s="401"/>
      <c r="I4" s="401"/>
      <c r="J4" s="401"/>
    </row>
    <row r="5" spans="1:12" ht="6" customHeight="1"/>
    <row r="6" spans="1:12">
      <c r="B6" s="9"/>
      <c r="C6" s="10"/>
      <c r="D6" s="10"/>
      <c r="E6" s="9"/>
      <c r="F6" s="9"/>
      <c r="G6" s="9"/>
      <c r="I6" s="9"/>
    </row>
    <row r="7" spans="1:12">
      <c r="B7" s="11" t="s">
        <v>71</v>
      </c>
      <c r="C7" s="7"/>
      <c r="D7" s="7"/>
      <c r="E7" s="11" t="s">
        <v>72</v>
      </c>
      <c r="F7" s="11" t="s">
        <v>73</v>
      </c>
      <c r="G7" s="11" t="s">
        <v>196</v>
      </c>
      <c r="H7" s="7"/>
      <c r="I7" s="11" t="s">
        <v>75</v>
      </c>
      <c r="J7" s="7"/>
      <c r="K7" s="7"/>
      <c r="L7" s="7"/>
    </row>
    <row r="8" spans="1:12">
      <c r="B8" s="11" t="s">
        <v>79</v>
      </c>
      <c r="C8" s="12"/>
      <c r="D8" s="7" t="s">
        <v>80</v>
      </c>
      <c r="E8" s="11" t="s">
        <v>81</v>
      </c>
      <c r="F8" s="11" t="s">
        <v>82</v>
      </c>
      <c r="G8" s="11" t="s">
        <v>83</v>
      </c>
      <c r="H8" s="7"/>
      <c r="I8" s="11" t="s">
        <v>84</v>
      </c>
      <c r="J8" s="7"/>
      <c r="K8" s="7"/>
      <c r="L8" s="7"/>
    </row>
    <row r="9" spans="1:12">
      <c r="B9" s="11"/>
      <c r="C9" s="12"/>
      <c r="D9" s="7" t="s">
        <v>36</v>
      </c>
      <c r="E9" s="13" t="s">
        <v>37</v>
      </c>
      <c r="F9" s="13" t="s">
        <v>38</v>
      </c>
      <c r="G9" s="13" t="s">
        <v>39</v>
      </c>
      <c r="H9" s="7"/>
      <c r="I9" s="13" t="s">
        <v>86</v>
      </c>
      <c r="J9" s="7"/>
      <c r="K9" s="7"/>
      <c r="L9" s="7"/>
    </row>
    <row r="10" spans="1:12">
      <c r="B10" s="14"/>
      <c r="C10" s="15" t="s">
        <v>90</v>
      </c>
      <c r="D10" s="16"/>
      <c r="E10" s="14"/>
      <c r="F10" s="16"/>
      <c r="G10" s="16"/>
      <c r="I10" s="17"/>
    </row>
    <row r="11" spans="1:12">
      <c r="B11" s="9"/>
      <c r="C11" s="18" t="s">
        <v>114</v>
      </c>
      <c r="D11" s="19"/>
      <c r="E11" s="20"/>
      <c r="F11" s="10"/>
      <c r="G11" s="21"/>
      <c r="I11" s="21"/>
    </row>
    <row r="12" spans="1:12">
      <c r="B12" s="11">
        <v>1</v>
      </c>
      <c r="C12" s="22" t="s">
        <v>197</v>
      </c>
      <c r="D12" s="23"/>
      <c r="E12" s="24">
        <v>503</v>
      </c>
      <c r="F12" s="25">
        <v>204189</v>
      </c>
      <c r="G12" s="26">
        <v>122238548</v>
      </c>
      <c r="I12" s="27">
        <f>180894056.86+2819119</f>
        <v>183713175.86000001</v>
      </c>
      <c r="K12" s="28"/>
      <c r="L12" s="29"/>
    </row>
    <row r="13" spans="1:12">
      <c r="B13" s="11">
        <v>2</v>
      </c>
      <c r="C13" s="22"/>
      <c r="D13" s="23"/>
      <c r="E13" s="24"/>
      <c r="F13" s="25"/>
      <c r="G13" s="26"/>
      <c r="I13" s="27"/>
      <c r="K13" s="28"/>
      <c r="L13" s="29"/>
    </row>
    <row r="14" spans="1:12">
      <c r="B14" s="11">
        <v>3</v>
      </c>
      <c r="C14" s="30" t="s">
        <v>198</v>
      </c>
      <c r="E14" s="11">
        <v>503</v>
      </c>
      <c r="F14" s="25"/>
      <c r="G14" s="26">
        <v>1709750</v>
      </c>
      <c r="H14" s="28"/>
      <c r="I14" s="27">
        <v>2892288.17</v>
      </c>
      <c r="J14" s="28"/>
      <c r="K14" s="28"/>
      <c r="L14" s="29"/>
    </row>
    <row r="15" spans="1:12">
      <c r="B15" s="11">
        <v>4</v>
      </c>
      <c r="C15" s="31" t="s">
        <v>199</v>
      </c>
      <c r="D15" s="32"/>
      <c r="E15" s="13">
        <v>503</v>
      </c>
      <c r="F15" s="33"/>
      <c r="G15" s="34">
        <v>-1455032</v>
      </c>
      <c r="H15" s="28"/>
      <c r="I15" s="35">
        <v>-2335339.27</v>
      </c>
      <c r="J15" s="28"/>
      <c r="K15" s="28"/>
      <c r="L15" s="29"/>
    </row>
    <row r="16" spans="1:12" s="36" customFormat="1">
      <c r="B16" s="11">
        <v>5</v>
      </c>
      <c r="C16" s="37" t="s">
        <v>200</v>
      </c>
      <c r="D16" s="38"/>
      <c r="E16" s="39"/>
      <c r="F16" s="40">
        <f>SUM(F12:F15)</f>
        <v>204189</v>
      </c>
      <c r="G16" s="41">
        <f>SUM(G12:G15)</f>
        <v>122493266</v>
      </c>
      <c r="H16" s="42"/>
      <c r="I16" s="43">
        <f>SUM(I12:I15)</f>
        <v>184270124.75999999</v>
      </c>
      <c r="J16" s="42"/>
      <c r="K16" s="42"/>
      <c r="L16" s="44"/>
    </row>
    <row r="17" spans="2:12">
      <c r="B17" s="11">
        <v>6</v>
      </c>
      <c r="C17" s="18" t="s">
        <v>115</v>
      </c>
      <c r="D17" s="23"/>
      <c r="E17" s="24"/>
      <c r="F17" s="28"/>
      <c r="G17" s="26"/>
      <c r="H17" s="28"/>
      <c r="I17" s="27"/>
      <c r="K17" s="28"/>
      <c r="L17" s="45"/>
    </row>
    <row r="18" spans="2:12">
      <c r="B18" s="11">
        <v>7</v>
      </c>
      <c r="C18" s="46" t="s">
        <v>197</v>
      </c>
      <c r="D18" s="23"/>
      <c r="E18" s="24" t="s">
        <v>94</v>
      </c>
      <c r="F18" s="28">
        <v>27579</v>
      </c>
      <c r="G18" s="26">
        <v>90523524</v>
      </c>
      <c r="H18" s="28"/>
      <c r="I18" s="27">
        <v>123747537.20999999</v>
      </c>
      <c r="K18" s="28"/>
      <c r="L18" s="29"/>
    </row>
    <row r="19" spans="2:12">
      <c r="B19" s="11">
        <v>8</v>
      </c>
      <c r="C19" s="46" t="s">
        <v>201</v>
      </c>
      <c r="D19" s="23"/>
      <c r="E19" s="24" t="s">
        <v>98</v>
      </c>
      <c r="F19" s="28">
        <f>69+3</f>
        <v>72</v>
      </c>
      <c r="G19" s="26">
        <v>10097271</v>
      </c>
      <c r="I19" s="27">
        <v>12165842.199999999</v>
      </c>
      <c r="K19" s="28"/>
      <c r="L19" s="29"/>
    </row>
    <row r="20" spans="2:12">
      <c r="B20" s="11">
        <v>9</v>
      </c>
      <c r="C20" s="46"/>
      <c r="D20" s="23"/>
      <c r="E20" s="24"/>
      <c r="F20" s="28"/>
      <c r="G20" s="26"/>
      <c r="I20" s="27"/>
      <c r="K20" s="28"/>
      <c r="L20" s="29"/>
    </row>
    <row r="21" spans="2:12">
      <c r="B21" s="11">
        <v>10</v>
      </c>
      <c r="C21" s="8" t="str">
        <f>C14</f>
        <v>EOM</v>
      </c>
      <c r="D21" s="23"/>
      <c r="E21" s="24">
        <v>504</v>
      </c>
      <c r="G21" s="26">
        <v>1592933</v>
      </c>
      <c r="H21" s="28"/>
      <c r="I21" s="47">
        <v>2374361.67</v>
      </c>
      <c r="J21" s="28"/>
      <c r="K21" s="28"/>
      <c r="L21" s="29"/>
    </row>
    <row r="22" spans="2:12">
      <c r="B22" s="11">
        <v>11</v>
      </c>
      <c r="C22" s="8" t="str">
        <f>C15</f>
        <v>LM</v>
      </c>
      <c r="D22" s="23"/>
      <c r="E22" s="24">
        <v>504</v>
      </c>
      <c r="G22" s="26">
        <v>-1299954</v>
      </c>
      <c r="H22" s="28"/>
      <c r="I22" s="47">
        <v>-1788760.89</v>
      </c>
      <c r="J22" s="28"/>
      <c r="K22" s="28"/>
      <c r="L22" s="29"/>
    </row>
    <row r="23" spans="2:12">
      <c r="B23" s="11">
        <v>12</v>
      </c>
      <c r="C23" s="8" t="s">
        <v>198</v>
      </c>
      <c r="D23" s="23"/>
      <c r="E23" s="24">
        <v>511</v>
      </c>
      <c r="G23" s="26">
        <v>195051</v>
      </c>
      <c r="H23" s="28"/>
      <c r="I23" s="47">
        <v>250281.57</v>
      </c>
      <c r="J23" s="28"/>
      <c r="K23" s="28"/>
      <c r="L23" s="29"/>
    </row>
    <row r="24" spans="2:12">
      <c r="B24" s="11">
        <v>13</v>
      </c>
      <c r="C24" s="8" t="s">
        <v>199</v>
      </c>
      <c r="D24" s="23"/>
      <c r="E24" s="24">
        <v>511</v>
      </c>
      <c r="G24" s="26">
        <v>-167353</v>
      </c>
      <c r="H24" s="28"/>
      <c r="I24" s="47">
        <v>-176241.16</v>
      </c>
      <c r="J24" s="28"/>
      <c r="K24" s="28"/>
      <c r="L24" s="29"/>
    </row>
    <row r="25" spans="2:12">
      <c r="B25" s="11">
        <v>14</v>
      </c>
      <c r="C25" s="46" t="s">
        <v>202</v>
      </c>
      <c r="D25" s="23"/>
      <c r="E25" s="24"/>
      <c r="F25" s="28"/>
      <c r="G25" s="26">
        <v>0</v>
      </c>
      <c r="H25" s="28"/>
      <c r="I25" s="35"/>
      <c r="K25" s="28"/>
      <c r="L25" s="48"/>
    </row>
    <row r="26" spans="2:12" s="36" customFormat="1">
      <c r="B26" s="11">
        <v>15</v>
      </c>
      <c r="C26" s="37" t="s">
        <v>203</v>
      </c>
      <c r="D26" s="49"/>
      <c r="E26" s="39"/>
      <c r="F26" s="40">
        <f>SUM(F18:F25)</f>
        <v>27651</v>
      </c>
      <c r="G26" s="41">
        <f>SUM(G18:G25)</f>
        <v>100941472</v>
      </c>
      <c r="H26" s="42"/>
      <c r="I26" s="43">
        <f>SUM(I18:I25)</f>
        <v>136573020.59999999</v>
      </c>
      <c r="J26" s="42"/>
      <c r="K26" s="42"/>
      <c r="L26" s="44"/>
    </row>
    <row r="27" spans="2:12">
      <c r="B27" s="11">
        <v>16</v>
      </c>
      <c r="C27" s="18" t="s">
        <v>116</v>
      </c>
      <c r="D27" s="23"/>
      <c r="E27" s="24"/>
      <c r="F27" s="28"/>
      <c r="G27" s="26"/>
      <c r="H27" s="28"/>
      <c r="I27" s="27"/>
      <c r="K27" s="28"/>
      <c r="L27" s="48"/>
    </row>
    <row r="28" spans="2:12">
      <c r="B28" s="11">
        <v>17</v>
      </c>
      <c r="C28" s="46" t="s">
        <v>197</v>
      </c>
      <c r="D28" s="23"/>
      <c r="E28" s="24" t="s">
        <v>96</v>
      </c>
      <c r="F28" s="28">
        <v>495</v>
      </c>
      <c r="G28" s="26">
        <v>11881224</v>
      </c>
      <c r="H28" s="28"/>
      <c r="I28" s="27">
        <v>14347313.25</v>
      </c>
      <c r="K28" s="28"/>
      <c r="L28" s="48"/>
    </row>
    <row r="29" spans="2:12">
      <c r="B29" s="11">
        <v>18</v>
      </c>
      <c r="C29" s="46" t="s">
        <v>201</v>
      </c>
      <c r="D29" s="23"/>
      <c r="E29" s="24" t="s">
        <v>98</v>
      </c>
      <c r="F29" s="28">
        <v>27</v>
      </c>
      <c r="G29" s="26">
        <v>4596720</v>
      </c>
      <c r="I29" s="27">
        <v>5272343.55</v>
      </c>
      <c r="K29" s="28"/>
      <c r="L29" s="48"/>
    </row>
    <row r="30" spans="2:12">
      <c r="B30" s="11">
        <v>19</v>
      </c>
      <c r="C30" s="8" t="str">
        <f>+C21</f>
        <v>EOM</v>
      </c>
      <c r="D30" s="23"/>
      <c r="E30" s="24" t="s">
        <v>96</v>
      </c>
      <c r="F30" s="28"/>
      <c r="G30" s="26"/>
      <c r="I30" s="27">
        <v>12936</v>
      </c>
      <c r="K30" s="28"/>
      <c r="L30" s="48"/>
    </row>
    <row r="31" spans="2:12">
      <c r="B31" s="11">
        <v>20</v>
      </c>
      <c r="C31" s="12" t="str">
        <f>+C22</f>
        <v>LM</v>
      </c>
      <c r="D31" s="23"/>
      <c r="E31" s="24" t="s">
        <v>96</v>
      </c>
      <c r="F31" s="28"/>
      <c r="G31" s="50">
        <v>0</v>
      </c>
      <c r="I31" s="27">
        <v>-12936</v>
      </c>
      <c r="K31" s="28"/>
      <c r="L31" s="48"/>
    </row>
    <row r="32" spans="2:12" s="36" customFormat="1">
      <c r="B32" s="11">
        <v>21</v>
      </c>
      <c r="C32" s="37" t="s">
        <v>204</v>
      </c>
      <c r="D32" s="49"/>
      <c r="E32" s="39"/>
      <c r="F32" s="41">
        <f>SUM(F28:F31)</f>
        <v>522</v>
      </c>
      <c r="G32" s="41">
        <f>SUM(G28:G31)</f>
        <v>16477944</v>
      </c>
      <c r="H32" s="42"/>
      <c r="I32" s="51">
        <f>SUM(I28:I31)</f>
        <v>19619656.800000001</v>
      </c>
      <c r="J32" s="42"/>
      <c r="K32" s="42"/>
      <c r="L32" s="44"/>
    </row>
    <row r="33" spans="2:12">
      <c r="B33" s="11">
        <v>22</v>
      </c>
      <c r="C33" s="18" t="s">
        <v>205</v>
      </c>
      <c r="D33" s="23"/>
      <c r="E33" s="24"/>
      <c r="F33" s="28"/>
      <c r="G33" s="26"/>
      <c r="H33" s="28"/>
      <c r="I33" s="27"/>
      <c r="K33" s="28"/>
      <c r="L33" s="48"/>
    </row>
    <row r="34" spans="2:12">
      <c r="B34" s="11">
        <v>23</v>
      </c>
      <c r="C34" s="46" t="s">
        <v>206</v>
      </c>
      <c r="D34" s="23"/>
      <c r="E34" s="24" t="s">
        <v>100</v>
      </c>
      <c r="F34" s="28">
        <v>7</v>
      </c>
      <c r="G34" s="26">
        <v>2138948</v>
      </c>
      <c r="H34" s="28"/>
      <c r="I34" s="27">
        <v>2156758</v>
      </c>
      <c r="K34" s="28"/>
      <c r="L34" s="48"/>
    </row>
    <row r="35" spans="2:12">
      <c r="B35" s="11">
        <v>24</v>
      </c>
      <c r="C35" s="46" t="str">
        <f>+C30</f>
        <v>EOM</v>
      </c>
      <c r="D35" s="23"/>
      <c r="E35" s="24"/>
      <c r="F35" s="28"/>
      <c r="G35" s="26">
        <v>35751</v>
      </c>
      <c r="I35" s="27">
        <v>39723.18</v>
      </c>
      <c r="K35" s="28"/>
      <c r="L35" s="48"/>
    </row>
    <row r="36" spans="2:12">
      <c r="B36" s="11">
        <v>25</v>
      </c>
      <c r="C36" s="46" t="str">
        <f>+C31</f>
        <v>LM</v>
      </c>
      <c r="D36" s="23"/>
      <c r="E36" s="24"/>
      <c r="F36" s="28"/>
      <c r="G36" s="26">
        <v>-86202</v>
      </c>
      <c r="I36" s="27">
        <v>-86675.02</v>
      </c>
      <c r="K36" s="28"/>
      <c r="L36" s="48"/>
    </row>
    <row r="37" spans="2:12">
      <c r="B37" s="11">
        <v>26</v>
      </c>
      <c r="C37" s="46"/>
      <c r="D37" s="23"/>
      <c r="E37" s="24"/>
      <c r="F37" s="28"/>
      <c r="G37" s="26"/>
      <c r="I37" s="27"/>
      <c r="K37" s="28"/>
      <c r="L37" s="48"/>
    </row>
    <row r="38" spans="2:12">
      <c r="B38" s="11">
        <v>27</v>
      </c>
      <c r="C38" s="46"/>
      <c r="D38" s="23"/>
      <c r="E38" s="24"/>
      <c r="F38" s="28"/>
      <c r="G38" s="26"/>
      <c r="I38" s="27"/>
      <c r="K38" s="28"/>
      <c r="L38" s="48"/>
    </row>
    <row r="39" spans="2:12" s="36" customFormat="1">
      <c r="B39" s="11">
        <v>28</v>
      </c>
      <c r="C39" s="15" t="s">
        <v>207</v>
      </c>
      <c r="D39" s="49"/>
      <c r="E39" s="39"/>
      <c r="F39" s="40">
        <f>SUM(F34:F34)</f>
        <v>7</v>
      </c>
      <c r="G39" s="41">
        <f>SUM(G34:G36)</f>
        <v>2088497</v>
      </c>
      <c r="H39" s="42"/>
      <c r="I39" s="43">
        <f>+I34+I35+I36</f>
        <v>2109806.16</v>
      </c>
      <c r="J39" s="42"/>
      <c r="K39" s="42"/>
      <c r="L39" s="44"/>
    </row>
    <row r="40" spans="2:12" s="36" customFormat="1">
      <c r="B40" s="11">
        <v>29</v>
      </c>
      <c r="C40" s="52" t="s">
        <v>208</v>
      </c>
      <c r="E40" s="53"/>
      <c r="F40" s="42">
        <f>+F39+F32+F26+F16</f>
        <v>232369</v>
      </c>
      <c r="G40" s="41">
        <f>G16+G26+G32+G39</f>
        <v>242001179</v>
      </c>
      <c r="H40" s="42"/>
      <c r="I40" s="43">
        <f>I16+I26+I32+I39</f>
        <v>342572608.32000005</v>
      </c>
      <c r="J40" s="42"/>
      <c r="K40" s="42"/>
      <c r="L40" s="44"/>
    </row>
    <row r="41" spans="2:12">
      <c r="B41" s="14"/>
      <c r="C41" s="15" t="s">
        <v>102</v>
      </c>
      <c r="D41" s="16"/>
      <c r="E41" s="14"/>
      <c r="F41" s="17"/>
      <c r="G41" s="17"/>
      <c r="H41" s="28"/>
      <c r="I41" s="54"/>
      <c r="K41" s="28"/>
      <c r="L41" s="48"/>
    </row>
    <row r="42" spans="2:12">
      <c r="B42" s="9">
        <v>30</v>
      </c>
      <c r="C42" s="12"/>
      <c r="D42" s="23"/>
      <c r="E42" s="24"/>
      <c r="F42" s="28"/>
      <c r="G42" s="26"/>
      <c r="H42" s="55"/>
      <c r="I42" s="56"/>
      <c r="J42" s="12"/>
      <c r="K42" s="28"/>
      <c r="L42" s="48"/>
    </row>
    <row r="43" spans="2:12">
      <c r="B43" s="11">
        <v>31</v>
      </c>
      <c r="C43" s="57" t="s">
        <v>209</v>
      </c>
      <c r="D43" s="23"/>
      <c r="E43" s="24"/>
      <c r="F43" s="28"/>
      <c r="G43" s="26"/>
      <c r="H43" s="55"/>
      <c r="I43" s="58"/>
      <c r="K43" s="28"/>
      <c r="L43" s="48"/>
    </row>
    <row r="44" spans="2:12">
      <c r="B44" s="11">
        <v>32</v>
      </c>
      <c r="C44" s="46" t="s">
        <v>206</v>
      </c>
      <c r="D44" s="23"/>
      <c r="E44" s="24" t="s">
        <v>210</v>
      </c>
      <c r="F44" s="28">
        <v>192</v>
      </c>
      <c r="G44" s="26">
        <v>940213064</v>
      </c>
      <c r="H44" s="28"/>
      <c r="I44" s="27">
        <v>30374009</v>
      </c>
      <c r="J44" s="12"/>
      <c r="K44" s="28"/>
      <c r="L44" s="48"/>
    </row>
    <row r="45" spans="2:12">
      <c r="B45" s="11">
        <v>33</v>
      </c>
      <c r="C45" s="46" t="s">
        <v>211</v>
      </c>
      <c r="D45" s="23"/>
      <c r="E45" s="24" t="s">
        <v>212</v>
      </c>
      <c r="F45" s="59">
        <v>7</v>
      </c>
      <c r="G45" s="34">
        <v>193605986</v>
      </c>
      <c r="I45" s="35">
        <v>3641422.7</v>
      </c>
      <c r="K45" s="28"/>
      <c r="L45" s="48"/>
    </row>
    <row r="46" spans="2:12" s="36" customFormat="1">
      <c r="B46" s="11">
        <v>34</v>
      </c>
      <c r="C46" s="60" t="s">
        <v>213</v>
      </c>
      <c r="D46" s="49"/>
      <c r="E46" s="53"/>
      <c r="F46" s="61">
        <f>SUM(F42:F45)</f>
        <v>199</v>
      </c>
      <c r="G46" s="62">
        <f>SUM(G42:G45)</f>
        <v>1133819050</v>
      </c>
      <c r="I46" s="63">
        <f>SUM(I42:I45)</f>
        <v>34015431.700000003</v>
      </c>
      <c r="L46" s="44"/>
    </row>
    <row r="47" spans="2:12" s="36" customFormat="1">
      <c r="B47" s="13">
        <v>35</v>
      </c>
      <c r="C47" s="60" t="s">
        <v>214</v>
      </c>
      <c r="D47" s="64"/>
      <c r="E47" s="53"/>
      <c r="F47" s="61">
        <f>+F46+F40</f>
        <v>232568</v>
      </c>
      <c r="G47" s="62">
        <f>G40+G46</f>
        <v>1375820229</v>
      </c>
      <c r="H47" s="42"/>
      <c r="I47" s="43">
        <f>I40+I46</f>
        <v>376588040.02000004</v>
      </c>
      <c r="J47" s="42"/>
      <c r="K47" s="42">
        <f>I40+I44</f>
        <v>372946617.32000005</v>
      </c>
      <c r="L47" s="44"/>
    </row>
    <row r="48" spans="2:12">
      <c r="B48" s="65"/>
      <c r="C48" s="6"/>
      <c r="D48" s="12"/>
      <c r="F48" s="12"/>
      <c r="G48" s="12"/>
      <c r="H48" s="12"/>
      <c r="I48" s="66"/>
    </row>
    <row r="49" spans="2:10">
      <c r="B49" s="65"/>
      <c r="C49" s="6"/>
      <c r="D49" s="6"/>
      <c r="E49" s="65"/>
      <c r="F49" s="67"/>
      <c r="G49" s="67"/>
      <c r="H49" s="67"/>
      <c r="I49" s="68"/>
      <c r="J49" s="36"/>
    </row>
  </sheetData>
  <mergeCells count="4">
    <mergeCell ref="C1:J1"/>
    <mergeCell ref="C2:J2"/>
    <mergeCell ref="C3:J3"/>
    <mergeCell ref="C4:J4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11E244-1ADF-486E-8AE4-68244A960DF9}">
  <dimension ref="A2:F24"/>
  <sheetViews>
    <sheetView zoomScale="145" zoomScaleNormal="145" workbookViewId="0">
      <selection activeCell="H13" sqref="H13"/>
    </sheetView>
  </sheetViews>
  <sheetFormatPr defaultRowHeight="15"/>
  <cols>
    <col min="1" max="1" width="9.140625" style="96"/>
    <col min="2" max="5" width="15.5703125" style="96" bestFit="1" customWidth="1"/>
    <col min="6" max="6" width="15.140625" style="96" bestFit="1" customWidth="1"/>
    <col min="7" max="16384" width="9.140625" style="96"/>
  </cols>
  <sheetData>
    <row r="2" spans="1:5">
      <c r="A2" s="100" t="s">
        <v>215</v>
      </c>
      <c r="B2" s="101" t="s">
        <v>169</v>
      </c>
      <c r="C2" s="101" t="s">
        <v>170</v>
      </c>
      <c r="D2" s="101" t="s">
        <v>171</v>
      </c>
      <c r="E2" s="101" t="s">
        <v>172</v>
      </c>
    </row>
    <row r="3" spans="1:5">
      <c r="A3" s="102">
        <v>45047</v>
      </c>
      <c r="B3" s="385">
        <v>0</v>
      </c>
      <c r="C3" s="385">
        <v>2801.41</v>
      </c>
      <c r="D3" s="385">
        <v>0</v>
      </c>
      <c r="E3" s="385">
        <v>0</v>
      </c>
    </row>
    <row r="4" spans="1:5">
      <c r="A4" s="102">
        <v>45078</v>
      </c>
      <c r="B4" s="385">
        <v>0</v>
      </c>
      <c r="C4" s="385">
        <v>-2526.9900000000002</v>
      </c>
      <c r="D4" s="385">
        <v>0</v>
      </c>
      <c r="E4" s="385">
        <v>0</v>
      </c>
    </row>
    <row r="5" spans="1:5">
      <c r="A5" s="102">
        <v>45108</v>
      </c>
      <c r="B5" s="385">
        <v>0</v>
      </c>
      <c r="C5" s="385">
        <v>-1518.9399999999998</v>
      </c>
      <c r="D5" s="385">
        <v>0</v>
      </c>
      <c r="E5" s="385">
        <v>0</v>
      </c>
    </row>
    <row r="6" spans="1:5">
      <c r="A6" s="102">
        <v>45139</v>
      </c>
      <c r="B6" s="385">
        <v>0</v>
      </c>
      <c r="C6" s="385">
        <v>-5.28</v>
      </c>
      <c r="D6" s="385">
        <v>0</v>
      </c>
      <c r="E6" s="385">
        <v>0</v>
      </c>
    </row>
    <row r="7" spans="1:5">
      <c r="A7" s="102">
        <v>45170</v>
      </c>
      <c r="B7" s="385">
        <v>0</v>
      </c>
      <c r="C7" s="385">
        <v>1244.6600000000001</v>
      </c>
      <c r="D7" s="385">
        <v>0</v>
      </c>
      <c r="E7" s="385">
        <v>0</v>
      </c>
    </row>
    <row r="8" spans="1:5">
      <c r="A8" s="102">
        <v>45200</v>
      </c>
      <c r="B8" s="385">
        <v>5064.83</v>
      </c>
      <c r="C8" s="385">
        <v>375967.2</v>
      </c>
      <c r="D8" s="385">
        <v>3420.98</v>
      </c>
      <c r="E8" s="385">
        <v>-36878.36</v>
      </c>
    </row>
    <row r="9" spans="1:5">
      <c r="A9" s="102">
        <v>45231</v>
      </c>
      <c r="B9" s="385">
        <v>50334.409999999996</v>
      </c>
      <c r="C9" s="385">
        <v>25288.149999999998</v>
      </c>
      <c r="D9" s="385">
        <v>4187.12</v>
      </c>
      <c r="E9" s="385">
        <v>-276361.67</v>
      </c>
    </row>
    <row r="10" spans="1:5">
      <c r="A10" s="102">
        <v>45261</v>
      </c>
      <c r="B10" s="385">
        <v>106000.73</v>
      </c>
      <c r="C10" s="385">
        <v>7931.32</v>
      </c>
      <c r="D10" s="385">
        <v>6270.77</v>
      </c>
      <c r="E10" s="385">
        <v>-430261.57</v>
      </c>
    </row>
    <row r="11" spans="1:5">
      <c r="A11" s="102">
        <v>45292</v>
      </c>
      <c r="B11" s="385">
        <v>107877.49</v>
      </c>
      <c r="C11" s="385">
        <v>334532.73</v>
      </c>
      <c r="D11" s="385">
        <v>20881.32</v>
      </c>
      <c r="E11" s="385">
        <v>-516485.69999999995</v>
      </c>
    </row>
    <row r="12" spans="1:5">
      <c r="A12" s="102">
        <v>45323</v>
      </c>
      <c r="B12" s="385">
        <v>126490.27</v>
      </c>
      <c r="C12" s="385">
        <v>8979.41</v>
      </c>
      <c r="D12" s="385">
        <v>32683.99</v>
      </c>
      <c r="E12" s="385">
        <v>-492677.81</v>
      </c>
    </row>
    <row r="13" spans="1:5">
      <c r="A13" s="102">
        <v>45352</v>
      </c>
      <c r="B13" s="385">
        <v>132137.69999999998</v>
      </c>
      <c r="C13" s="385">
        <v>9258.48</v>
      </c>
      <c r="D13" s="385">
        <v>57194.939999999995</v>
      </c>
      <c r="E13" s="385">
        <v>-434671.94</v>
      </c>
    </row>
    <row r="14" spans="1:5">
      <c r="A14" s="102">
        <v>45383</v>
      </c>
      <c r="B14" s="385">
        <v>112233.34</v>
      </c>
      <c r="C14" s="385">
        <v>11185.55</v>
      </c>
      <c r="D14" s="385">
        <v>49307.27</v>
      </c>
      <c r="E14" s="385">
        <v>-326796.3</v>
      </c>
    </row>
    <row r="15" spans="1:5">
      <c r="A15" s="102">
        <v>45413</v>
      </c>
      <c r="B15" s="385">
        <v>90024.69</v>
      </c>
      <c r="C15" s="385">
        <v>3499.88</v>
      </c>
      <c r="D15" s="385">
        <v>58515</v>
      </c>
      <c r="E15" s="385">
        <v>-267709.51</v>
      </c>
    </row>
    <row r="16" spans="1:5">
      <c r="A16" s="102">
        <v>45444</v>
      </c>
      <c r="B16" s="385">
        <v>66775.13</v>
      </c>
      <c r="C16" s="385">
        <v>19671.330000000002</v>
      </c>
      <c r="D16" s="385">
        <v>54634.75</v>
      </c>
      <c r="E16" s="385">
        <v>-172687.65000000002</v>
      </c>
    </row>
    <row r="17" spans="1:6">
      <c r="A17" s="102">
        <v>45474</v>
      </c>
      <c r="B17" s="385">
        <v>52872.76</v>
      </c>
      <c r="C17" s="385">
        <v>15467.53</v>
      </c>
      <c r="D17" s="385">
        <v>41810.239999999998</v>
      </c>
      <c r="E17" s="385">
        <v>-153515.10999999999</v>
      </c>
    </row>
    <row r="18" spans="1:6">
      <c r="A18" s="102">
        <v>45505</v>
      </c>
      <c r="B18" s="386">
        <v>46135.16</v>
      </c>
      <c r="C18" s="386">
        <v>3750.63</v>
      </c>
      <c r="D18" s="386">
        <v>35268.94</v>
      </c>
      <c r="E18" s="386">
        <v>-152321.66</v>
      </c>
    </row>
    <row r="20" spans="1:6">
      <c r="A20" s="104" t="s">
        <v>53</v>
      </c>
      <c r="B20" s="387">
        <f>SUM(B3:B18)</f>
        <v>895946.51</v>
      </c>
      <c r="C20" s="387">
        <f>SUM(C3:C18)</f>
        <v>815527.07000000007</v>
      </c>
      <c r="D20" s="387">
        <f>SUM(D3:D18)</f>
        <v>364175.32</v>
      </c>
      <c r="E20" s="387">
        <f>SUM(E3:E18)</f>
        <v>-3260367.2799999993</v>
      </c>
      <c r="F20" s="388">
        <f>SUM(B20:E20)</f>
        <v>-1184718.3799999992</v>
      </c>
    </row>
    <row r="24" spans="1:6">
      <c r="B24" s="103"/>
      <c r="C24" s="103"/>
      <c r="D24" s="103"/>
      <c r="E24" s="103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597E1D-D4E8-4DB5-870E-026C8B4CA02E}">
  <dimension ref="A2:O63"/>
  <sheetViews>
    <sheetView zoomScale="115" zoomScaleNormal="115" workbookViewId="0">
      <selection activeCell="L18" sqref="L18"/>
    </sheetView>
  </sheetViews>
  <sheetFormatPr defaultRowHeight="15"/>
  <cols>
    <col min="1" max="1" width="17.140625" style="96" customWidth="1"/>
    <col min="2" max="4" width="9.140625" style="96"/>
    <col min="5" max="5" width="16.85546875" style="96" bestFit="1" customWidth="1"/>
    <col min="6" max="6" width="14.85546875" style="96" customWidth="1"/>
    <col min="7" max="7" width="17" style="96" customWidth="1"/>
    <col min="8" max="8" width="13.42578125" style="96" customWidth="1"/>
    <col min="9" max="11" width="9.140625" style="96"/>
    <col min="12" max="12" width="17.42578125" style="96" customWidth="1"/>
    <col min="13" max="13" width="15" style="96" customWidth="1"/>
    <col min="14" max="14" width="14.5703125" style="96" customWidth="1"/>
    <col min="15" max="15" width="12.28515625" style="96" bestFit="1" customWidth="1"/>
    <col min="16" max="16384" width="9.140625" style="96"/>
  </cols>
  <sheetData>
    <row r="2" spans="1:15">
      <c r="O2" s="96" t="s">
        <v>216</v>
      </c>
    </row>
    <row r="3" spans="1:15">
      <c r="A3" s="96" t="s">
        <v>217</v>
      </c>
      <c r="B3" s="96" t="s">
        <v>218</v>
      </c>
      <c r="C3" s="96" t="s">
        <v>219</v>
      </c>
      <c r="D3" s="96" t="s">
        <v>220</v>
      </c>
      <c r="E3" s="96" t="s">
        <v>221</v>
      </c>
      <c r="F3" s="96" t="s">
        <v>222</v>
      </c>
      <c r="G3" s="96" t="s">
        <v>223</v>
      </c>
      <c r="H3" s="96" t="s">
        <v>224</v>
      </c>
      <c r="I3" s="96" t="s">
        <v>225</v>
      </c>
      <c r="L3" s="86"/>
      <c r="M3" s="88" t="s">
        <v>226</v>
      </c>
      <c r="N3" s="86" t="s">
        <v>227</v>
      </c>
      <c r="O3" s="88"/>
    </row>
    <row r="4" spans="1:15">
      <c r="A4" s="79">
        <v>45536</v>
      </c>
      <c r="B4" s="96" t="s">
        <v>228</v>
      </c>
      <c r="C4" s="96" t="s">
        <v>229</v>
      </c>
      <c r="D4" s="96">
        <v>2024</v>
      </c>
      <c r="E4" s="81">
        <v>-1593.99</v>
      </c>
      <c r="F4" s="81">
        <v>-18.363333333333333</v>
      </c>
      <c r="G4" s="81">
        <v>20.569999999999997</v>
      </c>
      <c r="H4" s="81">
        <v>2.206666666666667</v>
      </c>
      <c r="I4" s="94">
        <v>96</v>
      </c>
      <c r="J4" s="90"/>
      <c r="K4" s="90"/>
      <c r="L4" s="87" t="s">
        <v>230</v>
      </c>
      <c r="M4" s="92">
        <f>SUM(I9:I63)</f>
        <v>44089</v>
      </c>
      <c r="N4" s="347">
        <f>M4/11</f>
        <v>4008.090909090909</v>
      </c>
      <c r="O4" s="348">
        <f>N4+M4</f>
        <v>48097.090909090912</v>
      </c>
    </row>
    <row r="5" spans="1:15">
      <c r="A5" s="79">
        <v>45536</v>
      </c>
      <c r="B5" s="96" t="s">
        <v>228</v>
      </c>
      <c r="C5" s="96" t="s">
        <v>231</v>
      </c>
      <c r="D5" s="96">
        <v>2024</v>
      </c>
      <c r="E5" s="81">
        <v>-1905.9</v>
      </c>
      <c r="F5" s="81">
        <v>-15.86</v>
      </c>
      <c r="G5" s="81">
        <v>23.246666666666666</v>
      </c>
      <c r="H5" s="81">
        <v>7.3833333333333329</v>
      </c>
      <c r="I5" s="94">
        <v>128</v>
      </c>
      <c r="L5" s="87" t="s">
        <v>232</v>
      </c>
      <c r="M5" s="83">
        <f>SUM(E9:E63)</f>
        <v>-876010.28</v>
      </c>
      <c r="N5" s="81"/>
    </row>
    <row r="6" spans="1:15">
      <c r="A6" s="79">
        <v>45536</v>
      </c>
      <c r="B6" s="96" t="s">
        <v>228</v>
      </c>
      <c r="C6" s="96" t="s">
        <v>233</v>
      </c>
      <c r="D6" s="96">
        <v>2024</v>
      </c>
      <c r="E6" s="81">
        <v>-3026.42</v>
      </c>
      <c r="F6" s="81">
        <v>-8.5566666666666666</v>
      </c>
      <c r="G6" s="81">
        <v>23.543333333333333</v>
      </c>
      <c r="H6" s="81">
        <v>14.979999999999999</v>
      </c>
      <c r="I6" s="94">
        <v>394</v>
      </c>
      <c r="L6" s="87"/>
      <c r="M6" s="89"/>
    </row>
    <row r="7" spans="1:15">
      <c r="A7" s="79">
        <v>45536</v>
      </c>
      <c r="B7" s="96" t="s">
        <v>228</v>
      </c>
      <c r="C7" s="96" t="s">
        <v>234</v>
      </c>
      <c r="D7" s="96">
        <v>2024</v>
      </c>
      <c r="E7" s="81">
        <v>-1200.6000000000001</v>
      </c>
      <c r="F7" s="81">
        <v>-3.1133333333333333</v>
      </c>
      <c r="G7" s="81">
        <v>28.459999999999997</v>
      </c>
      <c r="H7" s="81">
        <v>25.346666666666664</v>
      </c>
      <c r="I7" s="94">
        <v>426</v>
      </c>
      <c r="L7" s="91" t="s">
        <v>3</v>
      </c>
      <c r="M7" s="93">
        <f>M5/M4</f>
        <v>-19.869134704801652</v>
      </c>
      <c r="N7" s="75"/>
      <c r="O7" s="356">
        <f>M5+(N4*M7)</f>
        <v>-955647.57818181824</v>
      </c>
    </row>
    <row r="8" spans="1:15">
      <c r="A8" s="79">
        <v>45536</v>
      </c>
      <c r="B8" s="96" t="s">
        <v>228</v>
      </c>
      <c r="C8" s="96" t="s">
        <v>235</v>
      </c>
      <c r="D8" s="96">
        <v>2024</v>
      </c>
      <c r="E8" s="81">
        <v>-394.74</v>
      </c>
      <c r="F8" s="81">
        <v>-1.6033333333333333</v>
      </c>
      <c r="G8" s="81">
        <v>32.82</v>
      </c>
      <c r="H8" s="81">
        <v>31.216666666666669</v>
      </c>
      <c r="I8" s="94">
        <v>259</v>
      </c>
    </row>
    <row r="9" spans="1:15">
      <c r="A9" s="79">
        <v>45536</v>
      </c>
      <c r="B9" s="96" t="s">
        <v>236</v>
      </c>
      <c r="C9" s="96" t="s">
        <v>229</v>
      </c>
      <c r="D9" s="96">
        <v>2024</v>
      </c>
      <c r="E9" s="81">
        <v>-9582.6600000000017</v>
      </c>
      <c r="F9" s="81">
        <v>-19.914999999999999</v>
      </c>
      <c r="G9" s="81">
        <v>23.39</v>
      </c>
      <c r="H9" s="81">
        <v>3.4749999999999992</v>
      </c>
      <c r="I9" s="94">
        <v>491</v>
      </c>
      <c r="M9" s="81"/>
      <c r="N9" s="81"/>
    </row>
    <row r="10" spans="1:15">
      <c r="A10" s="79">
        <v>45536</v>
      </c>
      <c r="B10" s="96" t="s">
        <v>236</v>
      </c>
      <c r="C10" s="96" t="s">
        <v>231</v>
      </c>
      <c r="D10" s="96">
        <v>2024</v>
      </c>
      <c r="E10" s="81">
        <v>-9071.1400000000012</v>
      </c>
      <c r="F10" s="81">
        <v>-16.94157894736842</v>
      </c>
      <c r="G10" s="81">
        <v>25.138947368421054</v>
      </c>
      <c r="H10" s="81">
        <v>8.1984210526315788</v>
      </c>
      <c r="I10" s="94">
        <v>544</v>
      </c>
    </row>
    <row r="11" spans="1:15">
      <c r="A11" s="79">
        <v>45536</v>
      </c>
      <c r="B11" s="96" t="s">
        <v>236</v>
      </c>
      <c r="C11" s="96" t="s">
        <v>233</v>
      </c>
      <c r="D11" s="96">
        <v>2024</v>
      </c>
      <c r="E11" s="81">
        <v>-15464.869999999999</v>
      </c>
      <c r="F11" s="81">
        <v>-8.8105000000000011</v>
      </c>
      <c r="G11" s="81">
        <v>24.991500000000002</v>
      </c>
      <c r="H11" s="81">
        <v>16.181499999999996</v>
      </c>
      <c r="I11" s="94">
        <v>1836</v>
      </c>
    </row>
    <row r="12" spans="1:15">
      <c r="A12" s="79">
        <v>45536</v>
      </c>
      <c r="B12" s="96" t="s">
        <v>236</v>
      </c>
      <c r="C12" s="96" t="s">
        <v>234</v>
      </c>
      <c r="D12" s="96">
        <v>2024</v>
      </c>
      <c r="E12" s="81">
        <v>-5887.5199999999995</v>
      </c>
      <c r="F12" s="81">
        <v>-3.1799999999999997</v>
      </c>
      <c r="G12" s="81">
        <v>27.850499999999993</v>
      </c>
      <c r="H12" s="81">
        <v>24.671500000000002</v>
      </c>
      <c r="I12" s="94">
        <v>1882</v>
      </c>
    </row>
    <row r="13" spans="1:15">
      <c r="A13" s="79">
        <v>45536</v>
      </c>
      <c r="B13" s="96" t="s">
        <v>236</v>
      </c>
      <c r="C13" s="96" t="s">
        <v>235</v>
      </c>
      <c r="D13" s="96">
        <v>2024</v>
      </c>
      <c r="E13" s="81">
        <v>-2202.61</v>
      </c>
      <c r="F13" s="81">
        <v>-1.7778947368421054</v>
      </c>
      <c r="G13" s="81">
        <v>33.680526315789479</v>
      </c>
      <c r="H13" s="81">
        <v>31.901052631578953</v>
      </c>
      <c r="I13" s="94">
        <v>1253</v>
      </c>
      <c r="L13" s="81"/>
    </row>
    <row r="14" spans="1:15">
      <c r="A14" s="79">
        <v>45536</v>
      </c>
      <c r="B14" s="96" t="s">
        <v>237</v>
      </c>
      <c r="C14" s="96" t="s">
        <v>229</v>
      </c>
      <c r="D14" s="96">
        <v>2024</v>
      </c>
      <c r="E14" s="81">
        <v>-11903.7</v>
      </c>
      <c r="F14" s="81">
        <v>-26.184210526315795</v>
      </c>
      <c r="G14" s="81">
        <v>32.524210526315791</v>
      </c>
      <c r="H14" s="81">
        <v>6.34</v>
      </c>
      <c r="I14" s="94">
        <v>486</v>
      </c>
    </row>
    <row r="15" spans="1:15">
      <c r="A15" s="79">
        <v>45536</v>
      </c>
      <c r="B15" s="96" t="s">
        <v>237</v>
      </c>
      <c r="C15" s="96" t="s">
        <v>231</v>
      </c>
      <c r="D15" s="96">
        <v>2024</v>
      </c>
      <c r="E15" s="81">
        <v>-10050.210000000001</v>
      </c>
      <c r="F15" s="81">
        <v>-19.880526315789471</v>
      </c>
      <c r="G15" s="81">
        <v>30.88105263157895</v>
      </c>
      <c r="H15" s="81">
        <v>10.997894736842106</v>
      </c>
      <c r="I15" s="94">
        <v>522</v>
      </c>
    </row>
    <row r="16" spans="1:15">
      <c r="A16" s="79">
        <v>45536</v>
      </c>
      <c r="B16" s="96" t="s">
        <v>237</v>
      </c>
      <c r="C16" s="96" t="s">
        <v>233</v>
      </c>
      <c r="D16" s="96">
        <v>2024</v>
      </c>
      <c r="E16" s="81">
        <v>-17743.78</v>
      </c>
      <c r="F16" s="81">
        <v>-10.669</v>
      </c>
      <c r="G16" s="81">
        <v>30.701999999999998</v>
      </c>
      <c r="H16" s="81">
        <v>20.035999999999994</v>
      </c>
      <c r="I16" s="94">
        <v>1747</v>
      </c>
    </row>
    <row r="17" spans="1:9">
      <c r="A17" s="79">
        <v>45536</v>
      </c>
      <c r="B17" s="96" t="s">
        <v>237</v>
      </c>
      <c r="C17" s="96" t="s">
        <v>234</v>
      </c>
      <c r="D17" s="96">
        <v>2024</v>
      </c>
      <c r="E17" s="81">
        <v>-6988.25</v>
      </c>
      <c r="F17" s="81">
        <v>-4.0552631578947365</v>
      </c>
      <c r="G17" s="81">
        <v>35.26157894736842</v>
      </c>
      <c r="H17" s="81">
        <v>31.206315789473681</v>
      </c>
      <c r="I17" s="94">
        <v>1816</v>
      </c>
    </row>
    <row r="18" spans="1:9">
      <c r="A18" s="79">
        <v>45536</v>
      </c>
      <c r="B18" s="96" t="s">
        <v>237</v>
      </c>
      <c r="C18" s="96" t="s">
        <v>235</v>
      </c>
      <c r="D18" s="96">
        <v>2024</v>
      </c>
      <c r="E18" s="81">
        <v>-2504.75</v>
      </c>
      <c r="F18" s="81">
        <v>-2.1659999999999999</v>
      </c>
      <c r="G18" s="81">
        <v>38.727000000000004</v>
      </c>
      <c r="H18" s="81">
        <v>36.561</v>
      </c>
      <c r="I18" s="94">
        <v>1148</v>
      </c>
    </row>
    <row r="19" spans="1:9">
      <c r="A19" s="79">
        <v>45536</v>
      </c>
      <c r="B19" s="96" t="s">
        <v>238</v>
      </c>
      <c r="C19" s="96" t="s">
        <v>229</v>
      </c>
      <c r="D19" s="96">
        <v>2024</v>
      </c>
      <c r="E19" s="81">
        <v>-15523.11</v>
      </c>
      <c r="F19" s="81">
        <v>-39.103333333333339</v>
      </c>
      <c r="G19" s="81">
        <v>46.56944444444445</v>
      </c>
      <c r="H19" s="81">
        <v>7.4649999999999999</v>
      </c>
      <c r="I19" s="94">
        <v>444</v>
      </c>
    </row>
    <row r="20" spans="1:9">
      <c r="A20" s="79">
        <v>45536</v>
      </c>
      <c r="B20" s="96" t="s">
        <v>238</v>
      </c>
      <c r="C20" s="96" t="s">
        <v>231</v>
      </c>
      <c r="D20" s="96">
        <v>2024</v>
      </c>
      <c r="E20" s="81">
        <v>-12747.090000000002</v>
      </c>
      <c r="F20" s="81">
        <v>-28.147222222222222</v>
      </c>
      <c r="G20" s="81">
        <v>42.064999999999998</v>
      </c>
      <c r="H20" s="81">
        <v>13.918888888888887</v>
      </c>
      <c r="I20" s="94">
        <v>464</v>
      </c>
    </row>
    <row r="21" spans="1:9">
      <c r="A21" s="79">
        <v>45536</v>
      </c>
      <c r="B21" s="96" t="s">
        <v>238</v>
      </c>
      <c r="C21" s="96" t="s">
        <v>233</v>
      </c>
      <c r="D21" s="96">
        <v>2024</v>
      </c>
      <c r="E21" s="81">
        <v>-23057.42</v>
      </c>
      <c r="F21" s="81">
        <v>-14.371</v>
      </c>
      <c r="G21" s="81">
        <v>39.567999999999998</v>
      </c>
      <c r="H21" s="81">
        <v>25.1965</v>
      </c>
      <c r="I21" s="94">
        <v>1611</v>
      </c>
    </row>
    <row r="22" spans="1:9">
      <c r="A22" s="79">
        <v>45536</v>
      </c>
      <c r="B22" s="96" t="s">
        <v>238</v>
      </c>
      <c r="C22" s="96" t="s">
        <v>234</v>
      </c>
      <c r="D22" s="96">
        <v>2024</v>
      </c>
      <c r="E22" s="81">
        <v>-9114.7899999999991</v>
      </c>
      <c r="F22" s="81">
        <v>-5.5957894736842109</v>
      </c>
      <c r="G22" s="81">
        <v>44.648421052631576</v>
      </c>
      <c r="H22" s="81">
        <v>39.053157894736842</v>
      </c>
      <c r="I22" s="94">
        <v>1664</v>
      </c>
    </row>
    <row r="23" spans="1:9">
      <c r="A23" s="79">
        <v>45536</v>
      </c>
      <c r="B23" s="96" t="s">
        <v>238</v>
      </c>
      <c r="C23" s="96" t="s">
        <v>235</v>
      </c>
      <c r="D23" s="96">
        <v>2024</v>
      </c>
      <c r="E23" s="81">
        <v>-3134</v>
      </c>
      <c r="F23" s="81">
        <v>-3.1788888888888884</v>
      </c>
      <c r="G23" s="81">
        <v>49.580555555555556</v>
      </c>
      <c r="H23" s="81">
        <v>46.401111111111106</v>
      </c>
      <c r="I23" s="94">
        <v>988</v>
      </c>
    </row>
    <row r="24" spans="1:9">
      <c r="A24" s="79">
        <v>45536</v>
      </c>
      <c r="B24" s="96" t="s">
        <v>239</v>
      </c>
      <c r="C24" s="96" t="s">
        <v>229</v>
      </c>
      <c r="D24" s="96">
        <v>2024</v>
      </c>
      <c r="E24" s="81">
        <v>-18547.339999999997</v>
      </c>
      <c r="F24" s="81">
        <v>-56.437894736842111</v>
      </c>
      <c r="G24" s="81">
        <v>66.092631578947376</v>
      </c>
      <c r="H24" s="81">
        <v>9.655263157894737</v>
      </c>
      <c r="I24" s="94">
        <v>353</v>
      </c>
    </row>
    <row r="25" spans="1:9">
      <c r="A25" s="79">
        <v>45536</v>
      </c>
      <c r="B25" s="96" t="s">
        <v>239</v>
      </c>
      <c r="C25" s="96" t="s">
        <v>231</v>
      </c>
      <c r="D25" s="96">
        <v>2024</v>
      </c>
      <c r="E25" s="81">
        <v>-18097.140000000003</v>
      </c>
      <c r="F25" s="81">
        <v>-44.954500000000003</v>
      </c>
      <c r="G25" s="81">
        <v>65.754499999999993</v>
      </c>
      <c r="H25" s="81">
        <v>20.801000000000002</v>
      </c>
      <c r="I25" s="94">
        <v>418</v>
      </c>
    </row>
    <row r="26" spans="1:9">
      <c r="A26" s="79">
        <v>45536</v>
      </c>
      <c r="B26" s="96" t="s">
        <v>239</v>
      </c>
      <c r="C26" s="96" t="s">
        <v>233</v>
      </c>
      <c r="D26" s="96">
        <v>2024</v>
      </c>
      <c r="E26" s="81">
        <v>-32975.61</v>
      </c>
      <c r="F26" s="81">
        <v>-24.262000000000004</v>
      </c>
      <c r="G26" s="81">
        <v>64.413999999999987</v>
      </c>
      <c r="H26" s="81">
        <v>40.153999999999996</v>
      </c>
      <c r="I26" s="94">
        <v>1428</v>
      </c>
    </row>
    <row r="27" spans="1:9">
      <c r="A27" s="79">
        <v>45536</v>
      </c>
      <c r="B27" s="96" t="s">
        <v>239</v>
      </c>
      <c r="C27" s="96" t="s">
        <v>234</v>
      </c>
      <c r="D27" s="96">
        <v>2024</v>
      </c>
      <c r="E27" s="81">
        <v>-13093.1</v>
      </c>
      <c r="F27" s="81">
        <v>-8.6479999999999997</v>
      </c>
      <c r="G27" s="81">
        <v>62.914999999999999</v>
      </c>
      <c r="H27" s="81">
        <v>54.269000000000005</v>
      </c>
      <c r="I27" s="94">
        <v>1499</v>
      </c>
    </row>
    <row r="28" spans="1:9">
      <c r="A28" s="79">
        <v>45536</v>
      </c>
      <c r="B28" s="96" t="s">
        <v>239</v>
      </c>
      <c r="C28" s="96" t="s">
        <v>235</v>
      </c>
      <c r="D28" s="96">
        <v>2024</v>
      </c>
      <c r="E28" s="81">
        <v>-4413.6900000000005</v>
      </c>
      <c r="F28" s="81">
        <v>-4.6572727272727263</v>
      </c>
      <c r="G28" s="81">
        <v>64.171818181818196</v>
      </c>
      <c r="H28" s="81">
        <v>59.513636363636358</v>
      </c>
      <c r="I28" s="94">
        <v>902</v>
      </c>
    </row>
    <row r="29" spans="1:9">
      <c r="A29" s="79">
        <v>45536</v>
      </c>
      <c r="B29" s="96" t="s">
        <v>240</v>
      </c>
      <c r="C29" s="96" t="s">
        <v>229</v>
      </c>
      <c r="D29" s="96">
        <v>2024</v>
      </c>
      <c r="E29" s="81">
        <v>-24413</v>
      </c>
      <c r="F29" s="81">
        <v>-76.481052631578947</v>
      </c>
      <c r="G29" s="81">
        <v>89.198947368421031</v>
      </c>
      <c r="H29" s="81">
        <v>12.718947368421054</v>
      </c>
      <c r="I29" s="94">
        <v>329</v>
      </c>
    </row>
    <row r="30" spans="1:9">
      <c r="A30" s="79">
        <v>45536</v>
      </c>
      <c r="B30" s="96" t="s">
        <v>240</v>
      </c>
      <c r="C30" s="96" t="s">
        <v>231</v>
      </c>
      <c r="D30" s="96">
        <v>2024</v>
      </c>
      <c r="E30" s="81">
        <v>-23265.979999999996</v>
      </c>
      <c r="F30" s="81">
        <v>-59.728421052631589</v>
      </c>
      <c r="G30" s="81">
        <v>87.13315789473684</v>
      </c>
      <c r="H30" s="81">
        <v>27.404736842105262</v>
      </c>
      <c r="I30" s="94">
        <v>385</v>
      </c>
    </row>
    <row r="31" spans="1:9">
      <c r="A31" s="79">
        <v>45536</v>
      </c>
      <c r="B31" s="96" t="s">
        <v>240</v>
      </c>
      <c r="C31" s="96" t="s">
        <v>233</v>
      </c>
      <c r="D31" s="96">
        <v>2024</v>
      </c>
      <c r="E31" s="81">
        <v>-40336.17</v>
      </c>
      <c r="F31" s="81">
        <v>-32.753157894736837</v>
      </c>
      <c r="G31" s="81">
        <v>85.853157894736825</v>
      </c>
      <c r="H31" s="81">
        <v>53.099999999999994</v>
      </c>
      <c r="I31" s="94">
        <v>1270</v>
      </c>
    </row>
    <row r="32" spans="1:9">
      <c r="A32" s="79">
        <v>45536</v>
      </c>
      <c r="B32" s="96" t="s">
        <v>240</v>
      </c>
      <c r="C32" s="96" t="s">
        <v>234</v>
      </c>
      <c r="D32" s="96">
        <v>2024</v>
      </c>
      <c r="E32" s="81">
        <v>-16511.050000000003</v>
      </c>
      <c r="F32" s="81">
        <v>-12.288947368421054</v>
      </c>
      <c r="G32" s="81">
        <v>86.618947368421047</v>
      </c>
      <c r="H32" s="81">
        <v>74.328947368421041</v>
      </c>
      <c r="I32" s="94">
        <v>1360</v>
      </c>
    </row>
    <row r="33" spans="1:9">
      <c r="A33" s="79">
        <v>45536</v>
      </c>
      <c r="B33" s="96" t="s">
        <v>240</v>
      </c>
      <c r="C33" s="96" t="s">
        <v>235</v>
      </c>
      <c r="D33" s="96">
        <v>2024</v>
      </c>
      <c r="E33" s="81">
        <v>-5394.48</v>
      </c>
      <c r="F33" s="81">
        <v>-6.6115789473684217</v>
      </c>
      <c r="G33" s="81">
        <v>86.276315789473699</v>
      </c>
      <c r="H33" s="81">
        <v>79.665263157894728</v>
      </c>
      <c r="I33" s="94">
        <v>811</v>
      </c>
    </row>
    <row r="34" spans="1:9">
      <c r="A34" s="79">
        <v>45536</v>
      </c>
      <c r="B34" s="96" t="s">
        <v>241</v>
      </c>
      <c r="C34" s="96" t="s">
        <v>229</v>
      </c>
      <c r="D34" s="96">
        <v>2024</v>
      </c>
      <c r="E34" s="81">
        <v>-27444.189999999995</v>
      </c>
      <c r="F34" s="81">
        <v>-100.00000000000003</v>
      </c>
      <c r="G34" s="81">
        <v>114.85473684210528</v>
      </c>
      <c r="H34" s="81">
        <v>14.855263157894736</v>
      </c>
      <c r="I34" s="94">
        <v>279</v>
      </c>
    </row>
    <row r="35" spans="1:9">
      <c r="A35" s="79">
        <v>45536</v>
      </c>
      <c r="B35" s="96" t="s">
        <v>241</v>
      </c>
      <c r="C35" s="96" t="s">
        <v>231</v>
      </c>
      <c r="D35" s="96">
        <v>2024</v>
      </c>
      <c r="E35" s="81">
        <v>-27498.539999999994</v>
      </c>
      <c r="F35" s="81">
        <v>-79.616842105263189</v>
      </c>
      <c r="G35" s="81">
        <v>115.60052631578947</v>
      </c>
      <c r="H35" s="81">
        <v>35.984210526315785</v>
      </c>
      <c r="I35" s="94">
        <v>345</v>
      </c>
    </row>
    <row r="36" spans="1:9">
      <c r="A36" s="79">
        <v>45536</v>
      </c>
      <c r="B36" s="96" t="s">
        <v>241</v>
      </c>
      <c r="C36" s="96" t="s">
        <v>233</v>
      </c>
      <c r="D36" s="96">
        <v>2024</v>
      </c>
      <c r="E36" s="81">
        <v>-49256.58</v>
      </c>
      <c r="F36" s="81">
        <v>-45.928947368421042</v>
      </c>
      <c r="G36" s="81">
        <v>118.30578947368423</v>
      </c>
      <c r="H36" s="81">
        <v>72.373684210526307</v>
      </c>
      <c r="I36" s="94">
        <v>1109</v>
      </c>
    </row>
    <row r="37" spans="1:9">
      <c r="A37" s="79">
        <v>45536</v>
      </c>
      <c r="B37" s="96" t="s">
        <v>241</v>
      </c>
      <c r="C37" s="96" t="s">
        <v>234</v>
      </c>
      <c r="D37" s="96">
        <v>2024</v>
      </c>
      <c r="E37" s="81">
        <v>-19631.110000000004</v>
      </c>
      <c r="F37" s="81">
        <v>-17.047894736842107</v>
      </c>
      <c r="G37" s="81">
        <v>116.71947368421053</v>
      </c>
      <c r="H37" s="81">
        <v>99.673157894736846</v>
      </c>
      <c r="I37" s="94">
        <v>1191</v>
      </c>
    </row>
    <row r="38" spans="1:9">
      <c r="A38" s="79">
        <v>45536</v>
      </c>
      <c r="B38" s="96" t="s">
        <v>241</v>
      </c>
      <c r="C38" s="96" t="s">
        <v>235</v>
      </c>
      <c r="D38" s="96">
        <v>2024</v>
      </c>
      <c r="E38" s="81">
        <v>-6515.7000000000007</v>
      </c>
      <c r="F38" s="81">
        <v>-9.0878947368421059</v>
      </c>
      <c r="G38" s="81">
        <v>113.9421052631579</v>
      </c>
      <c r="H38" s="81">
        <v>104.85473684210527</v>
      </c>
      <c r="I38" s="94">
        <v>728</v>
      </c>
    </row>
    <row r="39" spans="1:9">
      <c r="A39" s="79">
        <v>45536</v>
      </c>
      <c r="B39" s="96" t="s">
        <v>242</v>
      </c>
      <c r="C39" s="96" t="s">
        <v>229</v>
      </c>
      <c r="D39" s="96">
        <v>2024</v>
      </c>
      <c r="E39" s="81">
        <v>-25761.93</v>
      </c>
      <c r="F39" s="81">
        <v>-93.632352941176464</v>
      </c>
      <c r="G39" s="81">
        <v>107.41647058823528</v>
      </c>
      <c r="H39" s="81">
        <v>13.784117647058824</v>
      </c>
      <c r="I39" s="94">
        <v>232</v>
      </c>
    </row>
    <row r="40" spans="1:9">
      <c r="A40" s="79">
        <v>45536</v>
      </c>
      <c r="B40" s="96" t="s">
        <v>242</v>
      </c>
      <c r="C40" s="96" t="s">
        <v>231</v>
      </c>
      <c r="D40" s="96">
        <v>2024</v>
      </c>
      <c r="E40" s="81">
        <v>-28653.119999999999</v>
      </c>
      <c r="F40" s="81">
        <v>-82.647777777777776</v>
      </c>
      <c r="G40" s="81">
        <v>120.66833333333335</v>
      </c>
      <c r="H40" s="81">
        <v>38.019999999999996</v>
      </c>
      <c r="I40" s="94">
        <v>307</v>
      </c>
    </row>
    <row r="41" spans="1:9">
      <c r="A41" s="79">
        <v>45536</v>
      </c>
      <c r="B41" s="96" t="s">
        <v>242</v>
      </c>
      <c r="C41" s="96" t="s">
        <v>233</v>
      </c>
      <c r="D41" s="96">
        <v>2024</v>
      </c>
      <c r="E41" s="81">
        <v>-45468.399999999994</v>
      </c>
      <c r="F41" s="81">
        <v>-45.067777777777771</v>
      </c>
      <c r="G41" s="81">
        <v>115.82999999999998</v>
      </c>
      <c r="H41" s="81">
        <v>70.76111111111112</v>
      </c>
      <c r="I41" s="94">
        <v>935</v>
      </c>
    </row>
    <row r="42" spans="1:9">
      <c r="A42" s="79">
        <v>45536</v>
      </c>
      <c r="B42" s="96" t="s">
        <v>242</v>
      </c>
      <c r="C42" s="96" t="s">
        <v>234</v>
      </c>
      <c r="D42" s="96">
        <v>2024</v>
      </c>
      <c r="E42" s="81">
        <v>-18900.839999999997</v>
      </c>
      <c r="F42" s="81">
        <v>-17.171111111111117</v>
      </c>
      <c r="G42" s="81">
        <v>116.54277777777776</v>
      </c>
      <c r="H42" s="81">
        <v>99.371666666666655</v>
      </c>
      <c r="I42" s="94">
        <v>1024</v>
      </c>
    </row>
    <row r="43" spans="1:9">
      <c r="A43" s="79">
        <v>45536</v>
      </c>
      <c r="B43" s="96" t="s">
        <v>242</v>
      </c>
      <c r="C43" s="96" t="s">
        <v>235</v>
      </c>
      <c r="D43" s="96">
        <v>2024</v>
      </c>
      <c r="E43" s="81">
        <v>-6565.6500000000005</v>
      </c>
      <c r="F43" s="81">
        <v>-8.6650000000000009</v>
      </c>
      <c r="G43" s="81">
        <v>108.25222222222222</v>
      </c>
      <c r="H43" s="81">
        <v>99.588888888888889</v>
      </c>
      <c r="I43" s="94">
        <v>648</v>
      </c>
    </row>
    <row r="44" spans="1:9">
      <c r="A44" s="79">
        <v>45536</v>
      </c>
      <c r="B44" s="96" t="s">
        <v>243</v>
      </c>
      <c r="C44" s="96" t="s">
        <v>229</v>
      </c>
      <c r="D44" s="96">
        <v>2024</v>
      </c>
      <c r="E44" s="81">
        <v>-21425.609999999997</v>
      </c>
      <c r="F44" s="81">
        <v>-39.736842105263158</v>
      </c>
      <c r="G44" s="81">
        <v>46.227368421052631</v>
      </c>
      <c r="H44" s="81">
        <v>6.4894736842105258</v>
      </c>
      <c r="I44" s="94">
        <v>264</v>
      </c>
    </row>
    <row r="45" spans="1:9">
      <c r="A45" s="79">
        <v>45536</v>
      </c>
      <c r="B45" s="96" t="s">
        <v>243</v>
      </c>
      <c r="C45" s="96" t="s">
        <v>231</v>
      </c>
      <c r="D45" s="96">
        <v>2024</v>
      </c>
      <c r="E45" s="81">
        <v>-23891.590000000004</v>
      </c>
      <c r="F45" s="81">
        <v>-27.264500000000005</v>
      </c>
      <c r="G45" s="81">
        <v>39.067999999999998</v>
      </c>
      <c r="H45" s="81">
        <v>11.802999999999999</v>
      </c>
      <c r="I45" s="94">
        <v>368</v>
      </c>
    </row>
    <row r="46" spans="1:9">
      <c r="A46" s="79">
        <v>45536</v>
      </c>
      <c r="B46" s="96" t="s">
        <v>243</v>
      </c>
      <c r="C46" s="96" t="s">
        <v>233</v>
      </c>
      <c r="D46" s="96">
        <v>2024</v>
      </c>
      <c r="E46" s="81">
        <v>-39307.520000000004</v>
      </c>
      <c r="F46" s="81">
        <v>-10.0725</v>
      </c>
      <c r="G46" s="81">
        <v>25.9925</v>
      </c>
      <c r="H46" s="81">
        <v>15.920499999999999</v>
      </c>
      <c r="I46" s="94">
        <v>1265</v>
      </c>
    </row>
    <row r="47" spans="1:9">
      <c r="A47" s="79">
        <v>45536</v>
      </c>
      <c r="B47" s="96" t="s">
        <v>243</v>
      </c>
      <c r="C47" s="96" t="s">
        <v>234</v>
      </c>
      <c r="D47" s="96">
        <v>2024</v>
      </c>
      <c r="E47" s="81">
        <v>-16814.34</v>
      </c>
      <c r="F47" s="81">
        <v>-5.1770000000000005</v>
      </c>
      <c r="G47" s="81">
        <v>33.925000000000004</v>
      </c>
      <c r="H47" s="81">
        <v>28.747500000000002</v>
      </c>
      <c r="I47" s="94">
        <v>1311</v>
      </c>
    </row>
    <row r="48" spans="1:9">
      <c r="A48" s="79">
        <v>45536</v>
      </c>
      <c r="B48" s="96" t="s">
        <v>243</v>
      </c>
      <c r="C48" s="96" t="s">
        <v>235</v>
      </c>
      <c r="D48" s="96">
        <v>2024</v>
      </c>
      <c r="E48" s="81">
        <v>-5707.8</v>
      </c>
      <c r="F48" s="81">
        <v>-7.9550000000000018</v>
      </c>
      <c r="G48" s="81">
        <v>99.10833333333332</v>
      </c>
      <c r="H48" s="81">
        <v>91.152222222222221</v>
      </c>
      <c r="I48" s="94">
        <v>566</v>
      </c>
    </row>
    <row r="49" spans="1:9">
      <c r="A49" s="79">
        <v>45536</v>
      </c>
      <c r="B49" s="96" t="s">
        <v>244</v>
      </c>
      <c r="C49" s="96" t="s">
        <v>229</v>
      </c>
      <c r="D49" s="96">
        <v>2023</v>
      </c>
      <c r="E49" s="81">
        <v>-19526.98</v>
      </c>
      <c r="F49" s="81">
        <v>-93.4970588235294</v>
      </c>
      <c r="G49" s="81">
        <v>107.30764705882355</v>
      </c>
      <c r="H49" s="81">
        <v>13.811176470588236</v>
      </c>
      <c r="I49" s="94">
        <v>214</v>
      </c>
    </row>
    <row r="50" spans="1:9">
      <c r="A50" s="79">
        <v>45536</v>
      </c>
      <c r="B50" s="96" t="s">
        <v>244</v>
      </c>
      <c r="C50" s="96" t="s">
        <v>231</v>
      </c>
      <c r="D50" s="96">
        <v>2023</v>
      </c>
      <c r="E50" s="81">
        <v>-22494.87</v>
      </c>
      <c r="F50" s="81">
        <v>-69.726111111111109</v>
      </c>
      <c r="G50" s="81">
        <v>101.57277777777777</v>
      </c>
      <c r="H50" s="81">
        <v>31.843888888888891</v>
      </c>
      <c r="I50" s="94">
        <v>303</v>
      </c>
    </row>
    <row r="51" spans="1:9">
      <c r="A51" s="79">
        <v>45536</v>
      </c>
      <c r="B51" s="96" t="s">
        <v>244</v>
      </c>
      <c r="C51" s="96" t="s">
        <v>233</v>
      </c>
      <c r="D51" s="96">
        <v>2023</v>
      </c>
      <c r="E51" s="81">
        <v>-42680.319999999985</v>
      </c>
      <c r="F51" s="81">
        <v>-41.027058823529408</v>
      </c>
      <c r="G51" s="81">
        <v>105.39941176470587</v>
      </c>
      <c r="H51" s="81">
        <v>64.371176470588239</v>
      </c>
      <c r="I51" s="94">
        <v>1049</v>
      </c>
    </row>
    <row r="52" spans="1:9">
      <c r="A52" s="79">
        <v>45536</v>
      </c>
      <c r="B52" s="96" t="s">
        <v>244</v>
      </c>
      <c r="C52" s="96" t="s">
        <v>234</v>
      </c>
      <c r="D52" s="96">
        <v>2023</v>
      </c>
      <c r="E52" s="81">
        <v>-17030.919999999998</v>
      </c>
      <c r="F52" s="81">
        <v>-15.925294117647056</v>
      </c>
      <c r="G52" s="81">
        <v>107.84882352941175</v>
      </c>
      <c r="H52" s="81">
        <v>91.923529411764704</v>
      </c>
      <c r="I52" s="94">
        <v>1089</v>
      </c>
    </row>
    <row r="53" spans="1:9">
      <c r="A53" s="79">
        <v>45536</v>
      </c>
      <c r="B53" s="96" t="s">
        <v>244</v>
      </c>
      <c r="C53" s="96" t="s">
        <v>235</v>
      </c>
      <c r="D53" s="96">
        <v>2023</v>
      </c>
      <c r="E53" s="81">
        <v>-4032.3800000000006</v>
      </c>
      <c r="F53" s="81">
        <v>-8.6841176470588231</v>
      </c>
      <c r="G53" s="81">
        <v>109.49882352941175</v>
      </c>
      <c r="H53" s="81">
        <v>100.81470588235294</v>
      </c>
      <c r="I53" s="94">
        <v>465</v>
      </c>
    </row>
    <row r="54" spans="1:9">
      <c r="A54" s="79">
        <v>45536</v>
      </c>
      <c r="B54" s="96" t="s">
        <v>245</v>
      </c>
      <c r="C54" s="96" t="s">
        <v>229</v>
      </c>
      <c r="D54" s="96">
        <v>2023</v>
      </c>
      <c r="E54" s="81">
        <v>-9704.2200000000012</v>
      </c>
      <c r="F54" s="81">
        <v>-49.350588235294119</v>
      </c>
      <c r="G54" s="81">
        <v>57.437647058823529</v>
      </c>
      <c r="H54" s="81">
        <v>8.0876470588235279</v>
      </c>
      <c r="I54" s="94">
        <v>193</v>
      </c>
    </row>
    <row r="55" spans="1:9">
      <c r="A55" s="79">
        <v>45536</v>
      </c>
      <c r="B55" s="96" t="s">
        <v>245</v>
      </c>
      <c r="C55" s="96" t="s">
        <v>231</v>
      </c>
      <c r="D55" s="96">
        <v>2023</v>
      </c>
      <c r="E55" s="81">
        <v>-9980.2599999999984</v>
      </c>
      <c r="F55" s="81">
        <v>-38.208235294117635</v>
      </c>
      <c r="G55" s="81">
        <v>57.113529411764702</v>
      </c>
      <c r="H55" s="81">
        <v>18.905294117647056</v>
      </c>
      <c r="I55" s="94">
        <v>261</v>
      </c>
    </row>
    <row r="56" spans="1:9">
      <c r="A56" s="79">
        <v>45536</v>
      </c>
      <c r="B56" s="96" t="s">
        <v>245</v>
      </c>
      <c r="C56" s="96" t="s">
        <v>233</v>
      </c>
      <c r="D56" s="96">
        <v>2023</v>
      </c>
      <c r="E56" s="81">
        <v>-20348.919999999998</v>
      </c>
      <c r="F56" s="81">
        <v>-23.094375000000003</v>
      </c>
      <c r="G56" s="81">
        <v>61.344999999999999</v>
      </c>
      <c r="H56" s="81">
        <v>38.251249999999999</v>
      </c>
      <c r="I56" s="94">
        <v>925</v>
      </c>
    </row>
    <row r="57" spans="1:9">
      <c r="A57" s="79">
        <v>45536</v>
      </c>
      <c r="B57" s="96" t="s">
        <v>245</v>
      </c>
      <c r="C57" s="96" t="s">
        <v>234</v>
      </c>
      <c r="D57" s="96">
        <v>2023</v>
      </c>
      <c r="E57" s="81">
        <v>-8331.6500000000015</v>
      </c>
      <c r="F57" s="81">
        <v>-8.8612500000000001</v>
      </c>
      <c r="G57" s="81">
        <v>62.738749999999996</v>
      </c>
      <c r="H57" s="81">
        <v>53.877500000000005</v>
      </c>
      <c r="I57" s="94">
        <v>992</v>
      </c>
    </row>
    <row r="58" spans="1:9">
      <c r="A58" s="79">
        <v>45536</v>
      </c>
      <c r="B58" s="96" t="s">
        <v>245</v>
      </c>
      <c r="C58" s="96" t="s">
        <v>235</v>
      </c>
      <c r="D58" s="96">
        <v>2023</v>
      </c>
      <c r="E58" s="81">
        <v>-1948.55</v>
      </c>
      <c r="F58" s="81">
        <v>-4.9718750000000007</v>
      </c>
      <c r="G58" s="81">
        <v>66.878749999999997</v>
      </c>
      <c r="H58" s="81">
        <v>61.907499999999999</v>
      </c>
      <c r="I58" s="94">
        <v>407</v>
      </c>
    </row>
    <row r="59" spans="1:9">
      <c r="A59" s="79">
        <v>45536</v>
      </c>
      <c r="B59" s="96" t="s">
        <v>246</v>
      </c>
      <c r="C59" s="96" t="s">
        <v>229</v>
      </c>
      <c r="D59" s="96">
        <v>2023</v>
      </c>
      <c r="E59" s="81">
        <v>-952.74</v>
      </c>
      <c r="F59" s="81">
        <v>-6.25</v>
      </c>
      <c r="G59" s="81">
        <v>16.751249999999999</v>
      </c>
      <c r="H59" s="81">
        <v>10.500624999999998</v>
      </c>
      <c r="I59" s="94">
        <v>135</v>
      </c>
    </row>
    <row r="60" spans="1:9">
      <c r="A60" s="79">
        <v>45536</v>
      </c>
      <c r="B60" s="96" t="s">
        <v>246</v>
      </c>
      <c r="C60" s="96" t="s">
        <v>231</v>
      </c>
      <c r="D60" s="96">
        <v>2023</v>
      </c>
      <c r="E60" s="81">
        <v>-931.06</v>
      </c>
      <c r="F60" s="81">
        <v>-2.8723529411764703</v>
      </c>
      <c r="G60" s="81">
        <v>13.103529411764708</v>
      </c>
      <c r="H60" s="81">
        <v>10.231176470588236</v>
      </c>
      <c r="I60" s="94">
        <v>198</v>
      </c>
    </row>
    <row r="61" spans="1:9">
      <c r="A61" s="79">
        <v>45536</v>
      </c>
      <c r="B61" s="96" t="s">
        <v>246</v>
      </c>
      <c r="C61" s="96" t="s">
        <v>233</v>
      </c>
      <c r="D61" s="96">
        <v>2023</v>
      </c>
      <c r="E61" s="81">
        <v>-1990.4799999999998</v>
      </c>
      <c r="F61" s="81">
        <v>-2.487222222222222</v>
      </c>
      <c r="G61" s="81">
        <v>19.136666666666667</v>
      </c>
      <c r="H61" s="81">
        <v>16.649444444444445</v>
      </c>
      <c r="I61" s="94">
        <v>636</v>
      </c>
    </row>
    <row r="62" spans="1:9">
      <c r="A62" s="79">
        <v>45536</v>
      </c>
      <c r="B62" s="96" t="s">
        <v>246</v>
      </c>
      <c r="C62" s="96" t="s">
        <v>234</v>
      </c>
      <c r="D62" s="96">
        <v>2023</v>
      </c>
      <c r="E62" s="81">
        <v>-894.34</v>
      </c>
      <c r="F62" s="81">
        <v>-0.76611111111111108</v>
      </c>
      <c r="G62" s="81">
        <v>13.939444444444444</v>
      </c>
      <c r="H62" s="81">
        <v>13.172222222222221</v>
      </c>
      <c r="I62" s="94">
        <v>720</v>
      </c>
    </row>
    <row r="63" spans="1:9">
      <c r="A63" s="79">
        <v>45536</v>
      </c>
      <c r="B63" s="96" t="s">
        <v>246</v>
      </c>
      <c r="C63" s="96" t="s">
        <v>235</v>
      </c>
      <c r="D63" s="96">
        <v>2023</v>
      </c>
      <c r="E63" s="81">
        <v>-296.20999999999998</v>
      </c>
      <c r="F63" s="81">
        <v>-0.94823529411764695</v>
      </c>
      <c r="G63" s="81">
        <v>35.817058823529408</v>
      </c>
      <c r="H63" s="81">
        <v>34.868235294117646</v>
      </c>
      <c r="I63" s="94">
        <v>279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69286E-266F-409C-83EE-883035D25900}">
  <dimension ref="A3:M67"/>
  <sheetViews>
    <sheetView workbookViewId="0">
      <selection activeCell="K4" sqref="K4"/>
    </sheetView>
  </sheetViews>
  <sheetFormatPr defaultRowHeight="15"/>
  <cols>
    <col min="1" max="1" width="10.7109375" style="96" bestFit="1" customWidth="1"/>
    <col min="2" max="3" width="9.140625" style="96"/>
    <col min="4" max="4" width="12.5703125" style="96" customWidth="1"/>
    <col min="5" max="5" width="13.85546875" style="96" bestFit="1" customWidth="1"/>
    <col min="6" max="6" width="16.28515625" style="96" customWidth="1"/>
    <col min="7" max="9" width="9.140625" style="96"/>
    <col min="10" max="10" width="13.140625" style="96" bestFit="1" customWidth="1"/>
    <col min="11" max="11" width="14.28515625" style="96" customWidth="1"/>
    <col min="12" max="12" width="12.140625" style="96" bestFit="1" customWidth="1"/>
    <col min="13" max="13" width="21.140625" style="96" bestFit="1" customWidth="1"/>
    <col min="14" max="16384" width="9.140625" style="96"/>
  </cols>
  <sheetData>
    <row r="3" spans="1:13">
      <c r="A3" s="96" t="s">
        <v>217</v>
      </c>
      <c r="B3" s="96" t="s">
        <v>220</v>
      </c>
      <c r="C3" s="96" t="s">
        <v>218</v>
      </c>
      <c r="D3" s="96" t="s">
        <v>219</v>
      </c>
      <c r="E3" s="96" t="s">
        <v>247</v>
      </c>
      <c r="F3" s="96" t="s">
        <v>248</v>
      </c>
      <c r="G3" s="96" t="s">
        <v>225</v>
      </c>
      <c r="K3" s="96" t="s">
        <v>249</v>
      </c>
      <c r="L3" s="96" t="s">
        <v>227</v>
      </c>
      <c r="M3" s="96" t="s">
        <v>216</v>
      </c>
    </row>
    <row r="4" spans="1:13">
      <c r="A4" s="79">
        <v>45536</v>
      </c>
      <c r="B4" s="96">
        <v>2023</v>
      </c>
      <c r="C4" s="96" t="s">
        <v>244</v>
      </c>
      <c r="D4" s="96" t="s">
        <v>250</v>
      </c>
      <c r="E4" s="81">
        <v>642.81999999999994</v>
      </c>
      <c r="F4" s="81">
        <v>160.70499999999998</v>
      </c>
      <c r="G4" s="96">
        <v>4</v>
      </c>
      <c r="J4" s="96" t="s">
        <v>251</v>
      </c>
      <c r="K4" s="85">
        <f>SUM(G4:G67)</f>
        <v>1174</v>
      </c>
      <c r="L4" s="346">
        <f>K4/11</f>
        <v>106.72727272727273</v>
      </c>
      <c r="M4" s="346">
        <f>L4+K4</f>
        <v>1280.7272727272727</v>
      </c>
    </row>
    <row r="5" spans="1:13">
      <c r="A5" s="79">
        <v>45536</v>
      </c>
      <c r="B5" s="96">
        <v>2023</v>
      </c>
      <c r="C5" s="96" t="s">
        <v>244</v>
      </c>
      <c r="D5" s="96" t="s">
        <v>229</v>
      </c>
      <c r="E5" s="81">
        <v>1327.57</v>
      </c>
      <c r="F5" s="81">
        <v>331.89249999999998</v>
      </c>
      <c r="G5" s="96">
        <v>4</v>
      </c>
      <c r="J5" s="96" t="s">
        <v>252</v>
      </c>
      <c r="K5" s="81">
        <f>SUM(E4:E67)</f>
        <v>358415.41999999993</v>
      </c>
    </row>
    <row r="6" spans="1:13">
      <c r="A6" s="79">
        <v>45536</v>
      </c>
      <c r="B6" s="96">
        <v>2023</v>
      </c>
      <c r="C6" s="96" t="s">
        <v>244</v>
      </c>
      <c r="D6" s="96" t="s">
        <v>231</v>
      </c>
      <c r="E6" s="81">
        <v>114</v>
      </c>
      <c r="F6" s="81">
        <v>114</v>
      </c>
      <c r="G6" s="96">
        <v>1</v>
      </c>
    </row>
    <row r="7" spans="1:13">
      <c r="A7" s="79">
        <v>45536</v>
      </c>
      <c r="B7" s="96">
        <v>2023</v>
      </c>
      <c r="C7" s="96" t="s">
        <v>244</v>
      </c>
      <c r="D7" s="96" t="s">
        <v>233</v>
      </c>
      <c r="E7" s="81">
        <v>2088</v>
      </c>
      <c r="F7" s="81">
        <v>232</v>
      </c>
      <c r="G7" s="96">
        <v>11</v>
      </c>
      <c r="J7" s="96" t="s">
        <v>253</v>
      </c>
      <c r="K7" s="352">
        <f>K5/K4</f>
        <v>305.29422487223161</v>
      </c>
      <c r="M7" s="356">
        <f>K5+(L4*K7)</f>
        <v>390998.6399999999</v>
      </c>
    </row>
    <row r="8" spans="1:13">
      <c r="A8" s="79">
        <v>45536</v>
      </c>
      <c r="B8" s="96">
        <v>2023</v>
      </c>
      <c r="C8" s="96" t="s">
        <v>244</v>
      </c>
      <c r="D8" s="96" t="s">
        <v>234</v>
      </c>
      <c r="E8" s="81">
        <v>1016.7</v>
      </c>
      <c r="F8" s="81">
        <v>338.90000000000003</v>
      </c>
      <c r="G8" s="96">
        <v>4</v>
      </c>
    </row>
    <row r="9" spans="1:13">
      <c r="A9" s="79">
        <v>45536</v>
      </c>
      <c r="B9" s="96">
        <v>2023</v>
      </c>
      <c r="C9" s="96" t="s">
        <v>244</v>
      </c>
      <c r="D9" s="96" t="s">
        <v>235</v>
      </c>
      <c r="E9" s="81">
        <v>1081.68</v>
      </c>
      <c r="F9" s="81">
        <v>154.52571428571429</v>
      </c>
      <c r="G9" s="96">
        <v>9</v>
      </c>
    </row>
    <row r="10" spans="1:13">
      <c r="A10" s="79">
        <v>45536</v>
      </c>
      <c r="B10" s="96">
        <v>2023</v>
      </c>
      <c r="C10" s="96" t="s">
        <v>245</v>
      </c>
      <c r="D10" s="96" t="s">
        <v>229</v>
      </c>
      <c r="E10" s="81">
        <v>-8</v>
      </c>
      <c r="F10" s="81">
        <v>-2.6666666666666665</v>
      </c>
      <c r="G10" s="96">
        <v>2</v>
      </c>
      <c r="L10" s="346">
        <f>L4*12</f>
        <v>1280.7272727272727</v>
      </c>
      <c r="M10" s="96" t="s">
        <v>254</v>
      </c>
    </row>
    <row r="11" spans="1:13">
      <c r="A11" s="79">
        <v>45536</v>
      </c>
      <c r="B11" s="96">
        <v>2023</v>
      </c>
      <c r="C11" s="96" t="s">
        <v>245</v>
      </c>
      <c r="D11" s="96" t="s">
        <v>231</v>
      </c>
      <c r="E11" s="81">
        <v>51</v>
      </c>
      <c r="F11" s="81">
        <v>17</v>
      </c>
      <c r="G11" s="96">
        <v>2</v>
      </c>
    </row>
    <row r="12" spans="1:13">
      <c r="A12" s="79">
        <v>45536</v>
      </c>
      <c r="B12" s="96">
        <v>2023</v>
      </c>
      <c r="C12" s="96" t="s">
        <v>245</v>
      </c>
      <c r="D12" s="96" t="s">
        <v>233</v>
      </c>
      <c r="E12" s="81">
        <v>900</v>
      </c>
      <c r="F12" s="81">
        <v>225</v>
      </c>
      <c r="G12" s="96">
        <v>7</v>
      </c>
      <c r="J12" s="353"/>
    </row>
    <row r="13" spans="1:13">
      <c r="A13" s="79">
        <v>45536</v>
      </c>
      <c r="B13" s="96">
        <v>2023</v>
      </c>
      <c r="C13" s="96" t="s">
        <v>245</v>
      </c>
      <c r="D13" s="96" t="s">
        <v>234</v>
      </c>
      <c r="E13" s="81">
        <v>2048.12</v>
      </c>
      <c r="F13" s="81">
        <v>341.3533333333333</v>
      </c>
      <c r="G13" s="96">
        <v>6</v>
      </c>
    </row>
    <row r="14" spans="1:13">
      <c r="A14" s="79">
        <v>45536</v>
      </c>
      <c r="B14" s="96">
        <v>2023</v>
      </c>
      <c r="C14" s="96" t="s">
        <v>245</v>
      </c>
      <c r="D14" s="96" t="s">
        <v>235</v>
      </c>
      <c r="E14" s="81">
        <v>1196</v>
      </c>
      <c r="F14" s="81">
        <v>239.2</v>
      </c>
      <c r="G14" s="96">
        <v>6</v>
      </c>
    </row>
    <row r="15" spans="1:13">
      <c r="A15" s="79">
        <v>45536</v>
      </c>
      <c r="B15" s="96">
        <v>2023</v>
      </c>
      <c r="C15" s="96" t="s">
        <v>246</v>
      </c>
      <c r="D15" s="96" t="s">
        <v>250</v>
      </c>
      <c r="E15" s="81">
        <v>434</v>
      </c>
      <c r="F15" s="81">
        <v>434</v>
      </c>
      <c r="G15" s="96">
        <v>3</v>
      </c>
    </row>
    <row r="16" spans="1:13">
      <c r="A16" s="79">
        <v>45536</v>
      </c>
      <c r="B16" s="96">
        <v>2023</v>
      </c>
      <c r="C16" s="96" t="s">
        <v>246</v>
      </c>
      <c r="D16" s="96" t="s">
        <v>229</v>
      </c>
      <c r="E16" s="81">
        <v>740.98</v>
      </c>
      <c r="F16" s="81">
        <v>246.99333333333334</v>
      </c>
      <c r="G16" s="96">
        <v>4</v>
      </c>
    </row>
    <row r="17" spans="1:7">
      <c r="A17" s="79">
        <v>45536</v>
      </c>
      <c r="B17" s="96">
        <v>2023</v>
      </c>
      <c r="C17" s="96" t="s">
        <v>246</v>
      </c>
      <c r="D17" s="96" t="s">
        <v>231</v>
      </c>
      <c r="E17" s="81">
        <v>156</v>
      </c>
      <c r="F17" s="81">
        <v>156</v>
      </c>
      <c r="G17" s="96">
        <v>1</v>
      </c>
    </row>
    <row r="18" spans="1:7">
      <c r="A18" s="79">
        <v>45536</v>
      </c>
      <c r="B18" s="96">
        <v>2023</v>
      </c>
      <c r="C18" s="96" t="s">
        <v>246</v>
      </c>
      <c r="D18" s="96" t="s">
        <v>233</v>
      </c>
      <c r="E18" s="81">
        <v>351.9</v>
      </c>
      <c r="F18" s="81">
        <v>175.95</v>
      </c>
      <c r="G18" s="96">
        <v>2</v>
      </c>
    </row>
    <row r="19" spans="1:7">
      <c r="A19" s="79">
        <v>45536</v>
      </c>
      <c r="B19" s="96">
        <v>2023</v>
      </c>
      <c r="C19" s="96" t="s">
        <v>246</v>
      </c>
      <c r="D19" s="96" t="s">
        <v>234</v>
      </c>
      <c r="E19" s="81">
        <v>1738.1</v>
      </c>
      <c r="F19" s="81">
        <v>434.52499999999998</v>
      </c>
      <c r="G19" s="96">
        <v>45</v>
      </c>
    </row>
    <row r="20" spans="1:7">
      <c r="A20" s="79">
        <v>45536</v>
      </c>
      <c r="B20" s="96">
        <v>2024</v>
      </c>
      <c r="C20" s="96" t="s">
        <v>236</v>
      </c>
      <c r="D20" s="96" t="s">
        <v>250</v>
      </c>
      <c r="E20" s="81">
        <v>3051.54</v>
      </c>
      <c r="F20" s="81">
        <v>508.59</v>
      </c>
      <c r="G20" s="96">
        <v>6</v>
      </c>
    </row>
    <row r="21" spans="1:7">
      <c r="A21" s="79">
        <v>45536</v>
      </c>
      <c r="B21" s="96">
        <v>2024</v>
      </c>
      <c r="C21" s="96" t="s">
        <v>236</v>
      </c>
      <c r="D21" s="96" t="s">
        <v>229</v>
      </c>
      <c r="E21" s="81">
        <v>3296</v>
      </c>
      <c r="F21" s="81">
        <v>412</v>
      </c>
      <c r="G21" s="96">
        <v>9</v>
      </c>
    </row>
    <row r="22" spans="1:7">
      <c r="A22" s="79">
        <v>45536</v>
      </c>
      <c r="B22" s="96">
        <v>2024</v>
      </c>
      <c r="C22" s="96" t="s">
        <v>236</v>
      </c>
      <c r="D22" s="96" t="s">
        <v>231</v>
      </c>
      <c r="E22" s="81">
        <v>5784</v>
      </c>
      <c r="F22" s="81">
        <v>723</v>
      </c>
      <c r="G22" s="96">
        <v>13</v>
      </c>
    </row>
    <row r="23" spans="1:7">
      <c r="A23" s="79">
        <v>45536</v>
      </c>
      <c r="B23" s="96">
        <v>2024</v>
      </c>
      <c r="C23" s="96" t="s">
        <v>236</v>
      </c>
      <c r="D23" s="96" t="s">
        <v>233</v>
      </c>
      <c r="E23" s="81">
        <v>12011.48</v>
      </c>
      <c r="F23" s="81">
        <v>750.71749999999997</v>
      </c>
      <c r="G23" s="96">
        <v>27</v>
      </c>
    </row>
    <row r="24" spans="1:7">
      <c r="A24" s="79">
        <v>45536</v>
      </c>
      <c r="B24" s="96">
        <v>2024</v>
      </c>
      <c r="C24" s="96" t="s">
        <v>236</v>
      </c>
      <c r="D24" s="96" t="s">
        <v>234</v>
      </c>
      <c r="E24" s="81">
        <v>4604.7800000000007</v>
      </c>
      <c r="F24" s="81">
        <v>383.73166666666674</v>
      </c>
      <c r="G24" s="96">
        <v>17</v>
      </c>
    </row>
    <row r="25" spans="1:7">
      <c r="A25" s="79">
        <v>45536</v>
      </c>
      <c r="B25" s="96">
        <v>2024</v>
      </c>
      <c r="C25" s="96" t="s">
        <v>236</v>
      </c>
      <c r="D25" s="96" t="s">
        <v>235</v>
      </c>
      <c r="E25" s="81">
        <v>5001.5</v>
      </c>
      <c r="F25" s="81">
        <v>500.15</v>
      </c>
      <c r="G25" s="96">
        <v>15</v>
      </c>
    </row>
    <row r="26" spans="1:7">
      <c r="A26" s="79">
        <v>45536</v>
      </c>
      <c r="B26" s="96">
        <v>2024</v>
      </c>
      <c r="C26" s="96" t="s">
        <v>237</v>
      </c>
      <c r="D26" s="96" t="s">
        <v>250</v>
      </c>
      <c r="E26" s="81">
        <v>3016.6800000000003</v>
      </c>
      <c r="F26" s="81">
        <v>430.95428571428573</v>
      </c>
      <c r="G26" s="96">
        <v>7</v>
      </c>
    </row>
    <row r="27" spans="1:7">
      <c r="A27" s="79">
        <v>45536</v>
      </c>
      <c r="B27" s="96">
        <v>2024</v>
      </c>
      <c r="C27" s="96" t="s">
        <v>237</v>
      </c>
      <c r="D27" s="96" t="s">
        <v>229</v>
      </c>
      <c r="E27" s="81">
        <v>5043.63</v>
      </c>
      <c r="F27" s="81">
        <v>720.51857142857148</v>
      </c>
      <c r="G27" s="96">
        <v>12</v>
      </c>
    </row>
    <row r="28" spans="1:7">
      <c r="A28" s="79">
        <v>45536</v>
      </c>
      <c r="B28" s="96">
        <v>2024</v>
      </c>
      <c r="C28" s="96" t="s">
        <v>237</v>
      </c>
      <c r="D28" s="96" t="s">
        <v>231</v>
      </c>
      <c r="E28" s="81">
        <v>5241.41</v>
      </c>
      <c r="F28" s="81">
        <v>524.14099999999996</v>
      </c>
      <c r="G28" s="96">
        <v>14</v>
      </c>
    </row>
    <row r="29" spans="1:7">
      <c r="A29" s="79">
        <v>45536</v>
      </c>
      <c r="B29" s="96">
        <v>2024</v>
      </c>
      <c r="C29" s="96" t="s">
        <v>237</v>
      </c>
      <c r="D29" s="96" t="s">
        <v>233</v>
      </c>
      <c r="E29" s="81">
        <v>13682.210000000001</v>
      </c>
      <c r="F29" s="81">
        <v>804.83588235294121</v>
      </c>
      <c r="G29" s="96">
        <v>40</v>
      </c>
    </row>
    <row r="30" spans="1:7">
      <c r="A30" s="79">
        <v>45536</v>
      </c>
      <c r="B30" s="96">
        <v>2024</v>
      </c>
      <c r="C30" s="96" t="s">
        <v>237</v>
      </c>
      <c r="D30" s="96" t="s">
        <v>234</v>
      </c>
      <c r="E30" s="81">
        <v>9616.3499999999985</v>
      </c>
      <c r="F30" s="81">
        <v>601.02187499999991</v>
      </c>
      <c r="G30" s="96">
        <v>28</v>
      </c>
    </row>
    <row r="31" spans="1:7">
      <c r="A31" s="79">
        <v>45536</v>
      </c>
      <c r="B31" s="96">
        <v>2024</v>
      </c>
      <c r="C31" s="96" t="s">
        <v>237</v>
      </c>
      <c r="D31" s="96" t="s">
        <v>235</v>
      </c>
      <c r="E31" s="81">
        <v>3883.5</v>
      </c>
      <c r="F31" s="81">
        <v>298.73076923076923</v>
      </c>
      <c r="G31" s="96">
        <v>19</v>
      </c>
    </row>
    <row r="32" spans="1:7">
      <c r="A32" s="79">
        <v>45536</v>
      </c>
      <c r="B32" s="96">
        <v>2024</v>
      </c>
      <c r="C32" s="96" t="s">
        <v>238</v>
      </c>
      <c r="D32" s="96" t="s">
        <v>250</v>
      </c>
      <c r="E32" s="81">
        <v>1450.65</v>
      </c>
      <c r="F32" s="81">
        <v>483.55</v>
      </c>
      <c r="G32" s="96">
        <v>5</v>
      </c>
    </row>
    <row r="33" spans="1:7">
      <c r="A33" s="79">
        <v>45536</v>
      </c>
      <c r="B33" s="96">
        <v>2024</v>
      </c>
      <c r="C33" s="96" t="s">
        <v>238</v>
      </c>
      <c r="D33" s="96" t="s">
        <v>229</v>
      </c>
      <c r="E33" s="81">
        <v>7276.7699999999995</v>
      </c>
      <c r="F33" s="81">
        <v>808.53</v>
      </c>
      <c r="G33" s="96">
        <v>16</v>
      </c>
    </row>
    <row r="34" spans="1:7">
      <c r="A34" s="79">
        <v>45536</v>
      </c>
      <c r="B34" s="96">
        <v>2024</v>
      </c>
      <c r="C34" s="96" t="s">
        <v>238</v>
      </c>
      <c r="D34" s="96" t="s">
        <v>231</v>
      </c>
      <c r="E34" s="81">
        <v>6116.14</v>
      </c>
      <c r="F34" s="81">
        <v>436.86714285714288</v>
      </c>
      <c r="G34" s="96">
        <v>20</v>
      </c>
    </row>
    <row r="35" spans="1:7">
      <c r="A35" s="79">
        <v>45536</v>
      </c>
      <c r="B35" s="96">
        <v>2024</v>
      </c>
      <c r="C35" s="96" t="s">
        <v>238</v>
      </c>
      <c r="D35" s="96" t="s">
        <v>233</v>
      </c>
      <c r="E35" s="81">
        <v>18477.22</v>
      </c>
      <c r="F35" s="81">
        <v>1086.8952941176472</v>
      </c>
      <c r="G35" s="96">
        <v>46</v>
      </c>
    </row>
    <row r="36" spans="1:7">
      <c r="A36" s="79">
        <v>45536</v>
      </c>
      <c r="B36" s="96">
        <v>2024</v>
      </c>
      <c r="C36" s="96" t="s">
        <v>238</v>
      </c>
      <c r="D36" s="96" t="s">
        <v>234</v>
      </c>
      <c r="E36" s="81">
        <v>10586.6</v>
      </c>
      <c r="F36" s="81">
        <v>661.66250000000002</v>
      </c>
      <c r="G36" s="96">
        <v>33</v>
      </c>
    </row>
    <row r="37" spans="1:7">
      <c r="A37" s="79">
        <v>45536</v>
      </c>
      <c r="B37" s="96">
        <v>2024</v>
      </c>
      <c r="C37" s="96" t="s">
        <v>238</v>
      </c>
      <c r="D37" s="96" t="s">
        <v>235</v>
      </c>
      <c r="E37" s="81">
        <v>9709</v>
      </c>
      <c r="F37" s="81">
        <v>647.26666666666665</v>
      </c>
      <c r="G37" s="96">
        <v>35</v>
      </c>
    </row>
    <row r="38" spans="1:7">
      <c r="A38" s="79">
        <v>45536</v>
      </c>
      <c r="B38" s="96">
        <v>2024</v>
      </c>
      <c r="C38" s="96" t="s">
        <v>239</v>
      </c>
      <c r="D38" s="96" t="s">
        <v>250</v>
      </c>
      <c r="E38" s="81">
        <v>1294.8400000000001</v>
      </c>
      <c r="F38" s="81">
        <v>431.6133333333334</v>
      </c>
      <c r="G38" s="96">
        <v>4</v>
      </c>
    </row>
    <row r="39" spans="1:7">
      <c r="A39" s="79">
        <v>45536</v>
      </c>
      <c r="B39" s="96">
        <v>2024</v>
      </c>
      <c r="C39" s="96" t="s">
        <v>239</v>
      </c>
      <c r="D39" s="96" t="s">
        <v>229</v>
      </c>
      <c r="E39" s="81">
        <v>8260.7000000000007</v>
      </c>
      <c r="F39" s="81">
        <v>750.9727272727273</v>
      </c>
      <c r="G39" s="96">
        <v>24</v>
      </c>
    </row>
    <row r="40" spans="1:7">
      <c r="A40" s="79">
        <v>45536</v>
      </c>
      <c r="B40" s="96">
        <v>2024</v>
      </c>
      <c r="C40" s="96" t="s">
        <v>239</v>
      </c>
      <c r="D40" s="96" t="s">
        <v>231</v>
      </c>
      <c r="E40" s="81">
        <v>7630</v>
      </c>
      <c r="F40" s="81">
        <v>635.83333333333337</v>
      </c>
      <c r="G40" s="96">
        <v>20</v>
      </c>
    </row>
    <row r="41" spans="1:7">
      <c r="A41" s="79">
        <v>45536</v>
      </c>
      <c r="B41" s="96">
        <v>2024</v>
      </c>
      <c r="C41" s="96" t="s">
        <v>239</v>
      </c>
      <c r="D41" s="96" t="s">
        <v>233</v>
      </c>
      <c r="E41" s="81">
        <v>24304.729999999996</v>
      </c>
      <c r="F41" s="81">
        <v>1736.0521428571426</v>
      </c>
      <c r="G41" s="96">
        <v>63</v>
      </c>
    </row>
    <row r="42" spans="1:7">
      <c r="A42" s="79">
        <v>45536</v>
      </c>
      <c r="B42" s="96">
        <v>2024</v>
      </c>
      <c r="C42" s="96" t="s">
        <v>239</v>
      </c>
      <c r="D42" s="96" t="s">
        <v>234</v>
      </c>
      <c r="E42" s="81">
        <v>10385.299999999999</v>
      </c>
      <c r="F42" s="81">
        <v>865.44166666666661</v>
      </c>
      <c r="G42" s="96">
        <v>32</v>
      </c>
    </row>
    <row r="43" spans="1:7">
      <c r="A43" s="79">
        <v>45536</v>
      </c>
      <c r="B43" s="96">
        <v>2024</v>
      </c>
      <c r="C43" s="96" t="s">
        <v>239</v>
      </c>
      <c r="D43" s="96" t="s">
        <v>235</v>
      </c>
      <c r="E43" s="81">
        <v>5852</v>
      </c>
      <c r="F43" s="81">
        <v>487.66666666666669</v>
      </c>
      <c r="G43" s="96">
        <v>33</v>
      </c>
    </row>
    <row r="44" spans="1:7">
      <c r="A44" s="79">
        <v>45536</v>
      </c>
      <c r="B44" s="96">
        <v>2024</v>
      </c>
      <c r="C44" s="96" t="s">
        <v>240</v>
      </c>
      <c r="D44" s="96" t="s">
        <v>250</v>
      </c>
      <c r="E44" s="81">
        <v>1011.33</v>
      </c>
      <c r="F44" s="81">
        <v>202.26600000000002</v>
      </c>
      <c r="G44" s="96">
        <v>5</v>
      </c>
    </row>
    <row r="45" spans="1:7">
      <c r="A45" s="79">
        <v>45536</v>
      </c>
      <c r="B45" s="96">
        <v>2024</v>
      </c>
      <c r="C45" s="96" t="s">
        <v>240</v>
      </c>
      <c r="D45" s="96" t="s">
        <v>229</v>
      </c>
      <c r="E45" s="81">
        <v>6815.41</v>
      </c>
      <c r="F45" s="81">
        <v>851.92624999999998</v>
      </c>
      <c r="G45" s="96">
        <v>20</v>
      </c>
    </row>
    <row r="46" spans="1:7">
      <c r="A46" s="79">
        <v>45536</v>
      </c>
      <c r="B46" s="96">
        <v>2024</v>
      </c>
      <c r="C46" s="96" t="s">
        <v>240</v>
      </c>
      <c r="D46" s="96" t="s">
        <v>231</v>
      </c>
      <c r="E46" s="81">
        <v>7434.9400000000005</v>
      </c>
      <c r="F46" s="81">
        <v>826.10444444444454</v>
      </c>
      <c r="G46" s="96">
        <v>17</v>
      </c>
    </row>
    <row r="47" spans="1:7">
      <c r="A47" s="79">
        <v>45536</v>
      </c>
      <c r="B47" s="96">
        <v>2024</v>
      </c>
      <c r="C47" s="96" t="s">
        <v>240</v>
      </c>
      <c r="D47" s="96" t="s">
        <v>233</v>
      </c>
      <c r="E47" s="81">
        <v>16811.5</v>
      </c>
      <c r="F47" s="81">
        <v>1293.1923076923076</v>
      </c>
      <c r="G47" s="96">
        <v>39</v>
      </c>
    </row>
    <row r="48" spans="1:7">
      <c r="A48" s="79">
        <v>45536</v>
      </c>
      <c r="B48" s="96">
        <v>2024</v>
      </c>
      <c r="C48" s="96" t="s">
        <v>240</v>
      </c>
      <c r="D48" s="96" t="s">
        <v>234</v>
      </c>
      <c r="E48" s="81">
        <v>11058.21</v>
      </c>
      <c r="F48" s="81">
        <v>737.21399999999994</v>
      </c>
      <c r="G48" s="96">
        <v>37</v>
      </c>
    </row>
    <row r="49" spans="1:7">
      <c r="A49" s="79">
        <v>45536</v>
      </c>
      <c r="B49" s="96">
        <v>2024</v>
      </c>
      <c r="C49" s="96" t="s">
        <v>240</v>
      </c>
      <c r="D49" s="96" t="s">
        <v>235</v>
      </c>
      <c r="E49" s="81">
        <v>5629.86</v>
      </c>
      <c r="F49" s="81">
        <v>511.8054545454545</v>
      </c>
      <c r="G49" s="96">
        <v>20</v>
      </c>
    </row>
    <row r="50" spans="1:7">
      <c r="A50" s="79">
        <v>45536</v>
      </c>
      <c r="B50" s="96">
        <v>2024</v>
      </c>
      <c r="C50" s="96" t="s">
        <v>241</v>
      </c>
      <c r="D50" s="96" t="s">
        <v>250</v>
      </c>
      <c r="E50" s="81">
        <v>1678.65</v>
      </c>
      <c r="F50" s="81">
        <v>279.77500000000003</v>
      </c>
      <c r="G50" s="96">
        <v>6</v>
      </c>
    </row>
    <row r="51" spans="1:7">
      <c r="A51" s="79">
        <v>45536</v>
      </c>
      <c r="B51" s="96">
        <v>2024</v>
      </c>
      <c r="C51" s="96" t="s">
        <v>241</v>
      </c>
      <c r="D51" s="96" t="s">
        <v>229</v>
      </c>
      <c r="E51" s="81">
        <v>10157.359999999999</v>
      </c>
      <c r="F51" s="81">
        <v>781.33538461538456</v>
      </c>
      <c r="G51" s="96">
        <v>28</v>
      </c>
    </row>
    <row r="52" spans="1:7">
      <c r="A52" s="79">
        <v>45536</v>
      </c>
      <c r="B52" s="96">
        <v>2024</v>
      </c>
      <c r="C52" s="96" t="s">
        <v>241</v>
      </c>
      <c r="D52" s="96" t="s">
        <v>231</v>
      </c>
      <c r="E52" s="81">
        <v>6627.16</v>
      </c>
      <c r="F52" s="81">
        <v>552.26333333333332</v>
      </c>
      <c r="G52" s="96">
        <v>17</v>
      </c>
    </row>
    <row r="53" spans="1:7">
      <c r="A53" s="79">
        <v>45536</v>
      </c>
      <c r="B53" s="96">
        <v>2024</v>
      </c>
      <c r="C53" s="96" t="s">
        <v>241</v>
      </c>
      <c r="D53" s="96" t="s">
        <v>233</v>
      </c>
      <c r="E53" s="81">
        <v>18878.120000000003</v>
      </c>
      <c r="F53" s="81">
        <v>1258.5413333333336</v>
      </c>
      <c r="G53" s="96">
        <v>51</v>
      </c>
    </row>
    <row r="54" spans="1:7">
      <c r="A54" s="79">
        <v>45536</v>
      </c>
      <c r="B54" s="96">
        <v>2024</v>
      </c>
      <c r="C54" s="96" t="s">
        <v>241</v>
      </c>
      <c r="D54" s="96" t="s">
        <v>234</v>
      </c>
      <c r="E54" s="81">
        <v>13118.429999999998</v>
      </c>
      <c r="F54" s="81">
        <v>728.80166666666662</v>
      </c>
      <c r="G54" s="96">
        <v>40</v>
      </c>
    </row>
    <row r="55" spans="1:7">
      <c r="A55" s="79">
        <v>45536</v>
      </c>
      <c r="B55" s="96">
        <v>2024</v>
      </c>
      <c r="C55" s="96" t="s">
        <v>241</v>
      </c>
      <c r="D55" s="96" t="s">
        <v>235</v>
      </c>
      <c r="E55" s="81">
        <v>6429.91</v>
      </c>
      <c r="F55" s="81">
        <v>378.23</v>
      </c>
      <c r="G55" s="96">
        <v>35</v>
      </c>
    </row>
    <row r="56" spans="1:7">
      <c r="A56" s="79">
        <v>45536</v>
      </c>
      <c r="B56" s="96">
        <v>2024</v>
      </c>
      <c r="C56" s="96" t="s">
        <v>242</v>
      </c>
      <c r="D56" s="96" t="s">
        <v>250</v>
      </c>
      <c r="E56" s="81">
        <v>1027.05</v>
      </c>
      <c r="F56" s="81">
        <v>342.34999999999997</v>
      </c>
      <c r="G56" s="96">
        <v>7</v>
      </c>
    </row>
    <row r="57" spans="1:7">
      <c r="A57" s="79">
        <v>45536</v>
      </c>
      <c r="B57" s="96">
        <v>2024</v>
      </c>
      <c r="C57" s="96" t="s">
        <v>242</v>
      </c>
      <c r="D57" s="96" t="s">
        <v>229</v>
      </c>
      <c r="E57" s="81">
        <v>2183.7799999999997</v>
      </c>
      <c r="F57" s="81">
        <v>272.97249999999997</v>
      </c>
      <c r="G57" s="96">
        <v>10</v>
      </c>
    </row>
    <row r="58" spans="1:7">
      <c r="A58" s="79">
        <v>45536</v>
      </c>
      <c r="B58" s="96">
        <v>2024</v>
      </c>
      <c r="C58" s="96" t="s">
        <v>242</v>
      </c>
      <c r="D58" s="96" t="s">
        <v>231</v>
      </c>
      <c r="E58" s="81">
        <v>3979.88</v>
      </c>
      <c r="F58" s="81">
        <v>397.988</v>
      </c>
      <c r="G58" s="96">
        <v>12</v>
      </c>
    </row>
    <row r="59" spans="1:7">
      <c r="A59" s="79">
        <v>45536</v>
      </c>
      <c r="B59" s="96">
        <v>2024</v>
      </c>
      <c r="C59" s="96" t="s">
        <v>242</v>
      </c>
      <c r="D59" s="96" t="s">
        <v>233</v>
      </c>
      <c r="E59" s="81">
        <v>16361.04</v>
      </c>
      <c r="F59" s="81">
        <v>908.94666666666672</v>
      </c>
      <c r="G59" s="96">
        <v>50</v>
      </c>
    </row>
    <row r="60" spans="1:7">
      <c r="A60" s="79">
        <v>45536</v>
      </c>
      <c r="B60" s="96">
        <v>2024</v>
      </c>
      <c r="C60" s="96" t="s">
        <v>242</v>
      </c>
      <c r="D60" s="96" t="s">
        <v>234</v>
      </c>
      <c r="E60" s="81">
        <v>4932.68</v>
      </c>
      <c r="F60" s="81">
        <v>411.05666666666667</v>
      </c>
      <c r="G60" s="96">
        <v>21</v>
      </c>
    </row>
    <row r="61" spans="1:7">
      <c r="A61" s="79">
        <v>45536</v>
      </c>
      <c r="B61" s="96">
        <v>2024</v>
      </c>
      <c r="C61" s="96" t="s">
        <v>242</v>
      </c>
      <c r="D61" s="96" t="s">
        <v>235</v>
      </c>
      <c r="E61" s="81">
        <v>4052.36</v>
      </c>
      <c r="F61" s="81">
        <v>337.69666666666666</v>
      </c>
      <c r="G61" s="96">
        <v>27</v>
      </c>
    </row>
    <row r="62" spans="1:7">
      <c r="A62" s="79">
        <v>45536</v>
      </c>
      <c r="B62" s="96">
        <v>2024</v>
      </c>
      <c r="C62" s="96" t="s">
        <v>243</v>
      </c>
      <c r="D62" s="96" t="s">
        <v>250</v>
      </c>
      <c r="E62" s="81">
        <v>437.94</v>
      </c>
      <c r="F62" s="81">
        <v>72.989999999999995</v>
      </c>
      <c r="G62" s="96">
        <v>5</v>
      </c>
    </row>
    <row r="63" spans="1:7">
      <c r="A63" s="79">
        <v>45536</v>
      </c>
      <c r="B63" s="96">
        <v>2024</v>
      </c>
      <c r="C63" s="96" t="s">
        <v>243</v>
      </c>
      <c r="D63" s="96" t="s">
        <v>229</v>
      </c>
      <c r="E63" s="81">
        <v>2033.82</v>
      </c>
      <c r="F63" s="81">
        <v>254.22749999999999</v>
      </c>
      <c r="G63" s="96">
        <v>8</v>
      </c>
    </row>
    <row r="64" spans="1:7">
      <c r="A64" s="79">
        <v>45536</v>
      </c>
      <c r="B64" s="96">
        <v>2024</v>
      </c>
      <c r="C64" s="96" t="s">
        <v>243</v>
      </c>
      <c r="D64" s="96" t="s">
        <v>231</v>
      </c>
      <c r="E64" s="81">
        <v>3824.63</v>
      </c>
      <c r="F64" s="81">
        <v>382.46300000000002</v>
      </c>
      <c r="G64" s="96">
        <v>12</v>
      </c>
    </row>
    <row r="65" spans="1:7">
      <c r="A65" s="79">
        <v>45536</v>
      </c>
      <c r="B65" s="96">
        <v>2024</v>
      </c>
      <c r="C65" s="96" t="s">
        <v>243</v>
      </c>
      <c r="D65" s="96" t="s">
        <v>233</v>
      </c>
      <c r="E65" s="81">
        <v>6023.0099999999993</v>
      </c>
      <c r="F65" s="81">
        <v>463.30846153846147</v>
      </c>
      <c r="G65" s="96">
        <v>19</v>
      </c>
    </row>
    <row r="66" spans="1:7">
      <c r="A66" s="79">
        <v>45536</v>
      </c>
      <c r="B66" s="96">
        <v>2024</v>
      </c>
      <c r="C66" s="96" t="s">
        <v>243</v>
      </c>
      <c r="D66" s="96" t="s">
        <v>234</v>
      </c>
      <c r="E66" s="81">
        <v>6004.76</v>
      </c>
      <c r="F66" s="81">
        <v>375.29750000000001</v>
      </c>
      <c r="G66" s="96">
        <v>24</v>
      </c>
    </row>
    <row r="67" spans="1:7">
      <c r="A67" s="79">
        <v>45536</v>
      </c>
      <c r="B67" s="96">
        <v>2024</v>
      </c>
      <c r="C67" s="96" t="s">
        <v>243</v>
      </c>
      <c r="D67" s="96" t="s">
        <v>235</v>
      </c>
      <c r="E67" s="81">
        <v>2447.69</v>
      </c>
      <c r="F67" s="81">
        <v>203.97416666666666</v>
      </c>
      <c r="G67" s="96">
        <v>15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B67E1C-BBEE-46F7-B184-453894943F42}">
  <dimension ref="A2:J24"/>
  <sheetViews>
    <sheetView workbookViewId="0">
      <selection activeCell="E35" sqref="E35"/>
    </sheetView>
  </sheetViews>
  <sheetFormatPr defaultColWidth="7.5703125" defaultRowHeight="15"/>
  <cols>
    <col min="1" max="1" width="10.7109375" style="5" bestFit="1" customWidth="1"/>
    <col min="2" max="2" width="16.28515625" style="5" customWidth="1"/>
    <col min="3" max="9" width="13.7109375" style="5" customWidth="1"/>
    <col min="10" max="10" width="14.28515625" style="5" bestFit="1" customWidth="1"/>
    <col min="11" max="16384" width="7.5703125" style="5"/>
  </cols>
  <sheetData>
    <row r="2" spans="1:10">
      <c r="A2" s="78"/>
      <c r="B2" s="396" t="s">
        <v>66</v>
      </c>
      <c r="C2" s="396"/>
      <c r="D2" s="396"/>
      <c r="E2" s="396"/>
      <c r="F2" s="396"/>
      <c r="G2" s="396"/>
      <c r="H2" s="396"/>
      <c r="I2" s="396"/>
    </row>
    <row r="3" spans="1:10">
      <c r="A3" s="78"/>
      <c r="B3" s="400" t="s">
        <v>255</v>
      </c>
      <c r="C3" s="400"/>
      <c r="D3" s="400"/>
      <c r="E3" s="400"/>
      <c r="F3" s="400"/>
      <c r="G3" s="400"/>
      <c r="H3" s="400"/>
      <c r="I3" s="400"/>
    </row>
    <row r="4" spans="1:10">
      <c r="A4" s="78"/>
      <c r="B4" s="396" t="s">
        <v>69</v>
      </c>
      <c r="C4" s="396"/>
      <c r="D4" s="396"/>
      <c r="E4" s="396"/>
      <c r="F4" s="396"/>
      <c r="G4" s="396"/>
      <c r="H4" s="396"/>
      <c r="I4" s="396"/>
    </row>
    <row r="5" spans="1:10">
      <c r="A5"/>
      <c r="B5"/>
      <c r="C5"/>
      <c r="D5"/>
      <c r="E5"/>
      <c r="F5"/>
      <c r="G5"/>
      <c r="H5"/>
      <c r="I5"/>
    </row>
    <row r="6" spans="1:10">
      <c r="A6" s="78"/>
      <c r="B6" s="95" t="s">
        <v>256</v>
      </c>
      <c r="C6" s="70">
        <v>503</v>
      </c>
      <c r="D6" s="70">
        <v>504</v>
      </c>
      <c r="E6" s="76">
        <v>505</v>
      </c>
      <c r="F6" s="76">
        <v>511</v>
      </c>
      <c r="G6" s="76">
        <v>570</v>
      </c>
      <c r="H6" s="80">
        <v>663</v>
      </c>
      <c r="I6" s="80" t="s">
        <v>257</v>
      </c>
      <c r="J6" s="69" t="s">
        <v>53</v>
      </c>
    </row>
    <row r="7" spans="1:10">
      <c r="A7" s="77" t="s">
        <v>74</v>
      </c>
      <c r="B7" s="73">
        <v>45597</v>
      </c>
      <c r="C7" s="72">
        <v>17300573.306171525</v>
      </c>
      <c r="D7" s="72">
        <v>11240068.287810821</v>
      </c>
      <c r="E7" s="72">
        <v>1033407.7963471569</v>
      </c>
      <c r="F7" s="72">
        <v>1614217.8528810644</v>
      </c>
      <c r="G7" s="72">
        <v>247432.75678943651</v>
      </c>
      <c r="H7" s="72">
        <v>84060377</v>
      </c>
      <c r="I7" s="71">
        <f>SUM(C7:G7)</f>
        <v>31435700</v>
      </c>
      <c r="J7" s="253">
        <f>SUM(C7:H7)</f>
        <v>115496077</v>
      </c>
    </row>
    <row r="8" spans="1:10">
      <c r="A8" s="77" t="s">
        <v>74</v>
      </c>
      <c r="B8" s="73">
        <v>45627</v>
      </c>
      <c r="C8" s="72">
        <v>26008190.233166143</v>
      </c>
      <c r="D8" s="72">
        <v>18320836.906630401</v>
      </c>
      <c r="E8" s="72">
        <v>1987543.6139169526</v>
      </c>
      <c r="F8" s="72">
        <v>2343639.4379569553</v>
      </c>
      <c r="G8" s="72">
        <v>365308.80832955008</v>
      </c>
      <c r="H8" s="72">
        <v>86386506</v>
      </c>
      <c r="I8" s="71">
        <f t="shared" ref="I8:I18" si="0">SUM(C8:G8)</f>
        <v>49025519</v>
      </c>
      <c r="J8" s="253">
        <f t="shared" ref="J8:J18" si="1">SUM(C8:H8)</f>
        <v>135412025</v>
      </c>
    </row>
    <row r="9" spans="1:10">
      <c r="A9" s="77" t="s">
        <v>74</v>
      </c>
      <c r="B9" s="73">
        <v>45658</v>
      </c>
      <c r="C9" s="72">
        <v>23069541.802921157</v>
      </c>
      <c r="D9" s="72">
        <v>16023037.750684006</v>
      </c>
      <c r="E9" s="72">
        <v>1727376.2991646456</v>
      </c>
      <c r="F9" s="72">
        <v>2252728.3091860507</v>
      </c>
      <c r="G9" s="72">
        <v>269815.8380441402</v>
      </c>
      <c r="H9" s="72">
        <v>94592428</v>
      </c>
      <c r="I9" s="71">
        <f t="shared" si="0"/>
        <v>43342499.999999993</v>
      </c>
      <c r="J9" s="253">
        <f t="shared" si="1"/>
        <v>137934928</v>
      </c>
    </row>
    <row r="10" spans="1:10">
      <c r="A10" s="77" t="s">
        <v>74</v>
      </c>
      <c r="B10" s="73">
        <v>45689</v>
      </c>
      <c r="C10" s="72">
        <v>19458387.413066827</v>
      </c>
      <c r="D10" s="72">
        <v>15274301.426009677</v>
      </c>
      <c r="E10" s="72">
        <v>1843798.8541329766</v>
      </c>
      <c r="F10" s="72">
        <v>2077535.5898886351</v>
      </c>
      <c r="G10" s="72">
        <v>292576.71690188535</v>
      </c>
      <c r="H10" s="72">
        <v>89087373</v>
      </c>
      <c r="I10" s="71">
        <f t="shared" si="0"/>
        <v>38946600</v>
      </c>
      <c r="J10" s="253">
        <f t="shared" si="1"/>
        <v>128033973</v>
      </c>
    </row>
    <row r="11" spans="1:10">
      <c r="A11" s="77" t="s">
        <v>74</v>
      </c>
      <c r="B11" s="73">
        <v>45717</v>
      </c>
      <c r="C11" s="72">
        <v>16571557.77473275</v>
      </c>
      <c r="D11" s="72">
        <v>11089696.276116291</v>
      </c>
      <c r="E11" s="72">
        <v>1544514.1879044313</v>
      </c>
      <c r="F11" s="72">
        <v>1588389.3579536311</v>
      </c>
      <c r="G11" s="72">
        <v>264942.40329289821</v>
      </c>
      <c r="H11" s="72">
        <v>78870217</v>
      </c>
      <c r="I11" s="71">
        <f t="shared" si="0"/>
        <v>31059100.000000004</v>
      </c>
      <c r="J11" s="253">
        <f t="shared" si="1"/>
        <v>109929317</v>
      </c>
    </row>
    <row r="12" spans="1:10">
      <c r="A12" s="77" t="s">
        <v>74</v>
      </c>
      <c r="B12" s="73">
        <v>45748</v>
      </c>
      <c r="C12" s="72">
        <v>8969155.8801957816</v>
      </c>
      <c r="D12" s="72">
        <v>6908268.5739492616</v>
      </c>
      <c r="E12" s="72">
        <v>1086532.3157913748</v>
      </c>
      <c r="F12" s="72">
        <v>1222972.3376687625</v>
      </c>
      <c r="G12" s="72">
        <v>201370.89239482011</v>
      </c>
      <c r="H12" s="72">
        <v>79992973</v>
      </c>
      <c r="I12" s="71">
        <f t="shared" si="0"/>
        <v>18388300</v>
      </c>
      <c r="J12" s="253">
        <f t="shared" si="1"/>
        <v>98381273</v>
      </c>
    </row>
    <row r="13" spans="1:10">
      <c r="A13" s="77" t="s">
        <v>74</v>
      </c>
      <c r="B13" s="73">
        <v>45778</v>
      </c>
      <c r="C13" s="72">
        <v>5781477.5803718818</v>
      </c>
      <c r="D13" s="72">
        <v>4288026.282926688</v>
      </c>
      <c r="E13" s="72">
        <v>853356.62377377902</v>
      </c>
      <c r="F13" s="72">
        <v>819482.21426686714</v>
      </c>
      <c r="G13" s="72">
        <v>150957.29866078348</v>
      </c>
      <c r="H13" s="72">
        <v>46208422</v>
      </c>
      <c r="I13" s="71">
        <f t="shared" si="0"/>
        <v>11893299.999999998</v>
      </c>
      <c r="J13" s="253">
        <f t="shared" si="1"/>
        <v>58101722</v>
      </c>
    </row>
    <row r="14" spans="1:10">
      <c r="A14" s="77" t="s">
        <v>74</v>
      </c>
      <c r="B14" s="73">
        <v>45809</v>
      </c>
      <c r="C14" s="72">
        <v>2713891.0928507335</v>
      </c>
      <c r="D14" s="72">
        <v>3953959.5437169876</v>
      </c>
      <c r="E14" s="72">
        <v>649484.60661120631</v>
      </c>
      <c r="F14" s="72">
        <v>952514.1387255498</v>
      </c>
      <c r="G14" s="72">
        <v>125650.61809552295</v>
      </c>
      <c r="H14" s="72">
        <v>58286341</v>
      </c>
      <c r="I14" s="71">
        <f t="shared" si="0"/>
        <v>8395500</v>
      </c>
      <c r="J14" s="253">
        <f t="shared" si="1"/>
        <v>66681841</v>
      </c>
    </row>
    <row r="15" spans="1:10">
      <c r="A15" s="77" t="s">
        <v>74</v>
      </c>
      <c r="B15" s="73">
        <v>45839</v>
      </c>
      <c r="C15" s="72">
        <v>3993697.1234489852</v>
      </c>
      <c r="D15" s="72">
        <v>2413057.4768427606</v>
      </c>
      <c r="E15" s="72">
        <v>635586.35640233767</v>
      </c>
      <c r="F15" s="72">
        <v>751063.3377792543</v>
      </c>
      <c r="G15" s="72">
        <v>45595.70552666267</v>
      </c>
      <c r="H15" s="72">
        <v>72010025</v>
      </c>
      <c r="I15" s="71">
        <f t="shared" si="0"/>
        <v>7839000.0000000009</v>
      </c>
      <c r="J15" s="253">
        <f t="shared" si="1"/>
        <v>79849025</v>
      </c>
    </row>
    <row r="16" spans="1:10">
      <c r="A16" s="77" t="s">
        <v>74</v>
      </c>
      <c r="B16" s="73">
        <v>45870</v>
      </c>
      <c r="C16" s="72">
        <v>2475580.0139861479</v>
      </c>
      <c r="D16" s="72">
        <v>2545622.2181623294</v>
      </c>
      <c r="E16" s="72">
        <v>474778.85960437125</v>
      </c>
      <c r="F16" s="72">
        <v>947347.07510855293</v>
      </c>
      <c r="G16" s="72">
        <v>83271.833138598362</v>
      </c>
      <c r="H16" s="72">
        <v>81641857</v>
      </c>
      <c r="I16" s="71">
        <f t="shared" si="0"/>
        <v>6526600.0000000009</v>
      </c>
      <c r="J16" s="253">
        <f t="shared" si="1"/>
        <v>88168457</v>
      </c>
    </row>
    <row r="17" spans="1:10">
      <c r="A17" s="77" t="s">
        <v>74</v>
      </c>
      <c r="B17" s="73">
        <v>45901</v>
      </c>
      <c r="C17" s="72">
        <v>3605762.7714106361</v>
      </c>
      <c r="D17" s="72">
        <v>3447542.2905315426</v>
      </c>
      <c r="E17" s="72">
        <v>484006.91420853056</v>
      </c>
      <c r="F17" s="72">
        <v>557601.37152867159</v>
      </c>
      <c r="G17" s="72">
        <v>97086.652320619352</v>
      </c>
      <c r="H17" s="72">
        <v>85129383</v>
      </c>
      <c r="I17" s="71">
        <f t="shared" si="0"/>
        <v>8192000</v>
      </c>
      <c r="J17" s="253">
        <f t="shared" si="1"/>
        <v>93321383</v>
      </c>
    </row>
    <row r="18" spans="1:10">
      <c r="A18" s="77" t="s">
        <v>74</v>
      </c>
      <c r="B18" s="73">
        <v>45931</v>
      </c>
      <c r="C18" s="72">
        <v>10268460.319633352</v>
      </c>
      <c r="D18" s="72">
        <v>8127366.3558048122</v>
      </c>
      <c r="E18" s="72">
        <v>1137435.9133417534</v>
      </c>
      <c r="F18" s="72">
        <v>1473641.9773575068</v>
      </c>
      <c r="G18" s="72">
        <v>209795.43386257702</v>
      </c>
      <c r="H18" s="72">
        <v>83947162</v>
      </c>
      <c r="I18" s="71">
        <f t="shared" si="0"/>
        <v>21216700.000000004</v>
      </c>
      <c r="J18" s="253">
        <f t="shared" si="1"/>
        <v>105163862</v>
      </c>
    </row>
    <row r="19" spans="1:10">
      <c r="A19"/>
      <c r="B19"/>
      <c r="C19"/>
      <c r="D19"/>
      <c r="E19"/>
      <c r="F19"/>
      <c r="G19"/>
      <c r="H19"/>
      <c r="I19"/>
    </row>
    <row r="20" spans="1:10">
      <c r="A20" s="77" t="s">
        <v>258</v>
      </c>
      <c r="B20" s="73" t="s">
        <v>259</v>
      </c>
      <c r="C20" s="72">
        <f>SUM(C7:C18)</f>
        <v>140216275.3119559</v>
      </c>
      <c r="D20" s="72">
        <f t="shared" ref="D20:J20" si="2">SUM(D7:D18)</f>
        <v>103631783.38918559</v>
      </c>
      <c r="E20" s="72">
        <f t="shared" si="2"/>
        <v>13457822.341199517</v>
      </c>
      <c r="F20" s="72">
        <f t="shared" si="2"/>
        <v>16601133.000301499</v>
      </c>
      <c r="G20" s="72">
        <f t="shared" si="2"/>
        <v>2353804.9573574951</v>
      </c>
      <c r="H20" s="72">
        <f t="shared" si="2"/>
        <v>940213064</v>
      </c>
      <c r="I20" s="72">
        <f t="shared" si="2"/>
        <v>276260819</v>
      </c>
      <c r="J20" s="72">
        <f t="shared" si="2"/>
        <v>1216473883</v>
      </c>
    </row>
    <row r="21" spans="1:10">
      <c r="A21" s="78"/>
      <c r="B21" s="78"/>
      <c r="C21" s="74">
        <v>1</v>
      </c>
      <c r="D21" s="74">
        <v>2</v>
      </c>
      <c r="E21" s="74">
        <v>3</v>
      </c>
      <c r="F21" s="74">
        <v>4</v>
      </c>
      <c r="G21" s="74">
        <v>5</v>
      </c>
      <c r="H21" s="74">
        <v>6</v>
      </c>
      <c r="I21" s="82">
        <v>7</v>
      </c>
    </row>
    <row r="23" spans="1:10">
      <c r="B23" s="254"/>
    </row>
    <row r="24" spans="1:10">
      <c r="B24" s="253"/>
    </row>
  </sheetData>
  <mergeCells count="3">
    <mergeCell ref="B4:I4"/>
    <mergeCell ref="B2:I2"/>
    <mergeCell ref="B3:I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3BE9DF6C05192949A8991D845D9FD428" ma:contentTypeVersion="12" ma:contentTypeDescription="" ma:contentTypeScope="" ma:versionID="c2bfa8669965379cc758fbfc8d2fad9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2024-09-13T07:00:00+00:00</OpenedDate>
    <SignificantOrder xmlns="dc463f71-b30c-4ab2-9473-d307f9d35888">false</SignificantOrder>
    <Date1 xmlns="dc463f71-b30c-4ab2-9473-d307f9d35888">2024-09-13T07:00:00+00:00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Cascade Natural Gas Corporation</CaseCompanyNames>
    <Nickname xmlns="http://schemas.microsoft.com/sharepoint/v3" xsi:nil="true"/>
    <DocketNumber xmlns="dc463f71-b30c-4ab2-9473-d307f9d35888">240695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58D049F2-12FF-4742-B601-2D52AADD4603}"/>
</file>

<file path=customXml/itemProps2.xml><?xml version="1.0" encoding="utf-8"?>
<ds:datastoreItem xmlns:ds="http://schemas.openxmlformats.org/officeDocument/2006/customXml" ds:itemID="{2CED3786-7E9A-4BD9-B189-D1082EB184DD}"/>
</file>

<file path=customXml/itemProps3.xml><?xml version="1.0" encoding="utf-8"?>
<ds:datastoreItem xmlns:ds="http://schemas.openxmlformats.org/officeDocument/2006/customXml" ds:itemID="{DBA85640-6C66-465C-979A-7290C0780266}"/>
</file>

<file path=customXml/itemProps4.xml><?xml version="1.0" encoding="utf-8"?>
<ds:datastoreItem xmlns:ds="http://schemas.openxmlformats.org/officeDocument/2006/customXml" ds:itemID="{9A46D4F8-B89D-45CC-A9A0-BBB45AB28B4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Gross, Jennifer</dc:creator>
  <cp:keywords/>
  <dc:description/>
  <cp:lastModifiedBy>Parvinen, Michael</cp:lastModifiedBy>
  <cp:revision/>
  <dcterms:created xsi:type="dcterms:W3CDTF">2024-08-12T23:16:27Z</dcterms:created>
  <dcterms:modified xsi:type="dcterms:W3CDTF">2024-09-13T00:29:25Z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da8032d-c4fe-48b8-9054-92634c9ea061_Enabled">
    <vt:lpwstr>true</vt:lpwstr>
  </property>
  <property fmtid="{D5CDD505-2E9C-101B-9397-08002B2CF9AE}" pid="3" name="MSIP_Label_1da8032d-c4fe-48b8-9054-92634c9ea061_SetDate">
    <vt:lpwstr>2024-08-12T23:53:34Z</vt:lpwstr>
  </property>
  <property fmtid="{D5CDD505-2E9C-101B-9397-08002B2CF9AE}" pid="4" name="MSIP_Label_1da8032d-c4fe-48b8-9054-92634c9ea061_Method">
    <vt:lpwstr>Standard</vt:lpwstr>
  </property>
  <property fmtid="{D5CDD505-2E9C-101B-9397-08002B2CF9AE}" pid="5" name="MSIP_Label_1da8032d-c4fe-48b8-9054-92634c9ea061_Name">
    <vt:lpwstr>Label 2 - Docs</vt:lpwstr>
  </property>
  <property fmtid="{D5CDD505-2E9C-101B-9397-08002B2CF9AE}" pid="6" name="MSIP_Label_1da8032d-c4fe-48b8-9054-92634c9ea061_SiteId">
    <vt:lpwstr>ce6a0196-6152-4c6a-9d1d-e946c3735743</vt:lpwstr>
  </property>
  <property fmtid="{D5CDD505-2E9C-101B-9397-08002B2CF9AE}" pid="7" name="MSIP_Label_1da8032d-c4fe-48b8-9054-92634c9ea061_ActionId">
    <vt:lpwstr>120c2694-1081-4e06-81c9-f3748a3d6c00</vt:lpwstr>
  </property>
  <property fmtid="{D5CDD505-2E9C-101B-9397-08002B2CF9AE}" pid="8" name="MSIP_Label_1da8032d-c4fe-48b8-9054-92634c9ea061_ContentBits">
    <vt:lpwstr>0</vt:lpwstr>
  </property>
  <property fmtid="{D5CDD505-2E9C-101B-9397-08002B2CF9AE}" pid="9" name="ContentTypeId">
    <vt:lpwstr>0x0101006E56B4D1795A2E4DB2F0B01679ED314A003BE9DF6C05192949A8991D845D9FD428</vt:lpwstr>
  </property>
  <property fmtid="{D5CDD505-2E9C-101B-9397-08002B2CF9AE}" pid="10" name="_docset_NoMedatataSyncRequired">
    <vt:lpwstr>False</vt:lpwstr>
  </property>
</Properties>
</file>